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arnd\Desktop\PCA\PCA 19\"/>
    </mc:Choice>
  </mc:AlternateContent>
  <xr:revisionPtr revIDLastSave="0" documentId="13_ncr:1_{67310B25-8524-46AD-839D-5FC71DCDA125}" xr6:coauthVersionLast="41" xr6:coauthVersionMax="41" xr10:uidLastSave="{00000000-0000-0000-0000-000000000000}"/>
  <bookViews>
    <workbookView xWindow="390" yWindow="390" windowWidth="18900" windowHeight="11055" firstSheet="3" activeTab="6" xr2:uid="{00000000-000D-0000-FFFF-FFFF00000000}"/>
  </bookViews>
  <sheets>
    <sheet name="SEF-3 TOC" sheetId="1" r:id="rId1"/>
    <sheet name="SEF-3 p 1 PC Summary" sheetId="2" r:id="rId2"/>
    <sheet name="SEF-3 p 2 Actual BLR" sheetId="3" r:id="rId3"/>
    <sheet name="SEF-3 p 3 Sch B" sheetId="4" r:id="rId4"/>
    <sheet name="SEF-3 p 4 Bands" sheetId="5" r:id="rId5"/>
    <sheet name="SEF-3 p 5 Interest" sheetId="7" r:id="rId6"/>
    <sheet name="SEF-3 p 6 Approved BLRs"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ex1" localSheetId="5" hidden="1">{#N/A,#N/A,FALSE,"Summ";#N/A,#N/A,FALSE,"General"}</definedName>
    <definedName name="____ex1" hidden="1">{#N/A,#N/A,FALSE,"Summ";#N/A,#N/A,FALSE,"General"}</definedName>
    <definedName name="____new1" localSheetId="5"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localSheetId="5" hidden="1">{#N/A,#N/A,FALSE,"Summ";#N/A,#N/A,FALSE,"General"}</definedName>
    <definedName name="___ex1" hidden="1">{#N/A,#N/A,FALSE,"Summ";#N/A,#N/A,FALSE,"General"}</definedName>
    <definedName name="___new1" localSheetId="5"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D" hidden="1">#REF!</definedName>
    <definedName name="__123Graph_ECURRENT" localSheetId="6" hidden="1">[2]ConsolidatingPL!#REF!</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ex1" localSheetId="5" hidden="1">{#N/A,#N/A,FALSE,"Summ";#N/A,#N/A,FALSE,"General"}</definedName>
    <definedName name="__ex1" hidden="1">{#N/A,#N/A,FALSE,"Summ";#N/A,#N/A,FALSE,"General"}</definedName>
    <definedName name="__Jun09">" BS!$AI$7:$AI$1643"</definedName>
    <definedName name="__new1" localSheetId="5" hidden="1">{#N/A,#N/A,FALSE,"Summ";#N/A,#N/A,FALSE,"General"}</definedName>
    <definedName name="__new1" hidden="1">{#N/A,#N/A,FALSE,"Summ";#N/A,#N/A,FALSE,"General"}</definedName>
    <definedName name="__six6" hidden="1">{#N/A,#N/A,FALSE,"CRPT";#N/A,#N/A,FALSE,"TREND";#N/A,#N/A,FALSE,"%Curve"}</definedName>
    <definedName name="__www1" hidden="1">{#N/A,#N/A,FALSE,"schA"}</definedName>
    <definedName name="_1__123Graph_ABUDG6_D_ESCRPR" hidden="1">[1]Quant!$D$71:$O$71</definedName>
    <definedName name="_2__123Graph_ABUDG6_Dtons_inv" localSheetId="6" hidden="1">[3]Quant!#REF!</definedName>
    <definedName name="_2__123Graph_ABUDG6_Dtons_inv" hidden="1">[3]Quant!#REF!</definedName>
    <definedName name="_2__123Graph_AChart_1A" hidden="1">'[4]12Mo08'!#REF!</definedName>
    <definedName name="_3__123Graph_ABUDG6_Dtons_inv" localSheetId="6" hidden="1">[5]Quant!#REF!</definedName>
    <definedName name="_3__123Graph_BBUDG6_D_ESCRPR" hidden="1">[1]Quant!$D$72:$O$72</definedName>
    <definedName name="_4__123Graph_ABUDG6_Dtons_inv" localSheetId="6" hidden="1">'[6]Area D 2011'!#REF!</definedName>
    <definedName name="_4__123Graph_BBUDG6_Dtons_inv" hidden="1">[1]Quant!$D$9:$O$9</definedName>
    <definedName name="_4__123Graph_BChart_1A" hidden="1">'[4]12Mo08'!#REF!</definedName>
    <definedName name="_5__123Graph_CBUDG6_D_ESCRPR" hidden="1">[1]Quant!$D$100:$O$100</definedName>
    <definedName name="_6__123Graph_CBUDG6_D_ESCRPR" localSheetId="6" hidden="1">'[7]2012 Area AB BudgetSummary'!#REF!</definedName>
    <definedName name="_6__123Graph_CChart_1A" hidden="1">'[4]12Mo08'!#REF!</definedName>
    <definedName name="_6__123Graph_DBUDG6_D_ESCRPR" hidden="1">[1]Quant!$D$88:$O$88</definedName>
    <definedName name="_7__123Graph_CBUDG6_D_ESCRPR" localSheetId="6" hidden="1">'[6]Area D 2011'!#REF!</definedName>
    <definedName name="_7__123Graph_DBUDG6_D_ESCRPR" localSheetId="6" hidden="1">'[7]2012 Area AB BudgetSummary'!#REF!</definedName>
    <definedName name="_7__123Graph_XBUDG6_D_ESCRPR" hidden="1">[1]Quant!$D$5:$O$5</definedName>
    <definedName name="_8__123Graph_DBUDG6_D_ESCRPR" localSheetId="6" hidden="1">'[6]Area D 2011'!#REF!</definedName>
    <definedName name="_8__123Graph_XBUDG6_Dtons_inv" hidden="1">[1]Quant!$D$5:$O$5</definedName>
    <definedName name="_8__123Graph_XChart_1A" hidden="1">'[4]12Mo08'!#REF!</definedName>
    <definedName name="_ex1" hidden="1">{#N/A,#N/A,FALSE,"Summ";#N/A,#N/A,FALSE,"General"}</definedName>
    <definedName name="_Fill" localSheetId="6" hidden="1">#REF!</definedName>
    <definedName name="_Fill" hidden="1">#REF!</definedName>
    <definedName name="_Jun09">" BS!$AI$7:$AI$1643"</definedName>
    <definedName name="_Key1" localSheetId="6" hidden="1">#REF!</definedName>
    <definedName name="_Key1" hidden="1">#REF!</definedName>
    <definedName name="_Key2" localSheetId="6" hidden="1">#REF!</definedName>
    <definedName name="_Key2" hidden="1">#REF!</definedName>
    <definedName name="_new1" hidden="1">{#N/A,#N/A,FALSE,"Summ";#N/A,#N/A,FALSE,"General"}</definedName>
    <definedName name="_Order1" hidden="1">255</definedName>
    <definedName name="_Order2" hidden="1">255</definedName>
    <definedName name="_Parse_In" localSheetId="6" hidden="1">#REF!</definedName>
    <definedName name="_Parse_In" hidden="1">#REF!</definedName>
    <definedName name="_Regression_Int" hidden="1">1</definedName>
    <definedName name="_six6" hidden="1">{#N/A,#N/A,FALSE,"CRPT";#N/A,#N/A,FALSE,"TREND";#N/A,#N/A,FALSE,"%Curve"}</definedName>
    <definedName name="_Sort" hidden="1">#REF!</definedName>
    <definedName name="_www1" hidden="1">{#N/A,#N/A,FALSE,"schA"}</definedName>
    <definedName name="a" hidden="1">{#N/A,#N/A,FALSE,"Coversheet";#N/A,#N/A,FALSE,"QA"}</definedName>
    <definedName name="AAAAAAAAAAAAAA" localSheetId="5" hidden="1">{#N/A,#N/A,FALSE,"Coversheet";#N/A,#N/A,FALSE,"QA"}</definedName>
    <definedName name="AAAAAAAAAAAAAA" hidden="1">{#N/A,#N/A,FALSE,"Coversheet";#N/A,#N/A,FALSE,"QA"}</definedName>
    <definedName name="AccessDatabase" hidden="1">"I:\COMTREL\FINICLE\TradeSummary.mdb"</definedName>
    <definedName name="AS2DocOpenMode" hidden="1">"AS2DocumentEdit"</definedName>
    <definedName name="Aurora_Prices">"Monthly Price Summary'!$C$4:$H$63"</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um" hidden="1">#REF!</definedName>
    <definedName name="Button_1">"TradeSummary_Ken_Finicle_List"</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UDE" localSheetId="5" hidden="1">#REF!</definedName>
    <definedName name="DUDE" hidden="1">#REF!</definedName>
    <definedName name="ee" hidden="1">{#N/A,#N/A,FALSE,"Month ";#N/A,#N/A,FALSE,"YTD";#N/A,#N/A,FALSE,"12 mo ended"}</definedName>
    <definedName name="error" hidden="1">{#N/A,#N/A,FALSE,"Coversheet";#N/A,#N/A,FALSE,"QA"}</definedName>
    <definedName name="Escalator">1.025</definedName>
    <definedName name="Estimate" hidden="1">{#N/A,#N/A,FALSE,"Summ";#N/A,#N/A,FALSE,"General"}</definedName>
    <definedName name="ex" hidden="1">{#N/A,#N/A,FALSE,"Summ";#N/A,#N/A,FALSE,"General"}</definedName>
    <definedName name="F" hidden="1">#REF!</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 hidden="1">1252</definedName>
    <definedName name="HTML_Control" localSheetId="5">{"'Sheet1'!$A$1:$J$121"}</definedName>
    <definedName name="HTML_Control" localSheetId="6" hidden="1">{"'Sheet1'!$A$1:$J$121"}</definedName>
    <definedName name="HTML_Control">{"'Sheet1'!$A$1:$J$121"}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hidden="1">{#N/A,#N/A,FALSE,"monthly";#N/A,#N/A,FALSE,"year to date";#N/A,#N/A,FALSE,"12_months_IS";#N/A,#N/A,FALSE,"balance sheet";#N/A,#N/A,FALSE,"op_revenues_12m";#N/A,#N/A,FALSE,"op_revenues_ytd";#N/A,#N/A,FALSE,"op_revenues_cm"}</definedName>
    <definedName name="inctaxrate">0.4</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Row">#N/A</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lookup" hidden="1">{#N/A,#N/A,FALSE,"Coversheet";#N/A,#N/A,FALSE,"QA"}</definedName>
    <definedName name="Miller" hidden="1">{#N/A,#N/A,FALSE,"Expenditures";#N/A,#N/A,FALSE,"Property Placed In-Service";#N/A,#N/A,FALSE,"CWIP Balances"}</definedName>
    <definedName name="new" hidden="1">{#N/A,#N/A,FALSE,"Summ";#N/A,#N/A,FALSE,"General"}</definedName>
    <definedName name="Number_of_Payments" localSheetId="5">MATCH(0.01,End_Bal,-1)+1</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outage" hidden="1">'[8]12Mo08'!#REF!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4">'SEF-3 p 4 Bands'!$A$1:$Q$281</definedName>
    <definedName name="Print_Area_Reset" localSheetId="5">OFFSET(Full_Print,0,0,Last_Row)</definedName>
    <definedName name="Print_Area_Reset">OFFSET(Full_Print,0,0,Last_Row)</definedName>
    <definedName name="_xlnm.Print_Titles" localSheetId="4">'SEF-3 p 4 Bands'!$1:$12</definedName>
    <definedName name="q" hidden="1">{#N/A,#N/A,FALSE,"Coversheet";#N/A,#N/A,FALSE,"QA"}</definedName>
    <definedName name="qqq" hidden="1">{#N/A,#N/A,FALSE,"schA"}</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SAPBEXhrIndnt" hidden="1">"Wide"</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t" hidden="1">{#N/A,#N/A,FALSE,"CESTSUM";#N/A,#N/A,FALSE,"est sum A";#N/A,#N/A,FALSE,"est detail A"}</definedName>
    <definedName name="TableName">"Dummy"</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2000</definedName>
    <definedName name="Total_Payment" localSheetId="5">Scheduled_Payment+Extra_Payment</definedName>
    <definedName name="Total_Payment">Scheduled_Payment+Extra_Payment</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Values_Entered" localSheetId="5">IF(Loan_Amount*Interest_Rate*Loan_Years*Loan_Start&gt;0,1,0)</definedName>
    <definedName name="Values_Entered">IF(Loan_Amount*Interest_Rate*Loan_Years*Loan_Start&gt;0,1,0)</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'[9]12Mo08'!#REF!</definedName>
    <definedName name="yuf" hidden="1">{#N/A,#N/A,FALSE,"Summ";#N/A,#N/A,FALSE,"General"}</definedName>
    <definedName name="z" hidden="1">{#N/A,#N/A,FALSE,"Coversheet";#N/A,#N/A,FALSE,"QA"}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7" l="1"/>
  <c r="M23" i="1" l="1"/>
  <c r="K437" i="7"/>
  <c r="K436" i="7"/>
  <c r="F436" i="7"/>
  <c r="K434" i="7"/>
  <c r="K433" i="7"/>
  <c r="K432" i="7"/>
  <c r="K431" i="7"/>
  <c r="K430" i="7"/>
  <c r="K429" i="7"/>
  <c r="K428" i="7"/>
  <c r="K427" i="7"/>
  <c r="K426" i="7"/>
  <c r="K425" i="7"/>
  <c r="K424" i="7"/>
  <c r="K423" i="7"/>
  <c r="K422" i="7"/>
  <c r="K421" i="7"/>
  <c r="K420" i="7"/>
  <c r="K419" i="7"/>
  <c r="K418" i="7"/>
  <c r="K417" i="7"/>
  <c r="K416" i="7"/>
  <c r="F416" i="7"/>
  <c r="K414" i="7"/>
  <c r="F414" i="7"/>
  <c r="K413" i="7"/>
  <c r="K412" i="7"/>
  <c r="F412" i="7"/>
  <c r="K411" i="7"/>
  <c r="K410" i="7"/>
  <c r="F410" i="7"/>
  <c r="K409" i="7"/>
  <c r="K408" i="7"/>
  <c r="F408" i="7"/>
  <c r="K407" i="7"/>
  <c r="K406" i="7"/>
  <c r="F406" i="7"/>
  <c r="K405" i="7"/>
  <c r="K404" i="7"/>
  <c r="F404" i="7"/>
  <c r="K403" i="7"/>
  <c r="K402" i="7"/>
  <c r="F402" i="7"/>
  <c r="K401" i="7"/>
  <c r="K400" i="7"/>
  <c r="F400" i="7"/>
  <c r="K399" i="7"/>
  <c r="K398" i="7"/>
  <c r="F398" i="7"/>
  <c r="K397" i="7"/>
  <c r="K396" i="7"/>
  <c r="F396" i="7"/>
  <c r="K395" i="7"/>
  <c r="K394" i="7"/>
  <c r="F394" i="7"/>
  <c r="K393" i="7"/>
  <c r="K392" i="7"/>
  <c r="F392" i="7"/>
  <c r="K390" i="7"/>
  <c r="F390" i="7"/>
  <c r="K389" i="7"/>
  <c r="K388" i="7"/>
  <c r="F388" i="7"/>
  <c r="N387" i="7"/>
  <c r="N388" i="7" s="1"/>
  <c r="K387" i="7"/>
  <c r="K386" i="7"/>
  <c r="F386" i="7"/>
  <c r="K385" i="7"/>
  <c r="K384" i="7"/>
  <c r="F384" i="7"/>
  <c r="K383" i="7"/>
  <c r="K382" i="7"/>
  <c r="F382" i="7"/>
  <c r="K381" i="7"/>
  <c r="K380" i="7"/>
  <c r="F380" i="7"/>
  <c r="K379" i="7"/>
  <c r="K378" i="7"/>
  <c r="F378" i="7"/>
  <c r="K377" i="7"/>
  <c r="K376" i="7"/>
  <c r="F376" i="7"/>
  <c r="K375" i="7"/>
  <c r="K374" i="7"/>
  <c r="F374" i="7"/>
  <c r="K373" i="7"/>
  <c r="K372" i="7"/>
  <c r="F372" i="7"/>
  <c r="K371" i="7"/>
  <c r="K370" i="7"/>
  <c r="F370" i="7"/>
  <c r="K369" i="7"/>
  <c r="K368" i="7"/>
  <c r="F368" i="7"/>
  <c r="K366" i="7"/>
  <c r="F366" i="7"/>
  <c r="K365" i="7"/>
  <c r="K364" i="7"/>
  <c r="F364" i="7"/>
  <c r="K363" i="7"/>
  <c r="K362" i="7"/>
  <c r="F362" i="7"/>
  <c r="K361" i="7"/>
  <c r="K360" i="7"/>
  <c r="F360" i="7"/>
  <c r="K359" i="7"/>
  <c r="K358" i="7"/>
  <c r="F358" i="7"/>
  <c r="K357" i="7"/>
  <c r="K356" i="7"/>
  <c r="F356" i="7"/>
  <c r="K355" i="7"/>
  <c r="K354" i="7"/>
  <c r="F354" i="7"/>
  <c r="K353" i="7"/>
  <c r="K352" i="7"/>
  <c r="F352" i="7"/>
  <c r="K351" i="7"/>
  <c r="K350" i="7"/>
  <c r="F350" i="7"/>
  <c r="K349" i="7"/>
  <c r="K348" i="7"/>
  <c r="F348" i="7"/>
  <c r="K347" i="7"/>
  <c r="K346" i="7"/>
  <c r="F346" i="7"/>
  <c r="K345" i="7"/>
  <c r="K344" i="7"/>
  <c r="F344" i="7"/>
  <c r="K342" i="7"/>
  <c r="F342" i="7"/>
  <c r="K341" i="7"/>
  <c r="K340" i="7"/>
  <c r="F340" i="7"/>
  <c r="K339" i="7"/>
  <c r="K338" i="7"/>
  <c r="F338" i="7"/>
  <c r="K337" i="7"/>
  <c r="K336" i="7"/>
  <c r="F336" i="7"/>
  <c r="K335" i="7"/>
  <c r="K334" i="7"/>
  <c r="F334" i="7"/>
  <c r="K333" i="7"/>
  <c r="K332" i="7"/>
  <c r="F332" i="7"/>
  <c r="K331" i="7"/>
  <c r="K330" i="7"/>
  <c r="F330" i="7"/>
  <c r="K329" i="7"/>
  <c r="K328" i="7"/>
  <c r="F328" i="7"/>
  <c r="K327" i="7"/>
  <c r="K326" i="7"/>
  <c r="F326" i="7"/>
  <c r="K325" i="7"/>
  <c r="K324" i="7"/>
  <c r="F324" i="7"/>
  <c r="K323" i="7"/>
  <c r="K322" i="7"/>
  <c r="F322" i="7"/>
  <c r="K321" i="7"/>
  <c r="K320" i="7"/>
  <c r="F320" i="7"/>
  <c r="K318" i="7"/>
  <c r="F318" i="7"/>
  <c r="K317" i="7"/>
  <c r="K316" i="7"/>
  <c r="F316" i="7"/>
  <c r="K315" i="7"/>
  <c r="K314" i="7"/>
  <c r="F314" i="7"/>
  <c r="K313" i="7"/>
  <c r="K312" i="7"/>
  <c r="F312" i="7"/>
  <c r="K311" i="7"/>
  <c r="K310" i="7"/>
  <c r="F310" i="7"/>
  <c r="K309" i="7"/>
  <c r="K308" i="7"/>
  <c r="F308" i="7"/>
  <c r="K307" i="7"/>
  <c r="K306" i="7"/>
  <c r="F306" i="7"/>
  <c r="K305" i="7"/>
  <c r="K304" i="7"/>
  <c r="F304" i="7"/>
  <c r="K303" i="7"/>
  <c r="K302" i="7"/>
  <c r="F302" i="7"/>
  <c r="K301" i="7"/>
  <c r="K300" i="7"/>
  <c r="F300" i="7"/>
  <c r="K299" i="7"/>
  <c r="K298" i="7"/>
  <c r="F298" i="7"/>
  <c r="K297" i="7"/>
  <c r="K296" i="7"/>
  <c r="F296" i="7"/>
  <c r="K295" i="7"/>
  <c r="K294" i="7"/>
  <c r="F294" i="7"/>
  <c r="K293" i="7"/>
  <c r="K292" i="7"/>
  <c r="F292" i="7"/>
  <c r="K291" i="7"/>
  <c r="K290" i="7"/>
  <c r="F290" i="7"/>
  <c r="K289" i="7"/>
  <c r="K288" i="7"/>
  <c r="F288" i="7"/>
  <c r="K287" i="7"/>
  <c r="K286" i="7"/>
  <c r="F286" i="7"/>
  <c r="K285" i="7"/>
  <c r="K284" i="7"/>
  <c r="F284" i="7"/>
  <c r="K283" i="7"/>
  <c r="K282" i="7"/>
  <c r="F282" i="7"/>
  <c r="K281" i="7"/>
  <c r="K280" i="7"/>
  <c r="F280" i="7"/>
  <c r="K279" i="7"/>
  <c r="K278" i="7"/>
  <c r="F278" i="7"/>
  <c r="K277" i="7"/>
  <c r="K276" i="7"/>
  <c r="F276" i="7"/>
  <c r="K275" i="7"/>
  <c r="K274" i="7"/>
  <c r="F274" i="7"/>
  <c r="K273" i="7"/>
  <c r="K272" i="7"/>
  <c r="F272" i="7"/>
  <c r="K271" i="7"/>
  <c r="K270" i="7"/>
  <c r="F270" i="7"/>
  <c r="K269" i="7"/>
  <c r="K268" i="7"/>
  <c r="F268" i="7"/>
  <c r="K267" i="7"/>
  <c r="K266" i="7"/>
  <c r="F266" i="7"/>
  <c r="K265" i="7"/>
  <c r="K264" i="7"/>
  <c r="F264" i="7"/>
  <c r="K263" i="7"/>
  <c r="K262" i="7"/>
  <c r="F262" i="7"/>
  <c r="K261" i="7"/>
  <c r="K260" i="7"/>
  <c r="F260" i="7"/>
  <c r="K259" i="7"/>
  <c r="K258" i="7"/>
  <c r="F258" i="7"/>
  <c r="K257" i="7"/>
  <c r="K256" i="7"/>
  <c r="F256" i="7"/>
  <c r="K255" i="7"/>
  <c r="K254" i="7"/>
  <c r="F254" i="7"/>
  <c r="K253" i="7"/>
  <c r="K252" i="7"/>
  <c r="F252" i="7"/>
  <c r="K251" i="7"/>
  <c r="K250" i="7"/>
  <c r="F250" i="7"/>
  <c r="K249" i="7"/>
  <c r="K248" i="7"/>
  <c r="F248" i="7"/>
  <c r="K247" i="7"/>
  <c r="K246" i="7"/>
  <c r="F246" i="7"/>
  <c r="K245" i="7"/>
  <c r="K244" i="7"/>
  <c r="F244" i="7"/>
  <c r="K243" i="7"/>
  <c r="K242" i="7"/>
  <c r="F242" i="7"/>
  <c r="K241" i="7"/>
  <c r="K240" i="7"/>
  <c r="F240" i="7"/>
  <c r="K239" i="7"/>
  <c r="K238" i="7"/>
  <c r="F238" i="7"/>
  <c r="K237" i="7"/>
  <c r="K236" i="7"/>
  <c r="F236" i="7"/>
  <c r="K235" i="7"/>
  <c r="K234" i="7"/>
  <c r="F234" i="7"/>
  <c r="K233" i="7"/>
  <c r="K232" i="7"/>
  <c r="F232" i="7"/>
  <c r="K231" i="7"/>
  <c r="K230" i="7"/>
  <c r="F230" i="7"/>
  <c r="K229" i="7"/>
  <c r="K228" i="7"/>
  <c r="F228" i="7"/>
  <c r="K227" i="7"/>
  <c r="K226" i="7"/>
  <c r="F226" i="7"/>
  <c r="K225" i="7"/>
  <c r="K224" i="7"/>
  <c r="F224" i="7"/>
  <c r="K223" i="7"/>
  <c r="K222" i="7"/>
  <c r="F222" i="7"/>
  <c r="K221" i="7"/>
  <c r="K220" i="7"/>
  <c r="F220" i="7"/>
  <c r="K219" i="7"/>
  <c r="K218" i="7"/>
  <c r="F218" i="7"/>
  <c r="K217" i="7"/>
  <c r="K216" i="7"/>
  <c r="F216" i="7"/>
  <c r="K215" i="7"/>
  <c r="K214" i="7"/>
  <c r="F214" i="7"/>
  <c r="K213" i="7"/>
  <c r="K212" i="7"/>
  <c r="F212" i="7"/>
  <c r="K211" i="7"/>
  <c r="K210" i="7"/>
  <c r="F210" i="7"/>
  <c r="K209" i="7"/>
  <c r="K208" i="7"/>
  <c r="F208" i="7"/>
  <c r="K207" i="7"/>
  <c r="K206" i="7"/>
  <c r="F206" i="7"/>
  <c r="K205" i="7"/>
  <c r="K204" i="7"/>
  <c r="F204" i="7"/>
  <c r="K203" i="7"/>
  <c r="K202" i="7"/>
  <c r="F202" i="7"/>
  <c r="K201" i="7"/>
  <c r="K200" i="7"/>
  <c r="F200" i="7"/>
  <c r="K199" i="7"/>
  <c r="K198" i="7"/>
  <c r="F198" i="7"/>
  <c r="K197" i="7"/>
  <c r="K196" i="7"/>
  <c r="F196" i="7"/>
  <c r="K195" i="7"/>
  <c r="K194" i="7"/>
  <c r="F194" i="7"/>
  <c r="K193" i="7"/>
  <c r="K192" i="7"/>
  <c r="F192" i="7"/>
  <c r="K191" i="7"/>
  <c r="K190" i="7"/>
  <c r="F190" i="7"/>
  <c r="K189" i="7"/>
  <c r="K188" i="7"/>
  <c r="F188" i="7"/>
  <c r="K187" i="7"/>
  <c r="K186" i="7"/>
  <c r="F186" i="7"/>
  <c r="K185" i="7"/>
  <c r="K184" i="7"/>
  <c r="F184" i="7"/>
  <c r="K183" i="7"/>
  <c r="K182" i="7"/>
  <c r="F182" i="7"/>
  <c r="K181" i="7"/>
  <c r="K180" i="7"/>
  <c r="F180" i="7"/>
  <c r="K179" i="7"/>
  <c r="K178" i="7"/>
  <c r="F178" i="7"/>
  <c r="K177" i="7"/>
  <c r="K176" i="7"/>
  <c r="F176" i="7"/>
  <c r="K175" i="7"/>
  <c r="K174" i="7"/>
  <c r="F174" i="7"/>
  <c r="K173" i="7"/>
  <c r="K172" i="7"/>
  <c r="F172" i="7"/>
  <c r="K171" i="7"/>
  <c r="K170" i="7"/>
  <c r="F170" i="7"/>
  <c r="K169" i="7"/>
  <c r="K168" i="7"/>
  <c r="F168" i="7"/>
  <c r="K167" i="7"/>
  <c r="K166" i="7"/>
  <c r="F166" i="7"/>
  <c r="K165" i="7"/>
  <c r="K164" i="7"/>
  <c r="F164" i="7"/>
  <c r="K163" i="7"/>
  <c r="K162" i="7"/>
  <c r="F162" i="7"/>
  <c r="K161" i="7"/>
  <c r="K160" i="7"/>
  <c r="F160" i="7"/>
  <c r="K159" i="7"/>
  <c r="K158" i="7"/>
  <c r="F158" i="7"/>
  <c r="K157" i="7"/>
  <c r="K156" i="7"/>
  <c r="F156" i="7"/>
  <c r="K155" i="7"/>
  <c r="K154" i="7"/>
  <c r="F154" i="7"/>
  <c r="K153" i="7"/>
  <c r="K152" i="7"/>
  <c r="F152" i="7"/>
  <c r="K151" i="7"/>
  <c r="K150" i="7"/>
  <c r="F150" i="7"/>
  <c r="K149" i="7"/>
  <c r="K148" i="7"/>
  <c r="F148" i="7"/>
  <c r="K147" i="7"/>
  <c r="K146" i="7"/>
  <c r="F146" i="7"/>
  <c r="K145" i="7"/>
  <c r="K144" i="7"/>
  <c r="F144" i="7"/>
  <c r="K143" i="7"/>
  <c r="K142" i="7"/>
  <c r="F142" i="7"/>
  <c r="K141" i="7"/>
  <c r="K140" i="7"/>
  <c r="F140" i="7"/>
  <c r="K139" i="7"/>
  <c r="K138" i="7"/>
  <c r="F138" i="7"/>
  <c r="K137" i="7"/>
  <c r="K136" i="7"/>
  <c r="F136" i="7"/>
  <c r="K135" i="7"/>
  <c r="K134" i="7"/>
  <c r="F134" i="7"/>
  <c r="K133" i="7"/>
  <c r="K132" i="7"/>
  <c r="F132" i="7"/>
  <c r="K131" i="7"/>
  <c r="K130" i="7"/>
  <c r="F130" i="7"/>
  <c r="K129" i="7"/>
  <c r="K128" i="7"/>
  <c r="F128" i="7"/>
  <c r="K127" i="7"/>
  <c r="K126" i="7"/>
  <c r="F126" i="7"/>
  <c r="K125" i="7"/>
  <c r="K124" i="7"/>
  <c r="F124" i="7"/>
  <c r="K123" i="7"/>
  <c r="K122" i="7"/>
  <c r="F122" i="7"/>
  <c r="K121" i="7"/>
  <c r="K120" i="7"/>
  <c r="F120" i="7"/>
  <c r="K119" i="7"/>
  <c r="K118" i="7"/>
  <c r="F118" i="7"/>
  <c r="K117" i="7"/>
  <c r="K116" i="7"/>
  <c r="F116" i="7"/>
  <c r="K115" i="7"/>
  <c r="K114" i="7"/>
  <c r="F114" i="7"/>
  <c r="K113" i="7"/>
  <c r="K112" i="7"/>
  <c r="F112" i="7"/>
  <c r="K111" i="7"/>
  <c r="K110" i="7"/>
  <c r="F110" i="7"/>
  <c r="K109" i="7"/>
  <c r="K108" i="7"/>
  <c r="F108" i="7"/>
  <c r="K107" i="7"/>
  <c r="K106" i="7"/>
  <c r="F106" i="7"/>
  <c r="K105" i="7"/>
  <c r="K104" i="7"/>
  <c r="F104" i="7"/>
  <c r="K103" i="7"/>
  <c r="K102" i="7"/>
  <c r="F102" i="7"/>
  <c r="K101" i="7"/>
  <c r="K100" i="7"/>
  <c r="F100" i="7"/>
  <c r="J99" i="7"/>
  <c r="K99" i="7" s="1"/>
  <c r="J98" i="7"/>
  <c r="K98" i="7" s="1"/>
  <c r="F98" i="7"/>
  <c r="J97" i="7"/>
  <c r="K97" i="7" s="1"/>
  <c r="J96" i="7"/>
  <c r="K96" i="7" s="1"/>
  <c r="F96" i="7"/>
  <c r="J95" i="7"/>
  <c r="K95" i="7" s="1"/>
  <c r="J94" i="7"/>
  <c r="K94" i="7" s="1"/>
  <c r="F94" i="7"/>
  <c r="J93" i="7"/>
  <c r="K93" i="7" s="1"/>
  <c r="J92" i="7"/>
  <c r="K92" i="7" s="1"/>
  <c r="F92" i="7"/>
  <c r="J91" i="7"/>
  <c r="K91" i="7" s="1"/>
  <c r="J90" i="7"/>
  <c r="K90" i="7" s="1"/>
  <c r="F90" i="7"/>
  <c r="J89" i="7"/>
  <c r="K89" i="7" s="1"/>
  <c r="K88" i="7"/>
  <c r="F88" i="7"/>
  <c r="J87" i="7"/>
  <c r="K87" i="7" s="1"/>
  <c r="J86" i="7"/>
  <c r="K86" i="7" s="1"/>
  <c r="F86" i="7"/>
  <c r="J85" i="7"/>
  <c r="K85" i="7" s="1"/>
  <c r="J84" i="7"/>
  <c r="K84" i="7" s="1"/>
  <c r="F84" i="7"/>
  <c r="J83" i="7"/>
  <c r="J82" i="7"/>
  <c r="K82" i="7" s="1"/>
  <c r="F82" i="7"/>
  <c r="J81" i="7"/>
  <c r="K81" i="7" s="1"/>
  <c r="J80" i="7"/>
  <c r="K80" i="7" s="1"/>
  <c r="F80" i="7"/>
  <c r="J79" i="7"/>
  <c r="K79" i="7" s="1"/>
  <c r="J78" i="7"/>
  <c r="K78" i="7" s="1"/>
  <c r="F78" i="7"/>
  <c r="K77" i="7"/>
  <c r="J77" i="7"/>
  <c r="J76" i="7"/>
  <c r="K76" i="7" s="1"/>
  <c r="F76" i="7"/>
  <c r="J75" i="7"/>
  <c r="K75" i="7" s="1"/>
  <c r="J74" i="7"/>
  <c r="K74" i="7" s="1"/>
  <c r="F74" i="7"/>
  <c r="J73" i="7"/>
  <c r="K73" i="7" s="1"/>
  <c r="K72" i="7"/>
  <c r="J72" i="7"/>
  <c r="J71" i="7"/>
  <c r="K71" i="7" s="1"/>
  <c r="J70" i="7"/>
  <c r="K70" i="7" s="1"/>
  <c r="J69" i="7"/>
  <c r="K69" i="7" s="1"/>
  <c r="J68" i="7"/>
  <c r="K68" i="7" s="1"/>
  <c r="F68" i="7"/>
  <c r="F70" i="7" s="1"/>
  <c r="F72" i="7" s="1"/>
  <c r="J67" i="7"/>
  <c r="K67" i="7" s="1"/>
  <c r="J66" i="7"/>
  <c r="K66" i="7" s="1"/>
  <c r="J65" i="7"/>
  <c r="K65" i="7" s="1"/>
  <c r="K64" i="7"/>
  <c r="F64" i="7"/>
  <c r="J63" i="7"/>
  <c r="K63" i="7" s="1"/>
  <c r="J62" i="7"/>
  <c r="K62" i="7" s="1"/>
  <c r="F62" i="7"/>
  <c r="J61" i="7"/>
  <c r="K61" i="7" s="1"/>
  <c r="J60" i="7"/>
  <c r="K60" i="7" s="1"/>
  <c r="F60" i="7"/>
  <c r="J59" i="7"/>
  <c r="J58" i="7"/>
  <c r="K58" i="7" s="1"/>
  <c r="F58" i="7"/>
  <c r="J57" i="7"/>
  <c r="K57" i="7" s="1"/>
  <c r="J56" i="7"/>
  <c r="K56" i="7" s="1"/>
  <c r="F56" i="7"/>
  <c r="J55" i="7"/>
  <c r="K55" i="7" s="1"/>
  <c r="J54" i="7"/>
  <c r="K54" i="7" s="1"/>
  <c r="F54" i="7"/>
  <c r="J53" i="7"/>
  <c r="K53" i="7" s="1"/>
  <c r="J52" i="7"/>
  <c r="K52" i="7" s="1"/>
  <c r="F52" i="7"/>
  <c r="K51" i="7"/>
  <c r="J51" i="7"/>
  <c r="J50" i="7"/>
  <c r="K50" i="7" s="1"/>
  <c r="J49" i="7"/>
  <c r="K49" i="7" s="1"/>
  <c r="J48" i="7"/>
  <c r="K48" i="7" s="1"/>
  <c r="J47" i="7"/>
  <c r="K47" i="7" s="1"/>
  <c r="J46" i="7"/>
  <c r="K46" i="7" s="1"/>
  <c r="J45" i="7"/>
  <c r="K45" i="7" s="1"/>
  <c r="J44" i="7"/>
  <c r="K44" i="7" s="1"/>
  <c r="F44" i="7"/>
  <c r="J43" i="7"/>
  <c r="K43" i="7" s="1"/>
  <c r="J42" i="7"/>
  <c r="K42" i="7" s="1"/>
  <c r="J41" i="7"/>
  <c r="K41" i="7" s="1"/>
  <c r="F40" i="7"/>
  <c r="F38" i="7"/>
  <c r="F36" i="7"/>
  <c r="F34" i="7"/>
  <c r="F32" i="7"/>
  <c r="F30" i="7"/>
  <c r="F28" i="7"/>
  <c r="F26" i="7"/>
  <c r="F24" i="7"/>
  <c r="F22" i="7"/>
  <c r="F20" i="7"/>
  <c r="F18" i="7"/>
  <c r="J16" i="7"/>
  <c r="K16" i="7" s="1"/>
  <c r="F16" i="7"/>
  <c r="J15" i="7"/>
  <c r="K15" i="7" s="1"/>
  <c r="G15" i="7"/>
  <c r="G16" i="7" l="1"/>
  <c r="G17" i="7" s="1"/>
  <c r="M17" i="7"/>
  <c r="N17" i="7" s="1"/>
  <c r="G18" i="7"/>
  <c r="M15" i="7"/>
  <c r="N15" i="7" s="1"/>
  <c r="M16" i="7"/>
  <c r="M18" i="7" l="1"/>
  <c r="N18" i="7" s="1"/>
  <c r="G19" i="7"/>
  <c r="O16" i="7"/>
  <c r="O17" i="7" s="1"/>
  <c r="O18" i="7" s="1"/>
  <c r="N16" i="7"/>
  <c r="G20" i="7" l="1"/>
  <c r="M19" i="7"/>
  <c r="N19" i="7" s="1"/>
  <c r="M20" i="7" l="1"/>
  <c r="N20" i="7" s="1"/>
  <c r="G21" i="7"/>
  <c r="O19" i="7"/>
  <c r="O20" i="7" s="1"/>
  <c r="G22" i="7" l="1"/>
  <c r="M21" i="7"/>
  <c r="N21" i="7" s="1"/>
  <c r="O21" i="7"/>
  <c r="G23" i="7" l="1"/>
  <c r="M22" i="7"/>
  <c r="N22" i="7" s="1"/>
  <c r="M23" i="7" l="1"/>
  <c r="N23" i="7" s="1"/>
  <c r="G24" i="7"/>
  <c r="O22" i="7"/>
  <c r="O23" i="7" l="1"/>
  <c r="M24" i="7"/>
  <c r="N24" i="7" s="1"/>
  <c r="G25" i="7"/>
  <c r="G26" i="7" l="1"/>
  <c r="M25" i="7"/>
  <c r="N25" i="7" s="1"/>
  <c r="O24" i="7"/>
  <c r="O25" i="7" s="1"/>
  <c r="M26" i="7" l="1"/>
  <c r="N26" i="7" s="1"/>
  <c r="G27" i="7"/>
  <c r="G28" i="7" l="1"/>
  <c r="M27" i="7"/>
  <c r="N27" i="7" s="1"/>
  <c r="O26" i="7"/>
  <c r="O27" i="7" l="1"/>
  <c r="M28" i="7"/>
  <c r="N28" i="7" s="1"/>
  <c r="G29" i="7"/>
  <c r="G30" i="7" l="1"/>
  <c r="M29" i="7"/>
  <c r="N29" i="7" s="1"/>
  <c r="O28" i="7"/>
  <c r="O29" i="7" l="1"/>
  <c r="G31" i="7"/>
  <c r="M30" i="7"/>
  <c r="N30" i="7" s="1"/>
  <c r="M31" i="7" l="1"/>
  <c r="N31" i="7" s="1"/>
  <c r="G32" i="7"/>
  <c r="O30" i="7"/>
  <c r="O31" i="7" l="1"/>
  <c r="M32" i="7"/>
  <c r="N32" i="7" s="1"/>
  <c r="G33" i="7"/>
  <c r="O32" i="7" l="1"/>
  <c r="M33" i="7"/>
  <c r="N33" i="7" s="1"/>
  <c r="G34" i="7"/>
  <c r="O33" i="7" l="1"/>
  <c r="M34" i="7"/>
  <c r="N34" i="7" s="1"/>
  <c r="G35" i="7"/>
  <c r="G36" i="7" l="1"/>
  <c r="M35" i="7"/>
  <c r="N35" i="7" s="1"/>
  <c r="O34" i="7"/>
  <c r="O35" i="7" l="1"/>
  <c r="M36" i="7"/>
  <c r="N36" i="7" s="1"/>
  <c r="G37" i="7"/>
  <c r="G38" i="7" l="1"/>
  <c r="M37" i="7"/>
  <c r="N37" i="7" s="1"/>
  <c r="O36" i="7"/>
  <c r="O37" i="7" l="1"/>
  <c r="G39" i="7"/>
  <c r="M38" i="7"/>
  <c r="N38" i="7" s="1"/>
  <c r="M39" i="7" l="1"/>
  <c r="N39" i="7" s="1"/>
  <c r="G40" i="7"/>
  <c r="O38" i="7"/>
  <c r="O39" i="7" l="1"/>
  <c r="M40" i="7"/>
  <c r="N40" i="7" s="1"/>
  <c r="G41" i="7"/>
  <c r="G42" i="7" l="1"/>
  <c r="M41" i="7"/>
  <c r="N41" i="7" s="1"/>
  <c r="O40" i="7"/>
  <c r="O41" i="7" l="1"/>
  <c r="G43" i="7"/>
  <c r="M42" i="7"/>
  <c r="O42" i="7" s="1"/>
  <c r="G44" i="7" l="1"/>
  <c r="M43" i="7"/>
  <c r="N43" i="7" s="1"/>
  <c r="N42" i="7"/>
  <c r="G45" i="7" l="1"/>
  <c r="M44" i="7"/>
  <c r="N44" i="7" s="1"/>
  <c r="O43" i="7"/>
  <c r="O44" i="7" l="1"/>
  <c r="G46" i="7"/>
  <c r="M45" i="7"/>
  <c r="N45" i="7" s="1"/>
  <c r="G47" i="7" l="1"/>
  <c r="M46" i="7"/>
  <c r="N46" i="7" s="1"/>
  <c r="O45" i="7"/>
  <c r="G48" i="7" l="1"/>
  <c r="M47" i="7"/>
  <c r="N47" i="7" s="1"/>
  <c r="O46" i="7"/>
  <c r="O47" i="7" l="1"/>
  <c r="G49" i="7"/>
  <c r="M48" i="7"/>
  <c r="O48" i="7" s="1"/>
  <c r="G50" i="7" l="1"/>
  <c r="M49" i="7"/>
  <c r="N49" i="7" s="1"/>
  <c r="N48" i="7"/>
  <c r="G51" i="7" l="1"/>
  <c r="M50" i="7"/>
  <c r="N50" i="7" s="1"/>
  <c r="O49" i="7"/>
  <c r="O50" i="7" l="1"/>
  <c r="M51" i="7"/>
  <c r="N51" i="7" s="1"/>
  <c r="G52" i="7"/>
  <c r="G53" i="7" l="1"/>
  <c r="M52" i="7"/>
  <c r="N52" i="7"/>
  <c r="O51" i="7"/>
  <c r="O52" i="7" s="1"/>
  <c r="G54" i="7" l="1"/>
  <c r="M53" i="7"/>
  <c r="N53" i="7" s="1"/>
  <c r="G55" i="7" l="1"/>
  <c r="M54" i="7"/>
  <c r="N54" i="7" s="1"/>
  <c r="O53" i="7"/>
  <c r="O54" i="7" l="1"/>
  <c r="G56" i="7"/>
  <c r="M55" i="7"/>
  <c r="N55" i="7" s="1"/>
  <c r="G57" i="7" l="1"/>
  <c r="M56" i="7"/>
  <c r="N56" i="7" s="1"/>
  <c r="O55" i="7"/>
  <c r="O56" i="7" l="1"/>
  <c r="G58" i="7"/>
  <c r="M57" i="7"/>
  <c r="N57" i="7" s="1"/>
  <c r="G59" i="7" l="1"/>
  <c r="M58" i="7"/>
  <c r="N58" i="7" s="1"/>
  <c r="O57" i="7"/>
  <c r="O58" i="7" l="1"/>
  <c r="G60" i="7"/>
  <c r="M59" i="7"/>
  <c r="N59" i="7" s="1"/>
  <c r="G61" i="7" l="1"/>
  <c r="M60" i="7"/>
  <c r="N60" i="7" s="1"/>
  <c r="O59" i="7"/>
  <c r="O60" i="7" l="1"/>
  <c r="M61" i="7"/>
  <c r="N61" i="7" s="1"/>
  <c r="G62" i="7"/>
  <c r="G63" i="7" l="1"/>
  <c r="M62" i="7"/>
  <c r="N62" i="7"/>
  <c r="O61" i="7"/>
  <c r="O62" i="7" s="1"/>
  <c r="G64" i="7" l="1"/>
  <c r="M63" i="7"/>
  <c r="N63" i="7" s="1"/>
  <c r="M64" i="7" l="1"/>
  <c r="G65" i="7"/>
  <c r="N64" i="7"/>
  <c r="O63" i="7"/>
  <c r="O64" i="7" s="1"/>
  <c r="G66" i="7" l="1"/>
  <c r="M65" i="7"/>
  <c r="N65" i="7" s="1"/>
  <c r="O65" i="7" l="1"/>
  <c r="G67" i="7"/>
  <c r="M66" i="7"/>
  <c r="O66" i="7" s="1"/>
  <c r="G68" i="7" l="1"/>
  <c r="M67" i="7"/>
  <c r="N67" i="7" s="1"/>
  <c r="N66" i="7"/>
  <c r="G69" i="7" l="1"/>
  <c r="M68" i="7"/>
  <c r="N68" i="7" s="1"/>
  <c r="O67" i="7"/>
  <c r="O68" i="7" l="1"/>
  <c r="G70" i="7"/>
  <c r="M69" i="7"/>
  <c r="N69" i="7" s="1"/>
  <c r="G71" i="7" l="1"/>
  <c r="M70" i="7"/>
  <c r="N70" i="7" s="1"/>
  <c r="O69" i="7"/>
  <c r="O70" i="7" l="1"/>
  <c r="G72" i="7"/>
  <c r="M71" i="7"/>
  <c r="N71" i="7" s="1"/>
  <c r="G73" i="7" l="1"/>
  <c r="M72" i="7"/>
  <c r="N72" i="7" s="1"/>
  <c r="O71" i="7"/>
  <c r="O72" i="7" l="1"/>
  <c r="G74" i="7"/>
  <c r="M73" i="7"/>
  <c r="N73" i="7" s="1"/>
  <c r="G75" i="7" l="1"/>
  <c r="M74" i="7"/>
  <c r="N74" i="7" s="1"/>
  <c r="O73" i="7"/>
  <c r="O74" i="7" s="1"/>
  <c r="G76" i="7" l="1"/>
  <c r="M75" i="7"/>
  <c r="N75" i="7" s="1"/>
  <c r="G77" i="7" l="1"/>
  <c r="M76" i="7"/>
  <c r="N76" i="7" s="1"/>
  <c r="O75" i="7"/>
  <c r="O76" i="7" l="1"/>
  <c r="M77" i="7"/>
  <c r="N77" i="7" s="1"/>
  <c r="G78" i="7"/>
  <c r="O77" i="7" l="1"/>
  <c r="G79" i="7"/>
  <c r="M78" i="7"/>
  <c r="O78" i="7" s="1"/>
  <c r="N78" i="7"/>
  <c r="G80" i="7" l="1"/>
  <c r="M79" i="7"/>
  <c r="N79" i="7" s="1"/>
  <c r="O79" i="7" l="1"/>
  <c r="M80" i="7"/>
  <c r="N80" i="7" s="1"/>
  <c r="G81" i="7"/>
  <c r="O80" i="7"/>
  <c r="G82" i="7" l="1"/>
  <c r="M81" i="7"/>
  <c r="N81" i="7" s="1"/>
  <c r="G83" i="7" l="1"/>
  <c r="M82" i="7"/>
  <c r="N82" i="7" s="1"/>
  <c r="O81" i="7"/>
  <c r="O82" i="7" l="1"/>
  <c r="G84" i="7"/>
  <c r="M83" i="7"/>
  <c r="N83" i="7" s="1"/>
  <c r="G85" i="7" l="1"/>
  <c r="M84" i="7"/>
  <c r="N84" i="7" s="1"/>
  <c r="O83" i="7"/>
  <c r="O84" i="7" l="1"/>
  <c r="G86" i="7"/>
  <c r="M85" i="7"/>
  <c r="N85" i="7" s="1"/>
  <c r="O85" i="7" l="1"/>
  <c r="G87" i="7"/>
  <c r="M86" i="7"/>
  <c r="O86" i="7" l="1"/>
  <c r="G88" i="7"/>
  <c r="M87" i="7"/>
  <c r="N87" i="7" s="1"/>
  <c r="N86" i="7"/>
  <c r="O87" i="7" l="1"/>
  <c r="G89" i="7"/>
  <c r="M88" i="7"/>
  <c r="N88" i="7" s="1"/>
  <c r="O88" i="7" l="1"/>
  <c r="G90" i="7"/>
  <c r="M89" i="7"/>
  <c r="N89" i="7" s="1"/>
  <c r="G91" i="7" l="1"/>
  <c r="M90" i="7"/>
  <c r="N90" i="7" s="1"/>
  <c r="O89" i="7"/>
  <c r="O90" i="7" l="1"/>
  <c r="G92" i="7"/>
  <c r="M91" i="7"/>
  <c r="N91" i="7" s="1"/>
  <c r="G93" i="7" l="1"/>
  <c r="M92" i="7"/>
  <c r="N92" i="7" s="1"/>
  <c r="O91" i="7"/>
  <c r="O92" i="7" l="1"/>
  <c r="G94" i="7"/>
  <c r="M93" i="7"/>
  <c r="N93" i="7" s="1"/>
  <c r="G95" i="7" l="1"/>
  <c r="M94" i="7"/>
  <c r="N94" i="7" s="1"/>
  <c r="O93" i="7"/>
  <c r="O94" i="7" l="1"/>
  <c r="G96" i="7"/>
  <c r="M95" i="7"/>
  <c r="N95" i="7" s="1"/>
  <c r="G97" i="7" l="1"/>
  <c r="M96" i="7"/>
  <c r="N96" i="7" s="1"/>
  <c r="O95" i="7"/>
  <c r="O96" i="7" l="1"/>
  <c r="G98" i="7"/>
  <c r="M97" i="7"/>
  <c r="N97" i="7" s="1"/>
  <c r="G99" i="7" l="1"/>
  <c r="M98" i="7"/>
  <c r="N98" i="7" s="1"/>
  <c r="O97" i="7"/>
  <c r="O98" i="7" l="1"/>
  <c r="G100" i="7"/>
  <c r="M99" i="7"/>
  <c r="N99" i="7" s="1"/>
  <c r="G101" i="7" l="1"/>
  <c r="M100" i="7"/>
  <c r="N100" i="7" s="1"/>
  <c r="O99" i="7"/>
  <c r="O100" i="7" l="1"/>
  <c r="G102" i="7"/>
  <c r="M101" i="7"/>
  <c r="N101" i="7" s="1"/>
  <c r="G103" i="7" l="1"/>
  <c r="M102" i="7"/>
  <c r="O101" i="7"/>
  <c r="N102" i="7"/>
  <c r="O102" i="7" l="1"/>
  <c r="M103" i="7"/>
  <c r="N103" i="7" s="1"/>
  <c r="G104" i="7"/>
  <c r="O103" i="7" l="1"/>
  <c r="G105" i="7"/>
  <c r="M104" i="7"/>
  <c r="N104" i="7" s="1"/>
  <c r="O104" i="7" l="1"/>
  <c r="G106" i="7"/>
  <c r="M105" i="7"/>
  <c r="N105" i="7" s="1"/>
  <c r="O105" i="7" l="1"/>
  <c r="M106" i="7"/>
  <c r="N106" i="7" s="1"/>
  <c r="G107" i="7"/>
  <c r="G108" i="7" l="1"/>
  <c r="M107" i="7"/>
  <c r="N107" i="7" s="1"/>
  <c r="O106" i="7"/>
  <c r="O107" i="7" l="1"/>
  <c r="G109" i="7"/>
  <c r="M108" i="7"/>
  <c r="O108" i="7" s="1"/>
  <c r="G110" i="7" l="1"/>
  <c r="M109" i="7"/>
  <c r="N109" i="7" s="1"/>
  <c r="N108" i="7"/>
  <c r="G111" i="7" l="1"/>
  <c r="M110" i="7"/>
  <c r="N110" i="7" s="1"/>
  <c r="O109" i="7"/>
  <c r="M111" i="7" l="1"/>
  <c r="N111" i="7" s="1"/>
  <c r="G112" i="7"/>
  <c r="O110" i="7"/>
  <c r="O111" i="7" l="1"/>
  <c r="G113" i="7"/>
  <c r="M112" i="7"/>
  <c r="O112" i="7" s="1"/>
  <c r="N112" i="7"/>
  <c r="G114" i="7" l="1"/>
  <c r="M113" i="7"/>
  <c r="N113" i="7" s="1"/>
  <c r="M114" i="7" l="1"/>
  <c r="N114" i="7" s="1"/>
  <c r="G115" i="7"/>
  <c r="O113" i="7"/>
  <c r="O114" i="7" l="1"/>
  <c r="G116" i="7"/>
  <c r="M115" i="7"/>
  <c r="N115" i="7" s="1"/>
  <c r="G117" i="7" l="1"/>
  <c r="M116" i="7"/>
  <c r="N116" i="7" s="1"/>
  <c r="O115" i="7"/>
  <c r="O116" i="7" l="1"/>
  <c r="G118" i="7"/>
  <c r="M117" i="7"/>
  <c r="N117" i="7" s="1"/>
  <c r="O117" i="7" l="1"/>
  <c r="G119" i="7"/>
  <c r="M118" i="7"/>
  <c r="N118" i="7" s="1"/>
  <c r="O118" i="7" l="1"/>
  <c r="M119" i="7"/>
  <c r="N119" i="7" s="1"/>
  <c r="G120" i="7"/>
  <c r="O119" i="7" l="1"/>
  <c r="G121" i="7"/>
  <c r="M120" i="7"/>
  <c r="N120" i="7" s="1"/>
  <c r="G122" i="7" l="1"/>
  <c r="M121" i="7"/>
  <c r="N121" i="7" s="1"/>
  <c r="O120" i="7"/>
  <c r="G123" i="7" l="1"/>
  <c r="M122" i="7"/>
  <c r="N122" i="7" s="1"/>
  <c r="O121" i="7"/>
  <c r="O122" i="7" l="1"/>
  <c r="G124" i="7"/>
  <c r="M123" i="7"/>
  <c r="N123" i="7" s="1"/>
  <c r="G125" i="7" l="1"/>
  <c r="M124" i="7"/>
  <c r="N124" i="7" s="1"/>
  <c r="O123" i="7"/>
  <c r="O124" i="7" s="1"/>
  <c r="M125" i="7" l="1"/>
  <c r="N125" i="7" s="1"/>
  <c r="G126" i="7"/>
  <c r="G127" i="7" l="1"/>
  <c r="M126" i="7"/>
  <c r="N126" i="7"/>
  <c r="O125" i="7"/>
  <c r="O126" i="7" s="1"/>
  <c r="G128" i="7" l="1"/>
  <c r="M127" i="7"/>
  <c r="N127" i="7" s="1"/>
  <c r="G129" i="7" l="1"/>
  <c r="M128" i="7"/>
  <c r="N128" i="7" s="1"/>
  <c r="O127" i="7"/>
  <c r="O128" i="7" l="1"/>
  <c r="M129" i="7"/>
  <c r="N129" i="7" s="1"/>
  <c r="G130" i="7"/>
  <c r="O129" i="7" l="1"/>
  <c r="G131" i="7"/>
  <c r="M130" i="7"/>
  <c r="N130" i="7"/>
  <c r="O130" i="7" l="1"/>
  <c r="G132" i="7"/>
  <c r="M131" i="7"/>
  <c r="N131" i="7" s="1"/>
  <c r="O131" i="7" l="1"/>
  <c r="G133" i="7"/>
  <c r="M132" i="7"/>
  <c r="N132" i="7" s="1"/>
  <c r="O132" i="7" l="1"/>
  <c r="M133" i="7"/>
  <c r="N133" i="7" s="1"/>
  <c r="G134" i="7"/>
  <c r="G135" i="7" l="1"/>
  <c r="M134" i="7"/>
  <c r="N134" i="7" s="1"/>
  <c r="O133" i="7"/>
  <c r="O134" i="7" l="1"/>
  <c r="G136" i="7"/>
  <c r="M135" i="7"/>
  <c r="N135" i="7" s="1"/>
  <c r="G137" i="7" l="1"/>
  <c r="M136" i="7"/>
  <c r="N136" i="7" s="1"/>
  <c r="O135" i="7"/>
  <c r="O136" i="7" l="1"/>
  <c r="M137" i="7"/>
  <c r="N137" i="7" s="1"/>
  <c r="G138" i="7"/>
  <c r="G139" i="7" l="1"/>
  <c r="M138" i="7"/>
  <c r="N138" i="7"/>
  <c r="O137" i="7"/>
  <c r="O138" i="7" s="1"/>
  <c r="G140" i="7" l="1"/>
  <c r="M139" i="7"/>
  <c r="N139" i="7" s="1"/>
  <c r="G141" i="7" l="1"/>
  <c r="M140" i="7"/>
  <c r="N140" i="7" s="1"/>
  <c r="O139" i="7"/>
  <c r="O140" i="7" l="1"/>
  <c r="M141" i="7"/>
  <c r="N141" i="7" s="1"/>
  <c r="G142" i="7"/>
  <c r="G143" i="7" l="1"/>
  <c r="M142" i="7"/>
  <c r="N142" i="7"/>
  <c r="O141" i="7"/>
  <c r="O142" i="7" l="1"/>
  <c r="G144" i="7"/>
  <c r="M143" i="7"/>
  <c r="N143" i="7" s="1"/>
  <c r="G145" i="7" l="1"/>
  <c r="M144" i="7"/>
  <c r="N144" i="7" s="1"/>
  <c r="O143" i="7"/>
  <c r="O144" i="7" l="1"/>
  <c r="M145" i="7"/>
  <c r="N145" i="7" s="1"/>
  <c r="G146" i="7"/>
  <c r="G147" i="7" l="1"/>
  <c r="M146" i="7"/>
  <c r="N146" i="7"/>
  <c r="O145" i="7"/>
  <c r="O146" i="7" s="1"/>
  <c r="G148" i="7" l="1"/>
  <c r="M147" i="7"/>
  <c r="N147" i="7" s="1"/>
  <c r="G149" i="7" l="1"/>
  <c r="M148" i="7"/>
  <c r="N148" i="7" s="1"/>
  <c r="O147" i="7"/>
  <c r="O148" i="7" l="1"/>
  <c r="M149" i="7"/>
  <c r="N149" i="7" s="1"/>
  <c r="G150" i="7"/>
  <c r="G151" i="7" l="1"/>
  <c r="M150" i="7"/>
  <c r="N150" i="7" s="1"/>
  <c r="O149" i="7"/>
  <c r="O150" i="7" l="1"/>
  <c r="G152" i="7"/>
  <c r="M151" i="7"/>
  <c r="N151" i="7" s="1"/>
  <c r="G153" i="7" l="1"/>
  <c r="M152" i="7"/>
  <c r="N152" i="7" s="1"/>
  <c r="O151" i="7"/>
  <c r="O152" i="7" l="1"/>
  <c r="M153" i="7"/>
  <c r="N153" i="7" s="1"/>
  <c r="G154" i="7"/>
  <c r="G155" i="7" l="1"/>
  <c r="M154" i="7"/>
  <c r="N154" i="7" s="1"/>
  <c r="O153" i="7"/>
  <c r="O154" i="7" l="1"/>
  <c r="G156" i="7"/>
  <c r="M155" i="7"/>
  <c r="N155" i="7" s="1"/>
  <c r="O155" i="7" l="1"/>
  <c r="G157" i="7"/>
  <c r="M156" i="7"/>
  <c r="O156" i="7" s="1"/>
  <c r="N156" i="7"/>
  <c r="M157" i="7" l="1"/>
  <c r="N157" i="7" s="1"/>
  <c r="G158" i="7"/>
  <c r="G159" i="7" l="1"/>
  <c r="M158" i="7"/>
  <c r="N158" i="7"/>
  <c r="O157" i="7"/>
  <c r="O158" i="7" s="1"/>
  <c r="G160" i="7" l="1"/>
  <c r="M159" i="7"/>
  <c r="N159" i="7" s="1"/>
  <c r="G161" i="7" l="1"/>
  <c r="M160" i="7"/>
  <c r="N160" i="7" s="1"/>
  <c r="O159" i="7"/>
  <c r="O160" i="7" l="1"/>
  <c r="M161" i="7"/>
  <c r="N161" i="7" s="1"/>
  <c r="G162" i="7"/>
  <c r="G163" i="7" l="1"/>
  <c r="M162" i="7"/>
  <c r="N162" i="7" s="1"/>
  <c r="O161" i="7"/>
  <c r="G164" i="7" l="1"/>
  <c r="M163" i="7"/>
  <c r="N163" i="7" s="1"/>
  <c r="O162" i="7"/>
  <c r="O163" i="7" l="1"/>
  <c r="G165" i="7"/>
  <c r="M164" i="7"/>
  <c r="O164" i="7" s="1"/>
  <c r="M165" i="7" l="1"/>
  <c r="N165" i="7" s="1"/>
  <c r="G166" i="7"/>
  <c r="N164" i="7"/>
  <c r="G167" i="7" l="1"/>
  <c r="M166" i="7"/>
  <c r="N166" i="7"/>
  <c r="O165" i="7"/>
  <c r="O166" i="7" s="1"/>
  <c r="G168" i="7" l="1"/>
  <c r="M167" i="7"/>
  <c r="N167" i="7" s="1"/>
  <c r="G169" i="7" l="1"/>
  <c r="M168" i="7"/>
  <c r="N168" i="7" s="1"/>
  <c r="O167" i="7"/>
  <c r="O168" i="7" s="1"/>
  <c r="M169" i="7" l="1"/>
  <c r="N169" i="7" s="1"/>
  <c r="G170" i="7"/>
  <c r="G171" i="7" l="1"/>
  <c r="M170" i="7"/>
  <c r="N170" i="7"/>
  <c r="O169" i="7"/>
  <c r="O170" i="7" l="1"/>
  <c r="G172" i="7"/>
  <c r="M171" i="7"/>
  <c r="N171" i="7" s="1"/>
  <c r="G173" i="7" l="1"/>
  <c r="M172" i="7"/>
  <c r="N172" i="7" s="1"/>
  <c r="O171" i="7"/>
  <c r="O172" i="7" l="1"/>
  <c r="M173" i="7"/>
  <c r="N173" i="7" s="1"/>
  <c r="G174" i="7"/>
  <c r="G175" i="7" l="1"/>
  <c r="M174" i="7"/>
  <c r="N174" i="7"/>
  <c r="O173" i="7"/>
  <c r="O174" i="7" s="1"/>
  <c r="G176" i="7" l="1"/>
  <c r="M175" i="7"/>
  <c r="N175" i="7" s="1"/>
  <c r="G177" i="7" l="1"/>
  <c r="M176" i="7"/>
  <c r="N176" i="7" s="1"/>
  <c r="O175" i="7"/>
  <c r="O176" i="7" l="1"/>
  <c r="M177" i="7"/>
  <c r="N177" i="7" s="1"/>
  <c r="G178" i="7"/>
  <c r="G179" i="7" l="1"/>
  <c r="M178" i="7"/>
  <c r="N178" i="7"/>
  <c r="O177" i="7"/>
  <c r="O178" i="7" s="1"/>
  <c r="G180" i="7" l="1"/>
  <c r="M179" i="7"/>
  <c r="N179" i="7" s="1"/>
  <c r="G181" i="7" l="1"/>
  <c r="M180" i="7"/>
  <c r="N180" i="7" s="1"/>
  <c r="O179" i="7"/>
  <c r="O180" i="7" l="1"/>
  <c r="M181" i="7"/>
  <c r="N181" i="7" s="1"/>
  <c r="G182" i="7"/>
  <c r="O181" i="7" l="1"/>
  <c r="G183" i="7"/>
  <c r="M182" i="7"/>
  <c r="N182" i="7" s="1"/>
  <c r="O182" i="7" l="1"/>
  <c r="G184" i="7"/>
  <c r="M183" i="7"/>
  <c r="N183" i="7" s="1"/>
  <c r="G185" i="7" l="1"/>
  <c r="M184" i="7"/>
  <c r="N184" i="7" s="1"/>
  <c r="O183" i="7"/>
  <c r="O184" i="7" s="1"/>
  <c r="M185" i="7" l="1"/>
  <c r="N185" i="7" s="1"/>
  <c r="G186" i="7"/>
  <c r="G187" i="7" l="1"/>
  <c r="M186" i="7"/>
  <c r="N186" i="7"/>
  <c r="O185" i="7"/>
  <c r="O186" i="7" l="1"/>
  <c r="G188" i="7"/>
  <c r="M187" i="7"/>
  <c r="N187" i="7" s="1"/>
  <c r="O187" i="7" l="1"/>
  <c r="G189" i="7"/>
  <c r="M188" i="7"/>
  <c r="O188" i="7" s="1"/>
  <c r="M189" i="7" l="1"/>
  <c r="N189" i="7" s="1"/>
  <c r="G190" i="7"/>
  <c r="N188" i="7"/>
  <c r="G191" i="7" l="1"/>
  <c r="M190" i="7"/>
  <c r="N190" i="7"/>
  <c r="O189" i="7"/>
  <c r="O190" i="7" s="1"/>
  <c r="G192" i="7" l="1"/>
  <c r="M191" i="7"/>
  <c r="N191" i="7" s="1"/>
  <c r="G193" i="7" l="1"/>
  <c r="M192" i="7"/>
  <c r="N192" i="7" s="1"/>
  <c r="O191" i="7"/>
  <c r="O192" i="7" s="1"/>
  <c r="M193" i="7" l="1"/>
  <c r="N193" i="7" s="1"/>
  <c r="G194" i="7"/>
  <c r="G195" i="7" l="1"/>
  <c r="M194" i="7"/>
  <c r="N194" i="7"/>
  <c r="O193" i="7"/>
  <c r="O194" i="7" s="1"/>
  <c r="G196" i="7" l="1"/>
  <c r="M195" i="7"/>
  <c r="N195" i="7" s="1"/>
  <c r="G197" i="7" l="1"/>
  <c r="M196" i="7"/>
  <c r="N196" i="7" s="1"/>
  <c r="O195" i="7"/>
  <c r="O196" i="7" s="1"/>
  <c r="M197" i="7" l="1"/>
  <c r="N197" i="7" s="1"/>
  <c r="G198" i="7"/>
  <c r="G199" i="7" l="1"/>
  <c r="M198" i="7"/>
  <c r="N198" i="7"/>
  <c r="O197" i="7"/>
  <c r="O198" i="7" s="1"/>
  <c r="G200" i="7" l="1"/>
  <c r="M199" i="7"/>
  <c r="N199" i="7" s="1"/>
  <c r="G201" i="7" l="1"/>
  <c r="M200" i="7"/>
  <c r="N200" i="7" s="1"/>
  <c r="O199" i="7"/>
  <c r="O200" i="7" s="1"/>
  <c r="M201" i="7" l="1"/>
  <c r="N201" i="7" s="1"/>
  <c r="G202" i="7"/>
  <c r="G203" i="7" l="1"/>
  <c r="M202" i="7"/>
  <c r="N202" i="7"/>
  <c r="O201" i="7"/>
  <c r="O202" i="7" s="1"/>
  <c r="G204" i="7" l="1"/>
  <c r="M203" i="7"/>
  <c r="N203" i="7" s="1"/>
  <c r="G205" i="7" l="1"/>
  <c r="M204" i="7"/>
  <c r="N204" i="7" s="1"/>
  <c r="O203" i="7"/>
  <c r="O204" i="7" s="1"/>
  <c r="M205" i="7" l="1"/>
  <c r="N205" i="7" s="1"/>
  <c r="G206" i="7"/>
  <c r="G207" i="7" l="1"/>
  <c r="M206" i="7"/>
  <c r="N206" i="7"/>
  <c r="O205" i="7"/>
  <c r="O206" i="7" s="1"/>
  <c r="G208" i="7" l="1"/>
  <c r="M207" i="7"/>
  <c r="N207" i="7" s="1"/>
  <c r="G209" i="7" l="1"/>
  <c r="M208" i="7"/>
  <c r="N208" i="7" s="1"/>
  <c r="O207" i="7"/>
  <c r="O208" i="7" s="1"/>
  <c r="M209" i="7" l="1"/>
  <c r="N209" i="7" s="1"/>
  <c r="G210" i="7"/>
  <c r="G211" i="7" l="1"/>
  <c r="M210" i="7"/>
  <c r="N210" i="7"/>
  <c r="O209" i="7"/>
  <c r="O210" i="7" s="1"/>
  <c r="G212" i="7" l="1"/>
  <c r="M211" i="7"/>
  <c r="N211" i="7" s="1"/>
  <c r="G213" i="7" l="1"/>
  <c r="M212" i="7"/>
  <c r="N212" i="7" s="1"/>
  <c r="O211" i="7"/>
  <c r="O212" i="7" s="1"/>
  <c r="M213" i="7" l="1"/>
  <c r="N213" i="7" s="1"/>
  <c r="G214" i="7"/>
  <c r="G215" i="7" l="1"/>
  <c r="M214" i="7"/>
  <c r="N214" i="7"/>
  <c r="O213" i="7"/>
  <c r="O214" i="7" s="1"/>
  <c r="G216" i="7" l="1"/>
  <c r="M215" i="7"/>
  <c r="N215" i="7" s="1"/>
  <c r="G217" i="7" l="1"/>
  <c r="M216" i="7"/>
  <c r="N216" i="7"/>
  <c r="O215" i="7"/>
  <c r="O216" i="7" s="1"/>
  <c r="M217" i="7" l="1"/>
  <c r="N217" i="7" s="1"/>
  <c r="G218" i="7"/>
  <c r="G219" i="7" l="1"/>
  <c r="M218" i="7"/>
  <c r="N218" i="7"/>
  <c r="O217" i="7"/>
  <c r="O218" i="7" l="1"/>
  <c r="G220" i="7"/>
  <c r="M219" i="7"/>
  <c r="N219" i="7" s="1"/>
  <c r="G221" i="7" l="1"/>
  <c r="M220" i="7"/>
  <c r="N220" i="7" s="1"/>
  <c r="O219" i="7"/>
  <c r="O220" i="7" l="1"/>
  <c r="M221" i="7"/>
  <c r="N221" i="7" s="1"/>
  <c r="G222" i="7"/>
  <c r="G223" i="7" l="1"/>
  <c r="M222" i="7"/>
  <c r="N222" i="7" s="1"/>
  <c r="O221" i="7"/>
  <c r="O222" i="7" s="1"/>
  <c r="G224" i="7" l="1"/>
  <c r="M223" i="7"/>
  <c r="N223" i="7" s="1"/>
  <c r="G225" i="7" l="1"/>
  <c r="M224" i="7"/>
  <c r="N224" i="7" s="1"/>
  <c r="O223" i="7"/>
  <c r="O224" i="7" s="1"/>
  <c r="M225" i="7" l="1"/>
  <c r="N225" i="7" s="1"/>
  <c r="G226" i="7"/>
  <c r="G227" i="7" l="1"/>
  <c r="M226" i="7"/>
  <c r="N226" i="7"/>
  <c r="O225" i="7"/>
  <c r="O226" i="7" s="1"/>
  <c r="G228" i="7" l="1"/>
  <c r="M227" i="7"/>
  <c r="N227" i="7" s="1"/>
  <c r="G229" i="7" l="1"/>
  <c r="M228" i="7"/>
  <c r="N228" i="7" s="1"/>
  <c r="O227" i="7"/>
  <c r="O228" i="7" s="1"/>
  <c r="M229" i="7" l="1"/>
  <c r="N229" i="7" s="1"/>
  <c r="G230" i="7"/>
  <c r="O229" i="7" l="1"/>
  <c r="G231" i="7"/>
  <c r="M230" i="7"/>
  <c r="N230" i="7"/>
  <c r="G232" i="7" l="1"/>
  <c r="M231" i="7"/>
  <c r="N231" i="7" s="1"/>
  <c r="O230" i="7"/>
  <c r="O231" i="7" l="1"/>
  <c r="G233" i="7"/>
  <c r="M232" i="7"/>
  <c r="N232" i="7" s="1"/>
  <c r="M233" i="7" l="1"/>
  <c r="N233" i="7" s="1"/>
  <c r="G234" i="7"/>
  <c r="O232" i="7"/>
  <c r="O233" i="7" l="1"/>
  <c r="G235" i="7"/>
  <c r="M234" i="7"/>
  <c r="N234" i="7" s="1"/>
  <c r="G236" i="7" l="1"/>
  <c r="M235" i="7"/>
  <c r="N235" i="7" s="1"/>
  <c r="O234" i="7"/>
  <c r="O235" i="7" s="1"/>
  <c r="G237" i="7" l="1"/>
  <c r="M236" i="7"/>
  <c r="O236" i="7" s="1"/>
  <c r="M237" i="7" l="1"/>
  <c r="N237" i="7" s="1"/>
  <c r="G238" i="7"/>
  <c r="N236" i="7"/>
  <c r="G239" i="7" l="1"/>
  <c r="M238" i="7"/>
  <c r="N238" i="7"/>
  <c r="O237" i="7"/>
  <c r="O238" i="7" s="1"/>
  <c r="G240" i="7" l="1"/>
  <c r="M239" i="7"/>
  <c r="N239" i="7" s="1"/>
  <c r="G241" i="7" l="1"/>
  <c r="M240" i="7"/>
  <c r="N240" i="7" s="1"/>
  <c r="O239" i="7"/>
  <c r="O240" i="7" l="1"/>
  <c r="M241" i="7"/>
  <c r="N241" i="7" s="1"/>
  <c r="G242" i="7"/>
  <c r="G243" i="7" l="1"/>
  <c r="M242" i="7"/>
  <c r="N242" i="7" s="1"/>
  <c r="O241" i="7"/>
  <c r="O242" i="7" l="1"/>
  <c r="G244" i="7"/>
  <c r="M243" i="7"/>
  <c r="N243" i="7" s="1"/>
  <c r="G245" i="7" l="1"/>
  <c r="M244" i="7"/>
  <c r="N244" i="7" s="1"/>
  <c r="O243" i="7"/>
  <c r="O244" i="7" s="1"/>
  <c r="M245" i="7" l="1"/>
  <c r="N245" i="7" s="1"/>
  <c r="G246" i="7"/>
  <c r="O245" i="7" l="1"/>
  <c r="G247" i="7"/>
  <c r="M246" i="7"/>
  <c r="O246" i="7" s="1"/>
  <c r="N246" i="7" l="1"/>
  <c r="G248" i="7"/>
  <c r="M247" i="7"/>
  <c r="N247" i="7" s="1"/>
  <c r="G249" i="7" l="1"/>
  <c r="M248" i="7"/>
  <c r="N248" i="7" s="1"/>
  <c r="O247" i="7"/>
  <c r="O248" i="7" l="1"/>
  <c r="M249" i="7"/>
  <c r="N249" i="7" s="1"/>
  <c r="G250" i="7"/>
  <c r="G251" i="7" l="1"/>
  <c r="M250" i="7"/>
  <c r="N250" i="7" s="1"/>
  <c r="O249" i="7"/>
  <c r="O250" i="7" l="1"/>
  <c r="G252" i="7"/>
  <c r="M251" i="7"/>
  <c r="N251" i="7" s="1"/>
  <c r="G253" i="7" l="1"/>
  <c r="M252" i="7"/>
  <c r="N252" i="7" s="1"/>
  <c r="O251" i="7"/>
  <c r="O252" i="7" l="1"/>
  <c r="M253" i="7"/>
  <c r="N253" i="7" s="1"/>
  <c r="G254" i="7"/>
  <c r="O253" i="7" l="1"/>
  <c r="G255" i="7"/>
  <c r="M254" i="7"/>
  <c r="N254" i="7" s="1"/>
  <c r="G256" i="7" l="1"/>
  <c r="M255" i="7"/>
  <c r="N255" i="7" s="1"/>
  <c r="O254" i="7"/>
  <c r="O255" i="7" l="1"/>
  <c r="G257" i="7"/>
  <c r="M256" i="7"/>
  <c r="O256" i="7" s="1"/>
  <c r="M257" i="7" l="1"/>
  <c r="N257" i="7" s="1"/>
  <c r="G258" i="7"/>
  <c r="N256" i="7"/>
  <c r="G259" i="7" l="1"/>
  <c r="M258" i="7"/>
  <c r="N258" i="7"/>
  <c r="O257" i="7"/>
  <c r="O258" i="7" s="1"/>
  <c r="G260" i="7" l="1"/>
  <c r="M259" i="7"/>
  <c r="N259" i="7" s="1"/>
  <c r="G261" i="7" l="1"/>
  <c r="M260" i="7"/>
  <c r="N260" i="7" s="1"/>
  <c r="O259" i="7"/>
  <c r="O260" i="7" l="1"/>
  <c r="G262" i="7"/>
  <c r="M261" i="7"/>
  <c r="N261" i="7" s="1"/>
  <c r="G263" i="7" l="1"/>
  <c r="M262" i="7"/>
  <c r="N262" i="7" s="1"/>
  <c r="O261" i="7"/>
  <c r="O262" i="7" l="1"/>
  <c r="G264" i="7"/>
  <c r="M263" i="7"/>
  <c r="N263" i="7" s="1"/>
  <c r="G265" i="7" l="1"/>
  <c r="M264" i="7"/>
  <c r="N264" i="7" s="1"/>
  <c r="O263" i="7"/>
  <c r="O264" i="7" l="1"/>
  <c r="G266" i="7"/>
  <c r="M265" i="7"/>
  <c r="N265" i="7" s="1"/>
  <c r="G267" i="7" l="1"/>
  <c r="M266" i="7"/>
  <c r="N266" i="7" s="1"/>
  <c r="O265" i="7"/>
  <c r="O266" i="7" l="1"/>
  <c r="G268" i="7"/>
  <c r="M267" i="7"/>
  <c r="N267" i="7" s="1"/>
  <c r="O267" i="7" l="1"/>
  <c r="G269" i="7"/>
  <c r="M268" i="7"/>
  <c r="N268" i="7" s="1"/>
  <c r="O268" i="7" l="1"/>
  <c r="G270" i="7"/>
  <c r="M269" i="7"/>
  <c r="N269" i="7" s="1"/>
  <c r="G271" i="7" l="1"/>
  <c r="M270" i="7"/>
  <c r="N270" i="7" s="1"/>
  <c r="O269" i="7"/>
  <c r="O270" i="7" l="1"/>
  <c r="G272" i="7"/>
  <c r="M271" i="7"/>
  <c r="N271" i="7" s="1"/>
  <c r="M272" i="7" l="1"/>
  <c r="N272" i="7" s="1"/>
  <c r="G273" i="7"/>
  <c r="O271" i="7"/>
  <c r="O272" i="7" l="1"/>
  <c r="G274" i="7"/>
  <c r="M273" i="7"/>
  <c r="N273" i="7" s="1"/>
  <c r="G275" i="7" l="1"/>
  <c r="M274" i="7"/>
  <c r="N274" i="7" s="1"/>
  <c r="O273" i="7"/>
  <c r="O274" i="7" l="1"/>
  <c r="G276" i="7"/>
  <c r="M275" i="7"/>
  <c r="N275" i="7" s="1"/>
  <c r="G277" i="7" l="1"/>
  <c r="M276" i="7"/>
  <c r="N276" i="7" s="1"/>
  <c r="O275" i="7"/>
  <c r="O276" i="7" s="1"/>
  <c r="G278" i="7" l="1"/>
  <c r="M277" i="7"/>
  <c r="N277" i="7" s="1"/>
  <c r="G279" i="7" l="1"/>
  <c r="M278" i="7"/>
  <c r="N278" i="7" s="1"/>
  <c r="O277" i="7"/>
  <c r="O278" i="7" l="1"/>
  <c r="G280" i="7"/>
  <c r="M279" i="7"/>
  <c r="N279" i="7" s="1"/>
  <c r="M280" i="7" l="1"/>
  <c r="N280" i="7" s="1"/>
  <c r="G281" i="7"/>
  <c r="O279" i="7"/>
  <c r="O280" i="7" l="1"/>
  <c r="G282" i="7"/>
  <c r="M281" i="7"/>
  <c r="N281" i="7" s="1"/>
  <c r="G283" i="7" l="1"/>
  <c r="M282" i="7"/>
  <c r="N282" i="7" s="1"/>
  <c r="O281" i="7"/>
  <c r="O282" i="7" s="1"/>
  <c r="G284" i="7" l="1"/>
  <c r="M283" i="7"/>
  <c r="N283" i="7" s="1"/>
  <c r="G285" i="7" l="1"/>
  <c r="M284" i="7"/>
  <c r="N284" i="7" s="1"/>
  <c r="O283" i="7"/>
  <c r="O284" i="7" l="1"/>
  <c r="G286" i="7"/>
  <c r="M285" i="7"/>
  <c r="N285" i="7" s="1"/>
  <c r="G287" i="7" l="1"/>
  <c r="M286" i="7"/>
  <c r="N286" i="7" s="1"/>
  <c r="O285" i="7"/>
  <c r="O286" i="7" l="1"/>
  <c r="G288" i="7"/>
  <c r="M287" i="7"/>
  <c r="N287" i="7" s="1"/>
  <c r="M288" i="7" l="1"/>
  <c r="N288" i="7" s="1"/>
  <c r="G289" i="7"/>
  <c r="O287" i="7"/>
  <c r="O288" i="7" l="1"/>
  <c r="M289" i="7"/>
  <c r="N289" i="7" s="1"/>
  <c r="G290" i="7"/>
  <c r="O289" i="7"/>
  <c r="G291" i="7" l="1"/>
  <c r="M290" i="7"/>
  <c r="O290" i="7" s="1"/>
  <c r="N290" i="7"/>
  <c r="G292" i="7" l="1"/>
  <c r="M291" i="7"/>
  <c r="N291" i="7" s="1"/>
  <c r="G293" i="7" l="1"/>
  <c r="M292" i="7"/>
  <c r="N292" i="7" s="1"/>
  <c r="O291" i="7"/>
  <c r="O292" i="7" s="1"/>
  <c r="G294" i="7" l="1"/>
  <c r="M293" i="7"/>
  <c r="N293" i="7" s="1"/>
  <c r="G295" i="7" l="1"/>
  <c r="M294" i="7"/>
  <c r="N294" i="7" s="1"/>
  <c r="O293" i="7"/>
  <c r="O294" i="7" l="1"/>
  <c r="G296" i="7"/>
  <c r="M295" i="7"/>
  <c r="N295" i="7" s="1"/>
  <c r="M296" i="7" l="1"/>
  <c r="N296" i="7" s="1"/>
  <c r="G297" i="7"/>
  <c r="O295" i="7"/>
  <c r="O296" i="7" l="1"/>
  <c r="G298" i="7"/>
  <c r="M297" i="7"/>
  <c r="N297" i="7" s="1"/>
  <c r="G299" i="7" l="1"/>
  <c r="M298" i="7"/>
  <c r="N298" i="7" s="1"/>
  <c r="O297" i="7"/>
  <c r="O298" i="7" l="1"/>
  <c r="G300" i="7"/>
  <c r="M299" i="7"/>
  <c r="N299" i="7" s="1"/>
  <c r="G301" i="7" l="1"/>
  <c r="M300" i="7"/>
  <c r="N300" i="7"/>
  <c r="O299" i="7"/>
  <c r="O300" i="7" s="1"/>
  <c r="G302" i="7" l="1"/>
  <c r="M301" i="7"/>
  <c r="N301" i="7" s="1"/>
  <c r="G303" i="7" l="1"/>
  <c r="M302" i="7"/>
  <c r="N302" i="7" s="1"/>
  <c r="O301" i="7"/>
  <c r="O302" i="7" l="1"/>
  <c r="G304" i="7"/>
  <c r="M303" i="7"/>
  <c r="N303" i="7" s="1"/>
  <c r="M304" i="7" l="1"/>
  <c r="N304" i="7" s="1"/>
  <c r="G305" i="7"/>
  <c r="O303" i="7"/>
  <c r="O304" i="7" s="1"/>
  <c r="M305" i="7" l="1"/>
  <c r="N305" i="7" s="1"/>
  <c r="G306" i="7"/>
  <c r="G307" i="7" l="1"/>
  <c r="M306" i="7"/>
  <c r="N306" i="7"/>
  <c r="O305" i="7"/>
  <c r="O306" i="7" s="1"/>
  <c r="G308" i="7" l="1"/>
  <c r="M307" i="7"/>
  <c r="N307" i="7" s="1"/>
  <c r="O307" i="7"/>
  <c r="G309" i="7" l="1"/>
  <c r="M308" i="7"/>
  <c r="O308" i="7" s="1"/>
  <c r="G310" i="7" l="1"/>
  <c r="M309" i="7"/>
  <c r="N309" i="7" s="1"/>
  <c r="N308" i="7"/>
  <c r="G311" i="7" l="1"/>
  <c r="M310" i="7"/>
  <c r="N310" i="7" s="1"/>
  <c r="O309" i="7"/>
  <c r="O310" i="7" l="1"/>
  <c r="G312" i="7"/>
  <c r="M311" i="7"/>
  <c r="N311" i="7" s="1"/>
  <c r="M312" i="7" l="1"/>
  <c r="N312" i="7" s="1"/>
  <c r="G313" i="7"/>
  <c r="O311" i="7"/>
  <c r="O312" i="7" s="1"/>
  <c r="G314" i="7" l="1"/>
  <c r="M313" i="7"/>
  <c r="N313" i="7" s="1"/>
  <c r="G315" i="7" l="1"/>
  <c r="M314" i="7"/>
  <c r="N314" i="7" s="1"/>
  <c r="O313" i="7"/>
  <c r="O314" i="7" l="1"/>
  <c r="G316" i="7"/>
  <c r="M315" i="7"/>
  <c r="N315" i="7" s="1"/>
  <c r="G317" i="7" l="1"/>
  <c r="M316" i="7"/>
  <c r="N316" i="7" s="1"/>
  <c r="O315" i="7"/>
  <c r="O316" i="7" l="1"/>
  <c r="G318" i="7"/>
  <c r="M317" i="7"/>
  <c r="N317" i="7" s="1"/>
  <c r="O317" i="7" l="1"/>
  <c r="G319" i="7"/>
  <c r="M318" i="7"/>
  <c r="O318" i="7" s="1"/>
  <c r="N318" i="7" l="1"/>
  <c r="M319" i="7"/>
  <c r="N319" i="7" s="1"/>
  <c r="G320" i="7"/>
  <c r="O319" i="7" l="1"/>
  <c r="G321" i="7"/>
  <c r="M320" i="7"/>
  <c r="N320" i="7" s="1"/>
  <c r="G322" i="7" l="1"/>
  <c r="M321" i="7"/>
  <c r="N321" i="7" s="1"/>
  <c r="O320" i="7"/>
  <c r="O321" i="7" l="1"/>
  <c r="G323" i="7"/>
  <c r="M322" i="7"/>
  <c r="O322" i="7" s="1"/>
  <c r="G324" i="7" l="1"/>
  <c r="M323" i="7"/>
  <c r="N323" i="7" s="1"/>
  <c r="N322" i="7"/>
  <c r="M324" i="7" l="1"/>
  <c r="N324" i="7" s="1"/>
  <c r="G325" i="7"/>
  <c r="O323" i="7"/>
  <c r="O324" i="7" l="1"/>
  <c r="G326" i="7"/>
  <c r="M325" i="7"/>
  <c r="N325" i="7" s="1"/>
  <c r="M326" i="7" l="1"/>
  <c r="N326" i="7" s="1"/>
  <c r="G327" i="7"/>
  <c r="O325" i="7"/>
  <c r="O326" i="7" l="1"/>
  <c r="M327" i="7"/>
  <c r="N327" i="7" s="1"/>
  <c r="G328" i="7"/>
  <c r="G329" i="7" l="1"/>
  <c r="M328" i="7"/>
  <c r="N328" i="7"/>
  <c r="O327" i="7"/>
  <c r="O328" i="7" s="1"/>
  <c r="G330" i="7" l="1"/>
  <c r="M329" i="7"/>
  <c r="N329" i="7" s="1"/>
  <c r="G331" i="7" l="1"/>
  <c r="M330" i="7"/>
  <c r="N330" i="7" s="1"/>
  <c r="O329" i="7"/>
  <c r="O330" i="7" l="1"/>
  <c r="G332" i="7"/>
  <c r="M331" i="7"/>
  <c r="N331" i="7" s="1"/>
  <c r="G333" i="7" l="1"/>
  <c r="M332" i="7"/>
  <c r="N332" i="7" s="1"/>
  <c r="O331" i="7"/>
  <c r="O332" i="7" l="1"/>
  <c r="G334" i="7"/>
  <c r="M333" i="7"/>
  <c r="N333" i="7" s="1"/>
  <c r="O333" i="7" l="1"/>
  <c r="G335" i="7"/>
  <c r="M334" i="7"/>
  <c r="O334" i="7" s="1"/>
  <c r="G336" i="7" l="1"/>
  <c r="M335" i="7"/>
  <c r="N335" i="7" s="1"/>
  <c r="N334" i="7"/>
  <c r="G337" i="7" l="1"/>
  <c r="M336" i="7"/>
  <c r="N336" i="7" s="1"/>
  <c r="O335" i="7"/>
  <c r="O336" i="7" l="1"/>
  <c r="G338" i="7"/>
  <c r="M337" i="7"/>
  <c r="N337" i="7" s="1"/>
  <c r="G339" i="7" l="1"/>
  <c r="M338" i="7"/>
  <c r="N338" i="7" s="1"/>
  <c r="O337" i="7"/>
  <c r="O338" i="7" l="1"/>
  <c r="M339" i="7"/>
  <c r="N339" i="7" s="1"/>
  <c r="G340" i="7"/>
  <c r="G341" i="7" l="1"/>
  <c r="M340" i="7"/>
  <c r="N340" i="7"/>
  <c r="O339" i="7"/>
  <c r="O340" i="7" s="1"/>
  <c r="G342" i="7" l="1"/>
  <c r="M341" i="7"/>
  <c r="N341" i="7" s="1"/>
  <c r="G343" i="7" l="1"/>
  <c r="M342" i="7"/>
  <c r="N342" i="7" s="1"/>
  <c r="O341" i="7"/>
  <c r="O342" i="7" l="1"/>
  <c r="G344" i="7"/>
  <c r="M343" i="7"/>
  <c r="N343" i="7" s="1"/>
  <c r="G345" i="7" l="1"/>
  <c r="M344" i="7"/>
  <c r="N344" i="7"/>
  <c r="O343" i="7"/>
  <c r="O344" i="7" s="1"/>
  <c r="M345" i="7" l="1"/>
  <c r="N345" i="7" s="1"/>
  <c r="G346" i="7"/>
  <c r="G347" i="7" l="1"/>
  <c r="M346" i="7"/>
  <c r="N346" i="7"/>
  <c r="O345" i="7"/>
  <c r="O346" i="7" s="1"/>
  <c r="G348" i="7" l="1"/>
  <c r="M347" i="7"/>
  <c r="N347" i="7" s="1"/>
  <c r="G349" i="7" l="1"/>
  <c r="M348" i="7"/>
  <c r="N348" i="7" s="1"/>
  <c r="O347" i="7"/>
  <c r="O348" i="7" l="1"/>
  <c r="M349" i="7"/>
  <c r="N349" i="7" s="1"/>
  <c r="G350" i="7"/>
  <c r="M350" i="7" l="1"/>
  <c r="G351" i="7"/>
  <c r="N350" i="7"/>
  <c r="O349" i="7"/>
  <c r="O350" i="7" s="1"/>
  <c r="G352" i="7" l="1"/>
  <c r="M351" i="7"/>
  <c r="N351" i="7" s="1"/>
  <c r="G353" i="7" l="1"/>
  <c r="M352" i="7"/>
  <c r="N352" i="7" s="1"/>
  <c r="O351" i="7"/>
  <c r="O352" i="7" l="1"/>
  <c r="G354" i="7"/>
  <c r="M353" i="7"/>
  <c r="N353" i="7" s="1"/>
  <c r="G355" i="7" l="1"/>
  <c r="M354" i="7"/>
  <c r="N354" i="7" s="1"/>
  <c r="O353" i="7"/>
  <c r="O354" i="7" l="1"/>
  <c r="G356" i="7"/>
  <c r="M355" i="7"/>
  <c r="N355" i="7" s="1"/>
  <c r="G357" i="7" l="1"/>
  <c r="M356" i="7"/>
  <c r="N356" i="7" s="1"/>
  <c r="O355" i="7"/>
  <c r="O356" i="7" l="1"/>
  <c r="G358" i="7"/>
  <c r="M357" i="7"/>
  <c r="N357" i="7" s="1"/>
  <c r="G359" i="7" l="1"/>
  <c r="M358" i="7"/>
  <c r="N358" i="7" s="1"/>
  <c r="O357" i="7"/>
  <c r="O358" i="7" l="1"/>
  <c r="G360" i="7"/>
  <c r="M359" i="7"/>
  <c r="N359" i="7" s="1"/>
  <c r="G361" i="7" l="1"/>
  <c r="M360" i="7"/>
  <c r="N360" i="7" s="1"/>
  <c r="O359" i="7"/>
  <c r="O360" i="7" l="1"/>
  <c r="G362" i="7"/>
  <c r="M361" i="7"/>
  <c r="N361" i="7" s="1"/>
  <c r="G363" i="7" l="1"/>
  <c r="M362" i="7"/>
  <c r="N362" i="7" s="1"/>
  <c r="O361" i="7"/>
  <c r="O362" i="7" l="1"/>
  <c r="O363" i="7" s="1"/>
  <c r="M363" i="7"/>
  <c r="N363" i="7" s="1"/>
  <c r="G364" i="7"/>
  <c r="G365" i="7" l="1"/>
  <c r="M364" i="7"/>
  <c r="O364" i="7" s="1"/>
  <c r="N364" i="7" l="1"/>
  <c r="G366" i="7"/>
  <c r="M365" i="7"/>
  <c r="N365" i="7" s="1"/>
  <c r="G367" i="7" l="1"/>
  <c r="M366" i="7"/>
  <c r="N366" i="7" s="1"/>
  <c r="O365" i="7"/>
  <c r="O366" i="7" l="1"/>
  <c r="G368" i="7"/>
  <c r="M367" i="7"/>
  <c r="N367" i="7" s="1"/>
  <c r="G369" i="7" l="1"/>
  <c r="M368" i="7"/>
  <c r="N368" i="7" s="1"/>
  <c r="O367" i="7"/>
  <c r="O368" i="7" l="1"/>
  <c r="G370" i="7"/>
  <c r="M369" i="7"/>
  <c r="N369" i="7" s="1"/>
  <c r="G371" i="7" l="1"/>
  <c r="M370" i="7"/>
  <c r="N370" i="7" s="1"/>
  <c r="O369" i="7"/>
  <c r="O370" i="7" l="1"/>
  <c r="G372" i="7"/>
  <c r="M371" i="7"/>
  <c r="N371" i="7" s="1"/>
  <c r="G373" i="7" l="1"/>
  <c r="M372" i="7"/>
  <c r="N372" i="7" s="1"/>
  <c r="O371" i="7"/>
  <c r="G374" i="7" l="1"/>
  <c r="M373" i="7"/>
  <c r="N373" i="7" s="1"/>
  <c r="O372" i="7"/>
  <c r="O373" i="7" l="1"/>
  <c r="G375" i="7"/>
  <c r="M374" i="7"/>
  <c r="O374" i="7" s="1"/>
  <c r="G376" i="7" l="1"/>
  <c r="M375" i="7"/>
  <c r="N375" i="7" s="1"/>
  <c r="N374" i="7"/>
  <c r="G377" i="7" l="1"/>
  <c r="M376" i="7"/>
  <c r="N376" i="7" s="1"/>
  <c r="O375" i="7"/>
  <c r="O376" i="7" l="1"/>
  <c r="G378" i="7"/>
  <c r="M377" i="7"/>
  <c r="N377" i="7" s="1"/>
  <c r="G379" i="7" l="1"/>
  <c r="M378" i="7"/>
  <c r="N378" i="7" s="1"/>
  <c r="O377" i="7"/>
  <c r="O378" i="7" l="1"/>
  <c r="M379" i="7"/>
  <c r="N379" i="7" s="1"/>
  <c r="G380" i="7"/>
  <c r="G381" i="7" l="1"/>
  <c r="M380" i="7"/>
  <c r="N380" i="7" s="1"/>
  <c r="O379" i="7"/>
  <c r="O380" i="7" l="1"/>
  <c r="G382" i="7"/>
  <c r="M381" i="7"/>
  <c r="N381" i="7" s="1"/>
  <c r="G383" i="7" l="1"/>
  <c r="M382" i="7"/>
  <c r="N382" i="7" s="1"/>
  <c r="O381" i="7"/>
  <c r="O382" i="7" l="1"/>
  <c r="G384" i="7"/>
  <c r="M383" i="7"/>
  <c r="N383" i="7" s="1"/>
  <c r="G385" i="7" l="1"/>
  <c r="M384" i="7"/>
  <c r="N384" i="7" s="1"/>
  <c r="O383" i="7"/>
  <c r="O384" i="7" l="1"/>
  <c r="G386" i="7"/>
  <c r="M385" i="7"/>
  <c r="N385" i="7" s="1"/>
  <c r="G387" i="7" l="1"/>
  <c r="G388" i="7" s="1"/>
  <c r="G389" i="7" s="1"/>
  <c r="M386" i="7"/>
  <c r="N386" i="7" s="1"/>
  <c r="O385" i="7"/>
  <c r="O386" i="7" l="1"/>
  <c r="O387" i="7" s="1"/>
  <c r="O388" i="7" s="1"/>
  <c r="G390" i="7"/>
  <c r="M389" i="7"/>
  <c r="N389" i="7" s="1"/>
  <c r="G391" i="7" l="1"/>
  <c r="M390" i="7"/>
  <c r="N390" i="7" s="1"/>
  <c r="O389" i="7"/>
  <c r="O390" i="7" l="1"/>
  <c r="M391" i="7"/>
  <c r="N391" i="7" s="1"/>
  <c r="G392" i="7"/>
  <c r="G393" i="7" l="1"/>
  <c r="M392" i="7"/>
  <c r="N392" i="7"/>
  <c r="O391" i="7"/>
  <c r="O392" i="7" l="1"/>
  <c r="G394" i="7"/>
  <c r="M393" i="7"/>
  <c r="N393" i="7" s="1"/>
  <c r="G395" i="7" l="1"/>
  <c r="M394" i="7"/>
  <c r="N394" i="7" s="1"/>
  <c r="O393" i="7"/>
  <c r="O394" i="7" l="1"/>
  <c r="G396" i="7"/>
  <c r="M395" i="7"/>
  <c r="N395" i="7" s="1"/>
  <c r="G397" i="7" l="1"/>
  <c r="M396" i="7"/>
  <c r="N396" i="7" s="1"/>
  <c r="O395" i="7"/>
  <c r="O396" i="7" s="1"/>
  <c r="G398" i="7" l="1"/>
  <c r="M397" i="7"/>
  <c r="N397" i="7" s="1"/>
  <c r="G399" i="7" l="1"/>
  <c r="M398" i="7"/>
  <c r="N398" i="7" s="1"/>
  <c r="O397" i="7"/>
  <c r="O398" i="7" l="1"/>
  <c r="G400" i="7"/>
  <c r="M399" i="7"/>
  <c r="N399" i="7" s="1"/>
  <c r="G401" i="7" l="1"/>
  <c r="M400" i="7"/>
  <c r="N400" i="7" s="1"/>
  <c r="O399" i="7"/>
  <c r="O400" i="7" l="1"/>
  <c r="G402" i="7"/>
  <c r="M401" i="7"/>
  <c r="N401" i="7" s="1"/>
  <c r="G403" i="7" l="1"/>
  <c r="M402" i="7"/>
  <c r="N402" i="7" s="1"/>
  <c r="O401" i="7"/>
  <c r="O402" i="7" l="1"/>
  <c r="G404" i="7"/>
  <c r="M403" i="7"/>
  <c r="N403" i="7" s="1"/>
  <c r="G405" i="7" l="1"/>
  <c r="M404" i="7"/>
  <c r="N404" i="7" s="1"/>
  <c r="O403" i="7"/>
  <c r="O404" i="7" l="1"/>
  <c r="G406" i="7"/>
  <c r="M405" i="7"/>
  <c r="N405" i="7" s="1"/>
  <c r="G407" i="7" l="1"/>
  <c r="M406" i="7"/>
  <c r="N406" i="7" s="1"/>
  <c r="O405" i="7"/>
  <c r="O406" i="7" l="1"/>
  <c r="G408" i="7"/>
  <c r="M407" i="7"/>
  <c r="N407" i="7" s="1"/>
  <c r="G409" i="7" l="1"/>
  <c r="M408" i="7"/>
  <c r="N408" i="7" s="1"/>
  <c r="O407" i="7"/>
  <c r="O408" i="7" l="1"/>
  <c r="G410" i="7"/>
  <c r="M409" i="7"/>
  <c r="N409" i="7" s="1"/>
  <c r="O409" i="7" l="1"/>
  <c r="G411" i="7"/>
  <c r="M410" i="7"/>
  <c r="N410" i="7" s="1"/>
  <c r="O410" i="7" l="1"/>
  <c r="G412" i="7"/>
  <c r="M411" i="7"/>
  <c r="N411" i="7" s="1"/>
  <c r="E435" i="7" l="1"/>
  <c r="G413" i="7"/>
  <c r="M412" i="7"/>
  <c r="N412" i="7" s="1"/>
  <c r="O411" i="7"/>
  <c r="G414" i="7" l="1"/>
  <c r="M413" i="7"/>
  <c r="N413" i="7" s="1"/>
  <c r="F435" i="7"/>
  <c r="G435" i="7"/>
  <c r="M435" i="7" s="1"/>
  <c r="N435" i="7" s="1"/>
  <c r="O412" i="7"/>
  <c r="O413" i="7" l="1"/>
  <c r="G415" i="7"/>
  <c r="M414" i="7"/>
  <c r="N414" i="7" s="1"/>
  <c r="O414" i="7" l="1"/>
  <c r="G416" i="7"/>
  <c r="M415" i="7"/>
  <c r="N415" i="7" s="1"/>
  <c r="O415" i="7" l="1"/>
  <c r="G417" i="7"/>
  <c r="M416" i="7"/>
  <c r="O416" i="7" s="1"/>
  <c r="M417" i="7" l="1"/>
  <c r="N417" i="7" s="1"/>
  <c r="N416" i="7"/>
  <c r="O417" i="7" l="1"/>
  <c r="D38" i="6" l="1"/>
  <c r="F38" i="6" s="1"/>
  <c r="G38" i="6" s="1"/>
  <c r="P37" i="6"/>
  <c r="O37" i="6"/>
  <c r="O39" i="6" s="1"/>
  <c r="J37" i="6"/>
  <c r="I37" i="6"/>
  <c r="I39" i="6" s="1"/>
  <c r="R35" i="6"/>
  <c r="L35" i="6"/>
  <c r="F35" i="6"/>
  <c r="D35" i="6"/>
  <c r="A35" i="6"/>
  <c r="A36" i="6" s="1"/>
  <c r="A37" i="6" s="1"/>
  <c r="A38" i="6" s="1"/>
  <c r="A39" i="6" s="1"/>
  <c r="A40" i="6" s="1"/>
  <c r="A41" i="6" s="1"/>
  <c r="A42" i="6" s="1"/>
  <c r="A43" i="6" s="1"/>
  <c r="A44" i="6" s="1"/>
  <c r="A45" i="6" s="1"/>
  <c r="A46" i="6" s="1"/>
  <c r="R34" i="6"/>
  <c r="L34" i="6"/>
  <c r="F34" i="6"/>
  <c r="D34" i="6"/>
  <c r="R33" i="6"/>
  <c r="L33" i="6"/>
  <c r="F33" i="6"/>
  <c r="D33" i="6"/>
  <c r="R32" i="6"/>
  <c r="L32" i="6"/>
  <c r="F32" i="6"/>
  <c r="D32" i="6"/>
  <c r="S31" i="6"/>
  <c r="M31" i="6"/>
  <c r="G31" i="6"/>
  <c r="D31" i="6"/>
  <c r="S30" i="6"/>
  <c r="M30" i="6"/>
  <c r="G30" i="6"/>
  <c r="D30" i="6"/>
  <c r="R29" i="6"/>
  <c r="L29" i="6"/>
  <c r="F29" i="6"/>
  <c r="D29" i="6"/>
  <c r="R28" i="6"/>
  <c r="L28" i="6"/>
  <c r="F28" i="6"/>
  <c r="D28" i="6"/>
  <c r="S27" i="6"/>
  <c r="M27" i="6"/>
  <c r="G27" i="6"/>
  <c r="D27" i="6"/>
  <c r="S26" i="6"/>
  <c r="M26" i="6"/>
  <c r="G26" i="6"/>
  <c r="D26" i="6"/>
  <c r="S25" i="6"/>
  <c r="M25" i="6"/>
  <c r="G25" i="6"/>
  <c r="D25" i="6"/>
  <c r="R24" i="6"/>
  <c r="L24" i="6"/>
  <c r="F24" i="6"/>
  <c r="D24" i="6"/>
  <c r="S23" i="6"/>
  <c r="M23" i="6"/>
  <c r="G23" i="6"/>
  <c r="D23" i="6"/>
  <c r="R22" i="6"/>
  <c r="L22" i="6"/>
  <c r="F22" i="6"/>
  <c r="D22" i="6"/>
  <c r="R21" i="6"/>
  <c r="L21" i="6"/>
  <c r="F21" i="6"/>
  <c r="D21" i="6"/>
  <c r="R20" i="6"/>
  <c r="L20" i="6"/>
  <c r="F20" i="6"/>
  <c r="D20" i="6"/>
  <c r="S19" i="6"/>
  <c r="M19" i="6"/>
  <c r="G19" i="6"/>
  <c r="D19" i="6"/>
  <c r="S18" i="6"/>
  <c r="M18" i="6"/>
  <c r="M37" i="6" s="1"/>
  <c r="M39" i="6" s="1"/>
  <c r="G18" i="6"/>
  <c r="D18" i="6"/>
  <c r="R17" i="6"/>
  <c r="L17" i="6"/>
  <c r="D17" i="6"/>
  <c r="C17" i="6"/>
  <c r="F17" i="6" s="1"/>
  <c r="R16" i="6"/>
  <c r="L16" i="6"/>
  <c r="C16" i="6"/>
  <c r="S15" i="6"/>
  <c r="S37" i="6" s="1"/>
  <c r="S39" i="6" s="1"/>
  <c r="M15" i="6"/>
  <c r="G15" i="6"/>
  <c r="G37" i="6" s="1"/>
  <c r="D15" i="6"/>
  <c r="R14" i="6"/>
  <c r="L14" i="6"/>
  <c r="L37" i="6" s="1"/>
  <c r="L39" i="6" s="1"/>
  <c r="C14" i="6"/>
  <c r="C37" i="6" s="1"/>
  <c r="C39" i="6" s="1"/>
  <c r="I9" i="6"/>
  <c r="G9" i="6"/>
  <c r="C9" i="6"/>
  <c r="M25" i="1"/>
  <c r="A246" i="5"/>
  <c r="A247" i="5" s="1"/>
  <c r="A248" i="5" s="1"/>
  <c r="A249" i="5" s="1"/>
  <c r="A250" i="5" s="1"/>
  <c r="A251" i="5" s="1"/>
  <c r="A252" i="5" s="1"/>
  <c r="A253" i="5" s="1"/>
  <c r="A254" i="5" s="1"/>
  <c r="A255" i="5" s="1"/>
  <c r="A256" i="5" s="1"/>
  <c r="D231" i="5"/>
  <c r="A231" i="5"/>
  <c r="A232" i="5" s="1"/>
  <c r="A233" i="5" s="1"/>
  <c r="A234" i="5" s="1"/>
  <c r="A235" i="5" s="1"/>
  <c r="A236" i="5" s="1"/>
  <c r="A237" i="5" s="1"/>
  <c r="A238" i="5" s="1"/>
  <c r="A239" i="5" s="1"/>
  <c r="A240" i="5" s="1"/>
  <c r="A241" i="5" s="1"/>
  <c r="D230" i="5"/>
  <c r="D228" i="5"/>
  <c r="F228" i="5" s="1"/>
  <c r="G228" i="5" s="1"/>
  <c r="D227" i="5"/>
  <c r="F227" i="5" s="1"/>
  <c r="D226" i="5"/>
  <c r="D225" i="5"/>
  <c r="F225" i="5" s="1"/>
  <c r="D224" i="5"/>
  <c r="D223" i="5"/>
  <c r="F223" i="5" s="1"/>
  <c r="D222" i="5"/>
  <c r="D221" i="5"/>
  <c r="F221" i="5" s="1"/>
  <c r="D220" i="5"/>
  <c r="D219" i="5"/>
  <c r="F219" i="5" s="1"/>
  <c r="G219" i="5" s="1"/>
  <c r="D218" i="5"/>
  <c r="A218" i="5"/>
  <c r="A219" i="5" s="1"/>
  <c r="A220" i="5" s="1"/>
  <c r="A221" i="5" s="1"/>
  <c r="A222" i="5" s="1"/>
  <c r="A223" i="5" s="1"/>
  <c r="A224" i="5" s="1"/>
  <c r="A225" i="5" s="1"/>
  <c r="A226" i="5" s="1"/>
  <c r="A227" i="5" s="1"/>
  <c r="A228" i="5" s="1"/>
  <c r="D217" i="5"/>
  <c r="F217" i="5" s="1"/>
  <c r="D215" i="5"/>
  <c r="D214" i="5"/>
  <c r="D213" i="5"/>
  <c r="F213" i="5" s="1"/>
  <c r="D212" i="5"/>
  <c r="D211" i="5"/>
  <c r="F211" i="5" s="1"/>
  <c r="D210" i="5"/>
  <c r="D209" i="5"/>
  <c r="F209" i="5" s="1"/>
  <c r="D208" i="5"/>
  <c r="D207" i="5"/>
  <c r="F207" i="5" s="1"/>
  <c r="D206" i="5"/>
  <c r="D205" i="5"/>
  <c r="F205" i="5" s="1"/>
  <c r="A205" i="5"/>
  <c r="A206" i="5" s="1"/>
  <c r="A207" i="5" s="1"/>
  <c r="A208" i="5" s="1"/>
  <c r="A209" i="5" s="1"/>
  <c r="A210" i="5" s="1"/>
  <c r="A211" i="5" s="1"/>
  <c r="A212" i="5" s="1"/>
  <c r="A213" i="5" s="1"/>
  <c r="A214" i="5" s="1"/>
  <c r="A215" i="5" s="1"/>
  <c r="D204" i="5"/>
  <c r="F204" i="5" s="1"/>
  <c r="S204" i="5" s="1"/>
  <c r="D202" i="5"/>
  <c r="F202" i="5" s="1"/>
  <c r="S202" i="5" s="1"/>
  <c r="D201" i="5"/>
  <c r="F201" i="5" s="1"/>
  <c r="D200" i="5"/>
  <c r="F200" i="5" s="1"/>
  <c r="D199" i="5"/>
  <c r="F199" i="5" s="1"/>
  <c r="S199" i="5" s="1"/>
  <c r="D198" i="5"/>
  <c r="F198" i="5" s="1"/>
  <c r="S198" i="5" s="1"/>
  <c r="D197" i="5"/>
  <c r="F197" i="5" s="1"/>
  <c r="D196" i="5"/>
  <c r="F196" i="5" s="1"/>
  <c r="D195" i="5"/>
  <c r="F195" i="5" s="1"/>
  <c r="S195" i="5" s="1"/>
  <c r="D194" i="5"/>
  <c r="F194" i="5" s="1"/>
  <c r="S194" i="5" s="1"/>
  <c r="D193" i="5"/>
  <c r="F193" i="5" s="1"/>
  <c r="D192" i="5"/>
  <c r="F192" i="5" s="1"/>
  <c r="A192" i="5"/>
  <c r="A193" i="5" s="1"/>
  <c r="A194" i="5" s="1"/>
  <c r="A195" i="5" s="1"/>
  <c r="A196" i="5" s="1"/>
  <c r="A197" i="5" s="1"/>
  <c r="A198" i="5" s="1"/>
  <c r="A199" i="5" s="1"/>
  <c r="A200" i="5" s="1"/>
  <c r="A201" i="5" s="1"/>
  <c r="A202" i="5" s="1"/>
  <c r="D191" i="5"/>
  <c r="F191" i="5" s="1"/>
  <c r="S191" i="5" s="1"/>
  <c r="D189" i="5"/>
  <c r="D188" i="5"/>
  <c r="D187" i="5"/>
  <c r="F187" i="5" s="1"/>
  <c r="D186" i="5"/>
  <c r="D185" i="5"/>
  <c r="F185" i="5" s="1"/>
  <c r="S185" i="5" s="1"/>
  <c r="D184" i="5"/>
  <c r="F184" i="5" s="1"/>
  <c r="S184" i="5" s="1"/>
  <c r="D183" i="5"/>
  <c r="F183" i="5" s="1"/>
  <c r="D182" i="5"/>
  <c r="D181" i="5"/>
  <c r="D180" i="5"/>
  <c r="F180" i="5" s="1"/>
  <c r="S180" i="5" s="1"/>
  <c r="D179" i="5"/>
  <c r="F179" i="5" s="1"/>
  <c r="D178" i="5"/>
  <c r="D176" i="5"/>
  <c r="F176" i="5" s="1"/>
  <c r="S176" i="5" s="1"/>
  <c r="D175" i="5"/>
  <c r="D174" i="5"/>
  <c r="F174" i="5" s="1"/>
  <c r="S174" i="5" s="1"/>
  <c r="D173" i="5"/>
  <c r="D172" i="5"/>
  <c r="D171" i="5"/>
  <c r="D170" i="5"/>
  <c r="F170" i="5" s="1"/>
  <c r="S170" i="5" s="1"/>
  <c r="D169" i="5"/>
  <c r="D168" i="5"/>
  <c r="F168" i="5" s="1"/>
  <c r="S168" i="5" s="1"/>
  <c r="D167" i="5"/>
  <c r="F167" i="5" s="1"/>
  <c r="D166" i="5"/>
  <c r="D165" i="5"/>
  <c r="D163" i="5"/>
  <c r="F163" i="5" s="1"/>
  <c r="S163" i="5" s="1"/>
  <c r="D162" i="5"/>
  <c r="F162" i="5" s="1"/>
  <c r="D161" i="5"/>
  <c r="D160" i="5"/>
  <c r="F160" i="5" s="1"/>
  <c r="S160" i="5" s="1"/>
  <c r="D159" i="5"/>
  <c r="F159" i="5" s="1"/>
  <c r="S159" i="5" s="1"/>
  <c r="D158" i="5"/>
  <c r="F158" i="5" s="1"/>
  <c r="D157" i="5"/>
  <c r="D156" i="5"/>
  <c r="D155" i="5"/>
  <c r="F155" i="5" s="1"/>
  <c r="D154" i="5"/>
  <c r="F154" i="5" s="1"/>
  <c r="D153" i="5"/>
  <c r="D152" i="5"/>
  <c r="D150" i="5"/>
  <c r="D149" i="5"/>
  <c r="F149" i="5" s="1"/>
  <c r="D148" i="5"/>
  <c r="D147" i="5"/>
  <c r="F147" i="5" s="1"/>
  <c r="D146" i="5"/>
  <c r="D145" i="5"/>
  <c r="F145" i="5" s="1"/>
  <c r="D144" i="5"/>
  <c r="D143" i="5"/>
  <c r="F143" i="5" s="1"/>
  <c r="D142" i="5"/>
  <c r="D141" i="5"/>
  <c r="F141" i="5" s="1"/>
  <c r="D140" i="5"/>
  <c r="D139" i="5"/>
  <c r="D137" i="5"/>
  <c r="F137" i="5" s="1"/>
  <c r="D136" i="5"/>
  <c r="D135" i="5"/>
  <c r="D134" i="5"/>
  <c r="F134" i="5" s="1"/>
  <c r="S134" i="5" s="1"/>
  <c r="D133" i="5"/>
  <c r="F133" i="5" s="1"/>
  <c r="D132" i="5"/>
  <c r="D131" i="5"/>
  <c r="D130" i="5"/>
  <c r="F130" i="5" s="1"/>
  <c r="S130" i="5" s="1"/>
  <c r="D129" i="5"/>
  <c r="F129" i="5" s="1"/>
  <c r="D128" i="5"/>
  <c r="D127" i="5"/>
  <c r="D126" i="5"/>
  <c r="F126" i="5" s="1"/>
  <c r="S126" i="5" s="1"/>
  <c r="D124" i="5"/>
  <c r="F124" i="5" s="1"/>
  <c r="D123" i="5"/>
  <c r="D122" i="5"/>
  <c r="F122" i="5" s="1"/>
  <c r="S122" i="5" s="1"/>
  <c r="D121" i="5"/>
  <c r="F121" i="5" s="1"/>
  <c r="S121" i="5" s="1"/>
  <c r="D120" i="5"/>
  <c r="F120" i="5" s="1"/>
  <c r="D119" i="5"/>
  <c r="D118" i="5"/>
  <c r="F118" i="5" s="1"/>
  <c r="S118" i="5" s="1"/>
  <c r="D117" i="5"/>
  <c r="F117" i="5" s="1"/>
  <c r="D116" i="5"/>
  <c r="F116" i="5" s="1"/>
  <c r="D115" i="5"/>
  <c r="D114" i="5"/>
  <c r="D113" i="5"/>
  <c r="F113" i="5" s="1"/>
  <c r="S113" i="5" s="1"/>
  <c r="D111" i="5"/>
  <c r="F111" i="5" s="1"/>
  <c r="D110" i="5"/>
  <c r="D109" i="5"/>
  <c r="F109" i="5" s="1"/>
  <c r="D108" i="5"/>
  <c r="D107" i="5"/>
  <c r="F107" i="5" s="1"/>
  <c r="D106" i="5"/>
  <c r="D105" i="5"/>
  <c r="D104" i="5"/>
  <c r="D103" i="5"/>
  <c r="F103" i="5" s="1"/>
  <c r="D102" i="5"/>
  <c r="F102" i="5" s="1"/>
  <c r="D101" i="5"/>
  <c r="D100" i="5"/>
  <c r="D98" i="5"/>
  <c r="F98" i="5" s="1"/>
  <c r="S98" i="5" s="1"/>
  <c r="D97" i="5"/>
  <c r="F97" i="5" s="1"/>
  <c r="D96" i="5"/>
  <c r="D95" i="5"/>
  <c r="D94" i="5"/>
  <c r="F94" i="5" s="1"/>
  <c r="S94" i="5" s="1"/>
  <c r="D93" i="5"/>
  <c r="F93" i="5" s="1"/>
  <c r="D92" i="5"/>
  <c r="D91" i="5"/>
  <c r="D90" i="5"/>
  <c r="F90" i="5" s="1"/>
  <c r="S90" i="5" s="1"/>
  <c r="D89" i="5"/>
  <c r="F89" i="5" s="1"/>
  <c r="D88" i="5"/>
  <c r="D87" i="5"/>
  <c r="D85" i="5"/>
  <c r="F85" i="5" s="1"/>
  <c r="S85" i="5" s="1"/>
  <c r="D84" i="5"/>
  <c r="F84" i="5" s="1"/>
  <c r="D83" i="5"/>
  <c r="D82" i="5"/>
  <c r="D81" i="5"/>
  <c r="F81" i="5" s="1"/>
  <c r="S81" i="5" s="1"/>
  <c r="D80" i="5"/>
  <c r="F80" i="5" s="1"/>
  <c r="D79" i="5"/>
  <c r="D78" i="5"/>
  <c r="D77" i="5"/>
  <c r="F77" i="5" s="1"/>
  <c r="S77" i="5" s="1"/>
  <c r="D76" i="5"/>
  <c r="F76" i="5" s="1"/>
  <c r="D75" i="5"/>
  <c r="D74" i="5"/>
  <c r="D72" i="5"/>
  <c r="F72" i="5" s="1"/>
  <c r="S72" i="5" s="1"/>
  <c r="D71" i="5"/>
  <c r="F71" i="5" s="1"/>
  <c r="D70" i="5"/>
  <c r="D69" i="5"/>
  <c r="D68" i="5"/>
  <c r="F68" i="5" s="1"/>
  <c r="S68" i="5" s="1"/>
  <c r="D67" i="5"/>
  <c r="F67" i="5" s="1"/>
  <c r="S67" i="5" s="1"/>
  <c r="D65" i="5"/>
  <c r="D64" i="5"/>
  <c r="F64" i="5" s="1"/>
  <c r="S64" i="5" s="1"/>
  <c r="D63" i="5"/>
  <c r="D62" i="5"/>
  <c r="D61" i="5"/>
  <c r="D60" i="5"/>
  <c r="D59" i="5"/>
  <c r="F58" i="5"/>
  <c r="D58" i="5"/>
  <c r="D57" i="5"/>
  <c r="D56" i="5"/>
  <c r="F56" i="5" s="1"/>
  <c r="S56" i="5" s="1"/>
  <c r="D55" i="5"/>
  <c r="D54" i="5"/>
  <c r="F54" i="5" s="1"/>
  <c r="D52" i="5"/>
  <c r="D51" i="5"/>
  <c r="F51" i="5" s="1"/>
  <c r="D50" i="5"/>
  <c r="D49" i="5"/>
  <c r="F49" i="5" s="1"/>
  <c r="D48" i="5"/>
  <c r="D47" i="5"/>
  <c r="F47" i="5" s="1"/>
  <c r="D46" i="5"/>
  <c r="D45" i="5"/>
  <c r="D44" i="5"/>
  <c r="D43" i="5"/>
  <c r="F43" i="5" s="1"/>
  <c r="S43" i="5" s="1"/>
  <c r="D42" i="5"/>
  <c r="D41" i="5"/>
  <c r="F41" i="5" s="1"/>
  <c r="D39" i="5"/>
  <c r="D38" i="5"/>
  <c r="F38" i="5" s="1"/>
  <c r="D37" i="5"/>
  <c r="D36" i="5"/>
  <c r="F36" i="5" s="1"/>
  <c r="S36" i="5" s="1"/>
  <c r="D35" i="5"/>
  <c r="D34" i="5"/>
  <c r="F34" i="5" s="1"/>
  <c r="S34" i="5" s="1"/>
  <c r="D33" i="5"/>
  <c r="D32" i="5"/>
  <c r="F32" i="5" s="1"/>
  <c r="S32" i="5" s="1"/>
  <c r="D31" i="5"/>
  <c r="D30" i="5"/>
  <c r="D29" i="5"/>
  <c r="D28" i="5"/>
  <c r="F28" i="5" s="1"/>
  <c r="S28" i="5" s="1"/>
  <c r="D26" i="5"/>
  <c r="D25" i="5"/>
  <c r="D24" i="5"/>
  <c r="D23" i="5"/>
  <c r="F23" i="5" s="1"/>
  <c r="S23" i="5" s="1"/>
  <c r="D22" i="5"/>
  <c r="D21" i="5"/>
  <c r="D20" i="5"/>
  <c r="D19" i="5"/>
  <c r="F19" i="5" s="1"/>
  <c r="S19" i="5" s="1"/>
  <c r="D18" i="5"/>
  <c r="D17" i="5"/>
  <c r="F17" i="5" s="1"/>
  <c r="S17" i="5" s="1"/>
  <c r="D16" i="5"/>
  <c r="D15" i="5"/>
  <c r="F15" i="5" s="1"/>
  <c r="S15" i="5" s="1"/>
  <c r="M21" i="1"/>
  <c r="A48" i="4"/>
  <c r="A47" i="4"/>
  <c r="A46" i="4"/>
  <c r="A45" i="4"/>
  <c r="A44" i="4"/>
  <c r="A43" i="4"/>
  <c r="A42" i="4"/>
  <c r="A41" i="4"/>
  <c r="A40" i="4"/>
  <c r="A39" i="4"/>
  <c r="A38" i="4"/>
  <c r="A37" i="4"/>
  <c r="A36" i="4"/>
  <c r="A35" i="4"/>
  <c r="A34" i="4"/>
  <c r="A33" i="4"/>
  <c r="A32" i="4"/>
  <c r="N31" i="4"/>
  <c r="M31" i="4"/>
  <c r="L31" i="4"/>
  <c r="K31" i="4"/>
  <c r="J31" i="4"/>
  <c r="A31" i="4"/>
  <c r="Q30" i="4"/>
  <c r="P30" i="4"/>
  <c r="R30" i="4" s="1"/>
  <c r="A30" i="4"/>
  <c r="O29" i="4"/>
  <c r="L29" i="4"/>
  <c r="L32" i="4" s="1"/>
  <c r="K29" i="4"/>
  <c r="K32" i="4" s="1"/>
  <c r="H29" i="4"/>
  <c r="H32" i="4" s="1"/>
  <c r="G29" i="4"/>
  <c r="G32" i="4" s="1"/>
  <c r="A29" i="4"/>
  <c r="A28" i="4"/>
  <c r="O27" i="4"/>
  <c r="N27" i="4"/>
  <c r="K27" i="4"/>
  <c r="J27" i="4"/>
  <c r="G27" i="4"/>
  <c r="F27" i="4"/>
  <c r="A27" i="4"/>
  <c r="Q27" i="4"/>
  <c r="O31" i="4"/>
  <c r="O32" i="4" s="1"/>
  <c r="A26" i="4"/>
  <c r="R25" i="4"/>
  <c r="A25" i="4"/>
  <c r="N29" i="4"/>
  <c r="L27" i="4"/>
  <c r="J29" i="4"/>
  <c r="H27" i="4"/>
  <c r="A24" i="4"/>
  <c r="A23" i="4"/>
  <c r="A22" i="4"/>
  <c r="A21" i="4"/>
  <c r="A20" i="4"/>
  <c r="A19" i="4"/>
  <c r="A18" i="4"/>
  <c r="A17" i="4"/>
  <c r="A16" i="4"/>
  <c r="A15" i="4"/>
  <c r="R14" i="4"/>
  <c r="D28" i="3" s="1"/>
  <c r="A14" i="4"/>
  <c r="A13" i="4"/>
  <c r="A12" i="4"/>
  <c r="A11" i="4"/>
  <c r="R10" i="4"/>
  <c r="D20" i="3" s="1"/>
  <c r="A10" i="4"/>
  <c r="A9" i="4"/>
  <c r="P16" i="4"/>
  <c r="P21" i="4" s="1"/>
  <c r="L16" i="4"/>
  <c r="L21" i="4" s="1"/>
  <c r="L34" i="4" s="1"/>
  <c r="L35" i="4" s="1"/>
  <c r="L38" i="4" s="1"/>
  <c r="L41" i="4" s="1"/>
  <c r="H16" i="4"/>
  <c r="H21" i="4" s="1"/>
  <c r="H34" i="4" s="1"/>
  <c r="H35" i="4" s="1"/>
  <c r="H38" i="4" s="1"/>
  <c r="H41" i="4" s="1"/>
  <c r="A8" i="4"/>
  <c r="A7" i="4"/>
  <c r="A6" i="4"/>
  <c r="M19" i="1"/>
  <c r="A37" i="3"/>
  <c r="A38" i="3" s="1"/>
  <c r="A39" i="3" s="1"/>
  <c r="A40" i="3" s="1"/>
  <c r="A41" i="3" s="1"/>
  <c r="A42" i="3" s="1"/>
  <c r="A43" i="3" s="1"/>
  <c r="A44" i="3" s="1"/>
  <c r="A45" i="3" s="1"/>
  <c r="A46" i="3" s="1"/>
  <c r="A47" i="3" s="1"/>
  <c r="M17" i="1"/>
  <c r="I29" i="2"/>
  <c r="C29" i="2" s="1"/>
  <c r="K28" i="2"/>
  <c r="K27" i="2"/>
  <c r="E27" i="2"/>
  <c r="G27" i="2" s="1"/>
  <c r="K26" i="2"/>
  <c r="E26" i="2"/>
  <c r="G26" i="2" s="1"/>
  <c r="K25" i="2"/>
  <c r="E25" i="2"/>
  <c r="G25" i="2" s="1"/>
  <c r="K24" i="2"/>
  <c r="E24" i="2"/>
  <c r="G24" i="2" s="1"/>
  <c r="K23" i="2"/>
  <c r="E23" i="2"/>
  <c r="G23" i="2" s="1"/>
  <c r="K22" i="2"/>
  <c r="G22" i="2"/>
  <c r="E22" i="2"/>
  <c r="K21" i="2"/>
  <c r="E21" i="2"/>
  <c r="G21" i="2" s="1"/>
  <c r="K20" i="2"/>
  <c r="E20" i="2"/>
  <c r="G20" i="2" s="1"/>
  <c r="K19" i="2"/>
  <c r="E19" i="2"/>
  <c r="G19" i="2" s="1"/>
  <c r="K18" i="2"/>
  <c r="G18" i="2"/>
  <c r="E18" i="2"/>
  <c r="K17" i="2"/>
  <c r="E17" i="2"/>
  <c r="G17" i="2" s="1"/>
  <c r="K16" i="2"/>
  <c r="E16" i="2"/>
  <c r="G16" i="2" s="1"/>
  <c r="K15" i="2"/>
  <c r="E15" i="2"/>
  <c r="G15" i="2" s="1"/>
  <c r="K14" i="2"/>
  <c r="G14" i="2"/>
  <c r="E14" i="2"/>
  <c r="K13" i="2"/>
  <c r="E13" i="2"/>
  <c r="G13" i="2" s="1"/>
  <c r="K12" i="2"/>
  <c r="E12" i="2"/>
  <c r="G12" i="2" s="1"/>
  <c r="K11" i="2"/>
  <c r="E11" i="2"/>
  <c r="M15" i="1"/>
  <c r="M29" i="1"/>
  <c r="M27" i="1"/>
  <c r="D14" i="6" l="1"/>
  <c r="G77" i="5"/>
  <c r="G68" i="5"/>
  <c r="G94" i="5"/>
  <c r="F25" i="5"/>
  <c r="S25" i="5" s="1"/>
  <c r="G85" i="5"/>
  <c r="S227" i="5"/>
  <c r="G227" i="5"/>
  <c r="J227" i="5" s="1"/>
  <c r="S54" i="5"/>
  <c r="G54" i="5"/>
  <c r="J54" i="5" s="1"/>
  <c r="S38" i="5"/>
  <c r="G38" i="5"/>
  <c r="H38" i="5" s="1"/>
  <c r="I38" i="5" s="1"/>
  <c r="S47" i="5"/>
  <c r="G47" i="5"/>
  <c r="J47" i="5" s="1"/>
  <c r="T47" i="5" s="1"/>
  <c r="S51" i="5"/>
  <c r="G51" i="5"/>
  <c r="J51" i="5" s="1"/>
  <c r="T51" i="5" s="1"/>
  <c r="G223" i="5"/>
  <c r="H223" i="5" s="1"/>
  <c r="S223" i="5"/>
  <c r="F21" i="5"/>
  <c r="S21" i="5" s="1"/>
  <c r="G81" i="5"/>
  <c r="G98" i="5"/>
  <c r="J98" i="5" s="1"/>
  <c r="T98" i="5" s="1"/>
  <c r="G118" i="5"/>
  <c r="G122" i="5"/>
  <c r="H122" i="5" s="1"/>
  <c r="G126" i="5"/>
  <c r="H126" i="5" s="1"/>
  <c r="F181" i="5"/>
  <c r="S181" i="5" s="1"/>
  <c r="S219" i="5"/>
  <c r="G17" i="5"/>
  <c r="J17" i="5" s="1"/>
  <c r="F30" i="5"/>
  <c r="S30" i="5" s="1"/>
  <c r="G34" i="5"/>
  <c r="J34" i="5" s="1"/>
  <c r="T34" i="5" s="1"/>
  <c r="F45" i="5"/>
  <c r="S45" i="5" s="1"/>
  <c r="F60" i="5"/>
  <c r="S60" i="5" s="1"/>
  <c r="F62" i="5"/>
  <c r="S62" i="5" s="1"/>
  <c r="G72" i="5"/>
  <c r="H72" i="5" s="1"/>
  <c r="G90" i="5"/>
  <c r="F105" i="5"/>
  <c r="G105" i="5" s="1"/>
  <c r="F114" i="5"/>
  <c r="S114" i="5" s="1"/>
  <c r="H118" i="5"/>
  <c r="K118" i="5" s="1"/>
  <c r="U118" i="5" s="1"/>
  <c r="F127" i="5"/>
  <c r="S127" i="5" s="1"/>
  <c r="G159" i="5"/>
  <c r="G109" i="5"/>
  <c r="H109" i="5" s="1"/>
  <c r="F152" i="5"/>
  <c r="S152" i="5" s="1"/>
  <c r="F156" i="5"/>
  <c r="S156" i="5" s="1"/>
  <c r="G160" i="5"/>
  <c r="F165" i="5"/>
  <c r="S165" i="5" s="1"/>
  <c r="F172" i="5"/>
  <c r="S172" i="5" s="1"/>
  <c r="G176" i="5"/>
  <c r="H176" i="5" s="1"/>
  <c r="G180" i="5"/>
  <c r="G185" i="5"/>
  <c r="J185" i="5" s="1"/>
  <c r="T185" i="5" s="1"/>
  <c r="F16" i="4"/>
  <c r="F21" i="4" s="1"/>
  <c r="J16" i="4"/>
  <c r="J21" i="4" s="1"/>
  <c r="N16" i="4"/>
  <c r="N21" i="4" s="1"/>
  <c r="R12" i="4"/>
  <c r="D26" i="3" s="1"/>
  <c r="G26" i="3" s="1"/>
  <c r="I16" i="4"/>
  <c r="I21" i="4" s="1"/>
  <c r="M16" i="4"/>
  <c r="M21" i="4" s="1"/>
  <c r="Q16" i="4"/>
  <c r="Q21" i="4" s="1"/>
  <c r="R19" i="4"/>
  <c r="D15" i="3" s="1"/>
  <c r="G15" i="3" s="1"/>
  <c r="R9" i="4"/>
  <c r="D27" i="3" s="1"/>
  <c r="G27" i="3" s="1"/>
  <c r="E29" i="2"/>
  <c r="G29" i="2" s="1"/>
  <c r="C247" i="5"/>
  <c r="H42" i="4"/>
  <c r="C251" i="5"/>
  <c r="L42" i="4"/>
  <c r="G20" i="3"/>
  <c r="G28" i="3"/>
  <c r="K29" i="2"/>
  <c r="R8" i="4"/>
  <c r="R13" i="4"/>
  <c r="D31" i="3" s="1"/>
  <c r="R20" i="4"/>
  <c r="D16" i="3" s="1"/>
  <c r="F22" i="5"/>
  <c r="S22" i="5" s="1"/>
  <c r="F31" i="5"/>
  <c r="G31" i="5" s="1"/>
  <c r="H31" i="5" s="1"/>
  <c r="F39" i="5"/>
  <c r="S39" i="5" s="1"/>
  <c r="F50" i="5"/>
  <c r="S50" i="5" s="1"/>
  <c r="F59" i="5"/>
  <c r="S59" i="5" s="1"/>
  <c r="J72" i="5"/>
  <c r="T72" i="5" s="1"/>
  <c r="J90" i="5"/>
  <c r="T90" i="5" s="1"/>
  <c r="H90" i="5"/>
  <c r="S103" i="5"/>
  <c r="S116" i="5"/>
  <c r="G116" i="5"/>
  <c r="H116" i="5" s="1"/>
  <c r="I116" i="5" s="1"/>
  <c r="G11" i="2"/>
  <c r="G16" i="4"/>
  <c r="G21" i="4" s="1"/>
  <c r="G34" i="4" s="1"/>
  <c r="G35" i="4" s="1"/>
  <c r="G38" i="4" s="1"/>
  <c r="G41" i="4" s="1"/>
  <c r="K16" i="4"/>
  <c r="K21" i="4" s="1"/>
  <c r="K34" i="4" s="1"/>
  <c r="K35" i="4" s="1"/>
  <c r="K38" i="4" s="1"/>
  <c r="K41" i="4" s="1"/>
  <c r="O16" i="4"/>
  <c r="O21" i="4" s="1"/>
  <c r="O34" i="4" s="1"/>
  <c r="O35" i="4" s="1"/>
  <c r="R11" i="4"/>
  <c r="D32" i="3" s="1"/>
  <c r="P31" i="4"/>
  <c r="R31" i="4" s="1"/>
  <c r="P27" i="4"/>
  <c r="Q32" i="4"/>
  <c r="Q31" i="4"/>
  <c r="G15" i="5"/>
  <c r="H15" i="5" s="1"/>
  <c r="I15" i="5" s="1"/>
  <c r="F20" i="5"/>
  <c r="G20" i="5" s="1"/>
  <c r="G23" i="5"/>
  <c r="F29" i="5"/>
  <c r="G32" i="5"/>
  <c r="H32" i="5" s="1"/>
  <c r="I32" i="5" s="1"/>
  <c r="F37" i="5"/>
  <c r="G37" i="5" s="1"/>
  <c r="F48" i="5"/>
  <c r="S48" i="5" s="1"/>
  <c r="T54" i="5"/>
  <c r="F57" i="5"/>
  <c r="S57" i="5" s="1"/>
  <c r="F65" i="5"/>
  <c r="S65" i="5" s="1"/>
  <c r="J68" i="5"/>
  <c r="T68" i="5" s="1"/>
  <c r="H68" i="5"/>
  <c r="J85" i="5"/>
  <c r="T85" i="5" s="1"/>
  <c r="H85" i="5"/>
  <c r="I27" i="4"/>
  <c r="I29" i="4"/>
  <c r="I32" i="4" s="1"/>
  <c r="I34" i="4" s="1"/>
  <c r="I35" i="4" s="1"/>
  <c r="I38" i="4" s="1"/>
  <c r="I41" i="4" s="1"/>
  <c r="M27" i="4"/>
  <c r="M29" i="4"/>
  <c r="M32" i="4" s="1"/>
  <c r="F18" i="5"/>
  <c r="S18" i="5" s="1"/>
  <c r="F26" i="5"/>
  <c r="S26" i="5" s="1"/>
  <c r="F35" i="5"/>
  <c r="S35" i="5" s="1"/>
  <c r="S41" i="5"/>
  <c r="G41" i="5"/>
  <c r="J81" i="5"/>
  <c r="T81" i="5" s="1"/>
  <c r="H81" i="5"/>
  <c r="I81" i="5" s="1"/>
  <c r="J159" i="5"/>
  <c r="T159" i="5" s="1"/>
  <c r="G28" i="2"/>
  <c r="J29" i="2"/>
  <c r="R15" i="4"/>
  <c r="D24" i="3" s="1"/>
  <c r="F29" i="4"/>
  <c r="R24" i="4"/>
  <c r="J32" i="4"/>
  <c r="J34" i="4" s="1"/>
  <c r="J35" i="4" s="1"/>
  <c r="J38" i="4" s="1"/>
  <c r="J41" i="4" s="1"/>
  <c r="N32" i="4"/>
  <c r="N34" i="4" s="1"/>
  <c r="N35" i="4" s="1"/>
  <c r="N38" i="4" s="1"/>
  <c r="N41" i="4" s="1"/>
  <c r="F16" i="5"/>
  <c r="G16" i="5" s="1"/>
  <c r="G19" i="5"/>
  <c r="H19" i="5" s="1"/>
  <c r="F24" i="5"/>
  <c r="G24" i="5" s="1"/>
  <c r="G28" i="5"/>
  <c r="H28" i="5" s="1"/>
  <c r="F33" i="5"/>
  <c r="G33" i="5" s="1"/>
  <c r="G36" i="5"/>
  <c r="J38" i="5"/>
  <c r="T38" i="5" s="1"/>
  <c r="F42" i="5"/>
  <c r="G42" i="5" s="1"/>
  <c r="G43" i="5"/>
  <c r="S49" i="5"/>
  <c r="G49" i="5"/>
  <c r="H49" i="5" s="1"/>
  <c r="S58" i="5"/>
  <c r="G58" i="5"/>
  <c r="J77" i="5"/>
  <c r="T77" i="5" s="1"/>
  <c r="H77" i="5"/>
  <c r="I77" i="5" s="1"/>
  <c r="J94" i="5"/>
  <c r="T94" i="5" s="1"/>
  <c r="H94" i="5"/>
  <c r="S167" i="5"/>
  <c r="G167" i="5"/>
  <c r="H167" i="5" s="1"/>
  <c r="I167" i="5" s="1"/>
  <c r="F69" i="5"/>
  <c r="S69" i="5" s="1"/>
  <c r="S71" i="5"/>
  <c r="F74" i="5"/>
  <c r="S74" i="5" s="1"/>
  <c r="S76" i="5"/>
  <c r="F78" i="5"/>
  <c r="S78" i="5" s="1"/>
  <c r="S80" i="5"/>
  <c r="F82" i="5"/>
  <c r="S82" i="5" s="1"/>
  <c r="S84" i="5"/>
  <c r="F87" i="5"/>
  <c r="S87" i="5" s="1"/>
  <c r="S89" i="5"/>
  <c r="F91" i="5"/>
  <c r="S91" i="5" s="1"/>
  <c r="S93" i="5"/>
  <c r="F95" i="5"/>
  <c r="S95" i="5" s="1"/>
  <c r="S97" i="5"/>
  <c r="F100" i="5"/>
  <c r="S100" i="5" s="1"/>
  <c r="S102" i="5"/>
  <c r="S109" i="5"/>
  <c r="S137" i="5"/>
  <c r="G137" i="5"/>
  <c r="H137" i="5" s="1"/>
  <c r="R26" i="4"/>
  <c r="H36" i="5"/>
  <c r="F46" i="5"/>
  <c r="F55" i="5"/>
  <c r="G55" i="5" s="1"/>
  <c r="H55" i="5" s="1"/>
  <c r="F63" i="5"/>
  <c r="G63" i="5" s="1"/>
  <c r="H63" i="5" s="1"/>
  <c r="G67" i="5"/>
  <c r="H67" i="5" s="1"/>
  <c r="G71" i="5"/>
  <c r="H71" i="5" s="1"/>
  <c r="G76" i="5"/>
  <c r="H76" i="5" s="1"/>
  <c r="G80" i="5"/>
  <c r="H80" i="5" s="1"/>
  <c r="G84" i="5"/>
  <c r="G89" i="5"/>
  <c r="H89" i="5" s="1"/>
  <c r="G93" i="5"/>
  <c r="G97" i="5"/>
  <c r="H97" i="5" s="1"/>
  <c r="G102" i="5"/>
  <c r="G107" i="5"/>
  <c r="H107" i="5" s="1"/>
  <c r="S107" i="5"/>
  <c r="S111" i="5"/>
  <c r="G111" i="5"/>
  <c r="S129" i="5"/>
  <c r="G129" i="5"/>
  <c r="H129" i="5" s="1"/>
  <c r="S143" i="5"/>
  <c r="S145" i="5"/>
  <c r="S155" i="5"/>
  <c r="G155" i="5"/>
  <c r="J180" i="5"/>
  <c r="T180" i="5" s="1"/>
  <c r="F44" i="5"/>
  <c r="G44" i="5" s="1"/>
  <c r="F52" i="5"/>
  <c r="G56" i="5"/>
  <c r="H56" i="5" s="1"/>
  <c r="F61" i="5"/>
  <c r="G61" i="5" s="1"/>
  <c r="G64" i="5"/>
  <c r="H64" i="5" s="1"/>
  <c r="I64" i="5" s="1"/>
  <c r="F70" i="5"/>
  <c r="G70" i="5" s="1"/>
  <c r="F75" i="5"/>
  <c r="G75" i="5" s="1"/>
  <c r="F79" i="5"/>
  <c r="G79" i="5" s="1"/>
  <c r="F83" i="5"/>
  <c r="G83" i="5" s="1"/>
  <c r="F88" i="5"/>
  <c r="G88" i="5" s="1"/>
  <c r="F92" i="5"/>
  <c r="G92" i="5" s="1"/>
  <c r="F96" i="5"/>
  <c r="G96" i="5" s="1"/>
  <c r="F101" i="5"/>
  <c r="G101" i="5" s="1"/>
  <c r="S105" i="5"/>
  <c r="S117" i="5"/>
  <c r="G117" i="5"/>
  <c r="F119" i="5"/>
  <c r="S119" i="5" s="1"/>
  <c r="G121" i="5"/>
  <c r="H121" i="5" s="1"/>
  <c r="F123" i="5"/>
  <c r="F132" i="5"/>
  <c r="S132" i="5" s="1"/>
  <c r="G134" i="5"/>
  <c r="H134" i="5" s="1"/>
  <c r="H43" i="5"/>
  <c r="H47" i="5"/>
  <c r="H51" i="5"/>
  <c r="H54" i="5"/>
  <c r="I54" i="5" s="1"/>
  <c r="H58" i="5"/>
  <c r="I68" i="5"/>
  <c r="I85" i="5"/>
  <c r="I94" i="5"/>
  <c r="F104" i="5"/>
  <c r="F106" i="5"/>
  <c r="G106" i="5" s="1"/>
  <c r="H106" i="5" s="1"/>
  <c r="F108" i="5"/>
  <c r="G108" i="5" s="1"/>
  <c r="F110" i="5"/>
  <c r="G110" i="5" s="1"/>
  <c r="F115" i="5"/>
  <c r="S115" i="5" s="1"/>
  <c r="J122" i="5"/>
  <c r="T122" i="5" s="1"/>
  <c r="S124" i="5"/>
  <c r="G124" i="5"/>
  <c r="S141" i="5"/>
  <c r="S149" i="5"/>
  <c r="F173" i="5"/>
  <c r="S173" i="5" s="1"/>
  <c r="G113" i="5"/>
  <c r="H113" i="5" s="1"/>
  <c r="I113" i="5" s="1"/>
  <c r="J118" i="5"/>
  <c r="T118" i="5" s="1"/>
  <c r="S120" i="5"/>
  <c r="G120" i="5"/>
  <c r="H120" i="5" s="1"/>
  <c r="F128" i="5"/>
  <c r="G128" i="5" s="1"/>
  <c r="G130" i="5"/>
  <c r="S133" i="5"/>
  <c r="G133" i="5"/>
  <c r="H133" i="5" s="1"/>
  <c r="F136" i="5"/>
  <c r="S147" i="5"/>
  <c r="F157" i="5"/>
  <c r="S157" i="5" s="1"/>
  <c r="G103" i="5"/>
  <c r="H117" i="5"/>
  <c r="I118" i="5"/>
  <c r="F140" i="5"/>
  <c r="S140" i="5" s="1"/>
  <c r="F142" i="5"/>
  <c r="S142" i="5" s="1"/>
  <c r="F144" i="5"/>
  <c r="S144" i="5" s="1"/>
  <c r="F146" i="5"/>
  <c r="S146" i="5" s="1"/>
  <c r="F148" i="5"/>
  <c r="S148" i="5" s="1"/>
  <c r="F150" i="5"/>
  <c r="S150" i="5" s="1"/>
  <c r="F153" i="5"/>
  <c r="G153" i="5" s="1"/>
  <c r="J160" i="5"/>
  <c r="T160" i="5" s="1"/>
  <c r="S162" i="5"/>
  <c r="G162" i="5"/>
  <c r="H162" i="5" s="1"/>
  <c r="F171" i="5"/>
  <c r="S171" i="5" s="1"/>
  <c r="H185" i="5"/>
  <c r="S205" i="5"/>
  <c r="G205" i="5"/>
  <c r="S207" i="5"/>
  <c r="G207" i="5"/>
  <c r="H207" i="5" s="1"/>
  <c r="I207" i="5" s="1"/>
  <c r="D241" i="5"/>
  <c r="D235" i="5"/>
  <c r="D237" i="5"/>
  <c r="F131" i="5"/>
  <c r="G131" i="5" s="1"/>
  <c r="F135" i="5"/>
  <c r="G135" i="5" s="1"/>
  <c r="S158" i="5"/>
  <c r="G158" i="5"/>
  <c r="H158" i="5" s="1"/>
  <c r="I158" i="5" s="1"/>
  <c r="F166" i="5"/>
  <c r="S166" i="5" s="1"/>
  <c r="G168" i="5"/>
  <c r="H168" i="5" s="1"/>
  <c r="F169" i="5"/>
  <c r="S169" i="5" s="1"/>
  <c r="F178" i="5"/>
  <c r="S178" i="5" s="1"/>
  <c r="G192" i="5"/>
  <c r="H192" i="5" s="1"/>
  <c r="I192" i="5" s="1"/>
  <c r="S192" i="5"/>
  <c r="G196" i="5"/>
  <c r="S196" i="5"/>
  <c r="G200" i="5"/>
  <c r="S200" i="5"/>
  <c r="F139" i="5"/>
  <c r="G143" i="5"/>
  <c r="H143" i="5" s="1"/>
  <c r="I143" i="5" s="1"/>
  <c r="G147" i="5"/>
  <c r="H147" i="5" s="1"/>
  <c r="S154" i="5"/>
  <c r="G154" i="5"/>
  <c r="H154" i="5" s="1"/>
  <c r="H160" i="5"/>
  <c r="I160" i="5" s="1"/>
  <c r="F161" i="5"/>
  <c r="G161" i="5" s="1"/>
  <c r="G163" i="5"/>
  <c r="H163" i="5" s="1"/>
  <c r="I163" i="5" s="1"/>
  <c r="F175" i="5"/>
  <c r="S175" i="5" s="1"/>
  <c r="S187" i="5"/>
  <c r="G187" i="5"/>
  <c r="G141" i="5"/>
  <c r="H141" i="5" s="1"/>
  <c r="G145" i="5"/>
  <c r="H145" i="5" s="1"/>
  <c r="G149" i="5"/>
  <c r="H149" i="5" s="1"/>
  <c r="H159" i="5"/>
  <c r="I159" i="5" s="1"/>
  <c r="S183" i="5"/>
  <c r="G183" i="5"/>
  <c r="H183" i="5" s="1"/>
  <c r="F189" i="5"/>
  <c r="S189" i="5" s="1"/>
  <c r="G193" i="5"/>
  <c r="H193" i="5" s="1"/>
  <c r="G197" i="5"/>
  <c r="G201" i="5"/>
  <c r="H201" i="5" s="1"/>
  <c r="S209" i="5"/>
  <c r="G209" i="5"/>
  <c r="J176" i="5"/>
  <c r="T176" i="5" s="1"/>
  <c r="S179" i="5"/>
  <c r="F186" i="5"/>
  <c r="S186" i="5" s="1"/>
  <c r="G191" i="5"/>
  <c r="H191" i="5" s="1"/>
  <c r="I191" i="5" s="1"/>
  <c r="G194" i="5"/>
  <c r="H194" i="5" s="1"/>
  <c r="G198" i="5"/>
  <c r="G202" i="5"/>
  <c r="S225" i="5"/>
  <c r="F182" i="5"/>
  <c r="G184" i="5"/>
  <c r="H184" i="5" s="1"/>
  <c r="S193" i="5"/>
  <c r="G195" i="5"/>
  <c r="S197" i="5"/>
  <c r="G199" i="5"/>
  <c r="S201" i="5"/>
  <c r="G170" i="5"/>
  <c r="G174" i="5"/>
  <c r="G179" i="5"/>
  <c r="H180" i="5"/>
  <c r="I180" i="5" s="1"/>
  <c r="S217" i="5"/>
  <c r="F218" i="5"/>
  <c r="S218" i="5" s="1"/>
  <c r="J228" i="5"/>
  <c r="T228" i="5" s="1"/>
  <c r="F206" i="5"/>
  <c r="S213" i="5"/>
  <c r="G213" i="5"/>
  <c r="J219" i="5"/>
  <c r="T219" i="5" s="1"/>
  <c r="F222" i="5"/>
  <c r="S222" i="5" s="1"/>
  <c r="S228" i="5"/>
  <c r="F188" i="5"/>
  <c r="G204" i="5"/>
  <c r="S211" i="5"/>
  <c r="G211" i="5"/>
  <c r="H219" i="5"/>
  <c r="S221" i="5"/>
  <c r="F226" i="5"/>
  <c r="S226" i="5" s="1"/>
  <c r="F208" i="5"/>
  <c r="F210" i="5"/>
  <c r="F212" i="5"/>
  <c r="G212" i="5" s="1"/>
  <c r="F214" i="5"/>
  <c r="G214" i="5" s="1"/>
  <c r="F230" i="5"/>
  <c r="S230" i="5" s="1"/>
  <c r="F215" i="5"/>
  <c r="G217" i="5"/>
  <c r="F220" i="5"/>
  <c r="G221" i="5"/>
  <c r="F224" i="5"/>
  <c r="G225" i="5"/>
  <c r="H228" i="5"/>
  <c r="F231" i="5"/>
  <c r="G231" i="5" s="1"/>
  <c r="D233" i="5"/>
  <c r="G43" i="6"/>
  <c r="G39" i="6"/>
  <c r="G44" i="6" s="1"/>
  <c r="R37" i="6"/>
  <c r="R39" i="6" s="1"/>
  <c r="D240" i="5"/>
  <c r="D238" i="5"/>
  <c r="D239" i="5"/>
  <c r="F16" i="6"/>
  <c r="D16" i="6"/>
  <c r="D232" i="5"/>
  <c r="D234" i="5"/>
  <c r="D236" i="5"/>
  <c r="D37" i="6"/>
  <c r="D39" i="6" s="1"/>
  <c r="F14" i="6"/>
  <c r="F37" i="6" l="1"/>
  <c r="T227" i="5"/>
  <c r="G166" i="5"/>
  <c r="I109" i="5"/>
  <c r="M34" i="4"/>
  <c r="M35" i="4" s="1"/>
  <c r="M38" i="4" s="1"/>
  <c r="M41" i="4" s="1"/>
  <c r="J109" i="5"/>
  <c r="T109" i="5" s="1"/>
  <c r="G22" i="5"/>
  <c r="G148" i="5"/>
  <c r="H148" i="5" s="1"/>
  <c r="H130" i="5"/>
  <c r="I130" i="5" s="1"/>
  <c r="L130" i="5" s="1"/>
  <c r="V130" i="5" s="1"/>
  <c r="J126" i="5"/>
  <c r="T126" i="5" s="1"/>
  <c r="P32" i="4"/>
  <c r="P34" i="4" s="1"/>
  <c r="P35" i="4" s="1"/>
  <c r="P39" i="4" s="1"/>
  <c r="P41" i="4" s="1"/>
  <c r="J223" i="5"/>
  <c r="T223" i="5" s="1"/>
  <c r="H34" i="5"/>
  <c r="I34" i="5" s="1"/>
  <c r="G65" i="5"/>
  <c r="H65" i="5" s="1"/>
  <c r="G150" i="5"/>
  <c r="J150" i="5" s="1"/>
  <c r="T150" i="5" s="1"/>
  <c r="H98" i="5"/>
  <c r="G59" i="5"/>
  <c r="G175" i="5"/>
  <c r="K223" i="5"/>
  <c r="U223" i="5" s="1"/>
  <c r="H198" i="5"/>
  <c r="I198" i="5" s="1"/>
  <c r="L198" i="5" s="1"/>
  <c r="V198" i="5" s="1"/>
  <c r="G140" i="5"/>
  <c r="H140" i="5" s="1"/>
  <c r="K140" i="5" s="1"/>
  <c r="U140" i="5" s="1"/>
  <c r="H153" i="5"/>
  <c r="K153" i="5" s="1"/>
  <c r="U153" i="5" s="1"/>
  <c r="G157" i="5"/>
  <c r="H124" i="5"/>
  <c r="I124" i="5" s="1"/>
  <c r="L124" i="5" s="1"/>
  <c r="V124" i="5" s="1"/>
  <c r="G119" i="5"/>
  <c r="G35" i="5"/>
  <c r="G165" i="5"/>
  <c r="G114" i="5"/>
  <c r="G30" i="5"/>
  <c r="H119" i="5"/>
  <c r="K119" i="5" s="1"/>
  <c r="U119" i="5" s="1"/>
  <c r="G226" i="5"/>
  <c r="G178" i="5"/>
  <c r="H178" i="5" s="1"/>
  <c r="G171" i="5"/>
  <c r="H171" i="5" s="1"/>
  <c r="G26" i="5"/>
  <c r="H26" i="5" s="1"/>
  <c r="G62" i="5"/>
  <c r="G172" i="5"/>
  <c r="H172" i="5" s="1"/>
  <c r="K172" i="5" s="1"/>
  <c r="U172" i="5" s="1"/>
  <c r="G25" i="5"/>
  <c r="I176" i="5"/>
  <c r="K176" i="5"/>
  <c r="U176" i="5" s="1"/>
  <c r="J105" i="5"/>
  <c r="T105" i="5" s="1"/>
  <c r="H105" i="5"/>
  <c r="I105" i="5" s="1"/>
  <c r="L105" i="5" s="1"/>
  <c r="V105" i="5" s="1"/>
  <c r="I122" i="5"/>
  <c r="K122" i="5"/>
  <c r="U122" i="5" s="1"/>
  <c r="G182" i="5"/>
  <c r="H182" i="5" s="1"/>
  <c r="H205" i="5"/>
  <c r="I205" i="5" s="1"/>
  <c r="G132" i="5"/>
  <c r="J132" i="5" s="1"/>
  <c r="T132" i="5" s="1"/>
  <c r="I67" i="5"/>
  <c r="L67" i="5" s="1"/>
  <c r="V67" i="5" s="1"/>
  <c r="G48" i="5"/>
  <c r="I183" i="5"/>
  <c r="G144" i="5"/>
  <c r="H144" i="5" s="1"/>
  <c r="K144" i="5" s="1"/>
  <c r="U144" i="5" s="1"/>
  <c r="I134" i="5"/>
  <c r="H111" i="5"/>
  <c r="I111" i="5" s="1"/>
  <c r="H17" i="5"/>
  <c r="I17" i="5" s="1"/>
  <c r="L17" i="5" s="1"/>
  <c r="V17" i="5" s="1"/>
  <c r="H35" i="5"/>
  <c r="K35" i="5" s="1"/>
  <c r="U35" i="5" s="1"/>
  <c r="G18" i="5"/>
  <c r="H18" i="5" s="1"/>
  <c r="G156" i="5"/>
  <c r="H156" i="5" s="1"/>
  <c r="G181" i="5"/>
  <c r="G60" i="5"/>
  <c r="J60" i="5" s="1"/>
  <c r="T60" i="5" s="1"/>
  <c r="G21" i="5"/>
  <c r="H227" i="5"/>
  <c r="G218" i="5"/>
  <c r="G142" i="5"/>
  <c r="J142" i="5" s="1"/>
  <c r="T142" i="5" s="1"/>
  <c r="H48" i="5"/>
  <c r="G152" i="5"/>
  <c r="G127" i="5"/>
  <c r="G45" i="5"/>
  <c r="Q34" i="4"/>
  <c r="Q35" i="4" s="1"/>
  <c r="Q39" i="4" s="1"/>
  <c r="Q41" i="4" s="1"/>
  <c r="K194" i="5"/>
  <c r="U194" i="5" s="1"/>
  <c r="L183" i="5"/>
  <c r="V183" i="5" s="1"/>
  <c r="K149" i="5"/>
  <c r="U149" i="5" s="1"/>
  <c r="K147" i="5"/>
  <c r="U147" i="5" s="1"/>
  <c r="I147" i="5"/>
  <c r="L64" i="5"/>
  <c r="V64" i="5" s="1"/>
  <c r="K121" i="5"/>
  <c r="U121" i="5" s="1"/>
  <c r="I121" i="5"/>
  <c r="J88" i="5"/>
  <c r="T88" i="5" s="1"/>
  <c r="J70" i="5"/>
  <c r="T70" i="5" s="1"/>
  <c r="K89" i="5"/>
  <c r="U89" i="5" s="1"/>
  <c r="I89" i="5"/>
  <c r="K71" i="5"/>
  <c r="U71" i="5" s="1"/>
  <c r="I71" i="5"/>
  <c r="J212" i="5"/>
  <c r="T212" i="5" s="1"/>
  <c r="K145" i="5"/>
  <c r="U145" i="5" s="1"/>
  <c r="I145" i="5"/>
  <c r="L192" i="5"/>
  <c r="V192" i="5" s="1"/>
  <c r="L158" i="5"/>
  <c r="V158" i="5" s="1"/>
  <c r="K148" i="5"/>
  <c r="U148" i="5" s="1"/>
  <c r="I148" i="5"/>
  <c r="J135" i="5"/>
  <c r="T135" i="5" s="1"/>
  <c r="J101" i="5"/>
  <c r="T101" i="5" s="1"/>
  <c r="H101" i="5"/>
  <c r="J83" i="5"/>
  <c r="T83" i="5" s="1"/>
  <c r="H83" i="5"/>
  <c r="L143" i="5"/>
  <c r="V143" i="5" s="1"/>
  <c r="L38" i="5"/>
  <c r="V38" i="5" s="1"/>
  <c r="C253" i="5"/>
  <c r="N42" i="4"/>
  <c r="C255" i="5"/>
  <c r="P42" i="4"/>
  <c r="K31" i="5"/>
  <c r="U31" i="5" s="1"/>
  <c r="K141" i="5"/>
  <c r="U141" i="5" s="1"/>
  <c r="J96" i="5"/>
  <c r="T96" i="5" s="1"/>
  <c r="J79" i="5"/>
  <c r="T79" i="5" s="1"/>
  <c r="K97" i="5"/>
  <c r="U97" i="5" s="1"/>
  <c r="I97" i="5"/>
  <c r="K80" i="5"/>
  <c r="U80" i="5" s="1"/>
  <c r="I80" i="5"/>
  <c r="C249" i="5"/>
  <c r="J42" i="4"/>
  <c r="C248" i="5"/>
  <c r="I42" i="4"/>
  <c r="J131" i="5"/>
  <c r="T131" i="5" s="1"/>
  <c r="K106" i="5"/>
  <c r="U106" i="5" s="1"/>
  <c r="J110" i="5"/>
  <c r="T110" i="5" s="1"/>
  <c r="H110" i="5"/>
  <c r="J92" i="5"/>
  <c r="T92" i="5"/>
  <c r="H92" i="5"/>
  <c r="J75" i="5"/>
  <c r="T75" i="5" s="1"/>
  <c r="H75" i="5"/>
  <c r="K76" i="5"/>
  <c r="U76" i="5" s="1"/>
  <c r="I76" i="5"/>
  <c r="K63" i="5"/>
  <c r="U63" i="5" s="1"/>
  <c r="L81" i="5"/>
  <c r="V81" i="5" s="1"/>
  <c r="C256" i="5"/>
  <c r="Q42" i="4"/>
  <c r="J231" i="5"/>
  <c r="T231" i="5" s="1"/>
  <c r="S208" i="5"/>
  <c r="J214" i="5"/>
  <c r="T214" i="5" s="1"/>
  <c r="J218" i="5"/>
  <c r="T218" i="5" s="1"/>
  <c r="J195" i="5"/>
  <c r="T195" i="5" s="1"/>
  <c r="J202" i="5"/>
  <c r="T202" i="5" s="1"/>
  <c r="F232" i="5"/>
  <c r="S232" i="5" s="1"/>
  <c r="F238" i="5"/>
  <c r="S238" i="5" s="1"/>
  <c r="J221" i="5"/>
  <c r="T221" i="5" s="1"/>
  <c r="J211" i="5"/>
  <c r="T211" i="5" s="1"/>
  <c r="S188" i="5"/>
  <c r="L180" i="5"/>
  <c r="V180" i="5" s="1"/>
  <c r="J199" i="5"/>
  <c r="T199" i="5" s="1"/>
  <c r="G186" i="5"/>
  <c r="J187" i="5"/>
  <c r="T187" i="5" s="1"/>
  <c r="L134" i="5"/>
  <c r="V134" i="5" s="1"/>
  <c r="F235" i="5"/>
  <c r="S235" i="5" s="1"/>
  <c r="K185" i="5"/>
  <c r="U185" i="5" s="1"/>
  <c r="K126" i="5"/>
  <c r="U126" i="5" s="1"/>
  <c r="S136" i="5"/>
  <c r="J128" i="5"/>
  <c r="T128" i="5" s="1"/>
  <c r="L77" i="5"/>
  <c r="V77" i="5" s="1"/>
  <c r="K56" i="5"/>
  <c r="U56" i="5" s="1"/>
  <c r="J61" i="5"/>
  <c r="T61" i="5" s="1"/>
  <c r="J44" i="5"/>
  <c r="T44" i="5" s="1"/>
  <c r="J155" i="5"/>
  <c r="T155" i="5" s="1"/>
  <c r="K107" i="5"/>
  <c r="U107" i="5" s="1"/>
  <c r="K36" i="5"/>
  <c r="U36" i="5" s="1"/>
  <c r="K19" i="5"/>
  <c r="U19" i="5" s="1"/>
  <c r="J42" i="5"/>
  <c r="T42" i="5" s="1"/>
  <c r="G24" i="3"/>
  <c r="K98" i="5"/>
  <c r="U98" i="5" s="1"/>
  <c r="J41" i="5"/>
  <c r="T41" i="5" s="1"/>
  <c r="K48" i="5"/>
  <c r="U48" i="5" s="1"/>
  <c r="I36" i="5"/>
  <c r="J23" i="5"/>
  <c r="T23" i="5" s="1"/>
  <c r="J20" i="5"/>
  <c r="K90" i="5"/>
  <c r="U90" i="5" s="1"/>
  <c r="J59" i="5"/>
  <c r="T59" i="5" s="1"/>
  <c r="J22" i="5"/>
  <c r="T22" i="5" s="1"/>
  <c r="F236" i="5"/>
  <c r="S236" i="5" s="1"/>
  <c r="S231" i="5"/>
  <c r="H231" i="5"/>
  <c r="J225" i="5"/>
  <c r="T225" i="5" s="1"/>
  <c r="J217" i="5"/>
  <c r="T217" i="5" s="1"/>
  <c r="S210" i="5"/>
  <c r="K219" i="5"/>
  <c r="U219" i="5" s="1"/>
  <c r="H211" i="5"/>
  <c r="I211" i="5" s="1"/>
  <c r="G222" i="5"/>
  <c r="G188" i="5"/>
  <c r="H188" i="5" s="1"/>
  <c r="H217" i="5"/>
  <c r="I185" i="5"/>
  <c r="J179" i="5"/>
  <c r="T179" i="5" s="1"/>
  <c r="J170" i="5"/>
  <c r="T170" i="5" s="1"/>
  <c r="H170" i="5"/>
  <c r="K198" i="5"/>
  <c r="U198" i="5" s="1"/>
  <c r="K191" i="5"/>
  <c r="U191" i="5" s="1"/>
  <c r="H179" i="5"/>
  <c r="L163" i="5"/>
  <c r="V163" i="5" s="1"/>
  <c r="J201" i="5"/>
  <c r="T201" i="5" s="1"/>
  <c r="J193" i="5"/>
  <c r="T193" i="5" s="1"/>
  <c r="K183" i="5"/>
  <c r="U183" i="5" s="1"/>
  <c r="L160" i="5"/>
  <c r="V160" i="5" s="1"/>
  <c r="S161" i="5"/>
  <c r="J154" i="5"/>
  <c r="T154" i="5" s="1"/>
  <c r="J192" i="5"/>
  <c r="T192" i="5" s="1"/>
  <c r="J178" i="5"/>
  <c r="T178" i="5" s="1"/>
  <c r="G169" i="5"/>
  <c r="J168" i="5"/>
  <c r="T168" i="5" s="1"/>
  <c r="J158" i="5"/>
  <c r="T158" i="5" s="1"/>
  <c r="G146" i="5"/>
  <c r="L113" i="5"/>
  <c r="V113" i="5" s="1"/>
  <c r="J207" i="5"/>
  <c r="T207" i="5" s="1"/>
  <c r="K205" i="5"/>
  <c r="U205" i="5" s="1"/>
  <c r="J153" i="5"/>
  <c r="T153" i="5" s="1"/>
  <c r="K130" i="5"/>
  <c r="U130" i="5" s="1"/>
  <c r="K113" i="5"/>
  <c r="U113" i="5" s="1"/>
  <c r="J130" i="5"/>
  <c r="T130" i="5" s="1"/>
  <c r="J120" i="5"/>
  <c r="T120" i="5" s="1"/>
  <c r="J124" i="5"/>
  <c r="T124" i="5" s="1"/>
  <c r="S108" i="5"/>
  <c r="S104" i="5"/>
  <c r="L85" i="5"/>
  <c r="V85" i="5" s="1"/>
  <c r="L68" i="5"/>
  <c r="V68" i="5" s="1"/>
  <c r="K51" i="5"/>
  <c r="U51" i="5" s="1"/>
  <c r="K43" i="5"/>
  <c r="U43" i="5" s="1"/>
  <c r="J119" i="5"/>
  <c r="T119" i="5" s="1"/>
  <c r="K105" i="5"/>
  <c r="U105" i="5" s="1"/>
  <c r="J56" i="5"/>
  <c r="T56" i="5" s="1"/>
  <c r="I51" i="5"/>
  <c r="J129" i="5"/>
  <c r="T129" i="5" s="1"/>
  <c r="K111" i="5"/>
  <c r="U111" i="5" s="1"/>
  <c r="J107" i="5"/>
  <c r="T107" i="5" s="1"/>
  <c r="S63" i="5"/>
  <c r="I63" i="5"/>
  <c r="J55" i="5"/>
  <c r="T55" i="5" s="1"/>
  <c r="K32" i="5"/>
  <c r="U32" i="5" s="1"/>
  <c r="H23" i="5"/>
  <c r="I23" i="5" s="1"/>
  <c r="K15" i="5"/>
  <c r="U15" i="5" s="1"/>
  <c r="J137" i="5"/>
  <c r="T137" i="5" s="1"/>
  <c r="H102" i="5"/>
  <c r="H93" i="5"/>
  <c r="H84" i="5"/>
  <c r="J167" i="5"/>
  <c r="T167" i="5" s="1"/>
  <c r="J33" i="5"/>
  <c r="T33" i="5" s="1"/>
  <c r="J28" i="5"/>
  <c r="T28" i="5" s="1"/>
  <c r="J24" i="5"/>
  <c r="J19" i="5"/>
  <c r="T19" i="5" s="1"/>
  <c r="J16" i="5"/>
  <c r="R27" i="4"/>
  <c r="D41" i="3" s="1"/>
  <c r="I56" i="5"/>
  <c r="J26" i="5"/>
  <c r="S37" i="5"/>
  <c r="H37" i="5"/>
  <c r="J32" i="5"/>
  <c r="T32" i="5" s="1"/>
  <c r="I28" i="5"/>
  <c r="O38" i="4"/>
  <c r="O39" i="4"/>
  <c r="R39" i="4" s="1"/>
  <c r="J116" i="5"/>
  <c r="T116" i="5" s="1"/>
  <c r="I18" i="5"/>
  <c r="F234" i="5"/>
  <c r="S234" i="5" s="1"/>
  <c r="S224" i="5"/>
  <c r="G224" i="5"/>
  <c r="J226" i="5"/>
  <c r="T226" i="5" s="1"/>
  <c r="L191" i="5"/>
  <c r="V191" i="5" s="1"/>
  <c r="K184" i="5"/>
  <c r="U184" i="5" s="1"/>
  <c r="L159" i="5"/>
  <c r="V159" i="5" s="1"/>
  <c r="J209" i="5"/>
  <c r="T209" i="5" s="1"/>
  <c r="K201" i="5"/>
  <c r="U201" i="5" s="1"/>
  <c r="K193" i="5"/>
  <c r="U193" i="5" s="1"/>
  <c r="K168" i="5"/>
  <c r="U168" i="5" s="1"/>
  <c r="K159" i="5"/>
  <c r="U159" i="5" s="1"/>
  <c r="J149" i="5"/>
  <c r="T149" i="5" s="1"/>
  <c r="J141" i="5"/>
  <c r="T141" i="5" s="1"/>
  <c r="J175" i="5"/>
  <c r="T175" i="5" s="1"/>
  <c r="L167" i="5"/>
  <c r="V167" i="5" s="1"/>
  <c r="J161" i="5"/>
  <c r="T161" i="5" s="1"/>
  <c r="K154" i="5"/>
  <c r="U154" i="5" s="1"/>
  <c r="I149" i="5"/>
  <c r="I141" i="5"/>
  <c r="J196" i="5"/>
  <c r="T196" i="5" s="1"/>
  <c r="K192" i="5"/>
  <c r="U192" i="5" s="1"/>
  <c r="K158" i="5"/>
  <c r="U158" i="5" s="1"/>
  <c r="I154" i="5"/>
  <c r="H135" i="5"/>
  <c r="I135" i="5" s="1"/>
  <c r="S135" i="5"/>
  <c r="I126" i="5"/>
  <c r="F237" i="5"/>
  <c r="S237" i="5" s="1"/>
  <c r="J171" i="5"/>
  <c r="T171" i="5" s="1"/>
  <c r="J162" i="5"/>
  <c r="T162" i="5" s="1"/>
  <c r="H146" i="5"/>
  <c r="H142" i="5"/>
  <c r="I142" i="5" s="1"/>
  <c r="L118" i="5"/>
  <c r="V118" i="5" s="1"/>
  <c r="L109" i="5"/>
  <c r="V109" i="5" s="1"/>
  <c r="J133" i="5"/>
  <c r="T133" i="5" s="1"/>
  <c r="S128" i="5"/>
  <c r="K120" i="5"/>
  <c r="U120" i="5" s="1"/>
  <c r="L116" i="5"/>
  <c r="V116" i="5" s="1"/>
  <c r="J108" i="5"/>
  <c r="T108" i="5" s="1"/>
  <c r="K124" i="5"/>
  <c r="U124" i="5" s="1"/>
  <c r="I120" i="5"/>
  <c r="S110" i="5"/>
  <c r="I110" i="5"/>
  <c r="S106" i="5"/>
  <c r="I106" i="5"/>
  <c r="I98" i="5"/>
  <c r="K67" i="5"/>
  <c r="U67" i="5" s="1"/>
  <c r="K58" i="5"/>
  <c r="U58" i="5" s="1"/>
  <c r="K49" i="5"/>
  <c r="U49" i="5" s="1"/>
  <c r="H41" i="5"/>
  <c r="I41" i="5" s="1"/>
  <c r="J121" i="5"/>
  <c r="T121" i="5" s="1"/>
  <c r="S96" i="5"/>
  <c r="S88" i="5"/>
  <c r="S79" i="5"/>
  <c r="S70" i="5"/>
  <c r="H61" i="5"/>
  <c r="I61" i="5" s="1"/>
  <c r="S61" i="5"/>
  <c r="K55" i="5"/>
  <c r="U55" i="5" s="1"/>
  <c r="H44" i="5"/>
  <c r="S44" i="5"/>
  <c r="K129" i="5"/>
  <c r="U129" i="5" s="1"/>
  <c r="H96" i="5"/>
  <c r="I96" i="5" s="1"/>
  <c r="H88" i="5"/>
  <c r="H79" i="5"/>
  <c r="I79" i="5" s="1"/>
  <c r="H70" i="5"/>
  <c r="J63" i="5"/>
  <c r="T63" i="5" s="1"/>
  <c r="L54" i="5"/>
  <c r="V54" i="5" s="1"/>
  <c r="K38" i="5"/>
  <c r="U38" i="5" s="1"/>
  <c r="K137" i="5"/>
  <c r="U137" i="5" s="1"/>
  <c r="K109" i="5"/>
  <c r="U109" i="5" s="1"/>
  <c r="K167" i="5"/>
  <c r="U167" i="5" s="1"/>
  <c r="T49" i="5"/>
  <c r="J49" i="5"/>
  <c r="S42" i="5"/>
  <c r="H42" i="5"/>
  <c r="J36" i="5"/>
  <c r="T36" i="5" s="1"/>
  <c r="L32" i="5"/>
  <c r="V32" i="5" s="1"/>
  <c r="K26" i="5"/>
  <c r="U26" i="5" s="1"/>
  <c r="K18" i="5"/>
  <c r="U18" i="5" s="1"/>
  <c r="L15" i="5"/>
  <c r="V15" i="5" s="1"/>
  <c r="F32" i="4"/>
  <c r="F34" i="4" s="1"/>
  <c r="F35" i="4" s="1"/>
  <c r="F38" i="4" s="1"/>
  <c r="R29" i="4"/>
  <c r="R32" i="4" s="1"/>
  <c r="D30" i="2" s="1"/>
  <c r="D31" i="2" s="1"/>
  <c r="I49" i="5"/>
  <c r="J18" i="5"/>
  <c r="J65" i="5"/>
  <c r="T65" i="5" s="1"/>
  <c r="J48" i="5"/>
  <c r="T48" i="5" s="1"/>
  <c r="J37" i="5"/>
  <c r="T37" i="5" s="1"/>
  <c r="S20" i="5"/>
  <c r="H20" i="5"/>
  <c r="J15" i="5"/>
  <c r="C250" i="5"/>
  <c r="K42" i="4"/>
  <c r="K116" i="5"/>
  <c r="U116" i="5"/>
  <c r="S31" i="5"/>
  <c r="I31" i="5"/>
  <c r="G16" i="3"/>
  <c r="E16" i="3"/>
  <c r="J213" i="5"/>
  <c r="T213" i="5" s="1"/>
  <c r="I184" i="5"/>
  <c r="J194" i="5"/>
  <c r="T194" i="5" s="1"/>
  <c r="S214" i="5"/>
  <c r="H214" i="5"/>
  <c r="H221" i="5"/>
  <c r="F239" i="5"/>
  <c r="S239" i="5" s="1"/>
  <c r="S215" i="5"/>
  <c r="G215" i="5"/>
  <c r="J204" i="5"/>
  <c r="T204" i="5" s="1"/>
  <c r="H204" i="5"/>
  <c r="G208" i="5"/>
  <c r="L176" i="5"/>
  <c r="V176" i="5" s="1"/>
  <c r="F43" i="6"/>
  <c r="D43" i="6" s="1"/>
  <c r="F39" i="6"/>
  <c r="F44" i="6" s="1"/>
  <c r="D44" i="6" s="1"/>
  <c r="K228" i="5"/>
  <c r="U228" i="5" s="1"/>
  <c r="G230" i="5"/>
  <c r="H230" i="5" s="1"/>
  <c r="H226" i="5"/>
  <c r="I194" i="5"/>
  <c r="S206" i="5"/>
  <c r="H218" i="5"/>
  <c r="J174" i="5"/>
  <c r="T174" i="5" s="1"/>
  <c r="H174" i="5"/>
  <c r="I174" i="5" s="1"/>
  <c r="H195" i="5"/>
  <c r="J184" i="5"/>
  <c r="T184" i="5" s="1"/>
  <c r="H202" i="5"/>
  <c r="J197" i="5"/>
  <c r="T197" i="5" s="1"/>
  <c r="H161" i="5"/>
  <c r="I161" i="5" s="1"/>
  <c r="J200" i="5"/>
  <c r="T200" i="5" s="1"/>
  <c r="H196" i="5"/>
  <c r="J166" i="5"/>
  <c r="T166" i="5" s="1"/>
  <c r="K207" i="5"/>
  <c r="U207" i="5" s="1"/>
  <c r="K162" i="5"/>
  <c r="U162" i="5" s="1"/>
  <c r="K134" i="5"/>
  <c r="U134" i="5" s="1"/>
  <c r="K117" i="5"/>
  <c r="U117" i="5" s="1"/>
  <c r="J157" i="5"/>
  <c r="T157" i="5" s="1"/>
  <c r="K133" i="5"/>
  <c r="U133" i="5" s="1"/>
  <c r="J106" i="5"/>
  <c r="T106" i="5" s="1"/>
  <c r="L94" i="5"/>
  <c r="V94" i="5" s="1"/>
  <c r="K64" i="5"/>
  <c r="U64" i="5" s="1"/>
  <c r="K47" i="5"/>
  <c r="U47" i="5" s="1"/>
  <c r="I162" i="5"/>
  <c r="S123" i="5"/>
  <c r="J117" i="5"/>
  <c r="T117" i="5" s="1"/>
  <c r="S52" i="5"/>
  <c r="K143" i="5"/>
  <c r="U143" i="5" s="1"/>
  <c r="S46" i="5"/>
  <c r="K28" i="5"/>
  <c r="U28" i="5" s="1"/>
  <c r="K81" i="5"/>
  <c r="U81" i="5" s="1"/>
  <c r="L34" i="5"/>
  <c r="V34" i="5" s="1"/>
  <c r="K65" i="5"/>
  <c r="U65" i="5" s="1"/>
  <c r="I47" i="5"/>
  <c r="S29" i="5"/>
  <c r="C246" i="5"/>
  <c r="G42" i="4"/>
  <c r="K72" i="5"/>
  <c r="U72" i="5" s="1"/>
  <c r="J31" i="5"/>
  <c r="T31" i="5" s="1"/>
  <c r="G31" i="3"/>
  <c r="E31" i="3"/>
  <c r="C252" i="5"/>
  <c r="M42" i="4"/>
  <c r="F240" i="5"/>
  <c r="S240" i="5" s="1"/>
  <c r="F233" i="5"/>
  <c r="S233" i="5" s="1"/>
  <c r="S220" i="5"/>
  <c r="G220" i="5"/>
  <c r="S212" i="5"/>
  <c r="H212" i="5"/>
  <c r="I212" i="5" s="1"/>
  <c r="I201" i="5"/>
  <c r="I193" i="5"/>
  <c r="H213" i="5"/>
  <c r="G206" i="5"/>
  <c r="G210" i="5"/>
  <c r="H210" i="5" s="1"/>
  <c r="K180" i="5"/>
  <c r="U180" i="5" s="1"/>
  <c r="H199" i="5"/>
  <c r="S182" i="5"/>
  <c r="H225" i="5"/>
  <c r="J198" i="5"/>
  <c r="T198" i="5" s="1"/>
  <c r="J191" i="5"/>
  <c r="T191" i="5" s="1"/>
  <c r="H186" i="5"/>
  <c r="I168" i="5"/>
  <c r="H209" i="5"/>
  <c r="H197" i="5"/>
  <c r="G189" i="5"/>
  <c r="J183" i="5"/>
  <c r="T183" i="5" s="1"/>
  <c r="K163" i="5"/>
  <c r="U163" i="5" s="1"/>
  <c r="H155" i="5"/>
  <c r="J145" i="5"/>
  <c r="T145" i="5" s="1"/>
  <c r="H187" i="5"/>
  <c r="I187" i="5" s="1"/>
  <c r="H175" i="5"/>
  <c r="J163" i="5"/>
  <c r="T163" i="5" s="1"/>
  <c r="K160" i="5"/>
  <c r="U160" i="5" s="1"/>
  <c r="J147" i="5"/>
  <c r="T147" i="5" s="1"/>
  <c r="J143" i="5"/>
  <c r="T143" i="5" s="1"/>
  <c r="S139" i="5"/>
  <c r="G139" i="5"/>
  <c r="H200" i="5"/>
  <c r="H169" i="5"/>
  <c r="H166" i="5"/>
  <c r="J148" i="5"/>
  <c r="T148" i="5" s="1"/>
  <c r="J140" i="5"/>
  <c r="T140" i="5" s="1"/>
  <c r="S131" i="5"/>
  <c r="H131" i="5"/>
  <c r="I131" i="5" s="1"/>
  <c r="I117" i="5"/>
  <c r="F241" i="5"/>
  <c r="S241" i="5" s="1"/>
  <c r="J205" i="5"/>
  <c r="T205" i="5" s="1"/>
  <c r="S153" i="5"/>
  <c r="L122" i="5"/>
  <c r="V122" i="5" s="1"/>
  <c r="J103" i="5"/>
  <c r="T103" i="5" s="1"/>
  <c r="H157" i="5"/>
  <c r="G136" i="5"/>
  <c r="H136" i="5" s="1"/>
  <c r="H128" i="5"/>
  <c r="I128" i="5" s="1"/>
  <c r="J113" i="5"/>
  <c r="T113" i="5" s="1"/>
  <c r="G104" i="5"/>
  <c r="G173" i="5"/>
  <c r="I133" i="5"/>
  <c r="G115" i="5"/>
  <c r="H108" i="5"/>
  <c r="I108" i="5" s="1"/>
  <c r="H104" i="5"/>
  <c r="I90" i="5"/>
  <c r="I72" i="5"/>
  <c r="K54" i="5"/>
  <c r="U54" i="5" s="1"/>
  <c r="J134" i="5"/>
  <c r="T134" i="5" s="1"/>
  <c r="H132" i="5"/>
  <c r="G123" i="5"/>
  <c r="S101" i="5"/>
  <c r="I101" i="5"/>
  <c r="S92" i="5"/>
  <c r="I92" i="5"/>
  <c r="S83" i="5"/>
  <c r="I83" i="5"/>
  <c r="S75" i="5"/>
  <c r="I75" i="5"/>
  <c r="J64" i="5"/>
  <c r="T64" i="5" s="1"/>
  <c r="G52" i="5"/>
  <c r="I43" i="5"/>
  <c r="J111" i="5"/>
  <c r="T111" i="5" s="1"/>
  <c r="J102" i="5"/>
  <c r="T102" i="5" s="1"/>
  <c r="J97" i="5"/>
  <c r="T97" i="5" s="1"/>
  <c r="J93" i="5"/>
  <c r="T93" i="5" s="1"/>
  <c r="J89" i="5"/>
  <c r="T89" i="5" s="1"/>
  <c r="J84" i="5"/>
  <c r="T84" i="5" s="1"/>
  <c r="J80" i="5"/>
  <c r="T80" i="5" s="1"/>
  <c r="J76" i="5"/>
  <c r="T76" i="5" s="1"/>
  <c r="J71" i="5"/>
  <c r="T71" i="5" s="1"/>
  <c r="J67" i="5"/>
  <c r="T67" i="5" s="1"/>
  <c r="S55" i="5"/>
  <c r="I55" i="5"/>
  <c r="G46" i="5"/>
  <c r="H46" i="5" s="1"/>
  <c r="K34" i="5"/>
  <c r="U34" i="5" s="1"/>
  <c r="K17" i="5"/>
  <c r="I129" i="5"/>
  <c r="I107" i="5"/>
  <c r="G100" i="5"/>
  <c r="G95" i="5"/>
  <c r="G91" i="5"/>
  <c r="G87" i="5"/>
  <c r="G82" i="5"/>
  <c r="G78" i="5"/>
  <c r="G74" i="5"/>
  <c r="G69" i="5"/>
  <c r="I137" i="5"/>
  <c r="K94" i="5"/>
  <c r="U94" i="5" s="1"/>
  <c r="K77" i="5"/>
  <c r="U77" i="5" s="1"/>
  <c r="J58" i="5"/>
  <c r="T58" i="5" s="1"/>
  <c r="J43" i="5"/>
  <c r="T43" i="5" s="1"/>
  <c r="S33" i="5"/>
  <c r="H33" i="5"/>
  <c r="S24" i="5"/>
  <c r="H24" i="5"/>
  <c r="I20" i="5"/>
  <c r="S16" i="5"/>
  <c r="H16" i="5"/>
  <c r="I58" i="5"/>
  <c r="K85" i="5"/>
  <c r="U85" i="5" s="1"/>
  <c r="K68" i="5"/>
  <c r="U68" i="5" s="1"/>
  <c r="I65" i="5"/>
  <c r="H59" i="5"/>
  <c r="I59" i="5" s="1"/>
  <c r="G57" i="5"/>
  <c r="H57" i="5" s="1"/>
  <c r="I48" i="5"/>
  <c r="G29" i="5"/>
  <c r="H29" i="5" s="1"/>
  <c r="H22" i="5"/>
  <c r="I19" i="5"/>
  <c r="G32" i="3"/>
  <c r="E32" i="3"/>
  <c r="H103" i="5"/>
  <c r="G50" i="5"/>
  <c r="G39" i="5"/>
  <c r="D19" i="3"/>
  <c r="R16" i="4"/>
  <c r="R21" i="4" s="1"/>
  <c r="T17" i="5"/>
  <c r="I140" i="5" l="1"/>
  <c r="I35" i="5"/>
  <c r="K178" i="5"/>
  <c r="U178" i="5" s="1"/>
  <c r="I178" i="5"/>
  <c r="L178" i="5" s="1"/>
  <c r="V178" i="5" s="1"/>
  <c r="J35" i="5"/>
  <c r="T35" i="5" s="1"/>
  <c r="H150" i="5"/>
  <c r="K150" i="5" s="1"/>
  <c r="U150" i="5" s="1"/>
  <c r="I144" i="5"/>
  <c r="I153" i="5"/>
  <c r="M15" i="5"/>
  <c r="G237" i="5"/>
  <c r="H237" i="5" s="1"/>
  <c r="J182" i="5"/>
  <c r="T182" i="5" s="1"/>
  <c r="J144" i="5"/>
  <c r="T144" i="5" s="1"/>
  <c r="H165" i="5"/>
  <c r="I165" i="5" s="1"/>
  <c r="L165" i="5" s="1"/>
  <c r="V165" i="5" s="1"/>
  <c r="J165" i="5"/>
  <c r="T165" i="5" s="1"/>
  <c r="G236" i="5"/>
  <c r="H236" i="5" s="1"/>
  <c r="K236" i="5" s="1"/>
  <c r="U236" i="5" s="1"/>
  <c r="J25" i="5"/>
  <c r="T25" i="5" s="1"/>
  <c r="H25" i="5"/>
  <c r="K25" i="5" s="1"/>
  <c r="U25" i="5" s="1"/>
  <c r="I26" i="5"/>
  <c r="L26" i="5" s="1"/>
  <c r="V26" i="5" s="1"/>
  <c r="J172" i="5"/>
  <c r="T172" i="5" s="1"/>
  <c r="I172" i="5"/>
  <c r="L172" i="5" s="1"/>
  <c r="V172" i="5" s="1"/>
  <c r="J30" i="5"/>
  <c r="T30" i="5" s="1"/>
  <c r="H30" i="5"/>
  <c r="I119" i="5"/>
  <c r="L119" i="5" s="1"/>
  <c r="V119" i="5" s="1"/>
  <c r="J62" i="5"/>
  <c r="T62" i="5" s="1"/>
  <c r="H62" i="5"/>
  <c r="K62" i="5" s="1"/>
  <c r="U62" i="5" s="1"/>
  <c r="J114" i="5"/>
  <c r="T114" i="5" s="1"/>
  <c r="H114" i="5"/>
  <c r="K114" i="5" s="1"/>
  <c r="U114" i="5" s="1"/>
  <c r="L111" i="5"/>
  <c r="V111" i="5" s="1"/>
  <c r="K156" i="5"/>
  <c r="U156" i="5" s="1"/>
  <c r="K182" i="5"/>
  <c r="U182" i="5" s="1"/>
  <c r="I182" i="5"/>
  <c r="L182" i="5" s="1"/>
  <c r="V182" i="5" s="1"/>
  <c r="K227" i="5"/>
  <c r="U227" i="5" s="1"/>
  <c r="H181" i="5"/>
  <c r="I181" i="5" s="1"/>
  <c r="L181" i="5" s="1"/>
  <c r="V181" i="5" s="1"/>
  <c r="J181" i="5"/>
  <c r="T181" i="5" s="1"/>
  <c r="I104" i="5"/>
  <c r="J45" i="5"/>
  <c r="T45" i="5" s="1"/>
  <c r="H45" i="5"/>
  <c r="J21" i="5"/>
  <c r="T21" i="5" s="1"/>
  <c r="H21" i="5"/>
  <c r="J156" i="5"/>
  <c r="T156" i="5" s="1"/>
  <c r="I156" i="5"/>
  <c r="L156" i="5" s="1"/>
  <c r="V156" i="5" s="1"/>
  <c r="J127" i="5"/>
  <c r="T127" i="5" s="1"/>
  <c r="H127" i="5"/>
  <c r="K127" i="5" s="1"/>
  <c r="U127" i="5" s="1"/>
  <c r="M17" i="5"/>
  <c r="J152" i="5"/>
  <c r="T152" i="5" s="1"/>
  <c r="H152" i="5"/>
  <c r="I152" i="5" s="1"/>
  <c r="H60" i="5"/>
  <c r="G232" i="5"/>
  <c r="K29" i="5"/>
  <c r="U29" i="5" s="1"/>
  <c r="K46" i="5"/>
  <c r="U46" i="5" s="1"/>
  <c r="I46" i="5"/>
  <c r="L142" i="5"/>
  <c r="V142" i="5" s="1"/>
  <c r="L96" i="5"/>
  <c r="V96" i="5" s="1"/>
  <c r="K188" i="5"/>
  <c r="U188" i="5" s="1"/>
  <c r="I188" i="5"/>
  <c r="K210" i="5"/>
  <c r="U210" i="5" s="1"/>
  <c r="L161" i="5"/>
  <c r="V161" i="5" s="1"/>
  <c r="L104" i="5"/>
  <c r="V104" i="5" s="1"/>
  <c r="K136" i="5"/>
  <c r="U136" i="5" s="1"/>
  <c r="I136" i="5"/>
  <c r="L79" i="5"/>
  <c r="V79" i="5" s="1"/>
  <c r="J50" i="5"/>
  <c r="T50" i="5" s="1"/>
  <c r="L92" i="5"/>
  <c r="V92" i="5" s="1"/>
  <c r="J206" i="5"/>
  <c r="T206" i="5" s="1"/>
  <c r="L47" i="5"/>
  <c r="V47" i="5" s="1"/>
  <c r="K44" i="5"/>
  <c r="U44" i="5" s="1"/>
  <c r="L154" i="5"/>
  <c r="V154" i="5" s="1"/>
  <c r="K84" i="5"/>
  <c r="U84" i="5" s="1"/>
  <c r="L51" i="5"/>
  <c r="V51" i="5" s="1"/>
  <c r="L187" i="5"/>
  <c r="V187" i="5" s="1"/>
  <c r="G19" i="3"/>
  <c r="G38" i="3" s="1"/>
  <c r="E19" i="3"/>
  <c r="D38" i="3"/>
  <c r="F38" i="3" s="1"/>
  <c r="J95" i="5"/>
  <c r="T95" i="5" s="1"/>
  <c r="H95" i="5"/>
  <c r="I95" i="5" s="1"/>
  <c r="J123" i="5"/>
  <c r="T123" i="5" s="1"/>
  <c r="L153" i="5"/>
  <c r="V153" i="5" s="1"/>
  <c r="K146" i="5"/>
  <c r="U146" i="5" s="1"/>
  <c r="J224" i="5"/>
  <c r="T224" i="5" s="1"/>
  <c r="L56" i="5"/>
  <c r="V56" i="5" s="1"/>
  <c r="J169" i="5"/>
  <c r="T169" i="5" s="1"/>
  <c r="K231" i="5"/>
  <c r="U231" i="5" s="1"/>
  <c r="J232" i="5"/>
  <c r="H123" i="5"/>
  <c r="I123" i="5" s="1"/>
  <c r="L174" i="5"/>
  <c r="V174" i="5" s="1"/>
  <c r="L144" i="5"/>
  <c r="V144" i="5" s="1"/>
  <c r="K83" i="5"/>
  <c r="U83" i="5" s="1"/>
  <c r="K103" i="5"/>
  <c r="U103" i="5" s="1"/>
  <c r="I103" i="5"/>
  <c r="K22" i="5"/>
  <c r="U22" i="5" s="1"/>
  <c r="I22" i="5"/>
  <c r="J57" i="5"/>
  <c r="T57" i="5" s="1"/>
  <c r="L58" i="5"/>
  <c r="V58" i="5" s="1"/>
  <c r="L20" i="5"/>
  <c r="V20" i="5" s="1"/>
  <c r="I29" i="5"/>
  <c r="L137" i="5"/>
  <c r="V137" i="5" s="1"/>
  <c r="J82" i="5"/>
  <c r="T82" i="5" s="1"/>
  <c r="H82" i="5"/>
  <c r="J100" i="5"/>
  <c r="T100" i="5" s="1"/>
  <c r="H100" i="5"/>
  <c r="I100" i="5" s="1"/>
  <c r="U17" i="5"/>
  <c r="K132" i="5"/>
  <c r="U132" i="5" s="1"/>
  <c r="K108" i="5"/>
  <c r="U108" i="5" s="1"/>
  <c r="K131" i="5"/>
  <c r="U131" i="5" s="1"/>
  <c r="K200" i="5"/>
  <c r="U200" i="5" s="1"/>
  <c r="K175" i="5"/>
  <c r="U175" i="5" s="1"/>
  <c r="K155" i="5"/>
  <c r="U155" i="5" s="1"/>
  <c r="I155" i="5"/>
  <c r="L168" i="5"/>
  <c r="V168" i="5" s="1"/>
  <c r="K213" i="5"/>
  <c r="U213" i="5" s="1"/>
  <c r="H206" i="5"/>
  <c r="G240" i="5"/>
  <c r="H240" i="5" s="1"/>
  <c r="K196" i="5"/>
  <c r="U196" i="5" s="1"/>
  <c r="I175" i="5"/>
  <c r="L194" i="5"/>
  <c r="V194" i="5" s="1"/>
  <c r="K214" i="5"/>
  <c r="U214" i="5" s="1"/>
  <c r="L184" i="5"/>
  <c r="V184" i="5" s="1"/>
  <c r="T15" i="5"/>
  <c r="AA15" i="5" s="1"/>
  <c r="H50" i="5"/>
  <c r="F41" i="4"/>
  <c r="R38" i="4"/>
  <c r="K42" i="5"/>
  <c r="U42" i="5" s="1"/>
  <c r="K70" i="5"/>
  <c r="U70" i="5" s="1"/>
  <c r="I44" i="5"/>
  <c r="K61" i="5"/>
  <c r="U61" i="5" s="1"/>
  <c r="L110" i="5"/>
  <c r="V110" i="5" s="1"/>
  <c r="K135" i="5"/>
  <c r="U135" i="5" s="1"/>
  <c r="L18" i="5"/>
  <c r="M18" i="5" s="1"/>
  <c r="O41" i="4"/>
  <c r="E27" i="3"/>
  <c r="E15" i="3"/>
  <c r="E28" i="3"/>
  <c r="E20" i="3"/>
  <c r="E26" i="3"/>
  <c r="K93" i="5"/>
  <c r="U93" i="5" s="1"/>
  <c r="K179" i="5"/>
  <c r="U179" i="5" s="1"/>
  <c r="K170" i="5"/>
  <c r="U170" i="5" s="1"/>
  <c r="I170" i="5"/>
  <c r="L36" i="5"/>
  <c r="V36" i="5" s="1"/>
  <c r="G238" i="5"/>
  <c r="H232" i="5"/>
  <c r="I93" i="5"/>
  <c r="K92" i="5"/>
  <c r="U92" i="5" s="1"/>
  <c r="K110" i="5"/>
  <c r="U110" i="5" s="1"/>
  <c r="I42" i="5"/>
  <c r="L97" i="5"/>
  <c r="V97" i="5" s="1"/>
  <c r="L145" i="5"/>
  <c r="V145" i="5" s="1"/>
  <c r="L121" i="5"/>
  <c r="V121" i="5" s="1"/>
  <c r="I200" i="5"/>
  <c r="L48" i="5"/>
  <c r="V48" i="5"/>
  <c r="L75" i="5"/>
  <c r="V75" i="5" s="1"/>
  <c r="K157" i="5"/>
  <c r="U157" i="5" s="1"/>
  <c r="K169" i="5"/>
  <c r="U169" i="5" s="1"/>
  <c r="K209" i="5"/>
  <c r="U209" i="5" s="1"/>
  <c r="I209" i="5"/>
  <c r="K212" i="5"/>
  <c r="U212" i="5" s="1"/>
  <c r="L162" i="5"/>
  <c r="V162" i="5" s="1"/>
  <c r="K161" i="5"/>
  <c r="U161" i="5" s="1"/>
  <c r="K221" i="5"/>
  <c r="U221" i="5" s="1"/>
  <c r="L128" i="5"/>
  <c r="V128" i="5"/>
  <c r="K237" i="5"/>
  <c r="U237" i="5" s="1"/>
  <c r="K57" i="5"/>
  <c r="U57" i="5" s="1"/>
  <c r="J188" i="5"/>
  <c r="T188" i="5" s="1"/>
  <c r="K59" i="5"/>
  <c r="U59" i="5" s="1"/>
  <c r="K24" i="5"/>
  <c r="U24" i="5" s="1"/>
  <c r="J69" i="5"/>
  <c r="T69" i="5" s="1"/>
  <c r="H69" i="5"/>
  <c r="L107" i="5"/>
  <c r="V107" i="5" s="1"/>
  <c r="L83" i="5"/>
  <c r="V83" i="5"/>
  <c r="J115" i="5"/>
  <c r="T115" i="5" s="1"/>
  <c r="K128" i="5"/>
  <c r="U128" i="5" s="1"/>
  <c r="K186" i="5"/>
  <c r="U186" i="5" s="1"/>
  <c r="K195" i="5"/>
  <c r="U195" i="5" s="1"/>
  <c r="I195" i="5"/>
  <c r="K226" i="5"/>
  <c r="U226" i="5" s="1"/>
  <c r="J208" i="5"/>
  <c r="T208" i="5" s="1"/>
  <c r="J215" i="5"/>
  <c r="T215" i="5" s="1"/>
  <c r="I213" i="5"/>
  <c r="K20" i="5"/>
  <c r="U20" i="5" s="1"/>
  <c r="I57" i="5"/>
  <c r="T18" i="5"/>
  <c r="L23" i="5"/>
  <c r="V23" i="5" s="1"/>
  <c r="K79" i="5"/>
  <c r="U79" i="5" s="1"/>
  <c r="L61" i="5"/>
  <c r="V61" i="5" s="1"/>
  <c r="L98" i="5"/>
  <c r="V98" i="5" s="1"/>
  <c r="L135" i="5"/>
  <c r="V135" i="5" s="1"/>
  <c r="J237" i="5"/>
  <c r="T237" i="5" s="1"/>
  <c r="L141" i="5"/>
  <c r="V141" i="5" s="1"/>
  <c r="K37" i="5"/>
  <c r="U37" i="5" s="1"/>
  <c r="I37" i="5"/>
  <c r="K102" i="5"/>
  <c r="U102" i="5" s="1"/>
  <c r="H115" i="5"/>
  <c r="I146" i="5"/>
  <c r="L185" i="5"/>
  <c r="V185" i="5" s="1"/>
  <c r="J222" i="5"/>
  <c r="T222" i="5" s="1"/>
  <c r="H222" i="5"/>
  <c r="T20" i="5"/>
  <c r="E24" i="3"/>
  <c r="G235" i="5"/>
  <c r="H208" i="5"/>
  <c r="L76" i="5"/>
  <c r="V76" i="5" s="1"/>
  <c r="K75" i="5"/>
  <c r="U75" i="5" s="1"/>
  <c r="L80" i="5"/>
  <c r="V80" i="5" s="1"/>
  <c r="I84" i="5"/>
  <c r="L148" i="5"/>
  <c r="V148" i="5" s="1"/>
  <c r="L89" i="5"/>
  <c r="V89" i="5" s="1"/>
  <c r="L140" i="5"/>
  <c r="V140" i="5" s="1"/>
  <c r="L147" i="5"/>
  <c r="V147" i="5" s="1"/>
  <c r="L19" i="5"/>
  <c r="V19" i="5" s="1"/>
  <c r="AA19" i="5" s="1"/>
  <c r="J78" i="5"/>
  <c r="T78" i="5" s="1"/>
  <c r="H78" i="5"/>
  <c r="I78" i="5" s="1"/>
  <c r="J52" i="5"/>
  <c r="T52" i="5" s="1"/>
  <c r="K104" i="5"/>
  <c r="U104" i="5" s="1"/>
  <c r="L117" i="5"/>
  <c r="V117" i="5" s="1"/>
  <c r="L201" i="5"/>
  <c r="V201" i="5" s="1"/>
  <c r="L31" i="5"/>
  <c r="V31" i="5" s="1"/>
  <c r="K96" i="5"/>
  <c r="U96" i="5"/>
  <c r="L59" i="5"/>
  <c r="V59" i="5" s="1"/>
  <c r="L63" i="5"/>
  <c r="V63" i="5" s="1"/>
  <c r="L108" i="5"/>
  <c r="V108" i="5" s="1"/>
  <c r="AA17" i="5"/>
  <c r="J29" i="5"/>
  <c r="T29" i="5" s="1"/>
  <c r="K16" i="5"/>
  <c r="U16" i="5" s="1"/>
  <c r="K33" i="5"/>
  <c r="U33" i="5" s="1"/>
  <c r="J87" i="5"/>
  <c r="T87" i="5" s="1"/>
  <c r="H87" i="5"/>
  <c r="I87" i="5" s="1"/>
  <c r="J46" i="5"/>
  <c r="T46" i="5" s="1"/>
  <c r="L101" i="5"/>
  <c r="V101" i="5" s="1"/>
  <c r="L72" i="5"/>
  <c r="V72" i="5" s="1"/>
  <c r="J173" i="5"/>
  <c r="T173" i="5" s="1"/>
  <c r="H173" i="5"/>
  <c r="I173" i="5" s="1"/>
  <c r="K171" i="5"/>
  <c r="U171" i="5" s="1"/>
  <c r="I171" i="5"/>
  <c r="J139" i="5"/>
  <c r="T139" i="5" s="1"/>
  <c r="K187" i="5"/>
  <c r="U187" i="5" s="1"/>
  <c r="J189" i="5"/>
  <c r="T189" i="5" s="1"/>
  <c r="H189" i="5"/>
  <c r="I189" i="5" s="1"/>
  <c r="K199" i="5"/>
  <c r="U199" i="5" s="1"/>
  <c r="I199" i="5"/>
  <c r="L193" i="5"/>
  <c r="V193" i="5" s="1"/>
  <c r="H224" i="5"/>
  <c r="H52" i="5"/>
  <c r="I52" i="5" s="1"/>
  <c r="K218" i="5"/>
  <c r="U218" i="5" s="1"/>
  <c r="R34" i="4"/>
  <c r="R35" i="4" s="1"/>
  <c r="C30" i="2"/>
  <c r="J39" i="5"/>
  <c r="T39" i="5" s="1"/>
  <c r="L41" i="5"/>
  <c r="V41" i="5" s="1"/>
  <c r="L65" i="5"/>
  <c r="V65" i="5" s="1"/>
  <c r="I16" i="5"/>
  <c r="I24" i="5"/>
  <c r="I33" i="5"/>
  <c r="J74" i="5"/>
  <c r="T74" i="5" s="1"/>
  <c r="H74" i="5"/>
  <c r="J91" i="5"/>
  <c r="T91" i="5" s="1"/>
  <c r="H91" i="5"/>
  <c r="L129" i="5"/>
  <c r="V129" i="5" s="1"/>
  <c r="L55" i="5"/>
  <c r="V55" i="5" s="1"/>
  <c r="L43" i="5"/>
  <c r="V43" i="5" s="1"/>
  <c r="L90" i="5"/>
  <c r="V90" i="5" s="1"/>
  <c r="L133" i="5"/>
  <c r="V133" i="5" s="1"/>
  <c r="J104" i="5"/>
  <c r="T104" i="5" s="1"/>
  <c r="J136" i="5"/>
  <c r="T136" i="5" s="1"/>
  <c r="L131" i="5"/>
  <c r="V131" i="5" s="1"/>
  <c r="G241" i="5"/>
  <c r="K166" i="5"/>
  <c r="U166" i="5" s="1"/>
  <c r="I166" i="5"/>
  <c r="H139" i="5"/>
  <c r="K197" i="5"/>
  <c r="U197" i="5" s="1"/>
  <c r="K225" i="5"/>
  <c r="U225" i="5" s="1"/>
  <c r="J210" i="5"/>
  <c r="T210" i="5" s="1"/>
  <c r="I210" i="5"/>
  <c r="I197" i="5"/>
  <c r="K230" i="5"/>
  <c r="U230" i="5" s="1"/>
  <c r="J220" i="5"/>
  <c r="T220" i="5" s="1"/>
  <c r="H220" i="5"/>
  <c r="G233" i="5"/>
  <c r="H233" i="5" s="1"/>
  <c r="L35" i="5"/>
  <c r="V35" i="5" s="1"/>
  <c r="K202" i="5"/>
  <c r="U202" i="5" s="1"/>
  <c r="K174" i="5"/>
  <c r="U174" i="5" s="1"/>
  <c r="J230" i="5"/>
  <c r="T230" i="5" s="1"/>
  <c r="K204" i="5"/>
  <c r="U204" i="5" s="1"/>
  <c r="G239" i="5"/>
  <c r="H239" i="5" s="1"/>
  <c r="I202" i="5"/>
  <c r="I50" i="5"/>
  <c r="L49" i="5"/>
  <c r="V49" i="5" s="1"/>
  <c r="K88" i="5"/>
  <c r="U88" i="5" s="1"/>
  <c r="I70" i="5"/>
  <c r="I88" i="5"/>
  <c r="K41" i="5"/>
  <c r="U41" i="5" s="1"/>
  <c r="L106" i="5"/>
  <c r="V106" i="5" s="1"/>
  <c r="L120" i="5"/>
  <c r="V120" i="5"/>
  <c r="K142" i="5"/>
  <c r="U142" i="5" s="1"/>
  <c r="L126" i="5"/>
  <c r="V126" i="5" s="1"/>
  <c r="I169" i="5"/>
  <c r="L149" i="5"/>
  <c r="V149" i="5" s="1"/>
  <c r="G234" i="5"/>
  <c r="H39" i="5"/>
  <c r="L28" i="5"/>
  <c r="V28" i="5" s="1"/>
  <c r="T26" i="5"/>
  <c r="AA26" i="5" s="1"/>
  <c r="T16" i="5"/>
  <c r="T24" i="5"/>
  <c r="K23" i="5"/>
  <c r="U23" i="5" s="1"/>
  <c r="I74" i="5"/>
  <c r="I132" i="5"/>
  <c r="I157" i="5"/>
  <c r="J146" i="5"/>
  <c r="T146" i="5"/>
  <c r="I179" i="5"/>
  <c r="K217" i="5"/>
  <c r="U217" i="5" s="1"/>
  <c r="K211" i="5"/>
  <c r="U211" i="5" s="1"/>
  <c r="J186" i="5"/>
  <c r="T186" i="5" s="1"/>
  <c r="I186" i="5"/>
  <c r="I196" i="5"/>
  <c r="H215" i="5"/>
  <c r="I102" i="5"/>
  <c r="K101" i="5"/>
  <c r="U101" i="5" s="1"/>
  <c r="L71" i="5"/>
  <c r="V71" i="5" s="1"/>
  <c r="I214" i="5"/>
  <c r="I150" i="5" l="1"/>
  <c r="I127" i="5"/>
  <c r="L127" i="5" s="1"/>
  <c r="V127" i="5" s="1"/>
  <c r="T232" i="5"/>
  <c r="J236" i="5"/>
  <c r="T236" i="5" s="1"/>
  <c r="M26" i="5"/>
  <c r="M32" i="5" s="1"/>
  <c r="I114" i="5"/>
  <c r="I62" i="5"/>
  <c r="L62" i="5" s="1"/>
  <c r="V62" i="5" s="1"/>
  <c r="U30" i="5"/>
  <c r="I30" i="5"/>
  <c r="L30" i="5" s="1"/>
  <c r="V30" i="5" s="1"/>
  <c r="K30" i="5"/>
  <c r="I25" i="5"/>
  <c r="K165" i="5"/>
  <c r="U165" i="5"/>
  <c r="K181" i="5"/>
  <c r="U181" i="5"/>
  <c r="L152" i="5"/>
  <c r="V152" i="5" s="1"/>
  <c r="V18" i="5"/>
  <c r="AA18" i="5" s="1"/>
  <c r="AB18" i="5" s="1"/>
  <c r="I60" i="5"/>
  <c r="K60" i="5"/>
  <c r="U60" i="5" s="1"/>
  <c r="I45" i="5"/>
  <c r="L45" i="5" s="1"/>
  <c r="V45" i="5" s="1"/>
  <c r="K45" i="5"/>
  <c r="U45" i="5" s="1"/>
  <c r="I21" i="5"/>
  <c r="K21" i="5"/>
  <c r="U21" i="5" s="1"/>
  <c r="M23" i="5"/>
  <c r="AA20" i="5"/>
  <c r="AB20" i="5" s="1"/>
  <c r="K152" i="5"/>
  <c r="U152" i="5" s="1"/>
  <c r="L189" i="5"/>
  <c r="V189" i="5" s="1"/>
  <c r="L87" i="5"/>
  <c r="V87" i="5" s="1"/>
  <c r="L95" i="5"/>
  <c r="V95" i="5" s="1"/>
  <c r="L52" i="5"/>
  <c r="V52" i="5" s="1"/>
  <c r="AA23" i="5"/>
  <c r="K239" i="5"/>
  <c r="U239" i="5" s="1"/>
  <c r="AB19" i="5"/>
  <c r="K215" i="5"/>
  <c r="U215" i="5" s="1"/>
  <c r="K39" i="5"/>
  <c r="U39" i="5" s="1"/>
  <c r="L70" i="5"/>
  <c r="V70" i="5"/>
  <c r="L196" i="5"/>
  <c r="V196" i="5" s="1"/>
  <c r="AA38" i="5"/>
  <c r="AA36" i="5"/>
  <c r="AA34" i="5"/>
  <c r="AA32" i="5"/>
  <c r="AA28" i="5"/>
  <c r="AB26" i="5"/>
  <c r="AC26" i="5" s="1"/>
  <c r="AA35" i="5"/>
  <c r="AA31" i="5"/>
  <c r="L166" i="5"/>
  <c r="V166" i="5" s="1"/>
  <c r="K91" i="5"/>
  <c r="U91" i="5" s="1"/>
  <c r="L199" i="5"/>
  <c r="V199" i="5" s="1"/>
  <c r="AB17" i="5"/>
  <c r="M35" i="5"/>
  <c r="L123" i="5"/>
  <c r="V123" i="5" s="1"/>
  <c r="J238" i="5"/>
  <c r="T238" i="5" s="1"/>
  <c r="C254" i="5"/>
  <c r="O42" i="4"/>
  <c r="C245" i="5"/>
  <c r="F44" i="4"/>
  <c r="G44" i="4" s="1"/>
  <c r="H44" i="4" s="1"/>
  <c r="I44" i="4" s="1"/>
  <c r="J44" i="4" s="1"/>
  <c r="K44" i="4" s="1"/>
  <c r="L44" i="4" s="1"/>
  <c r="M44" i="4" s="1"/>
  <c r="N44" i="4" s="1"/>
  <c r="O44" i="4" s="1"/>
  <c r="P44" i="4" s="1"/>
  <c r="Q44" i="4" s="1"/>
  <c r="F42" i="4"/>
  <c r="F45" i="4" s="1"/>
  <c r="G45" i="4" s="1"/>
  <c r="H45" i="4" s="1"/>
  <c r="I45" i="4" s="1"/>
  <c r="J45" i="4" s="1"/>
  <c r="K45" i="4" s="1"/>
  <c r="L45" i="4" s="1"/>
  <c r="M45" i="4" s="1"/>
  <c r="N45" i="4" s="1"/>
  <c r="L22" i="5"/>
  <c r="M22" i="5" s="1"/>
  <c r="L102" i="5"/>
  <c r="V102" i="5"/>
  <c r="L179" i="5"/>
  <c r="V179" i="5" s="1"/>
  <c r="L132" i="5"/>
  <c r="V132" i="5" s="1"/>
  <c r="L88" i="5"/>
  <c r="V88" i="5" s="1"/>
  <c r="L202" i="5"/>
  <c r="V202" i="5" s="1"/>
  <c r="K220" i="5"/>
  <c r="U220" i="5" s="1"/>
  <c r="L33" i="5"/>
  <c r="L171" i="5"/>
  <c r="V171" i="5" s="1"/>
  <c r="L84" i="5"/>
  <c r="V84" i="5" s="1"/>
  <c r="H238" i="5"/>
  <c r="K115" i="5"/>
  <c r="U115" i="5" s="1"/>
  <c r="L200" i="5"/>
  <c r="V200" i="5" s="1"/>
  <c r="L93" i="5"/>
  <c r="V93" i="5" s="1"/>
  <c r="E38" i="3"/>
  <c r="L44" i="5"/>
  <c r="V44" i="5" s="1"/>
  <c r="K50" i="5"/>
  <c r="U50" i="5" s="1"/>
  <c r="J240" i="5"/>
  <c r="T240" i="5" s="1"/>
  <c r="L136" i="5"/>
  <c r="V136" i="5" s="1"/>
  <c r="K139" i="5"/>
  <c r="U139" i="5" s="1"/>
  <c r="J241" i="5"/>
  <c r="T241" i="5" s="1"/>
  <c r="H241" i="5"/>
  <c r="K74" i="5"/>
  <c r="U74" i="5" s="1"/>
  <c r="L24" i="5"/>
  <c r="V24" i="5" s="1"/>
  <c r="AA24" i="5" s="1"/>
  <c r="E30" i="2"/>
  <c r="C31" i="2"/>
  <c r="K52" i="5"/>
  <c r="U52" i="5" s="1"/>
  <c r="K189" i="5"/>
  <c r="U189" i="5" s="1"/>
  <c r="K87" i="5"/>
  <c r="U87" i="5" s="1"/>
  <c r="J235" i="5"/>
  <c r="T235" i="5" s="1"/>
  <c r="H235" i="5"/>
  <c r="L100" i="5"/>
  <c r="V100" i="5" s="1"/>
  <c r="L57" i="5"/>
  <c r="V57" i="5" s="1"/>
  <c r="K232" i="5"/>
  <c r="U232" i="5" s="1"/>
  <c r="M20" i="5"/>
  <c r="R41" i="4"/>
  <c r="F30" i="2"/>
  <c r="F31" i="2" s="1"/>
  <c r="AB15" i="5"/>
  <c r="L175" i="5"/>
  <c r="V175" i="5" s="1"/>
  <c r="K233" i="5"/>
  <c r="U233" i="5" s="1"/>
  <c r="L103" i="5"/>
  <c r="V103" i="5" s="1"/>
  <c r="K123" i="5"/>
  <c r="U123" i="5"/>
  <c r="I139" i="5"/>
  <c r="I91" i="5"/>
  <c r="L74" i="5"/>
  <c r="V74" i="5" s="1"/>
  <c r="L169" i="5"/>
  <c r="V169" i="5" s="1"/>
  <c r="J239" i="5"/>
  <c r="T239" i="5" s="1"/>
  <c r="L197" i="5"/>
  <c r="V197" i="5" s="1"/>
  <c r="J234" i="5"/>
  <c r="T234" i="5" s="1"/>
  <c r="H234" i="5"/>
  <c r="I215" i="5"/>
  <c r="L16" i="5"/>
  <c r="V16" i="5" s="1"/>
  <c r="AA16" i="5" s="1"/>
  <c r="K240" i="5"/>
  <c r="U240" i="5" s="1"/>
  <c r="L78" i="5"/>
  <c r="V78" i="5" s="1"/>
  <c r="K222" i="5"/>
  <c r="U222" i="5" s="1"/>
  <c r="K69" i="5"/>
  <c r="U69" i="5" s="1"/>
  <c r="L170" i="5"/>
  <c r="V170" i="5" s="1"/>
  <c r="K206" i="5"/>
  <c r="U206" i="5" s="1"/>
  <c r="K82" i="5"/>
  <c r="U82" i="5" s="1"/>
  <c r="I82" i="5"/>
  <c r="K95" i="5"/>
  <c r="U95" i="5" s="1"/>
  <c r="L173" i="5"/>
  <c r="V173" i="5" s="1"/>
  <c r="L188" i="5"/>
  <c r="V188" i="5" s="1"/>
  <c r="I39" i="5"/>
  <c r="L46" i="5"/>
  <c r="V46" i="5" s="1"/>
  <c r="L186" i="5"/>
  <c r="V186" i="5" s="1"/>
  <c r="L157" i="5"/>
  <c r="V157" i="5" s="1"/>
  <c r="L50" i="5"/>
  <c r="V50" i="5" s="1"/>
  <c r="I206" i="5"/>
  <c r="J233" i="5"/>
  <c r="T233" i="5" s="1"/>
  <c r="K224" i="5"/>
  <c r="U224" i="5" s="1"/>
  <c r="K173" i="5"/>
  <c r="U173" i="5" s="1"/>
  <c r="M19" i="5"/>
  <c r="K78" i="5"/>
  <c r="U78" i="5" s="1"/>
  <c r="K208" i="5"/>
  <c r="U208" i="5"/>
  <c r="I208" i="5"/>
  <c r="L146" i="5"/>
  <c r="V146" i="5" s="1"/>
  <c r="L37" i="5"/>
  <c r="V37" i="5" s="1"/>
  <c r="AA37" i="5" s="1"/>
  <c r="L195" i="5"/>
  <c r="V195" i="5" s="1"/>
  <c r="I115" i="5"/>
  <c r="I69" i="5"/>
  <c r="L42" i="5"/>
  <c r="V42" i="5" s="1"/>
  <c r="L150" i="5"/>
  <c r="V150" i="5"/>
  <c r="L155" i="5"/>
  <c r="V155" i="5" s="1"/>
  <c r="K100" i="5"/>
  <c r="U100" i="5" s="1"/>
  <c r="L29" i="5"/>
  <c r="AA30" i="5" l="1"/>
  <c r="M34" i="5"/>
  <c r="M33" i="5"/>
  <c r="M36" i="5"/>
  <c r="M30" i="5"/>
  <c r="M38" i="5"/>
  <c r="L25" i="5"/>
  <c r="M25" i="5" s="1"/>
  <c r="M28" i="5"/>
  <c r="M29" i="5"/>
  <c r="M31" i="5"/>
  <c r="L114" i="5"/>
  <c r="V114" i="5"/>
  <c r="V22" i="5"/>
  <c r="AA22" i="5" s="1"/>
  <c r="AB22" i="5" s="1"/>
  <c r="L60" i="5"/>
  <c r="V60" i="5"/>
  <c r="V29" i="5"/>
  <c r="AA29" i="5" s="1"/>
  <c r="AB29" i="5" s="1"/>
  <c r="L21" i="5"/>
  <c r="M21" i="5" s="1"/>
  <c r="M37" i="5"/>
  <c r="AB16" i="5"/>
  <c r="AB24" i="5"/>
  <c r="AB37" i="5"/>
  <c r="AC37" i="5" s="1"/>
  <c r="M16" i="5"/>
  <c r="N18" i="5"/>
  <c r="O18" i="5" s="1"/>
  <c r="AD18" i="5"/>
  <c r="AE18" i="5" s="1"/>
  <c r="AD17" i="5"/>
  <c r="AE17" i="5" s="1"/>
  <c r="N17" i="5"/>
  <c r="O17" i="5" s="1"/>
  <c r="AB34" i="5"/>
  <c r="AC34" i="5" s="1"/>
  <c r="N20" i="5"/>
  <c r="O20" i="5" s="1"/>
  <c r="AD20" i="5"/>
  <c r="AE20" i="5" s="1"/>
  <c r="L82" i="5"/>
  <c r="V82" i="5" s="1"/>
  <c r="L139" i="5"/>
  <c r="V139" i="5" s="1"/>
  <c r="G30" i="2"/>
  <c r="G31" i="2" s="1"/>
  <c r="E31" i="2"/>
  <c r="AC18" i="5"/>
  <c r="K238" i="5"/>
  <c r="U238" i="5" s="1"/>
  <c r="O45" i="4"/>
  <c r="P45" i="4" s="1"/>
  <c r="Q45" i="4" s="1"/>
  <c r="AB31" i="5"/>
  <c r="AB35" i="5"/>
  <c r="AC35" i="5" s="1"/>
  <c r="AB28" i="5"/>
  <c r="AC28" i="5" s="1"/>
  <c r="AB36" i="5"/>
  <c r="AC20" i="5"/>
  <c r="L39" i="5"/>
  <c r="M39" i="5" s="1"/>
  <c r="AD15" i="5"/>
  <c r="AE15" i="5" s="1"/>
  <c r="AF15" i="5" s="1"/>
  <c r="N15" i="5"/>
  <c r="O15" i="5" s="1"/>
  <c r="P15" i="5" s="1"/>
  <c r="R44" i="4"/>
  <c r="R42" i="4"/>
  <c r="R45" i="4" s="1"/>
  <c r="K241" i="5"/>
  <c r="U241" i="5" s="1"/>
  <c r="D46" i="3"/>
  <c r="D47" i="3"/>
  <c r="M24" i="5"/>
  <c r="AB30" i="5"/>
  <c r="AC30" i="5" s="1"/>
  <c r="AB38" i="5"/>
  <c r="AD19" i="5"/>
  <c r="AE19" i="5" s="1"/>
  <c r="N19" i="5"/>
  <c r="O19" i="5" s="1"/>
  <c r="L69" i="5"/>
  <c r="V69" i="5" s="1"/>
  <c r="L115" i="5"/>
  <c r="V115" i="5" s="1"/>
  <c r="K234" i="5"/>
  <c r="U234" i="5" s="1"/>
  <c r="L91" i="5"/>
  <c r="V91" i="5" s="1"/>
  <c r="AC15" i="5"/>
  <c r="K235" i="5"/>
  <c r="U235" i="5" s="1"/>
  <c r="V33" i="5"/>
  <c r="AA33" i="5" s="1"/>
  <c r="D256" i="5"/>
  <c r="D254" i="5"/>
  <c r="D252" i="5"/>
  <c r="D250" i="5"/>
  <c r="D248" i="5"/>
  <c r="D246" i="5"/>
  <c r="D247" i="5"/>
  <c r="D253" i="5"/>
  <c r="D249" i="5"/>
  <c r="D255" i="5"/>
  <c r="D251" i="5"/>
  <c r="D245" i="5"/>
  <c r="AC17" i="5"/>
  <c r="N26" i="5"/>
  <c r="O26" i="5" s="1"/>
  <c r="AD26" i="5"/>
  <c r="AE26" i="5" s="1"/>
  <c r="AB32" i="5"/>
  <c r="AC19" i="5"/>
  <c r="AB23" i="5"/>
  <c r="AC23" i="5" s="1"/>
  <c r="P19" i="5" l="1"/>
  <c r="AF19" i="5"/>
  <c r="V25" i="5"/>
  <c r="AA25" i="5" s="1"/>
  <c r="P20" i="5"/>
  <c r="V21" i="5"/>
  <c r="AA21" i="5" s="1"/>
  <c r="AD32" i="5"/>
  <c r="AE32" i="5" s="1"/>
  <c r="N32" i="5"/>
  <c r="O32" i="5" s="1"/>
  <c r="F251" i="5"/>
  <c r="S251" i="5" s="1"/>
  <c r="F252" i="5"/>
  <c r="S252" i="5" s="1"/>
  <c r="G252" i="5"/>
  <c r="H252" i="5" s="1"/>
  <c r="AD36" i="5"/>
  <c r="AE36" i="5" s="1"/>
  <c r="N36" i="5"/>
  <c r="O36" i="5" s="1"/>
  <c r="AC32" i="5"/>
  <c r="F255" i="5"/>
  <c r="S255" i="5" s="1"/>
  <c r="F246" i="5"/>
  <c r="S246" i="5" s="1"/>
  <c r="F254" i="5"/>
  <c r="S254" i="5" s="1"/>
  <c r="AF18" i="5"/>
  <c r="AD38" i="5"/>
  <c r="AE38" i="5" s="1"/>
  <c r="N38" i="5"/>
  <c r="O38" i="5" s="1"/>
  <c r="V39" i="5"/>
  <c r="AA39" i="5" s="1"/>
  <c r="AC36" i="5"/>
  <c r="N16" i="5"/>
  <c r="O16" i="5" s="1"/>
  <c r="AD16" i="5"/>
  <c r="AE16" i="5" s="1"/>
  <c r="AF16" i="5" s="1"/>
  <c r="N22" i="5"/>
  <c r="O22" i="5" s="1"/>
  <c r="AD22" i="5"/>
  <c r="AE22" i="5" s="1"/>
  <c r="AB33" i="5"/>
  <c r="AC33" i="5" s="1"/>
  <c r="AD30" i="5"/>
  <c r="AE30" i="5" s="1"/>
  <c r="N30" i="5"/>
  <c r="O30" i="5" s="1"/>
  <c r="M51" i="5"/>
  <c r="M49" i="5"/>
  <c r="M47" i="5"/>
  <c r="M45" i="5"/>
  <c r="M43" i="5"/>
  <c r="M41" i="5"/>
  <c r="M52" i="5"/>
  <c r="M44" i="5"/>
  <c r="M46" i="5"/>
  <c r="M48" i="5"/>
  <c r="M50" i="5"/>
  <c r="M42" i="5"/>
  <c r="F249" i="5"/>
  <c r="S249" i="5" s="1"/>
  <c r="F248" i="5"/>
  <c r="S248" i="5" s="1"/>
  <c r="F256" i="5"/>
  <c r="S256" i="5" s="1"/>
  <c r="R48" i="4"/>
  <c r="AC38" i="5"/>
  <c r="N31" i="5"/>
  <c r="O31" i="5" s="1"/>
  <c r="AD31" i="5"/>
  <c r="AE31" i="5" s="1"/>
  <c r="AD34" i="5"/>
  <c r="AE34" i="5" s="1"/>
  <c r="N34" i="5"/>
  <c r="O34" i="5" s="1"/>
  <c r="N29" i="5"/>
  <c r="O29" i="5" s="1"/>
  <c r="AD29" i="5"/>
  <c r="AE29" i="5" s="1"/>
  <c r="N24" i="5"/>
  <c r="O24" i="5" s="1"/>
  <c r="AD24" i="5"/>
  <c r="AE24" i="5" s="1"/>
  <c r="AC16" i="5"/>
  <c r="AC22" i="5"/>
  <c r="F247" i="5"/>
  <c r="S247" i="5" s="1"/>
  <c r="AD23" i="5"/>
  <c r="AE23" i="5" s="1"/>
  <c r="AF23" i="5" s="1"/>
  <c r="N23" i="5"/>
  <c r="O23" i="5" s="1"/>
  <c r="P23" i="5" s="1"/>
  <c r="AF20" i="5"/>
  <c r="F245" i="5"/>
  <c r="S245" i="5" s="1"/>
  <c r="F253" i="5"/>
  <c r="S253" i="5" s="1"/>
  <c r="F250" i="5"/>
  <c r="S250" i="5" s="1"/>
  <c r="AD28" i="5"/>
  <c r="AE28" i="5" s="1"/>
  <c r="AF28" i="5" s="1"/>
  <c r="N28" i="5"/>
  <c r="O28" i="5" s="1"/>
  <c r="P28" i="5" s="1"/>
  <c r="N35" i="5"/>
  <c r="O35" i="5" s="1"/>
  <c r="AD35" i="5"/>
  <c r="AE35" i="5" s="1"/>
  <c r="AC31" i="5"/>
  <c r="P18" i="5"/>
  <c r="N37" i="5"/>
  <c r="O37" i="5" s="1"/>
  <c r="P37" i="5" s="1"/>
  <c r="AD37" i="5"/>
  <c r="AE37" i="5" s="1"/>
  <c r="AC29" i="5"/>
  <c r="AC24" i="5"/>
  <c r="AF30" i="5" l="1"/>
  <c r="AB25" i="5"/>
  <c r="AC25" i="5" s="1"/>
  <c r="AF17" i="5"/>
  <c r="AF38" i="5"/>
  <c r="AF37" i="5"/>
  <c r="AF29" i="5"/>
  <c r="P30" i="5"/>
  <c r="AB21" i="5"/>
  <c r="AC21" i="5" s="1"/>
  <c r="P35" i="5"/>
  <c r="AF32" i="5"/>
  <c r="G247" i="5"/>
  <c r="J247" i="5" s="1"/>
  <c r="T247" i="5" s="1"/>
  <c r="G256" i="5"/>
  <c r="G251" i="5"/>
  <c r="H251" i="5" s="1"/>
  <c r="P16" i="5"/>
  <c r="P17" i="5"/>
  <c r="K252" i="5"/>
  <c r="U252" i="5" s="1"/>
  <c r="AF35" i="5"/>
  <c r="P24" i="5"/>
  <c r="J256" i="5"/>
  <c r="T256" i="5" s="1"/>
  <c r="J251" i="5"/>
  <c r="T251" i="5" s="1"/>
  <c r="AF31" i="5"/>
  <c r="H256" i="5"/>
  <c r="G253" i="5"/>
  <c r="P29" i="5"/>
  <c r="P31" i="5"/>
  <c r="AA51" i="5"/>
  <c r="AA49" i="5"/>
  <c r="AA47" i="5"/>
  <c r="AA45" i="5"/>
  <c r="AA43" i="5"/>
  <c r="AA41" i="5"/>
  <c r="AB39" i="5"/>
  <c r="AA52" i="5"/>
  <c r="AA44" i="5"/>
  <c r="AA46" i="5"/>
  <c r="AA42" i="5"/>
  <c r="AA48" i="5"/>
  <c r="AA50" i="5"/>
  <c r="G254" i="5"/>
  <c r="H254" i="5" s="1"/>
  <c r="G255" i="5"/>
  <c r="P36" i="5"/>
  <c r="P32" i="5"/>
  <c r="M64" i="5"/>
  <c r="M62" i="5"/>
  <c r="M60" i="5"/>
  <c r="M58" i="5"/>
  <c r="M56" i="5"/>
  <c r="M54" i="5"/>
  <c r="M61" i="5"/>
  <c r="M63" i="5"/>
  <c r="M55" i="5"/>
  <c r="M65" i="5"/>
  <c r="M57" i="5"/>
  <c r="M59" i="5"/>
  <c r="J252" i="5"/>
  <c r="T252" i="5" s="1"/>
  <c r="G245" i="5"/>
  <c r="G250" i="5"/>
  <c r="H247" i="5"/>
  <c r="AF24" i="5"/>
  <c r="AF36" i="5"/>
  <c r="G248" i="5"/>
  <c r="G249" i="5"/>
  <c r="N33" i="5"/>
  <c r="O33" i="5" s="1"/>
  <c r="P33" i="5" s="1"/>
  <c r="AD33" i="5"/>
  <c r="AE33" i="5" s="1"/>
  <c r="AF33" i="5" s="1"/>
  <c r="P38" i="5"/>
  <c r="G246" i="5"/>
  <c r="N25" i="5" l="1"/>
  <c r="O25" i="5" s="1"/>
  <c r="AD25" i="5"/>
  <c r="AE25" i="5" s="1"/>
  <c r="AD21" i="5"/>
  <c r="AE21" i="5" s="1"/>
  <c r="N21" i="5"/>
  <c r="O21" i="5" s="1"/>
  <c r="K254" i="5"/>
  <c r="U254" i="5" s="1"/>
  <c r="J249" i="5"/>
  <c r="T249" i="5" s="1"/>
  <c r="H249" i="5"/>
  <c r="M71" i="5"/>
  <c r="O71" i="5" s="1"/>
  <c r="M67" i="5"/>
  <c r="O67" i="5" s="1"/>
  <c r="M72" i="5"/>
  <c r="M68" i="5"/>
  <c r="O68" i="5" s="1"/>
  <c r="M70" i="5"/>
  <c r="O70" i="5" s="1"/>
  <c r="M69" i="5"/>
  <c r="O69" i="5" s="1"/>
  <c r="J254" i="5"/>
  <c r="T254" i="5" s="1"/>
  <c r="N39" i="5"/>
  <c r="O39" i="5" s="1"/>
  <c r="P39" i="5" s="1"/>
  <c r="AD39" i="5"/>
  <c r="AE39" i="5" s="1"/>
  <c r="AF39" i="5" s="1"/>
  <c r="K256" i="5"/>
  <c r="U256" i="5" s="1"/>
  <c r="J248" i="5"/>
  <c r="T248" i="5" s="1"/>
  <c r="H248" i="5"/>
  <c r="AB50" i="5"/>
  <c r="AC50" i="5" s="1"/>
  <c r="AC39" i="5"/>
  <c r="J253" i="5"/>
  <c r="T253" i="5" s="1"/>
  <c r="K251" i="5"/>
  <c r="U251" i="5" s="1"/>
  <c r="AB48" i="5"/>
  <c r="AC48" i="5" s="1"/>
  <c r="AB44" i="5"/>
  <c r="AB41" i="5"/>
  <c r="AB49" i="5"/>
  <c r="AC49" i="5" s="1"/>
  <c r="J250" i="5"/>
  <c r="T250" i="5" s="1"/>
  <c r="H250" i="5"/>
  <c r="AB46" i="5"/>
  <c r="AB45" i="5"/>
  <c r="AC45" i="5" s="1"/>
  <c r="J245" i="5"/>
  <c r="T245" i="5" s="1"/>
  <c r="AB47" i="5"/>
  <c r="K247" i="5"/>
  <c r="U247" i="5" s="1"/>
  <c r="J246" i="5"/>
  <c r="T246" i="5" s="1"/>
  <c r="H246" i="5"/>
  <c r="P34" i="5"/>
  <c r="H253" i="5"/>
  <c r="H245" i="5"/>
  <c r="J255" i="5"/>
  <c r="T255" i="5" s="1"/>
  <c r="H255" i="5"/>
  <c r="AB42" i="5"/>
  <c r="AA64" i="5"/>
  <c r="AA62" i="5"/>
  <c r="AA60" i="5"/>
  <c r="AA58" i="5"/>
  <c r="AA56" i="5"/>
  <c r="AA54" i="5"/>
  <c r="AB52" i="5"/>
  <c r="AC52" i="5" s="1"/>
  <c r="AA61" i="5"/>
  <c r="AA63" i="5"/>
  <c r="AA55" i="5"/>
  <c r="AA65" i="5"/>
  <c r="AA57" i="5"/>
  <c r="AA59" i="5"/>
  <c r="AB43" i="5"/>
  <c r="AB51" i="5"/>
  <c r="AC51" i="5" s="1"/>
  <c r="AF34" i="5"/>
  <c r="AF26" i="5" l="1"/>
  <c r="AF25" i="5"/>
  <c r="P69" i="5"/>
  <c r="P26" i="5"/>
  <c r="P25" i="5"/>
  <c r="P21" i="5"/>
  <c r="P22" i="5"/>
  <c r="AF21" i="5"/>
  <c r="AF22" i="5"/>
  <c r="AB55" i="5"/>
  <c r="AB60" i="5"/>
  <c r="AC60" i="5" s="1"/>
  <c r="N42" i="5"/>
  <c r="O42" i="5" s="1"/>
  <c r="AD42" i="5"/>
  <c r="N46" i="5"/>
  <c r="O46" i="5" s="1"/>
  <c r="AD46" i="5"/>
  <c r="AE46" i="5" s="1"/>
  <c r="AB57" i="5"/>
  <c r="AB54" i="5"/>
  <c r="AC54" i="5" s="1"/>
  <c r="K253" i="5"/>
  <c r="U253" i="5" s="1"/>
  <c r="AD47" i="5"/>
  <c r="AE47" i="5" s="1"/>
  <c r="N47" i="5"/>
  <c r="O47" i="5" s="1"/>
  <c r="AD45" i="5"/>
  <c r="AE45" i="5" s="1"/>
  <c r="N45" i="5"/>
  <c r="O45" i="5" s="1"/>
  <c r="AC46" i="5"/>
  <c r="AD41" i="5"/>
  <c r="AE41" i="5" s="1"/>
  <c r="AF41" i="5" s="1"/>
  <c r="N41" i="5"/>
  <c r="O41" i="5" s="1"/>
  <c r="P41" i="5" s="1"/>
  <c r="N44" i="5"/>
  <c r="O44" i="5" s="1"/>
  <c r="AD44" i="5"/>
  <c r="AE44" i="5" s="1"/>
  <c r="P70" i="5"/>
  <c r="AB59" i="5"/>
  <c r="AC59" i="5" s="1"/>
  <c r="K245" i="5"/>
  <c r="U245" i="5" s="1"/>
  <c r="N48" i="5"/>
  <c r="O48" i="5" s="1"/>
  <c r="AD48" i="5"/>
  <c r="AD43" i="5"/>
  <c r="AE43" i="5" s="1"/>
  <c r="N43" i="5"/>
  <c r="O43" i="5" s="1"/>
  <c r="P43" i="5" s="1"/>
  <c r="AB63" i="5"/>
  <c r="AB62" i="5"/>
  <c r="AC62" i="5"/>
  <c r="AC42" i="5"/>
  <c r="AC43" i="5"/>
  <c r="AB61" i="5"/>
  <c r="AB56" i="5"/>
  <c r="AB64" i="5"/>
  <c r="AC64" i="5" s="1"/>
  <c r="K255" i="5"/>
  <c r="U255" i="5"/>
  <c r="AC47" i="5"/>
  <c r="AD49" i="5"/>
  <c r="AE49" i="5" s="1"/>
  <c r="N49" i="5"/>
  <c r="O49" i="5" s="1"/>
  <c r="P49" i="5" s="1"/>
  <c r="AC41" i="5"/>
  <c r="AC44" i="5"/>
  <c r="P68" i="5"/>
  <c r="P71" i="5"/>
  <c r="AD51" i="5"/>
  <c r="AE51" i="5" s="1"/>
  <c r="N51" i="5"/>
  <c r="O51" i="5" s="1"/>
  <c r="AA70" i="5"/>
  <c r="AA71" i="5"/>
  <c r="AA67" i="5"/>
  <c r="AB65" i="5"/>
  <c r="AC65" i="5" s="1"/>
  <c r="AA72" i="5"/>
  <c r="AA68" i="5"/>
  <c r="AA69" i="5"/>
  <c r="N52" i="5"/>
  <c r="O52" i="5" s="1"/>
  <c r="P52" i="5" s="1"/>
  <c r="AD52" i="5"/>
  <c r="AE52" i="5" s="1"/>
  <c r="AB58" i="5"/>
  <c r="AE42" i="5"/>
  <c r="AF42" i="5" s="1"/>
  <c r="K246" i="5"/>
  <c r="U246" i="5" s="1"/>
  <c r="K250" i="5"/>
  <c r="U250" i="5" s="1"/>
  <c r="AE48" i="5"/>
  <c r="N50" i="5"/>
  <c r="O50" i="5" s="1"/>
  <c r="P50" i="5" s="1"/>
  <c r="AD50" i="5"/>
  <c r="AE50" i="5" s="1"/>
  <c r="AF50" i="5" s="1"/>
  <c r="K248" i="5"/>
  <c r="U248" i="5" s="1"/>
  <c r="M84" i="5"/>
  <c r="O84" i="5" s="1"/>
  <c r="P84" i="5" s="1"/>
  <c r="M80" i="5"/>
  <c r="O80" i="5" s="1"/>
  <c r="M76" i="5"/>
  <c r="O76" i="5" s="1"/>
  <c r="O72" i="5"/>
  <c r="P72" i="5" s="1"/>
  <c r="M85" i="5"/>
  <c r="M81" i="5"/>
  <c r="O81" i="5" s="1"/>
  <c r="P81" i="5" s="1"/>
  <c r="M77" i="5"/>
  <c r="O77" i="5" s="1"/>
  <c r="M83" i="5"/>
  <c r="O83" i="5" s="1"/>
  <c r="M79" i="5"/>
  <c r="O79" i="5" s="1"/>
  <c r="M75" i="5"/>
  <c r="O75" i="5" s="1"/>
  <c r="P75" i="5" s="1"/>
  <c r="M82" i="5"/>
  <c r="O82" i="5" s="1"/>
  <c r="M78" i="5"/>
  <c r="O78" i="5" s="1"/>
  <c r="M74" i="5"/>
  <c r="O74" i="5" s="1"/>
  <c r="K249" i="5"/>
  <c r="U249" i="5" s="1"/>
  <c r="P74" i="5" l="1"/>
  <c r="P80" i="5"/>
  <c r="P79" i="5"/>
  <c r="AF48" i="5"/>
  <c r="P77" i="5"/>
  <c r="P78" i="5"/>
  <c r="P83" i="5"/>
  <c r="AF45" i="5"/>
  <c r="AF52" i="5"/>
  <c r="P47" i="5"/>
  <c r="AE68" i="5"/>
  <c r="AC68" i="5"/>
  <c r="AC71" i="5"/>
  <c r="AE71" i="5"/>
  <c r="AF51" i="5"/>
  <c r="P44" i="5"/>
  <c r="P45" i="5"/>
  <c r="N55" i="5"/>
  <c r="O55" i="5" s="1"/>
  <c r="AD55" i="5"/>
  <c r="AE55" i="5" s="1"/>
  <c r="AF46" i="5"/>
  <c r="AD58" i="5"/>
  <c r="N58" i="5"/>
  <c r="O58" i="5" s="1"/>
  <c r="AA83" i="5"/>
  <c r="AA79" i="5"/>
  <c r="AA75" i="5"/>
  <c r="AE72" i="5"/>
  <c r="AA84" i="5"/>
  <c r="AA80" i="5"/>
  <c r="AA76" i="5"/>
  <c r="AC72" i="5"/>
  <c r="AA85" i="5"/>
  <c r="AA81" i="5"/>
  <c r="AA77" i="5"/>
  <c r="AA74" i="5"/>
  <c r="AA78" i="5"/>
  <c r="AA82" i="5"/>
  <c r="AF43" i="5"/>
  <c r="P46" i="5"/>
  <c r="AD60" i="5"/>
  <c r="AE60" i="5" s="1"/>
  <c r="N60" i="5"/>
  <c r="O60" i="5" s="1"/>
  <c r="AC55" i="5"/>
  <c r="AC58" i="5"/>
  <c r="AE69" i="5"/>
  <c r="AF69" i="5" s="1"/>
  <c r="AC69" i="5"/>
  <c r="AE70" i="5"/>
  <c r="AC70" i="5"/>
  <c r="AF49" i="5"/>
  <c r="AD56" i="5"/>
  <c r="AE56" i="5" s="1"/>
  <c r="N56" i="5"/>
  <c r="O56" i="5" s="1"/>
  <c r="N61" i="5"/>
  <c r="O61" i="5" s="1"/>
  <c r="AD61" i="5"/>
  <c r="AE61" i="5" s="1"/>
  <c r="N63" i="5"/>
  <c r="O63" i="5" s="1"/>
  <c r="AD63" i="5"/>
  <c r="AE63" i="5" s="1"/>
  <c r="N57" i="5"/>
  <c r="O57" i="5" s="1"/>
  <c r="P57" i="5" s="1"/>
  <c r="AD57" i="5"/>
  <c r="AE57" i="5" s="1"/>
  <c r="M97" i="5"/>
  <c r="O97" i="5" s="1"/>
  <c r="M93" i="5"/>
  <c r="O93" i="5" s="1"/>
  <c r="M89" i="5"/>
  <c r="O89" i="5" s="1"/>
  <c r="O85" i="5"/>
  <c r="P85" i="5" s="1"/>
  <c r="M98" i="5"/>
  <c r="M94" i="5"/>
  <c r="O94" i="5" s="1"/>
  <c r="M90" i="5"/>
  <c r="O90" i="5" s="1"/>
  <c r="P90" i="5" s="1"/>
  <c r="M96" i="5"/>
  <c r="O96" i="5" s="1"/>
  <c r="M92" i="5"/>
  <c r="O92" i="5" s="1"/>
  <c r="M88" i="5"/>
  <c r="O88" i="5" s="1"/>
  <c r="M95" i="5"/>
  <c r="O95" i="5" s="1"/>
  <c r="M91" i="5"/>
  <c r="O91" i="5" s="1"/>
  <c r="M87" i="5"/>
  <c r="O87" i="5" s="1"/>
  <c r="N65" i="5"/>
  <c r="O65" i="5" s="1"/>
  <c r="AD65" i="5"/>
  <c r="AE65" i="5" s="1"/>
  <c r="P82" i="5"/>
  <c r="P76" i="5"/>
  <c r="AE58" i="5"/>
  <c r="AC67" i="5"/>
  <c r="AE67" i="5"/>
  <c r="P51" i="5"/>
  <c r="AD64" i="5"/>
  <c r="AE64" i="5" s="1"/>
  <c r="AF64" i="5" s="1"/>
  <c r="N64" i="5"/>
  <c r="O64" i="5" s="1"/>
  <c r="P64" i="5" s="1"/>
  <c r="AC56" i="5"/>
  <c r="AC61" i="5"/>
  <c r="AD62" i="5"/>
  <c r="AE62" i="5" s="1"/>
  <c r="N62" i="5"/>
  <c r="O62" i="5" s="1"/>
  <c r="P62" i="5" s="1"/>
  <c r="AC63" i="5"/>
  <c r="P48" i="5"/>
  <c r="N59" i="5"/>
  <c r="O59" i="5" s="1"/>
  <c r="P59" i="5" s="1"/>
  <c r="AD59" i="5"/>
  <c r="AE59" i="5" s="1"/>
  <c r="AF44" i="5"/>
  <c r="AF47" i="5"/>
  <c r="AD54" i="5"/>
  <c r="AE54" i="5" s="1"/>
  <c r="AF54" i="5" s="1"/>
  <c r="N54" i="5"/>
  <c r="O54" i="5" s="1"/>
  <c r="P54" i="5" s="1"/>
  <c r="AC57" i="5"/>
  <c r="P42" i="5"/>
  <c r="AF57" i="5" l="1"/>
  <c r="AF71" i="5"/>
  <c r="P61" i="5"/>
  <c r="AF72" i="5"/>
  <c r="P88" i="5"/>
  <c r="P93" i="5"/>
  <c r="AF62" i="5"/>
  <c r="P87" i="5"/>
  <c r="AF58" i="5"/>
  <c r="AF55" i="5"/>
  <c r="P94" i="5"/>
  <c r="AF67" i="5"/>
  <c r="P56" i="5"/>
  <c r="AF70" i="5"/>
  <c r="P91" i="5"/>
  <c r="P96" i="5"/>
  <c r="P65" i="5"/>
  <c r="P67" i="5"/>
  <c r="AE74" i="5"/>
  <c r="AF74" i="5" s="1"/>
  <c r="AC74" i="5"/>
  <c r="P58" i="5"/>
  <c r="P55" i="5"/>
  <c r="P92" i="5"/>
  <c r="M111" i="5"/>
  <c r="M107" i="5"/>
  <c r="O107" i="5" s="1"/>
  <c r="M103" i="5"/>
  <c r="O103" i="5" s="1"/>
  <c r="M109" i="5"/>
  <c r="O109" i="5" s="1"/>
  <c r="M105" i="5"/>
  <c r="O105" i="5" s="1"/>
  <c r="O98" i="5"/>
  <c r="P98" i="5" s="1"/>
  <c r="M108" i="5"/>
  <c r="O108" i="5" s="1"/>
  <c r="M106" i="5"/>
  <c r="O106" i="5" s="1"/>
  <c r="M104" i="5"/>
  <c r="O104" i="5" s="1"/>
  <c r="M102" i="5"/>
  <c r="O102" i="5" s="1"/>
  <c r="M101" i="5"/>
  <c r="O101" i="5" s="1"/>
  <c r="M100" i="5"/>
  <c r="O100" i="5" s="1"/>
  <c r="M110" i="5"/>
  <c r="O110" i="5" s="1"/>
  <c r="P97" i="5"/>
  <c r="AF63" i="5"/>
  <c r="AE77" i="5"/>
  <c r="AC77" i="5"/>
  <c r="AC76" i="5"/>
  <c r="AE76" i="5"/>
  <c r="AE75" i="5"/>
  <c r="AF75" i="5" s="1"/>
  <c r="AC75" i="5"/>
  <c r="AF59" i="5"/>
  <c r="AF60" i="5"/>
  <c r="P63" i="5"/>
  <c r="AF56" i="5"/>
  <c r="P60" i="5"/>
  <c r="AE82" i="5"/>
  <c r="AC82" i="5"/>
  <c r="AE81" i="5"/>
  <c r="AC81" i="5"/>
  <c r="AC80" i="5"/>
  <c r="AE80" i="5"/>
  <c r="AE79" i="5"/>
  <c r="AC79" i="5"/>
  <c r="AF65" i="5"/>
  <c r="P95" i="5"/>
  <c r="P89" i="5"/>
  <c r="AF61" i="5"/>
  <c r="AE78" i="5"/>
  <c r="AC78" i="5"/>
  <c r="AA96" i="5"/>
  <c r="AA92" i="5"/>
  <c r="AA88" i="5"/>
  <c r="AE85" i="5"/>
  <c r="AA97" i="5"/>
  <c r="AA93" i="5"/>
  <c r="AA89" i="5"/>
  <c r="AC85" i="5"/>
  <c r="AA98" i="5"/>
  <c r="AA94" i="5"/>
  <c r="AA90" i="5"/>
  <c r="AA87" i="5"/>
  <c r="AA91" i="5"/>
  <c r="AA95" i="5"/>
  <c r="AC84" i="5"/>
  <c r="AE84" i="5"/>
  <c r="AE83" i="5"/>
  <c r="AC83" i="5"/>
  <c r="AF68" i="5"/>
  <c r="AF81" i="5" l="1"/>
  <c r="P110" i="5"/>
  <c r="AF78" i="5"/>
  <c r="P108" i="5"/>
  <c r="P103" i="5"/>
  <c r="AF83" i="5"/>
  <c r="AF79" i="5"/>
  <c r="P104" i="5"/>
  <c r="AF77" i="5"/>
  <c r="P100" i="5"/>
  <c r="P109" i="5"/>
  <c r="AC97" i="5"/>
  <c r="AE97" i="5"/>
  <c r="P105" i="5"/>
  <c r="M124" i="5"/>
  <c r="M120" i="5"/>
  <c r="O120" i="5" s="1"/>
  <c r="M116" i="5"/>
  <c r="O116" i="5" s="1"/>
  <c r="M121" i="5"/>
  <c r="O121" i="5" s="1"/>
  <c r="M117" i="5"/>
  <c r="O117" i="5" s="1"/>
  <c r="M113" i="5"/>
  <c r="O113" i="5" s="1"/>
  <c r="M122" i="5"/>
  <c r="O122" i="5" s="1"/>
  <c r="M118" i="5"/>
  <c r="O118" i="5" s="1"/>
  <c r="M114" i="5"/>
  <c r="O114" i="5" s="1"/>
  <c r="M119" i="5"/>
  <c r="O119" i="5" s="1"/>
  <c r="O111" i="5"/>
  <c r="P111" i="5" s="1"/>
  <c r="M123" i="5"/>
  <c r="O123" i="5" s="1"/>
  <c r="M115" i="5"/>
  <c r="O115" i="5" s="1"/>
  <c r="AE87" i="5"/>
  <c r="AF87" i="5" s="1"/>
  <c r="AC87" i="5"/>
  <c r="AF85" i="5"/>
  <c r="AF80" i="5"/>
  <c r="P106" i="5"/>
  <c r="AE91" i="5"/>
  <c r="AC91" i="5"/>
  <c r="AE96" i="5"/>
  <c r="AC96" i="5"/>
  <c r="AC89" i="5"/>
  <c r="AE89" i="5"/>
  <c r="AF82" i="5"/>
  <c r="AF76" i="5"/>
  <c r="P101" i="5"/>
  <c r="AA110" i="5"/>
  <c r="AA106" i="5"/>
  <c r="AA102" i="5"/>
  <c r="AA111" i="5"/>
  <c r="AA108" i="5"/>
  <c r="AA104" i="5"/>
  <c r="AA101" i="5"/>
  <c r="AE98" i="5"/>
  <c r="AF98" i="5" s="1"/>
  <c r="AC98" i="5"/>
  <c r="AA103" i="5"/>
  <c r="AA105" i="5"/>
  <c r="AA107" i="5"/>
  <c r="AA109" i="5"/>
  <c r="AA100" i="5"/>
  <c r="AF84" i="5"/>
  <c r="AE90" i="5"/>
  <c r="AC90" i="5"/>
  <c r="AE88" i="5"/>
  <c r="AC88" i="5"/>
  <c r="AE95" i="5"/>
  <c r="AC95" i="5"/>
  <c r="AE94" i="5"/>
  <c r="AF94" i="5" s="1"/>
  <c r="AC94" i="5"/>
  <c r="AC93" i="5"/>
  <c r="AE93" i="5"/>
  <c r="AE92" i="5"/>
  <c r="AC92" i="5"/>
  <c r="P102" i="5"/>
  <c r="P107" i="5"/>
  <c r="P115" i="5" l="1"/>
  <c r="AF92" i="5"/>
  <c r="AF88" i="5"/>
  <c r="P114" i="5"/>
  <c r="P117" i="5"/>
  <c r="P123" i="5"/>
  <c r="P121" i="5"/>
  <c r="AF95" i="5"/>
  <c r="AF90" i="5"/>
  <c r="P122" i="5"/>
  <c r="P119" i="5"/>
  <c r="AE100" i="5"/>
  <c r="AF100" i="5" s="1"/>
  <c r="AC100" i="5"/>
  <c r="AE104" i="5"/>
  <c r="AC104" i="5"/>
  <c r="AE106" i="5"/>
  <c r="AC106" i="5"/>
  <c r="AF96" i="5"/>
  <c r="M137" i="5"/>
  <c r="M133" i="5"/>
  <c r="O133" i="5" s="1"/>
  <c r="M129" i="5"/>
  <c r="O129" i="5" s="1"/>
  <c r="M134" i="5"/>
  <c r="O134" i="5" s="1"/>
  <c r="M130" i="5"/>
  <c r="O130" i="5" s="1"/>
  <c r="M126" i="5"/>
  <c r="O126" i="5" s="1"/>
  <c r="M135" i="5"/>
  <c r="O135" i="5" s="1"/>
  <c r="M131" i="5"/>
  <c r="O131" i="5" s="1"/>
  <c r="M127" i="5"/>
  <c r="O127" i="5" s="1"/>
  <c r="M132" i="5"/>
  <c r="O132" i="5" s="1"/>
  <c r="M136" i="5"/>
  <c r="O136" i="5" s="1"/>
  <c r="P136" i="5" s="1"/>
  <c r="M128" i="5"/>
  <c r="O128" i="5" s="1"/>
  <c r="O124" i="5"/>
  <c r="P124" i="5" s="1"/>
  <c r="AC103" i="5"/>
  <c r="AE103" i="5"/>
  <c r="AF93" i="5"/>
  <c r="AC109" i="5"/>
  <c r="AE109" i="5"/>
  <c r="AE108" i="5"/>
  <c r="AC108" i="5"/>
  <c r="AE110" i="5"/>
  <c r="AC110" i="5"/>
  <c r="AF89" i="5"/>
  <c r="P118" i="5"/>
  <c r="AC107" i="5"/>
  <c r="AE107" i="5"/>
  <c r="AA123" i="5"/>
  <c r="AA119" i="5"/>
  <c r="AA115" i="5"/>
  <c r="AC111" i="5"/>
  <c r="AA124" i="5"/>
  <c r="AA120" i="5"/>
  <c r="AA116" i="5"/>
  <c r="AA121" i="5"/>
  <c r="AA117" i="5"/>
  <c r="AA113" i="5"/>
  <c r="AA122" i="5"/>
  <c r="AA114" i="5"/>
  <c r="AA118" i="5"/>
  <c r="AE111" i="5"/>
  <c r="AF91" i="5"/>
  <c r="P116" i="5"/>
  <c r="AF97" i="5"/>
  <c r="AC105" i="5"/>
  <c r="AE105" i="5"/>
  <c r="AF105" i="5" s="1"/>
  <c r="AE101" i="5"/>
  <c r="AF101" i="5" s="1"/>
  <c r="AC101" i="5"/>
  <c r="AE102" i="5"/>
  <c r="AC102" i="5"/>
  <c r="P113" i="5"/>
  <c r="P120" i="5"/>
  <c r="AF107" i="5" l="1"/>
  <c r="AF110" i="5"/>
  <c r="P127" i="5"/>
  <c r="P130" i="5"/>
  <c r="P134" i="5"/>
  <c r="AF102" i="5"/>
  <c r="AF108" i="5"/>
  <c r="AC116" i="5"/>
  <c r="AE116" i="5"/>
  <c r="M149" i="5"/>
  <c r="O149" i="5" s="1"/>
  <c r="M145" i="5"/>
  <c r="O145" i="5" s="1"/>
  <c r="M141" i="5"/>
  <c r="O141" i="5" s="1"/>
  <c r="M150" i="5"/>
  <c r="M147" i="5"/>
  <c r="O147" i="5" s="1"/>
  <c r="M143" i="5"/>
  <c r="O143" i="5" s="1"/>
  <c r="M139" i="5"/>
  <c r="O139" i="5" s="1"/>
  <c r="M148" i="5"/>
  <c r="O148" i="5" s="1"/>
  <c r="M146" i="5"/>
  <c r="O146" i="5" s="1"/>
  <c r="M144" i="5"/>
  <c r="O144" i="5" s="1"/>
  <c r="M142" i="5"/>
  <c r="O142" i="5" s="1"/>
  <c r="P142" i="5" s="1"/>
  <c r="M140" i="5"/>
  <c r="O140" i="5" s="1"/>
  <c r="O137" i="5"/>
  <c r="P137" i="5" s="1"/>
  <c r="AF111" i="5"/>
  <c r="AE113" i="5"/>
  <c r="AF113" i="5" s="1"/>
  <c r="AC113" i="5"/>
  <c r="AC120" i="5"/>
  <c r="AE120" i="5"/>
  <c r="AE119" i="5"/>
  <c r="AC119" i="5"/>
  <c r="P128" i="5"/>
  <c r="P131" i="5"/>
  <c r="AF104" i="5"/>
  <c r="AE115" i="5"/>
  <c r="AC115" i="5"/>
  <c r="AA136" i="5"/>
  <c r="AA132" i="5"/>
  <c r="AA128" i="5"/>
  <c r="AC124" i="5"/>
  <c r="AA137" i="5"/>
  <c r="AA133" i="5"/>
  <c r="AA129" i="5"/>
  <c r="AA134" i="5"/>
  <c r="AA130" i="5"/>
  <c r="AA126" i="5"/>
  <c r="AA135" i="5"/>
  <c r="AA127" i="5"/>
  <c r="AE124" i="5"/>
  <c r="AA131" i="5"/>
  <c r="AE123" i="5"/>
  <c r="AC123" i="5"/>
  <c r="AF103" i="5"/>
  <c r="P135" i="5"/>
  <c r="P129" i="5"/>
  <c r="AE122" i="5"/>
  <c r="AC122" i="5"/>
  <c r="AE118" i="5"/>
  <c r="AC118" i="5"/>
  <c r="AE117" i="5"/>
  <c r="AC117" i="5"/>
  <c r="AE114" i="5"/>
  <c r="AC114" i="5"/>
  <c r="AE121" i="5"/>
  <c r="AC121" i="5"/>
  <c r="AF109" i="5"/>
  <c r="P132" i="5"/>
  <c r="P126" i="5"/>
  <c r="P133" i="5"/>
  <c r="AF106" i="5"/>
  <c r="P140" i="5" l="1"/>
  <c r="AF114" i="5"/>
  <c r="P144" i="5"/>
  <c r="AF115" i="5"/>
  <c r="AF121" i="5"/>
  <c r="P146" i="5"/>
  <c r="AF124" i="5"/>
  <c r="AF120" i="5"/>
  <c r="P143" i="5"/>
  <c r="AF117" i="5"/>
  <c r="AA148" i="5"/>
  <c r="AA144" i="5"/>
  <c r="AA140" i="5"/>
  <c r="AA150" i="5"/>
  <c r="AA146" i="5"/>
  <c r="AA142" i="5"/>
  <c r="AA149" i="5"/>
  <c r="AA147" i="5"/>
  <c r="AA145" i="5"/>
  <c r="AA143" i="5"/>
  <c r="AA141" i="5"/>
  <c r="AA139" i="5"/>
  <c r="AC137" i="5"/>
  <c r="AE137" i="5"/>
  <c r="AE136" i="5"/>
  <c r="AC136" i="5"/>
  <c r="P145" i="5"/>
  <c r="AF122" i="5"/>
  <c r="AE127" i="5"/>
  <c r="AC127" i="5"/>
  <c r="AE134" i="5"/>
  <c r="AC134" i="5"/>
  <c r="P147" i="5"/>
  <c r="P149" i="5"/>
  <c r="AF123" i="5"/>
  <c r="AC129" i="5"/>
  <c r="AE129" i="5"/>
  <c r="P148" i="5"/>
  <c r="M162" i="5"/>
  <c r="O162" i="5" s="1"/>
  <c r="M158" i="5"/>
  <c r="O158" i="5" s="1"/>
  <c r="M154" i="5"/>
  <c r="O154" i="5" s="1"/>
  <c r="O150" i="5"/>
  <c r="P150" i="5" s="1"/>
  <c r="M163" i="5"/>
  <c r="M159" i="5"/>
  <c r="O159" i="5" s="1"/>
  <c r="M155" i="5"/>
  <c r="O155" i="5" s="1"/>
  <c r="P155" i="5" s="1"/>
  <c r="M160" i="5"/>
  <c r="O160" i="5" s="1"/>
  <c r="M156" i="5"/>
  <c r="O156" i="5" s="1"/>
  <c r="M152" i="5"/>
  <c r="O152" i="5" s="1"/>
  <c r="M153" i="5"/>
  <c r="O153" i="5" s="1"/>
  <c r="M157" i="5"/>
  <c r="O157" i="5" s="1"/>
  <c r="M161" i="5"/>
  <c r="O161" i="5" s="1"/>
  <c r="AF116" i="5"/>
  <c r="AE130" i="5"/>
  <c r="AF130" i="5" s="1"/>
  <c r="AC130" i="5"/>
  <c r="AE135" i="5"/>
  <c r="AF135" i="5" s="1"/>
  <c r="AC135" i="5"/>
  <c r="AE128" i="5"/>
  <c r="AC128" i="5"/>
  <c r="AF118" i="5"/>
  <c r="AE131" i="5"/>
  <c r="AC131" i="5"/>
  <c r="AE126" i="5"/>
  <c r="AF126" i="5" s="1"/>
  <c r="AC126" i="5"/>
  <c r="AC133" i="5"/>
  <c r="AE133" i="5"/>
  <c r="AE132" i="5"/>
  <c r="AC132" i="5"/>
  <c r="AF119" i="5"/>
  <c r="P139" i="5"/>
  <c r="P141" i="5"/>
  <c r="P159" i="5" l="1"/>
  <c r="AF128" i="5"/>
  <c r="AF132" i="5"/>
  <c r="P157" i="5"/>
  <c r="P160" i="5"/>
  <c r="P153" i="5"/>
  <c r="AF131" i="5"/>
  <c r="AC139" i="5"/>
  <c r="AE139" i="5"/>
  <c r="AF139" i="5" s="1"/>
  <c r="AC147" i="5"/>
  <c r="AE147" i="5"/>
  <c r="AA161" i="5"/>
  <c r="AA157" i="5"/>
  <c r="AA153" i="5"/>
  <c r="AE150" i="5"/>
  <c r="AA162" i="5"/>
  <c r="AA158" i="5"/>
  <c r="AA154" i="5"/>
  <c r="AC150" i="5"/>
  <c r="AA163" i="5"/>
  <c r="AA159" i="5"/>
  <c r="AA155" i="5"/>
  <c r="AA156" i="5"/>
  <c r="AA160" i="5"/>
  <c r="AA152" i="5"/>
  <c r="AF133" i="5"/>
  <c r="P154" i="5"/>
  <c r="AF129" i="5"/>
  <c r="AF127" i="5"/>
  <c r="AF136" i="5"/>
  <c r="AC141" i="5"/>
  <c r="AE141" i="5"/>
  <c r="AC149" i="5"/>
  <c r="AE149" i="5"/>
  <c r="AE140" i="5"/>
  <c r="AC140" i="5"/>
  <c r="P152" i="5"/>
  <c r="P158" i="5"/>
  <c r="AF137" i="5"/>
  <c r="AC143" i="5"/>
  <c r="AE143" i="5"/>
  <c r="AE142" i="5"/>
  <c r="AC142" i="5"/>
  <c r="AE144" i="5"/>
  <c r="AC144" i="5"/>
  <c r="P161" i="5"/>
  <c r="P156" i="5"/>
  <c r="M174" i="5"/>
  <c r="O174" i="5" s="1"/>
  <c r="M170" i="5"/>
  <c r="O170" i="5" s="1"/>
  <c r="M176" i="5"/>
  <c r="M172" i="5"/>
  <c r="O172" i="5" s="1"/>
  <c r="M167" i="5"/>
  <c r="O167" i="5" s="1"/>
  <c r="O163" i="5"/>
  <c r="P163" i="5" s="1"/>
  <c r="M168" i="5"/>
  <c r="O168" i="5" s="1"/>
  <c r="P168" i="5" s="1"/>
  <c r="M165" i="5"/>
  <c r="O165" i="5" s="1"/>
  <c r="M169" i="5"/>
  <c r="O169" i="5" s="1"/>
  <c r="M171" i="5"/>
  <c r="O171" i="5" s="1"/>
  <c r="P171" i="5" s="1"/>
  <c r="M173" i="5"/>
  <c r="O173" i="5" s="1"/>
  <c r="M175" i="5"/>
  <c r="O175" i="5" s="1"/>
  <c r="M166" i="5"/>
  <c r="O166" i="5" s="1"/>
  <c r="P162" i="5"/>
  <c r="AF134" i="5"/>
  <c r="AC145" i="5"/>
  <c r="AE145" i="5"/>
  <c r="AF145" i="5" s="1"/>
  <c r="AE146" i="5"/>
  <c r="AC146" i="5"/>
  <c r="AE148" i="5"/>
  <c r="AF148" i="5" s="1"/>
  <c r="AC148" i="5"/>
  <c r="AF142" i="5" l="1"/>
  <c r="AF146" i="5"/>
  <c r="P170" i="5"/>
  <c r="P175" i="5"/>
  <c r="P165" i="5"/>
  <c r="P172" i="5"/>
  <c r="AF140" i="5"/>
  <c r="AF150" i="5"/>
  <c r="AE156" i="5"/>
  <c r="AC156" i="5"/>
  <c r="AF147" i="5"/>
  <c r="M187" i="5"/>
  <c r="O187" i="5" s="1"/>
  <c r="M183" i="5"/>
  <c r="O183" i="5" s="1"/>
  <c r="M179" i="5"/>
  <c r="O179" i="5" s="1"/>
  <c r="M189" i="5"/>
  <c r="M184" i="5"/>
  <c r="O184" i="5" s="1"/>
  <c r="M180" i="5"/>
  <c r="O180" i="5" s="1"/>
  <c r="O176" i="5"/>
  <c r="P176" i="5" s="1"/>
  <c r="M185" i="5"/>
  <c r="O185" i="5" s="1"/>
  <c r="M181" i="5"/>
  <c r="O181" i="5" s="1"/>
  <c r="M188" i="5"/>
  <c r="O188" i="5" s="1"/>
  <c r="M178" i="5"/>
  <c r="O178" i="5" s="1"/>
  <c r="P178" i="5" s="1"/>
  <c r="M182" i="5"/>
  <c r="O182" i="5" s="1"/>
  <c r="P182" i="5" s="1"/>
  <c r="M186" i="5"/>
  <c r="O186" i="5" s="1"/>
  <c r="AF149" i="5"/>
  <c r="AE155" i="5"/>
  <c r="AC155" i="5"/>
  <c r="AC154" i="5"/>
  <c r="AE154" i="5"/>
  <c r="AE153" i="5"/>
  <c r="AF153" i="5" s="1"/>
  <c r="AC153" i="5"/>
  <c r="AF143" i="5"/>
  <c r="AE152" i="5"/>
  <c r="AF152" i="5" s="1"/>
  <c r="AC152" i="5"/>
  <c r="AE159" i="5"/>
  <c r="AC159" i="5"/>
  <c r="AC158" i="5"/>
  <c r="AE158" i="5"/>
  <c r="AE157" i="5"/>
  <c r="AF157" i="5" s="1"/>
  <c r="AC157" i="5"/>
  <c r="P173" i="5"/>
  <c r="P166" i="5"/>
  <c r="P169" i="5"/>
  <c r="P167" i="5"/>
  <c r="P174" i="5"/>
  <c r="AF144" i="5"/>
  <c r="AF141" i="5"/>
  <c r="AE160" i="5"/>
  <c r="AC160" i="5"/>
  <c r="AA173" i="5"/>
  <c r="AA169" i="5"/>
  <c r="AA175" i="5"/>
  <c r="AA171" i="5"/>
  <c r="AA176" i="5"/>
  <c r="AA166" i="5"/>
  <c r="AE163" i="5"/>
  <c r="AA174" i="5"/>
  <c r="AA172" i="5"/>
  <c r="AA170" i="5"/>
  <c r="AA167" i="5"/>
  <c r="AC163" i="5"/>
  <c r="AA168" i="5"/>
  <c r="AA165" i="5"/>
  <c r="AC162" i="5"/>
  <c r="AE162" i="5"/>
  <c r="AE161" i="5"/>
  <c r="AC161" i="5"/>
  <c r="P185" i="5" l="1"/>
  <c r="AF159" i="5"/>
  <c r="AF155" i="5"/>
  <c r="P180" i="5"/>
  <c r="AF163" i="5"/>
  <c r="P181" i="5"/>
  <c r="P184" i="5"/>
  <c r="AE165" i="5"/>
  <c r="AF165" i="5" s="1"/>
  <c r="AC165" i="5"/>
  <c r="AE166" i="5"/>
  <c r="AC166" i="5"/>
  <c r="AC167" i="5"/>
  <c r="AE167" i="5"/>
  <c r="AE175" i="5"/>
  <c r="AC175" i="5"/>
  <c r="AF160" i="5"/>
  <c r="P186" i="5"/>
  <c r="P187" i="5"/>
  <c r="AE169" i="5"/>
  <c r="AF169" i="5" s="1"/>
  <c r="AC169" i="5"/>
  <c r="M202" i="5"/>
  <c r="M201" i="5"/>
  <c r="O201" i="5" s="1"/>
  <c r="M200" i="5"/>
  <c r="O200" i="5" s="1"/>
  <c r="M199" i="5"/>
  <c r="O199" i="5" s="1"/>
  <c r="M198" i="5"/>
  <c r="O198" i="5" s="1"/>
  <c r="M197" i="5"/>
  <c r="O197" i="5" s="1"/>
  <c r="M196" i="5"/>
  <c r="O196" i="5" s="1"/>
  <c r="P196" i="5" s="1"/>
  <c r="M195" i="5"/>
  <c r="O195" i="5" s="1"/>
  <c r="M194" i="5"/>
  <c r="O194" i="5" s="1"/>
  <c r="M193" i="5"/>
  <c r="O193" i="5" s="1"/>
  <c r="M192" i="5"/>
  <c r="O192" i="5" s="1"/>
  <c r="M191" i="5"/>
  <c r="O191" i="5" s="1"/>
  <c r="P191" i="5" s="1"/>
  <c r="O189" i="5"/>
  <c r="P189" i="5" s="1"/>
  <c r="AE168" i="5"/>
  <c r="AC168" i="5"/>
  <c r="AC172" i="5"/>
  <c r="AE172" i="5"/>
  <c r="AA189" i="5"/>
  <c r="AA186" i="5"/>
  <c r="AA182" i="5"/>
  <c r="AA178" i="5"/>
  <c r="AA187" i="5"/>
  <c r="AA183" i="5"/>
  <c r="AA179" i="5"/>
  <c r="AE176" i="5"/>
  <c r="AA188" i="5"/>
  <c r="AA184" i="5"/>
  <c r="AA180" i="5"/>
  <c r="AC176" i="5"/>
  <c r="AA181" i="5"/>
  <c r="AA185" i="5"/>
  <c r="AE173" i="5"/>
  <c r="AC173" i="5"/>
  <c r="AF158" i="5"/>
  <c r="P179" i="5"/>
  <c r="AC170" i="5"/>
  <c r="AE170" i="5"/>
  <c r="AF161" i="5"/>
  <c r="AF162" i="5"/>
  <c r="AC174" i="5"/>
  <c r="AE174" i="5"/>
  <c r="AE171" i="5"/>
  <c r="AF171" i="5" s="1"/>
  <c r="AC171" i="5"/>
  <c r="AF154" i="5"/>
  <c r="P188" i="5"/>
  <c r="P183" i="5"/>
  <c r="AF156" i="5"/>
  <c r="P192" i="5" l="1"/>
  <c r="P200" i="5"/>
  <c r="AF173" i="5"/>
  <c r="AF168" i="5"/>
  <c r="AF166" i="5"/>
  <c r="AF174" i="5"/>
  <c r="AF175" i="5"/>
  <c r="AC183" i="5"/>
  <c r="AE183" i="5"/>
  <c r="P197" i="5"/>
  <c r="AE185" i="5"/>
  <c r="AC185" i="5"/>
  <c r="AE188" i="5"/>
  <c r="AC188" i="5"/>
  <c r="P201" i="5"/>
  <c r="AF170" i="5"/>
  <c r="AF176" i="5"/>
  <c r="AE178" i="5"/>
  <c r="AF178" i="5" s="1"/>
  <c r="AC178" i="5"/>
  <c r="AF172" i="5"/>
  <c r="P194" i="5"/>
  <c r="P198" i="5"/>
  <c r="M215" i="5"/>
  <c r="M213" i="5"/>
  <c r="O213" i="5" s="1"/>
  <c r="M211" i="5"/>
  <c r="O211" i="5" s="1"/>
  <c r="M209" i="5"/>
  <c r="O209" i="5" s="1"/>
  <c r="M207" i="5"/>
  <c r="O207" i="5" s="1"/>
  <c r="M205" i="5"/>
  <c r="O205" i="5" s="1"/>
  <c r="M210" i="5"/>
  <c r="O210" i="5" s="1"/>
  <c r="M212" i="5"/>
  <c r="O212" i="5" s="1"/>
  <c r="M204" i="5"/>
  <c r="O204" i="5" s="1"/>
  <c r="O202" i="5"/>
  <c r="P202" i="5" s="1"/>
  <c r="M214" i="5"/>
  <c r="O214" i="5" s="1"/>
  <c r="M206" i="5"/>
  <c r="O206" i="5" s="1"/>
  <c r="M208" i="5"/>
  <c r="O208" i="5" s="1"/>
  <c r="P208" i="5" s="1"/>
  <c r="AF167" i="5"/>
  <c r="AE184" i="5"/>
  <c r="AF184" i="5" s="1"/>
  <c r="AC184" i="5"/>
  <c r="AE186" i="5"/>
  <c r="AF186" i="5" s="1"/>
  <c r="AC186" i="5"/>
  <c r="AE181" i="5"/>
  <c r="AC181" i="5"/>
  <c r="AC187" i="5"/>
  <c r="AE187" i="5"/>
  <c r="AA202" i="5"/>
  <c r="AA201" i="5"/>
  <c r="AA200" i="5"/>
  <c r="AA199" i="5"/>
  <c r="AA198" i="5"/>
  <c r="AA197" i="5"/>
  <c r="AA196" i="5"/>
  <c r="AA195" i="5"/>
  <c r="AA194" i="5"/>
  <c r="AA193" i="5"/>
  <c r="AA192" i="5"/>
  <c r="AA191" i="5"/>
  <c r="AE189" i="5"/>
  <c r="AF189" i="5" s="1"/>
  <c r="AC189" i="5"/>
  <c r="P193" i="5"/>
  <c r="AE180" i="5"/>
  <c r="AC180" i="5"/>
  <c r="AC179" i="5"/>
  <c r="AE179" i="5"/>
  <c r="AF179" i="5" s="1"/>
  <c r="AE182" i="5"/>
  <c r="AC182" i="5"/>
  <c r="P195" i="5"/>
  <c r="P199" i="5"/>
  <c r="P214" i="5" l="1"/>
  <c r="P204" i="5"/>
  <c r="P206" i="5"/>
  <c r="P212" i="5"/>
  <c r="AF182" i="5"/>
  <c r="P207" i="5"/>
  <c r="AF185" i="5"/>
  <c r="AC192" i="5"/>
  <c r="AE192" i="5"/>
  <c r="M225" i="5"/>
  <c r="O225" i="5" s="1"/>
  <c r="M221" i="5"/>
  <c r="O221" i="5" s="1"/>
  <c r="M217" i="5"/>
  <c r="O217" i="5" s="1"/>
  <c r="M228" i="5"/>
  <c r="M224" i="5"/>
  <c r="O224" i="5" s="1"/>
  <c r="M220" i="5"/>
  <c r="O220" i="5" s="1"/>
  <c r="M223" i="5"/>
  <c r="O223" i="5" s="1"/>
  <c r="M219" i="5"/>
  <c r="O219" i="5" s="1"/>
  <c r="M227" i="5"/>
  <c r="O227" i="5" s="1"/>
  <c r="M222" i="5"/>
  <c r="O222" i="5" s="1"/>
  <c r="P222" i="5" s="1"/>
  <c r="M218" i="5"/>
  <c r="O218" i="5" s="1"/>
  <c r="P218" i="5" s="1"/>
  <c r="O215" i="5"/>
  <c r="P215" i="5" s="1"/>
  <c r="M226" i="5"/>
  <c r="O226" i="5" s="1"/>
  <c r="P226" i="5" s="1"/>
  <c r="AC197" i="5"/>
  <c r="AE197" i="5"/>
  <c r="P209" i="5"/>
  <c r="AC200" i="5"/>
  <c r="AE200" i="5"/>
  <c r="AC193" i="5"/>
  <c r="AE193" i="5"/>
  <c r="AF193" i="5" s="1"/>
  <c r="AC201" i="5"/>
  <c r="AE201" i="5"/>
  <c r="AF201" i="5" s="1"/>
  <c r="AC194" i="5"/>
  <c r="AE194" i="5"/>
  <c r="AC198" i="5"/>
  <c r="AE198" i="5"/>
  <c r="AC202" i="5"/>
  <c r="AA214" i="5"/>
  <c r="AA212" i="5"/>
  <c r="AA210" i="5"/>
  <c r="AA208" i="5"/>
  <c r="AA206" i="5"/>
  <c r="AA215" i="5"/>
  <c r="AA209" i="5"/>
  <c r="AA205" i="5"/>
  <c r="AA204" i="5"/>
  <c r="AA211" i="5"/>
  <c r="AA213" i="5"/>
  <c r="AA207" i="5"/>
  <c r="AE202" i="5"/>
  <c r="AF181" i="5"/>
  <c r="P210" i="5"/>
  <c r="P211" i="5"/>
  <c r="AF188" i="5"/>
  <c r="AF183" i="5"/>
  <c r="AC196" i="5"/>
  <c r="AE196" i="5"/>
  <c r="AF180" i="5"/>
  <c r="AC191" i="5"/>
  <c r="AE191" i="5"/>
  <c r="AF191" i="5" s="1"/>
  <c r="AC195" i="5"/>
  <c r="AE195" i="5"/>
  <c r="AF195" i="5" s="1"/>
  <c r="AC199" i="5"/>
  <c r="AE199" i="5"/>
  <c r="AF199" i="5" s="1"/>
  <c r="AF187" i="5"/>
  <c r="P205" i="5"/>
  <c r="P213" i="5"/>
  <c r="AF194" i="5" l="1"/>
  <c r="P220" i="5"/>
  <c r="AF198" i="5"/>
  <c r="P221" i="5"/>
  <c r="P224" i="5"/>
  <c r="AC210" i="5"/>
  <c r="AE210" i="5"/>
  <c r="P227" i="5"/>
  <c r="P225" i="5"/>
  <c r="AF200" i="5"/>
  <c r="AE211" i="5"/>
  <c r="AC211" i="5"/>
  <c r="AC212" i="5"/>
  <c r="AE212" i="5"/>
  <c r="AF202" i="5"/>
  <c r="AC204" i="5"/>
  <c r="AE204" i="5"/>
  <c r="AF204" i="5" s="1"/>
  <c r="AC206" i="5"/>
  <c r="AE206" i="5"/>
  <c r="AC214" i="5"/>
  <c r="AE214" i="5"/>
  <c r="P219" i="5"/>
  <c r="M241" i="5"/>
  <c r="M239" i="5"/>
  <c r="O239" i="5" s="1"/>
  <c r="M237" i="5"/>
  <c r="O237" i="5" s="1"/>
  <c r="M235" i="5"/>
  <c r="O235" i="5" s="1"/>
  <c r="M233" i="5"/>
  <c r="O233" i="5" s="1"/>
  <c r="M231" i="5"/>
  <c r="O231" i="5" s="1"/>
  <c r="M234" i="5"/>
  <c r="O234" i="5" s="1"/>
  <c r="P234" i="5" s="1"/>
  <c r="M238" i="5"/>
  <c r="O238" i="5" s="1"/>
  <c r="M236" i="5"/>
  <c r="O236" i="5" s="1"/>
  <c r="O228" i="5"/>
  <c r="P228" i="5" s="1"/>
  <c r="M232" i="5"/>
  <c r="O232" i="5" s="1"/>
  <c r="M230" i="5"/>
  <c r="O230" i="5" s="1"/>
  <c r="M240" i="5"/>
  <c r="O240" i="5" s="1"/>
  <c r="AF192" i="5"/>
  <c r="AE213" i="5"/>
  <c r="AC213" i="5"/>
  <c r="AE209" i="5"/>
  <c r="AC209" i="5"/>
  <c r="AA228" i="5"/>
  <c r="AA227" i="5"/>
  <c r="AA223" i="5"/>
  <c r="AA219" i="5"/>
  <c r="AE215" i="5"/>
  <c r="AF215" i="5" s="1"/>
  <c r="AA224" i="5"/>
  <c r="AA220" i="5"/>
  <c r="AA226" i="5"/>
  <c r="AA222" i="5"/>
  <c r="AA218" i="5"/>
  <c r="AC215" i="5"/>
  <c r="AA217" i="5"/>
  <c r="AA225" i="5"/>
  <c r="AA221" i="5"/>
  <c r="AF196" i="5"/>
  <c r="AE207" i="5"/>
  <c r="AF207" i="5" s="1"/>
  <c r="AC207" i="5"/>
  <c r="AE205" i="5"/>
  <c r="AC205" i="5"/>
  <c r="AC208" i="5"/>
  <c r="AE208" i="5"/>
  <c r="AF197" i="5"/>
  <c r="P223" i="5"/>
  <c r="P217" i="5"/>
  <c r="AF211" i="5" l="1"/>
  <c r="AF208" i="5"/>
  <c r="P232" i="5"/>
  <c r="P237" i="5"/>
  <c r="AF213" i="5"/>
  <c r="P231" i="5"/>
  <c r="P239" i="5"/>
  <c r="P236" i="5"/>
  <c r="AF206" i="5"/>
  <c r="AC222" i="5"/>
  <c r="AE222" i="5"/>
  <c r="AF214" i="5"/>
  <c r="AE217" i="5"/>
  <c r="AF217" i="5" s="1"/>
  <c r="AC217" i="5"/>
  <c r="AC219" i="5"/>
  <c r="AE219" i="5"/>
  <c r="AC223" i="5"/>
  <c r="AE223" i="5"/>
  <c r="AF209" i="5"/>
  <c r="P233" i="5"/>
  <c r="AF210" i="5"/>
  <c r="AE225" i="5"/>
  <c r="AC225" i="5"/>
  <c r="AA240" i="5"/>
  <c r="AA238" i="5"/>
  <c r="AA239" i="5"/>
  <c r="AA236" i="5"/>
  <c r="AA234" i="5"/>
  <c r="AA232" i="5"/>
  <c r="AA230" i="5"/>
  <c r="AA241" i="5"/>
  <c r="AA235" i="5"/>
  <c r="AA237" i="5"/>
  <c r="AA231" i="5"/>
  <c r="AE228" i="5"/>
  <c r="AC228" i="5"/>
  <c r="AA233" i="5"/>
  <c r="AC226" i="5"/>
  <c r="AE226" i="5"/>
  <c r="AF226" i="5" s="1"/>
  <c r="AE220" i="5"/>
  <c r="AF220" i="5" s="1"/>
  <c r="AC220" i="5"/>
  <c r="P240" i="5"/>
  <c r="O241" i="5"/>
  <c r="M243" i="5"/>
  <c r="M249" i="5" s="1"/>
  <c r="O249" i="5" s="1"/>
  <c r="AF205" i="5"/>
  <c r="AE221" i="5"/>
  <c r="AC221" i="5"/>
  <c r="AC218" i="5"/>
  <c r="AE218" i="5"/>
  <c r="AE224" i="5"/>
  <c r="AF224" i="5" s="1"/>
  <c r="AC224" i="5"/>
  <c r="AC227" i="5"/>
  <c r="AE227" i="5"/>
  <c r="P230" i="5"/>
  <c r="P238" i="5"/>
  <c r="P235" i="5"/>
  <c r="AF212" i="5"/>
  <c r="AF218" i="5" l="1"/>
  <c r="AF227" i="5"/>
  <c r="AF221" i="5"/>
  <c r="AF223" i="5"/>
  <c r="M254" i="5"/>
  <c r="O254" i="5" s="1"/>
  <c r="M248" i="5"/>
  <c r="O248" i="5" s="1"/>
  <c r="P249" i="5" s="1"/>
  <c r="C422" i="7" s="1"/>
  <c r="F422" i="7" s="1"/>
  <c r="M245" i="5"/>
  <c r="O245" i="5" s="1"/>
  <c r="M250" i="5"/>
  <c r="O250" i="5" s="1"/>
  <c r="P250" i="5" s="1"/>
  <c r="C424" i="7" s="1"/>
  <c r="F424" i="7" s="1"/>
  <c r="M256" i="5"/>
  <c r="O256" i="5" s="1"/>
  <c r="M251" i="5"/>
  <c r="O251" i="5" s="1"/>
  <c r="M252" i="5"/>
  <c r="O252" i="5" s="1"/>
  <c r="AE233" i="5"/>
  <c r="AC233" i="5"/>
  <c r="AE237" i="5"/>
  <c r="AC237" i="5"/>
  <c r="AC232" i="5"/>
  <c r="AE232" i="5"/>
  <c r="AE238" i="5"/>
  <c r="AC238" i="5"/>
  <c r="M253" i="5"/>
  <c r="O253" i="5" s="1"/>
  <c r="P253" i="5" s="1"/>
  <c r="C430" i="7" s="1"/>
  <c r="F430" i="7" s="1"/>
  <c r="AE235" i="5"/>
  <c r="AC235" i="5"/>
  <c r="AE234" i="5"/>
  <c r="AC234" i="5"/>
  <c r="AE240" i="5"/>
  <c r="AC240" i="5"/>
  <c r="AF219" i="5"/>
  <c r="P241" i="5"/>
  <c r="O243" i="5"/>
  <c r="P243" i="5" s="1"/>
  <c r="M247" i="5"/>
  <c r="O247" i="5" s="1"/>
  <c r="M255" i="5"/>
  <c r="O255" i="5" s="1"/>
  <c r="AF228" i="5"/>
  <c r="AA254" i="5"/>
  <c r="AA252" i="5"/>
  <c r="AA250" i="5"/>
  <c r="AA248" i="5"/>
  <c r="AA246" i="5"/>
  <c r="AE241" i="5"/>
  <c r="AA255" i="5"/>
  <c r="AA249" i="5"/>
  <c r="AC241" i="5"/>
  <c r="AA251" i="5"/>
  <c r="AA245" i="5"/>
  <c r="AA253" i="5"/>
  <c r="AA256" i="5"/>
  <c r="AA247" i="5"/>
  <c r="AE236" i="5"/>
  <c r="AC236" i="5"/>
  <c r="AF222" i="5"/>
  <c r="M246" i="5"/>
  <c r="O246" i="5" s="1"/>
  <c r="AE231" i="5"/>
  <c r="AC231" i="5"/>
  <c r="AC230" i="5"/>
  <c r="AE230" i="5"/>
  <c r="AF230" i="5" s="1"/>
  <c r="AE239" i="5"/>
  <c r="AC239" i="5"/>
  <c r="AF225" i="5"/>
  <c r="AF231" i="5" l="1"/>
  <c r="AF238" i="5"/>
  <c r="P255" i="5"/>
  <c r="C434" i="7" s="1"/>
  <c r="F434" i="7" s="1"/>
  <c r="P251" i="5"/>
  <c r="C426" i="7" s="1"/>
  <c r="F426" i="7" s="1"/>
  <c r="AF241" i="5"/>
  <c r="AF236" i="5"/>
  <c r="P252" i="5"/>
  <c r="C428" i="7" s="1"/>
  <c r="F428" i="7" s="1"/>
  <c r="AF237" i="5"/>
  <c r="P246" i="5"/>
  <c r="O260" i="5" s="1"/>
  <c r="P260" i="5" s="1"/>
  <c r="AF233" i="5"/>
  <c r="AF239" i="5"/>
  <c r="AE245" i="5"/>
  <c r="AF245" i="5" s="1"/>
  <c r="AC245" i="5"/>
  <c r="AE255" i="5"/>
  <c r="AC255" i="5"/>
  <c r="AE250" i="5"/>
  <c r="AC250" i="5"/>
  <c r="AE247" i="5"/>
  <c r="AC247" i="5"/>
  <c r="AE251" i="5"/>
  <c r="AC251" i="5"/>
  <c r="AC252" i="5"/>
  <c r="AE252" i="5"/>
  <c r="P247" i="5"/>
  <c r="C418" i="7" s="1"/>
  <c r="F418" i="7" s="1"/>
  <c r="G418" i="7" s="1"/>
  <c r="AF234" i="5"/>
  <c r="P245" i="5"/>
  <c r="P254" i="5"/>
  <c r="C432" i="7" s="1"/>
  <c r="F432" i="7" s="1"/>
  <c r="AE256" i="5"/>
  <c r="AC256" i="5"/>
  <c r="AC246" i="5"/>
  <c r="AE246" i="5"/>
  <c r="AE254" i="5"/>
  <c r="AC254" i="5"/>
  <c r="AE253" i="5"/>
  <c r="AC253" i="5"/>
  <c r="AE249" i="5"/>
  <c r="AC249" i="5"/>
  <c r="AE248" i="5"/>
  <c r="AF248" i="5" s="1"/>
  <c r="AC248" i="5"/>
  <c r="AF240" i="5"/>
  <c r="AF235" i="5"/>
  <c r="P256" i="5"/>
  <c r="C437" i="7" s="1"/>
  <c r="F437" i="7" s="1"/>
  <c r="AF232" i="5"/>
  <c r="P248" i="5"/>
  <c r="C420" i="7" s="1"/>
  <c r="F420" i="7" s="1"/>
  <c r="AF251" i="5" l="1"/>
  <c r="AF246" i="5"/>
  <c r="G419" i="7"/>
  <c r="M418" i="7"/>
  <c r="I30" i="2"/>
  <c r="O259" i="5"/>
  <c r="P259" i="5" s="1"/>
  <c r="AF255" i="5"/>
  <c r="AF253" i="5"/>
  <c r="AF247" i="5"/>
  <c r="AF254" i="5"/>
  <c r="AF249" i="5"/>
  <c r="AF256" i="5"/>
  <c r="AF250" i="5"/>
  <c r="AF252" i="5"/>
  <c r="I31" i="2" l="1"/>
  <c r="H30" i="2"/>
  <c r="H31" i="2" s="1"/>
  <c r="G420" i="7"/>
  <c r="M419" i="7"/>
  <c r="N419" i="7" s="1"/>
  <c r="N418" i="7"/>
  <c r="O261" i="5" s="1"/>
  <c r="P261" i="5" s="1"/>
  <c r="O418" i="7"/>
  <c r="O419" i="7" l="1"/>
  <c r="G421" i="7"/>
  <c r="M420" i="7"/>
  <c r="N420" i="7" s="1"/>
  <c r="O262" i="5" s="1"/>
  <c r="P262" i="5" s="1"/>
  <c r="O420" i="7" l="1"/>
  <c r="G422" i="7"/>
  <c r="M421" i="7"/>
  <c r="N421" i="7" s="1"/>
  <c r="G423" i="7" l="1"/>
  <c r="M422" i="7"/>
  <c r="N422" i="7" s="1"/>
  <c r="O263" i="5" s="1"/>
  <c r="P263" i="5" s="1"/>
  <c r="O421" i="7"/>
  <c r="O422" i="7" l="1"/>
  <c r="G424" i="7"/>
  <c r="M423" i="7"/>
  <c r="N423" i="7" s="1"/>
  <c r="G425" i="7" l="1"/>
  <c r="M424" i="7"/>
  <c r="N424" i="7" s="1"/>
  <c r="O264" i="5" s="1"/>
  <c r="P264" i="5" s="1"/>
  <c r="O423" i="7"/>
  <c r="O424" i="7" l="1"/>
  <c r="G426" i="7"/>
  <c r="M425" i="7"/>
  <c r="N425" i="7" s="1"/>
  <c r="G427" i="7" l="1"/>
  <c r="M426" i="7"/>
  <c r="N426" i="7" s="1"/>
  <c r="O265" i="5" s="1"/>
  <c r="P265" i="5" s="1"/>
  <c r="O425" i="7"/>
  <c r="O426" i="7" l="1"/>
  <c r="G428" i="7"/>
  <c r="M427" i="7"/>
  <c r="N427" i="7" s="1"/>
  <c r="G429" i="7" l="1"/>
  <c r="M428" i="7"/>
  <c r="N428" i="7" s="1"/>
  <c r="O266" i="5" s="1"/>
  <c r="P266" i="5" s="1"/>
  <c r="O427" i="7"/>
  <c r="O428" i="7" l="1"/>
  <c r="G430" i="7"/>
  <c r="M429" i="7"/>
  <c r="N429" i="7" s="1"/>
  <c r="G431" i="7" l="1"/>
  <c r="M430" i="7"/>
  <c r="N430" i="7" s="1"/>
  <c r="O267" i="5" s="1"/>
  <c r="P267" i="5" s="1"/>
  <c r="O429" i="7"/>
  <c r="O430" i="7" l="1"/>
  <c r="G432" i="7"/>
  <c r="M431" i="7"/>
  <c r="N431" i="7" s="1"/>
  <c r="G433" i="7" l="1"/>
  <c r="M432" i="7"/>
  <c r="N432" i="7" s="1"/>
  <c r="O268" i="5" s="1"/>
  <c r="P268" i="5" s="1"/>
  <c r="O431" i="7"/>
  <c r="O432" i="7" l="1"/>
  <c r="G434" i="7"/>
  <c r="M433" i="7"/>
  <c r="N433" i="7" s="1"/>
  <c r="G436" i="7" l="1"/>
  <c r="M434" i="7"/>
  <c r="N434" i="7" s="1"/>
  <c r="O269" i="5" s="1"/>
  <c r="P269" i="5" s="1"/>
  <c r="O433" i="7"/>
  <c r="O434" i="7" l="1"/>
  <c r="G437" i="7"/>
  <c r="M437" i="7" s="1"/>
  <c r="M436" i="7"/>
  <c r="N436" i="7" s="1"/>
  <c r="N437" i="7" s="1"/>
  <c r="O270" i="5" s="1"/>
  <c r="P270" i="5" s="1"/>
  <c r="Q270" i="5" s="1"/>
  <c r="Q268" i="5" l="1"/>
  <c r="O436" i="7"/>
  <c r="O437" i="7" s="1"/>
  <c r="J30" i="2" s="1"/>
  <c r="J31" i="2" l="1"/>
  <c r="K30" i="2"/>
  <c r="K3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amoore</author>
  </authors>
  <commentList>
    <comment ref="A87" authorId="0" shapeId="0" xr:uid="{00000000-0006-0000-0400-000001000000}">
      <text>
        <r>
          <rPr>
            <b/>
            <sz val="8"/>
            <color indexed="81"/>
            <rFont val="Tahoma"/>
            <family val="2"/>
          </rPr>
          <t>amoore:</t>
        </r>
        <r>
          <rPr>
            <sz val="8"/>
            <color indexed="81"/>
            <rFont val="Tahoma"/>
            <family val="2"/>
          </rPr>
          <t xml:space="preserve">
PCA 7 runs January - December 2008</t>
        </r>
      </text>
    </comment>
    <comment ref="A100" authorId="0" shapeId="0" xr:uid="{00000000-0006-0000-0400-000002000000}">
      <text>
        <r>
          <rPr>
            <b/>
            <sz val="8"/>
            <color indexed="81"/>
            <rFont val="Tahoma"/>
            <family val="2"/>
          </rPr>
          <t>amoore:</t>
        </r>
        <r>
          <rPr>
            <sz val="8"/>
            <color indexed="81"/>
            <rFont val="Tahoma"/>
            <family val="2"/>
          </rPr>
          <t xml:space="preserve">
PCA 8 runs January - December 2009</t>
        </r>
      </text>
    </comment>
    <comment ref="A113" authorId="0" shapeId="0" xr:uid="{00000000-0006-0000-0400-000003000000}">
      <text>
        <r>
          <rPr>
            <b/>
            <sz val="8"/>
            <color indexed="81"/>
            <rFont val="Tahoma"/>
            <family val="2"/>
          </rPr>
          <t>amoore:</t>
        </r>
        <r>
          <rPr>
            <sz val="8"/>
            <color indexed="81"/>
            <rFont val="Tahoma"/>
            <family val="2"/>
          </rPr>
          <t xml:space="preserve">
PCA 9 runs January - December 2010</t>
        </r>
      </text>
    </comment>
    <comment ref="A126" authorId="0" shapeId="0" xr:uid="{00000000-0006-0000-0400-000004000000}">
      <text>
        <r>
          <rPr>
            <b/>
            <sz val="8"/>
            <color indexed="81"/>
            <rFont val="Tahoma"/>
            <family val="2"/>
          </rPr>
          <t>amoore:</t>
        </r>
        <r>
          <rPr>
            <sz val="8"/>
            <color indexed="81"/>
            <rFont val="Tahoma"/>
            <family val="2"/>
          </rPr>
          <t xml:space="preserve">
PCA 10 runs January - December 2011.
</t>
        </r>
      </text>
    </comment>
    <comment ref="A139" authorId="0" shapeId="0" xr:uid="{00000000-0006-0000-0400-000005000000}">
      <text>
        <r>
          <rPr>
            <b/>
            <sz val="8"/>
            <color indexed="81"/>
            <rFont val="Tahoma"/>
            <family val="2"/>
          </rPr>
          <t>amoore:</t>
        </r>
        <r>
          <rPr>
            <sz val="8"/>
            <color indexed="81"/>
            <rFont val="Tahoma"/>
            <family val="2"/>
          </rPr>
          <t xml:space="preserve">
PCA 11 runs January - December 2012.
</t>
        </r>
      </text>
    </comment>
    <comment ref="A152" authorId="0" shapeId="0" xr:uid="{00000000-0006-0000-0400-000006000000}">
      <text>
        <r>
          <rPr>
            <b/>
            <sz val="8"/>
            <color indexed="81"/>
            <rFont val="Tahoma"/>
            <family val="2"/>
          </rPr>
          <t>amoore:</t>
        </r>
        <r>
          <rPr>
            <sz val="8"/>
            <color indexed="81"/>
            <rFont val="Tahoma"/>
            <family val="2"/>
          </rPr>
          <t xml:space="preserve">
PCA 12 runs January - December 2013
.
</t>
        </r>
      </text>
    </comment>
    <comment ref="A165" authorId="0" shapeId="0" xr:uid="{00000000-0006-0000-0400-000007000000}">
      <text>
        <r>
          <rPr>
            <b/>
            <sz val="8"/>
            <color indexed="81"/>
            <rFont val="Tahoma"/>
            <family val="2"/>
          </rPr>
          <t>amoore:</t>
        </r>
        <r>
          <rPr>
            <sz val="8"/>
            <color indexed="81"/>
            <rFont val="Tahoma"/>
            <family val="2"/>
          </rPr>
          <t xml:space="preserve">
PCA 13 runs January - December 2014.
</t>
        </r>
      </text>
    </comment>
    <comment ref="A178" authorId="0" shapeId="0" xr:uid="{00000000-0006-0000-0400-000008000000}">
      <text>
        <r>
          <rPr>
            <b/>
            <sz val="8"/>
            <color indexed="81"/>
            <rFont val="Tahoma"/>
            <family val="2"/>
          </rPr>
          <t>amoore:</t>
        </r>
        <r>
          <rPr>
            <sz val="8"/>
            <color indexed="81"/>
            <rFont val="Tahoma"/>
            <family val="2"/>
          </rPr>
          <t xml:space="preserve">
PCA 14 runs January - December 2015.
</t>
        </r>
      </text>
    </comment>
    <comment ref="A191" authorId="0" shapeId="0" xr:uid="{00000000-0006-0000-0400-000009000000}">
      <text>
        <r>
          <rPr>
            <b/>
            <sz val="8"/>
            <color indexed="81"/>
            <rFont val="Tahoma"/>
            <family val="2"/>
          </rPr>
          <t>amoore:</t>
        </r>
        <r>
          <rPr>
            <sz val="8"/>
            <color indexed="81"/>
            <rFont val="Tahoma"/>
            <family val="2"/>
          </rPr>
          <t xml:space="preserve">
PCA 15 runs January - December 2016.
</t>
        </r>
      </text>
    </comment>
    <comment ref="A204" authorId="0" shapeId="0" xr:uid="{00000000-0006-0000-0400-00000A000000}">
      <text>
        <r>
          <rPr>
            <b/>
            <sz val="8"/>
            <color indexed="81"/>
            <rFont val="Tahoma"/>
            <family val="2"/>
          </rPr>
          <t>amoore:</t>
        </r>
        <r>
          <rPr>
            <sz val="8"/>
            <color indexed="81"/>
            <rFont val="Tahoma"/>
            <family val="2"/>
          </rPr>
          <t xml:space="preserve">
PCA 16 runs January - December 2017.
</t>
        </r>
      </text>
    </comment>
    <comment ref="A217" authorId="0" shapeId="0" xr:uid="{00000000-0006-0000-0400-00000B000000}">
      <text>
        <r>
          <rPr>
            <b/>
            <sz val="8"/>
            <color indexed="81"/>
            <rFont val="Tahoma"/>
            <family val="2"/>
          </rPr>
          <t>amoore:</t>
        </r>
        <r>
          <rPr>
            <sz val="8"/>
            <color indexed="81"/>
            <rFont val="Tahoma"/>
            <family val="2"/>
          </rPr>
          <t xml:space="preserve">
PCA 17 runs January - December 2018.
</t>
        </r>
      </text>
    </comment>
    <comment ref="A230" authorId="0" shapeId="0" xr:uid="{00000000-0006-0000-0400-00000C000000}">
      <text>
        <r>
          <rPr>
            <b/>
            <sz val="8"/>
            <color indexed="81"/>
            <rFont val="Tahoma"/>
            <family val="2"/>
          </rPr>
          <t>amoore:</t>
        </r>
        <r>
          <rPr>
            <sz val="8"/>
            <color indexed="81"/>
            <rFont val="Tahoma"/>
            <family val="2"/>
          </rPr>
          <t xml:space="preserve">
PCA 18 runs January - December 2019.
</t>
        </r>
      </text>
    </comment>
    <comment ref="A245" authorId="0" shapeId="0" xr:uid="{00000000-0006-0000-0400-00000D000000}">
      <text>
        <r>
          <rPr>
            <b/>
            <sz val="8"/>
            <color indexed="81"/>
            <rFont val="Tahoma"/>
            <family val="2"/>
          </rPr>
          <t>amoore:</t>
        </r>
        <r>
          <rPr>
            <sz val="8"/>
            <color indexed="81"/>
            <rFont val="Tahoma"/>
            <family val="2"/>
          </rPr>
          <t xml:space="preserve">
PCA 19 runs January - December 2020.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amoore</author>
    <author>PSE</author>
  </authors>
  <commentList>
    <comment ref="K35" authorId="0" shapeId="0" xr:uid="{00000000-0006-0000-0500-00000100000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K39" authorId="0" shapeId="0" xr:uid="{00000000-0006-0000-0500-00000200000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M43" authorId="1" shapeId="0" xr:uid="{00000000-0006-0000-0500-000003000000}">
      <text>
        <r>
          <rPr>
            <b/>
            <sz val="8"/>
            <color indexed="81"/>
            <rFont val="Tahoma"/>
            <family val="2"/>
          </rPr>
          <t>PSE:</t>
        </r>
        <r>
          <rPr>
            <sz val="8"/>
            <color indexed="81"/>
            <rFont val="Tahoma"/>
            <family val="2"/>
          </rPr>
          <t xml:space="preserve">
Interest reduced 437.54 due to incorrect rate used for July 4.25% was used, it should have been 4.00%
</t>
        </r>
      </text>
    </comment>
    <comment ref="M44" authorId="1" shapeId="0" xr:uid="{00000000-0006-0000-0500-000004000000}">
      <text>
        <r>
          <rPr>
            <b/>
            <sz val="8"/>
            <color indexed="81"/>
            <rFont val="Tahoma"/>
            <family val="2"/>
          </rPr>
          <t>PSE:</t>
        </r>
        <r>
          <rPr>
            <sz val="8"/>
            <color indexed="81"/>
            <rFont val="Tahoma"/>
            <family val="2"/>
          </rPr>
          <t xml:space="preserve">
Interest reduced 14.59 due to incorrect rate used for July 4.25% was used, it should have been 4.00%
</t>
        </r>
      </text>
    </comment>
    <comment ref="K59" authorId="0" shapeId="0" xr:uid="{00000000-0006-0000-0500-00000500000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M67" authorId="1" shapeId="0" xr:uid="{00000000-0006-0000-0500-000006000000}">
      <text>
        <r>
          <rPr>
            <b/>
            <sz val="8"/>
            <color indexed="81"/>
            <rFont val="Tahoma"/>
            <family val="2"/>
          </rPr>
          <t>PSE:</t>
        </r>
        <r>
          <rPr>
            <sz val="8"/>
            <color indexed="81"/>
            <rFont val="Tahoma"/>
            <family val="2"/>
          </rPr>
          <t xml:space="preserve">
Interest reduced 437.54 due to incorrect rate used for July 4.25% was used, it should have been 4.00%
</t>
        </r>
      </text>
    </comment>
    <comment ref="M68" authorId="1" shapeId="0" xr:uid="{00000000-0006-0000-0500-000007000000}">
      <text>
        <r>
          <rPr>
            <b/>
            <sz val="8"/>
            <color indexed="81"/>
            <rFont val="Tahoma"/>
            <family val="2"/>
          </rPr>
          <t>PSE:</t>
        </r>
        <r>
          <rPr>
            <sz val="8"/>
            <color indexed="81"/>
            <rFont val="Tahoma"/>
            <family val="2"/>
          </rPr>
          <t xml:space="preserve">
Interest reduced 14.59 due to incorrect rate used for July 4.25% was used, it should have been 4.00%
</t>
        </r>
      </text>
    </comment>
    <comment ref="K83" authorId="0" shapeId="0" xr:uid="{00000000-0006-0000-0500-000008000000}">
      <text>
        <r>
          <rPr>
            <b/>
            <sz val="8"/>
            <color indexed="81"/>
            <rFont val="Tahoma"/>
            <family val="2"/>
          </rPr>
          <t>amoore:</t>
        </r>
        <r>
          <rPr>
            <sz val="8"/>
            <color indexed="81"/>
            <rFont val="Tahoma"/>
            <family val="2"/>
          </rPr>
          <t xml:space="preserve">
Should be 29.  Correction booked on separate entry in May'06. Did not change on this Sched C1 because didn't want the Summary to change.</t>
        </r>
      </text>
    </comment>
    <comment ref="M85" authorId="0" shapeId="0" xr:uid="{00000000-0006-0000-0500-000009000000}">
      <text>
        <r>
          <rPr>
            <b/>
            <sz val="8"/>
            <color indexed="81"/>
            <rFont val="Tahoma"/>
            <family val="2"/>
          </rPr>
          <t>amoore:</t>
        </r>
        <r>
          <rPr>
            <sz val="8"/>
            <color indexed="81"/>
            <rFont val="Tahoma"/>
            <family val="2"/>
          </rPr>
          <t xml:space="preserve">
Includes $(7,999.01) for correction of prior period  interest. April'04,'05,'06 and June'04.</t>
        </r>
      </text>
    </comment>
    <comment ref="M87" authorId="0" shapeId="0" xr:uid="{00000000-0006-0000-0500-00000A000000}">
      <text>
        <r>
          <rPr>
            <b/>
            <sz val="8"/>
            <color indexed="81"/>
            <rFont val="Tahoma"/>
            <family val="2"/>
          </rPr>
          <t>amoore:</t>
        </r>
        <r>
          <rPr>
            <sz val="8"/>
            <color indexed="81"/>
            <rFont val="Tahoma"/>
            <family val="2"/>
          </rPr>
          <t xml:space="preserve">
Includes adj of $(1,472) for correction of Hopkins Ridge tax depreciaton (from Rates Dept.)</t>
        </r>
      </text>
    </comment>
    <comment ref="B89" authorId="0" shapeId="0" xr:uid="{00000000-0006-0000-0500-00000B000000}">
      <text>
        <r>
          <rPr>
            <b/>
            <sz val="8"/>
            <color indexed="81"/>
            <rFont val="Tahoma"/>
            <family val="2"/>
          </rPr>
          <t>amoore:</t>
        </r>
        <r>
          <rPr>
            <sz val="8"/>
            <color indexed="81"/>
            <rFont val="Tahoma"/>
            <family val="2"/>
          </rPr>
          <t xml:space="preserve">
July 2006</t>
        </r>
      </text>
    </comment>
    <comment ref="B101" authorId="0" shapeId="0" xr:uid="{00000000-0006-0000-0500-00000C000000}">
      <text>
        <r>
          <rPr>
            <b/>
            <sz val="8"/>
            <color indexed="81"/>
            <rFont val="Tahoma"/>
            <family val="2"/>
          </rPr>
          <t>amoore:</t>
        </r>
        <r>
          <rPr>
            <sz val="8"/>
            <color indexed="81"/>
            <rFont val="Tahoma"/>
            <family val="2"/>
          </rPr>
          <t xml:space="preserve">
January 2007
</t>
        </r>
      </text>
    </comment>
    <comment ref="B125" authorId="0" shapeId="0" xr:uid="{00000000-0006-0000-0500-00000D000000}">
      <text>
        <r>
          <rPr>
            <b/>
            <sz val="8"/>
            <color indexed="81"/>
            <rFont val="Tahoma"/>
            <family val="2"/>
          </rPr>
          <t>amoore:</t>
        </r>
        <r>
          <rPr>
            <sz val="8"/>
            <color indexed="81"/>
            <rFont val="Tahoma"/>
            <family val="2"/>
          </rPr>
          <t xml:space="preserve">
January 2008
</t>
        </r>
      </text>
    </comment>
    <comment ref="B149" authorId="0" shapeId="0" xr:uid="{00000000-0006-0000-0500-00000E000000}">
      <text>
        <r>
          <rPr>
            <b/>
            <sz val="8"/>
            <color indexed="81"/>
            <rFont val="Tahoma"/>
            <family val="2"/>
          </rPr>
          <t>amoore:</t>
        </r>
        <r>
          <rPr>
            <sz val="8"/>
            <color indexed="81"/>
            <rFont val="Tahoma"/>
            <family val="2"/>
          </rPr>
          <t xml:space="preserve">
January 2009
</t>
        </r>
      </text>
    </comment>
    <comment ref="B173" authorId="0" shapeId="0" xr:uid="{00000000-0006-0000-0500-00000F000000}">
      <text>
        <r>
          <rPr>
            <b/>
            <sz val="8"/>
            <color indexed="81"/>
            <rFont val="Tahoma"/>
            <family val="2"/>
          </rPr>
          <t>amoore:</t>
        </r>
        <r>
          <rPr>
            <sz val="8"/>
            <color indexed="81"/>
            <rFont val="Tahoma"/>
            <family val="2"/>
          </rPr>
          <t xml:space="preserve">
January 2010
</t>
        </r>
      </text>
    </comment>
    <comment ref="B197" authorId="0" shapeId="0" xr:uid="{00000000-0006-0000-0500-000010000000}">
      <text>
        <r>
          <rPr>
            <b/>
            <sz val="8"/>
            <color indexed="81"/>
            <rFont val="Tahoma"/>
            <family val="2"/>
          </rPr>
          <t>amoore:</t>
        </r>
        <r>
          <rPr>
            <sz val="8"/>
            <color indexed="81"/>
            <rFont val="Tahoma"/>
            <family val="2"/>
          </rPr>
          <t xml:space="preserve">
January 2011
</t>
        </r>
      </text>
    </comment>
    <comment ref="B221" authorId="0" shapeId="0" xr:uid="{00000000-0006-0000-0500-000011000000}">
      <text>
        <r>
          <rPr>
            <b/>
            <sz val="8"/>
            <color indexed="81"/>
            <rFont val="Tahoma"/>
            <family val="2"/>
          </rPr>
          <t>amoore:</t>
        </r>
        <r>
          <rPr>
            <sz val="8"/>
            <color indexed="81"/>
            <rFont val="Tahoma"/>
            <family val="2"/>
          </rPr>
          <t xml:space="preserve">
January 2012
</t>
        </r>
      </text>
    </comment>
    <comment ref="B245" authorId="0" shapeId="0" xr:uid="{00000000-0006-0000-0500-000012000000}">
      <text>
        <r>
          <rPr>
            <b/>
            <sz val="8"/>
            <color indexed="81"/>
            <rFont val="Tahoma"/>
            <family val="2"/>
          </rPr>
          <t>amoore:</t>
        </r>
        <r>
          <rPr>
            <sz val="8"/>
            <color indexed="81"/>
            <rFont val="Tahoma"/>
            <family val="2"/>
          </rPr>
          <t xml:space="preserve">
January 2013
</t>
        </r>
      </text>
    </comment>
    <comment ref="B269" authorId="0" shapeId="0" xr:uid="{00000000-0006-0000-0500-000013000000}">
      <text>
        <r>
          <rPr>
            <b/>
            <sz val="8"/>
            <color indexed="81"/>
            <rFont val="Tahoma"/>
            <family val="2"/>
          </rPr>
          <t>amoore:</t>
        </r>
        <r>
          <rPr>
            <sz val="8"/>
            <color indexed="81"/>
            <rFont val="Tahoma"/>
            <family val="2"/>
          </rPr>
          <t xml:space="preserve">
January 2014
</t>
        </r>
      </text>
    </comment>
    <comment ref="B293" authorId="0" shapeId="0" xr:uid="{00000000-0006-0000-0500-000014000000}">
      <text>
        <r>
          <rPr>
            <b/>
            <sz val="8"/>
            <color indexed="81"/>
            <rFont val="Tahoma"/>
            <family val="2"/>
          </rPr>
          <t>amoore:</t>
        </r>
        <r>
          <rPr>
            <sz val="8"/>
            <color indexed="81"/>
            <rFont val="Tahoma"/>
            <family val="2"/>
          </rPr>
          <t xml:space="preserve">
January 2015
</t>
        </r>
      </text>
    </comment>
    <comment ref="B317" authorId="0" shapeId="0" xr:uid="{00000000-0006-0000-0500-000015000000}">
      <text>
        <r>
          <rPr>
            <b/>
            <sz val="8"/>
            <color indexed="81"/>
            <rFont val="Tahoma"/>
            <family val="2"/>
          </rPr>
          <t>amoore:</t>
        </r>
        <r>
          <rPr>
            <sz val="8"/>
            <color indexed="81"/>
            <rFont val="Tahoma"/>
            <family val="2"/>
          </rPr>
          <t xml:space="preserve">
January 2016
</t>
        </r>
      </text>
    </comment>
    <comment ref="B341" authorId="0" shapeId="0" xr:uid="{00000000-0006-0000-0500-000016000000}">
      <text>
        <r>
          <rPr>
            <b/>
            <sz val="8"/>
            <color indexed="81"/>
            <rFont val="Tahoma"/>
            <family val="2"/>
          </rPr>
          <t>amoore:</t>
        </r>
        <r>
          <rPr>
            <sz val="8"/>
            <color indexed="81"/>
            <rFont val="Tahoma"/>
            <family val="2"/>
          </rPr>
          <t xml:space="preserve">
January 2017</t>
        </r>
      </text>
    </comment>
    <comment ref="B365" authorId="0" shapeId="0" xr:uid="{00000000-0006-0000-0500-000017000000}">
      <text>
        <r>
          <rPr>
            <b/>
            <sz val="8"/>
            <color indexed="81"/>
            <rFont val="Tahoma"/>
            <family val="2"/>
          </rPr>
          <t>amoore:</t>
        </r>
        <r>
          <rPr>
            <sz val="8"/>
            <color indexed="81"/>
            <rFont val="Tahoma"/>
            <family val="2"/>
          </rPr>
          <t xml:space="preserve">
January 2018
</t>
        </r>
      </text>
    </comment>
    <comment ref="B389" authorId="0" shapeId="0" xr:uid="{00000000-0006-0000-0500-000018000000}">
      <text>
        <r>
          <rPr>
            <b/>
            <sz val="8"/>
            <color indexed="81"/>
            <rFont val="Tahoma"/>
            <family val="2"/>
          </rPr>
          <t>amoore:</t>
        </r>
        <r>
          <rPr>
            <sz val="8"/>
            <color indexed="81"/>
            <rFont val="Tahoma"/>
            <family val="2"/>
          </rPr>
          <t xml:space="preserve">
January 2019
</t>
        </r>
      </text>
    </comment>
    <comment ref="B413" authorId="0" shapeId="0" xr:uid="{00000000-0006-0000-0500-000019000000}">
      <text>
        <r>
          <rPr>
            <b/>
            <sz val="8"/>
            <color indexed="81"/>
            <rFont val="Tahoma"/>
            <family val="2"/>
          </rPr>
          <t>amoore:</t>
        </r>
        <r>
          <rPr>
            <sz val="8"/>
            <color indexed="81"/>
            <rFont val="Tahoma"/>
            <family val="2"/>
          </rPr>
          <t xml:space="preserve">
January 2020
</t>
        </r>
      </text>
    </comment>
  </commentList>
</comments>
</file>

<file path=xl/sharedStrings.xml><?xml version="1.0" encoding="utf-8"?>
<sst xmlns="http://schemas.openxmlformats.org/spreadsheetml/2006/main" count="779" uniqueCount="324">
  <si>
    <t xml:space="preserve">      Puget Sound Energy</t>
  </si>
  <si>
    <t>Power Cost Adjustment Mechanism</t>
  </si>
  <si>
    <t>2020 Annual Report</t>
  </si>
  <si>
    <t>Twelve Months Ended December 31, 2020</t>
  </si>
  <si>
    <t xml:space="preserve">Index </t>
  </si>
  <si>
    <t>Tab Name</t>
  </si>
  <si>
    <t>1.</t>
  </si>
  <si>
    <t xml:space="preserve">Exhibits in Support of Updated Power Cost Rate: </t>
  </si>
  <si>
    <t>1/1/20 – 12/31/20</t>
  </si>
  <si>
    <t>2.</t>
  </si>
  <si>
    <t>Power Cost Summary</t>
  </si>
  <si>
    <t>3.</t>
  </si>
  <si>
    <t>Exhibit A-1 – Power Cost Rate - Updated Actual (1/1/20 - 12/31/20)</t>
  </si>
  <si>
    <t>4.</t>
  </si>
  <si>
    <t>Exhibit B – PCA Mechanism Calculation (1/1/20 - 12/31/20)</t>
  </si>
  <si>
    <t>5.</t>
  </si>
  <si>
    <t>Application of the Sharing Bands to the PCA Mechanism Calculation</t>
  </si>
  <si>
    <t>6.</t>
  </si>
  <si>
    <t>Exhibit A-1 – Power Cost Rate Approved in UE-190223</t>
  </si>
  <si>
    <t>7.</t>
  </si>
  <si>
    <t>Exhibit A-1 – Power Cost Rate Approved in UE-190529</t>
  </si>
  <si>
    <t>8.</t>
  </si>
  <si>
    <t>Exhibit A-1 – Power Cost Rate Approved in UE-200907</t>
  </si>
  <si>
    <t xml:space="preserve">Puget Sound Energy </t>
  </si>
  <si>
    <t>Power Cost Adjustment Summary</t>
  </si>
  <si>
    <t>Cumulative Amounts</t>
  </si>
  <si>
    <t>Description</t>
  </si>
  <si>
    <t>Power Costs</t>
  </si>
  <si>
    <t>Allocation of Power Costs</t>
  </si>
  <si>
    <t>Time Period</t>
  </si>
  <si>
    <t>PCA Period</t>
  </si>
  <si>
    <t>Actual</t>
  </si>
  <si>
    <t>Baseline</t>
  </si>
  <si>
    <t>Difference</t>
  </si>
  <si>
    <t>Wholesale Customers</t>
  </si>
  <si>
    <t>Total Cost Over (Under) Baseline</t>
  </si>
  <si>
    <t>Company</t>
  </si>
  <si>
    <t>Customers</t>
  </si>
  <si>
    <t>Customer Interest</t>
  </si>
  <si>
    <t>Total Customer Share With Interest</t>
  </si>
  <si>
    <t>12 mo end 6.30.03</t>
  </si>
  <si>
    <t>12 mo end 6.30.04</t>
  </si>
  <si>
    <t>12 mo end 6.30.05</t>
  </si>
  <si>
    <t>12 mo end 6.30.06</t>
  </si>
  <si>
    <t>6 mo end 12.31.06</t>
  </si>
  <si>
    <t>12 mo end 12.31.07</t>
  </si>
  <si>
    <t>12 mo end 12.31.08</t>
  </si>
  <si>
    <t>12 mo end 12.31.09</t>
  </si>
  <si>
    <t>12 mo end 12.31.10</t>
  </si>
  <si>
    <t>12 mo end 12.31.11</t>
  </si>
  <si>
    <t>12 mo end 12.31.12</t>
  </si>
  <si>
    <t>12 mo end 12.31.13</t>
  </si>
  <si>
    <t>12 mo end 12.31.14</t>
  </si>
  <si>
    <t>12 mo end 12.31.15</t>
  </si>
  <si>
    <t>12 mo end 12.31.16</t>
  </si>
  <si>
    <t>12 mo end 12.31.17</t>
  </si>
  <si>
    <t>12 mo end 12.31.18</t>
  </si>
  <si>
    <t>12 mo end 12.31.19</t>
  </si>
  <si>
    <t>PCA Period 18 Rec</t>
  </si>
  <si>
    <t>12 mo end 12.31.20</t>
  </si>
  <si>
    <t>Cumulative</t>
  </si>
  <si>
    <t xml:space="preserve">Note: As of January 1, 2017, the PCA includes variable costs only.  Calculation of the PCA fixed costs deferral was done separately in 2017 before moving the fixed costs to the decoupling mechanism when the new GRC went into effect on December 19, 2017.  </t>
  </si>
  <si>
    <t>PUGET SOUND ENERGY</t>
  </si>
  <si>
    <t>PCA MECHANISM ANNUAL REPORT</t>
  </si>
  <si>
    <t>TWELVE MONTHS ENDED DECEMBER 31, 2020</t>
  </si>
  <si>
    <t>Exhibit A-1 Power Cost Rate Updated:  1/1/2020 - 12/31/2020</t>
  </si>
  <si>
    <t xml:space="preserve">Variable </t>
  </si>
  <si>
    <t>Production</t>
  </si>
  <si>
    <t>Test Yr</t>
  </si>
  <si>
    <t>Costs</t>
  </si>
  <si>
    <t>Row</t>
  </si>
  <si>
    <t xml:space="preserve">Test Year </t>
  </si>
  <si>
    <t>$/MWh</t>
  </si>
  <si>
    <t>Test Year</t>
  </si>
  <si>
    <t>(I)</t>
  </si>
  <si>
    <t>Regulatory Asset Recovery (on Row 3)</t>
  </si>
  <si>
    <t>N/A</t>
  </si>
  <si>
    <t>F</t>
  </si>
  <si>
    <t>10a</t>
  </si>
  <si>
    <t>Equity Adder Centralia Coal Transition PPA</t>
  </si>
  <si>
    <t>V</t>
  </si>
  <si>
    <t>10b</t>
  </si>
  <si>
    <t>Energy Imbalance Market Fixed Cost Adjustment</t>
  </si>
  <si>
    <t>Fixed Asset Recovery Other (on Row 4)</t>
  </si>
  <si>
    <t>Fixed Asset Recovery-Prod Factored (on Row 5)</t>
  </si>
  <si>
    <t>501-Steam Fuel</t>
  </si>
  <si>
    <t>555-Purchased power</t>
  </si>
  <si>
    <t>557-Other Power Exp</t>
  </si>
  <si>
    <t>15a</t>
  </si>
  <si>
    <t>Payroll Overheads - Benefits (Inc. Worker's Comp)</t>
  </si>
  <si>
    <t>15b</t>
  </si>
  <si>
    <t>Property Insurance</t>
  </si>
  <si>
    <t>15c</t>
  </si>
  <si>
    <t>Montana Electric Energy Tax</t>
  </si>
  <si>
    <t>15d</t>
  </si>
  <si>
    <t>Payroll Taxes on Production Wages</t>
  </si>
  <si>
    <t>15e</t>
  </si>
  <si>
    <t>Brokerage Fees 55700003</t>
  </si>
  <si>
    <t>547-Fuel</t>
  </si>
  <si>
    <t>565-Wheeling</t>
  </si>
  <si>
    <t>Transmission Revenue 456.1</t>
  </si>
  <si>
    <t>Production O&amp;M</t>
  </si>
  <si>
    <t>447-Sales to Others</t>
  </si>
  <si>
    <t>456-Purch/Sales Non-Core Gas</t>
  </si>
  <si>
    <t>Transmission Exp - 500KV</t>
  </si>
  <si>
    <t>Depreciation-Production (FERC 403)</t>
  </si>
  <si>
    <t xml:space="preserve"> </t>
  </si>
  <si>
    <t>Depreciation-Transmission</t>
  </si>
  <si>
    <t>Amortization  - Regulatory Assets (1)</t>
  </si>
  <si>
    <t>Hedging Line of Credit</t>
  </si>
  <si>
    <t>Subtotal &amp; Baseline Rate</t>
  </si>
  <si>
    <t>Revenue Sensitive Items</t>
  </si>
  <si>
    <t>Test Year DELIVERED Load (MWH's)</t>
  </si>
  <si>
    <t xml:space="preserve"> (incl. Firm Whlsl)</t>
  </si>
  <si>
    <t>Before Rev.</t>
  </si>
  <si>
    <t>Sensitive Items</t>
  </si>
  <si>
    <t>Power Cost in Rates with Revenue Sensitive</t>
  </si>
  <si>
    <t>Items (the adjusted baseline)</t>
  </si>
  <si>
    <t>Variable Power Cost Rate</t>
  </si>
  <si>
    <t>Schedule B:  Monthly Power Costs -- 2020</t>
  </si>
  <si>
    <t>Current</t>
  </si>
  <si>
    <t>Period</t>
  </si>
  <si>
    <r>
      <t>Row</t>
    </r>
    <r>
      <rPr>
        <vertAlign val="superscript"/>
        <sz val="10"/>
        <rFont val="Arial"/>
        <family val="2"/>
      </rPr>
      <t>1</t>
    </r>
  </si>
  <si>
    <t>to Date</t>
  </si>
  <si>
    <t>Total Variable Component Actual</t>
  </si>
  <si>
    <t>FERC Acct.</t>
  </si>
  <si>
    <t>Steam Operating Fuel</t>
  </si>
  <si>
    <t>Other Power Generation Fuel</t>
  </si>
  <si>
    <t>Purchased &amp; Interchanged</t>
  </si>
  <si>
    <t>Purchases/Sales of Non-Core Gas</t>
  </si>
  <si>
    <t>45600080, 81</t>
  </si>
  <si>
    <t>Brokerage Fees</t>
  </si>
  <si>
    <t>Sales to Others</t>
  </si>
  <si>
    <t>Wheeling</t>
  </si>
  <si>
    <t>Subtotal Variable Components</t>
  </si>
  <si>
    <t>Adjustments</t>
  </si>
  <si>
    <t xml:space="preserve">  Centralia PPA ROR Equity Adjustment</t>
  </si>
  <si>
    <t xml:space="preserve">  Energy Imbalance Market Fixed Cost Adjustment</t>
  </si>
  <si>
    <t>Total allowable costs</t>
  </si>
  <si>
    <t>PCA period delivered load (Kwh)</t>
  </si>
  <si>
    <t>Green Direct Load</t>
  </si>
  <si>
    <t>PCA period delivered load (Kwh) - at new rate</t>
  </si>
  <si>
    <t>Variable Baseline Rate</t>
  </si>
  <si>
    <t>May 1, 2019 - Oct 14, 2020</t>
  </si>
  <si>
    <t>Green Direct - Embedded Market</t>
  </si>
  <si>
    <t xml:space="preserve">Oct 15, 2020 - </t>
  </si>
  <si>
    <t>Baseline Power Costs</t>
  </si>
  <si>
    <t>Imbalance for Sharing</t>
  </si>
  <si>
    <t xml:space="preserve"> Surcharge or underrecovery/(refund or overrecovery)</t>
  </si>
  <si>
    <t>Less Firm Wholesale</t>
  </si>
  <si>
    <t xml:space="preserve">              Dec 19, 2017 - Oct 14, 2020</t>
  </si>
  <si>
    <t xml:space="preserve">Oct 15, 2020 -    </t>
  </si>
  <si>
    <t>Gross PCA</t>
  </si>
  <si>
    <t>Gross PCA Contra</t>
  </si>
  <si>
    <t>Cumulative Gross PCA</t>
  </si>
  <si>
    <t>Cumulative Gross PCA Contra</t>
  </si>
  <si>
    <t>1:  This schedule was derived from the PCA collaborative Exhibit B which was approved in Exhibit B to Attachment A to the Settlement Stipulation approved in Order 11 of Docket UE-130617 which is also included as Exhibit A in this petition. The row numbers presented correspond to that approved exhibit.</t>
  </si>
  <si>
    <t>Must be zero ---&gt;&gt;&gt;</t>
  </si>
  <si>
    <t>Schedule C</t>
  </si>
  <si>
    <t>Gross PCA Roll Forward &amp; Sharing Provision</t>
  </si>
  <si>
    <t>UE-011570</t>
  </si>
  <si>
    <t>UE-130617 as of January 2017</t>
  </si>
  <si>
    <t>Customer</t>
  </si>
  <si>
    <t xml:space="preserve">PCA Year </t>
  </si>
  <si>
    <t>Month</t>
  </si>
  <si>
    <t>Monthly</t>
  </si>
  <si>
    <t>Accumulated Imbalance for Sharing</t>
  </si>
  <si>
    <t>Amount Subject to Band 1</t>
  </si>
  <si>
    <t>Amount Subject to Band 2</t>
  </si>
  <si>
    <t>Amount Subject to Band 3</t>
  </si>
  <si>
    <t>Amount Subject to Band 4</t>
  </si>
  <si>
    <t>Band 2 Deferral</t>
  </si>
  <si>
    <t>Band 3 Deferral</t>
  </si>
  <si>
    <t xml:space="preserve">Band 4 Deferral </t>
  </si>
  <si>
    <t>Accumulated Customer Deferral W/O $40M Cap</t>
  </si>
  <si>
    <t>99% of Company Deferral Exceeding $40M</t>
  </si>
  <si>
    <t>Accum Cust Deferral including 99% of Company Excess over $40M</t>
  </si>
  <si>
    <t>Total Monthly Customer Deferal</t>
  </si>
  <si>
    <t>% of Total</t>
  </si>
  <si>
    <t>Overall Cap Spread</t>
  </si>
  <si>
    <t>Band 1 Deferral</t>
  </si>
  <si>
    <t>Accumulated Company Deferral W/O $40M Cap</t>
  </si>
  <si>
    <t>Company Deferral Excess Over $40M Cap</t>
  </si>
  <si>
    <t>Accumulated Company Deferral  Adjusted to $40M Cap</t>
  </si>
  <si>
    <t>1% of Excess Company Deferral</t>
  </si>
  <si>
    <t>Accumulated Company Deferral Including $40M Cap</t>
  </si>
  <si>
    <t>Total Monthly Company Deferral</t>
  </si>
  <si>
    <t>99% over $40M</t>
  </si>
  <si>
    <t>As of January 1, 2017</t>
  </si>
  <si>
    <t xml:space="preserve"> N/A</t>
  </si>
  <si>
    <t>July</t>
  </si>
  <si>
    <t>August</t>
  </si>
  <si>
    <t>September</t>
  </si>
  <si>
    <t>October</t>
  </si>
  <si>
    <t>November</t>
  </si>
  <si>
    <t>December</t>
  </si>
  <si>
    <t>January</t>
  </si>
  <si>
    <t>February</t>
  </si>
  <si>
    <t>March</t>
  </si>
  <si>
    <t>April</t>
  </si>
  <si>
    <t>May</t>
  </si>
  <si>
    <t>June</t>
  </si>
  <si>
    <t>PCA Transfer</t>
  </si>
  <si>
    <t>Sharing bands</t>
  </si>
  <si>
    <t>Company &gt; $40</t>
  </si>
  <si>
    <t>As of January 2017</t>
  </si>
  <si>
    <t>2a</t>
  </si>
  <si>
    <t>2b</t>
  </si>
  <si>
    <t>(A)  This schedule was derived from original PCA collaborative exhibit C</t>
  </si>
  <si>
    <t>(B)  A credit balance represents an overrecovery of power costs (baseline rate was greater than actual rate).</t>
  </si>
  <si>
    <t xml:space="preserve">      A debit balance represents an underrecovery of power costs (actual rate was greater than baseline rate)</t>
  </si>
  <si>
    <t>(C) Beginning with PCA 5, the $40 million cap no longer applies so equations in columns N, AB and AD were zeroed out for rows 64 - 69.</t>
  </si>
  <si>
    <t xml:space="preserve">     Also, PCA 5 is for six months only so the sharing bands have been cut in half and show on row 10.</t>
  </si>
  <si>
    <t>(D) PCA 6 is for calendar year 2007 so sharing bands have been returned to the full amounts as shown in row 9</t>
  </si>
  <si>
    <t>(E) Sharing bands were revised as of January 2017</t>
  </si>
  <si>
    <t>As Adopted in UE-190223 Microsoft Exit</t>
  </si>
  <si>
    <t>As Included in Compliance Filing in UE-190529</t>
  </si>
  <si>
    <t>As Included in in UE-200907</t>
  </si>
  <si>
    <t>&lt;=Contingent Calculation - NO MS Tax Reform=&gt;</t>
  </si>
  <si>
    <t>&lt;=2019 General Rate Case=&gt;</t>
  </si>
  <si>
    <t>&lt;=Correct Fixed Production Categorization in 2019 GRC=&gt;</t>
  </si>
  <si>
    <t>No change was made to the PCA related categories</t>
  </si>
  <si>
    <t>Regulatory Assets (1) (Fixed)</t>
  </si>
  <si>
    <t>Transmission Rate Base (Fixed)</t>
  </si>
  <si>
    <t>Production Rate Base (Fixed)</t>
  </si>
  <si>
    <t>NO MS Variable PF=&gt;</t>
  </si>
  <si>
    <t>Net of tax rate of return</t>
  </si>
  <si>
    <t xml:space="preserve">Fixed </t>
  </si>
  <si>
    <t>Fixed</t>
  </si>
  <si>
    <t>Variable</t>
  </si>
  <si>
    <t>Prod Cost</t>
  </si>
  <si>
    <t>Prod Costs</t>
  </si>
  <si>
    <t>F/V</t>
  </si>
  <si>
    <t>In Decoupling</t>
  </si>
  <si>
    <t>In PCA</t>
  </si>
  <si>
    <t>in PCA</t>
  </si>
  <si>
    <t>9A</t>
  </si>
  <si>
    <t>(II)</t>
  </si>
  <si>
    <t>(III)</t>
  </si>
  <si>
    <t>(IV)</t>
  </si>
  <si>
    <t>(V)</t>
  </si>
  <si>
    <t>501-Steam Fuel Incl PC Reg Amort</t>
  </si>
  <si>
    <t>555-Purchased power Incl PC Reg Amort</t>
  </si>
  <si>
    <t>547-Fuel Incl PC Reg Amort</t>
  </si>
  <si>
    <t>565-Wheeling Incl PC Reg Amort</t>
  </si>
  <si>
    <t>Amortization  - Regulatory Assets &amp; Liab - Non PC Only (1)</t>
  </si>
  <si>
    <t>N/A (formerly hedging line of credit)</t>
  </si>
  <si>
    <t>Grossed up for RSI</t>
  </si>
  <si>
    <t xml:space="preserve"> &lt;-- includes Firm Wholesale</t>
  </si>
  <si>
    <t>Total</t>
  </si>
  <si>
    <t>Baseline Rate Summarized</t>
  </si>
  <si>
    <t>BLR Net of RSI</t>
  </si>
  <si>
    <t>BLR Grossed Up for RSI</t>
  </si>
  <si>
    <t>(1) - Amortization is picked up in Regulatory Assets and Liabilities Adjustment and White River Adjustment.</t>
  </si>
  <si>
    <t>SEF-3 p 1 PC Summary</t>
  </si>
  <si>
    <t>SEF-3 p 2 Actual BLR</t>
  </si>
  <si>
    <t>SEF-3 p 3 Sch B</t>
  </si>
  <si>
    <t>SEF-3 p 4 Bands</t>
  </si>
  <si>
    <t>Customer Portion</t>
  </si>
  <si>
    <t>Account</t>
  </si>
  <si>
    <t>JE Reference</t>
  </si>
  <si>
    <t>JE286</t>
  </si>
  <si>
    <t>Total Deferred</t>
  </si>
  <si>
    <t>Quarterly</t>
  </si>
  <si>
    <t>Net Change</t>
  </si>
  <si>
    <t>Surcharges</t>
  </si>
  <si>
    <t>Credits</t>
  </si>
  <si>
    <t>Change</t>
  </si>
  <si>
    <t>Balance</t>
  </si>
  <si>
    <t>Date</t>
  </si>
  <si>
    <t>Date To</t>
  </si>
  <si>
    <t>Days</t>
  </si>
  <si>
    <t>Interest Rate</t>
  </si>
  <si>
    <t>Interest</t>
  </si>
  <si>
    <t>Calc Interest</t>
  </si>
  <si>
    <t>PCA Year 1</t>
  </si>
  <si>
    <t>PCA Year 2</t>
  </si>
  <si>
    <t>"</t>
  </si>
  <si>
    <t>PCA Year 3</t>
  </si>
  <si>
    <t>PCA Year 4</t>
  </si>
  <si>
    <t>PCA Year 5</t>
  </si>
  <si>
    <t>PCA Year 6</t>
  </si>
  <si>
    <t>(2007)</t>
  </si>
  <si>
    <t>PCA Year 7</t>
  </si>
  <si>
    <t>(2008)</t>
  </si>
  <si>
    <t>PCA Year 8</t>
  </si>
  <si>
    <t>(2009)</t>
  </si>
  <si>
    <t>PCA Year 9</t>
  </si>
  <si>
    <t>(2010)</t>
  </si>
  <si>
    <t>PCA Year 10</t>
  </si>
  <si>
    <t>(2011)</t>
  </si>
  <si>
    <t>PCA Year 11</t>
  </si>
  <si>
    <t>(2012)</t>
  </si>
  <si>
    <t>PCA Year 12</t>
  </si>
  <si>
    <t>(2013)</t>
  </si>
  <si>
    <t>PCA Year 13</t>
  </si>
  <si>
    <t>(2014)</t>
  </si>
  <si>
    <t>PCA Year 14</t>
  </si>
  <si>
    <t>(2015)</t>
  </si>
  <si>
    <t>PCA Year 15</t>
  </si>
  <si>
    <t>(2016)</t>
  </si>
  <si>
    <t>PCA Year 16</t>
  </si>
  <si>
    <t>(2017)</t>
  </si>
  <si>
    <t>PCA Year 17</t>
  </si>
  <si>
    <t>(2018)</t>
  </si>
  <si>
    <t>PCA Year 18</t>
  </si>
  <si>
    <t>(2019)</t>
  </si>
  <si>
    <t>PCA Year 19</t>
  </si>
  <si>
    <t>(2020)</t>
  </si>
  <si>
    <t>Remove Rec</t>
  </si>
  <si>
    <t>The cumulative 2019 PCA customer imbalance and interest were transferred to a separate regulatory asset account in Dec'20 for amortization as the amounts are collected in a supplemental Sched 95 rate.</t>
  </si>
  <si>
    <t>Green Direct Ratio</t>
  </si>
  <si>
    <t>Customer Deferral+Interest</t>
  </si>
  <si>
    <t>Grossed-up</t>
  </si>
  <si>
    <t>Ratio</t>
  </si>
  <si>
    <t>9.</t>
  </si>
  <si>
    <t>Calculation of Customer Interest Portion</t>
  </si>
  <si>
    <t>SEF-3 p 6 Approved BLRs</t>
  </si>
  <si>
    <t>Exh. SEF-3 page 1 of 6</t>
  </si>
  <si>
    <t>Exh. SEF-3 page 2 of 6</t>
  </si>
  <si>
    <t>Exh. SEF-3 page 3 of 6</t>
  </si>
  <si>
    <t>Exh. SEF-3 page 4 of 6</t>
  </si>
  <si>
    <t>Exh. SEF-3 page 5 of 6</t>
  </si>
  <si>
    <t>Exh. SEF-3 page i of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</si>
</sst>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quot;As of&quot;\ mmmm\ dd\,\ yyyy"/>
    <numFmt numFmtId="166" formatCode="_(* #,##0_);_(* \(#,##0\);_(* &quot;-&quot;??_);_(@_)"/>
    <numFmt numFmtId="167" formatCode="_(&quot;$&quot;* #,##0_);_(&quot;$&quot;* \(#,##0\);_(&quot;$&quot;* &quot;-&quot;??_);_(@_)"/>
    <numFmt numFmtId="168" formatCode="0.00000"/>
    <numFmt numFmtId="169" formatCode="_(&quot;$&quot;* #,##0.000_);_(&quot;$&quot;* \(#,##0.000\);_(&quot;$&quot;* &quot;-&quot;???_);_(@_)"/>
    <numFmt numFmtId="170" formatCode="_(* #,##0.000_);_(* \(#,##0.000\);_(* &quot;-&quot;???_);_(@_)"/>
    <numFmt numFmtId="171" formatCode="_(* #,##0.0000000_);_(* \(#,##0.0000000\);_(* &quot;-&quot;??_);_(@_)"/>
    <numFmt numFmtId="172" formatCode="_(* #,##0.000_);_(* \(#,##0.000\);_(* &quot;-&quot;??_);_(@_)"/>
    <numFmt numFmtId="173" formatCode="_(&quot;$&quot;* #,##0.000_);_(&quot;$&quot;* \(#,##0.000\);_(&quot;$&quot;* &quot;-&quot;??_);_(@_)"/>
    <numFmt numFmtId="174" formatCode="0_);\(0\)"/>
    <numFmt numFmtId="175" formatCode="&quot;$&quot;#,##0.000_);\(&quot;$&quot;#,##0.000\)"/>
    <numFmt numFmtId="176" formatCode="&quot;$&quot;#,##0.000000_);\(&quot;$&quot;#,##0.000000\)"/>
    <numFmt numFmtId="177" formatCode="0.00000%"/>
    <numFmt numFmtId="178" formatCode="_(* #,##0.000000_);_(* \(#,##0.000000\);_(* &quot;-&quot;??_);_(@_)"/>
    <numFmt numFmtId="179" formatCode="[$-409]mmm\-yy;@"/>
    <numFmt numFmtId="180" formatCode="0.0000000"/>
    <numFmt numFmtId="181" formatCode="0.0%"/>
    <numFmt numFmtId="182" formatCode="mm/dd/yy"/>
  </numFmts>
  <fonts count="55" x14ac:knownFonts="1">
    <font>
      <sz val="10"/>
      <name val="Arial"/>
    </font>
    <font>
      <sz val="11"/>
      <color theme="1"/>
      <name val="Calibri"/>
      <family val="2"/>
      <scheme val="minor"/>
    </font>
    <font>
      <b/>
      <sz val="11"/>
      <color theme="1"/>
      <name val="Calibri"/>
      <family val="2"/>
      <scheme val="minor"/>
    </font>
    <font>
      <sz val="10"/>
      <name val="Arial"/>
      <family val="2"/>
    </font>
    <font>
      <b/>
      <sz val="10"/>
      <color rgb="FF0000FF"/>
      <name val="Arial"/>
      <family val="2"/>
    </font>
    <font>
      <b/>
      <sz val="12"/>
      <name val="Times New Roman"/>
      <family val="1"/>
    </font>
    <font>
      <sz val="12"/>
      <name val="Times New Roman"/>
      <family val="1"/>
    </font>
    <font>
      <b/>
      <sz val="12"/>
      <name val="Arial"/>
      <family val="2"/>
    </font>
    <font>
      <b/>
      <sz val="10"/>
      <name val="Arial"/>
      <family val="2"/>
    </font>
    <font>
      <b/>
      <sz val="10"/>
      <color theme="1"/>
      <name val="Arial"/>
      <family val="2"/>
    </font>
    <font>
      <sz val="10"/>
      <color theme="1"/>
      <name val="Arial"/>
      <family val="2"/>
    </font>
    <font>
      <sz val="10"/>
      <name val="Arial"/>
      <family val="2"/>
    </font>
    <font>
      <b/>
      <i/>
      <sz val="10"/>
      <name val="Arial"/>
      <family val="2"/>
    </font>
    <font>
      <sz val="10"/>
      <color rgb="FFFF5050"/>
      <name val="Arial"/>
      <family val="2"/>
    </font>
    <font>
      <b/>
      <sz val="10"/>
      <color rgb="FFFF5050"/>
      <name val="Arial"/>
      <family val="2"/>
    </font>
    <font>
      <sz val="8"/>
      <name val="Arial"/>
      <family val="2"/>
    </font>
    <font>
      <u/>
      <sz val="9"/>
      <name val="Arial"/>
      <family val="2"/>
    </font>
    <font>
      <u/>
      <sz val="9"/>
      <color rgb="FFFF5050"/>
      <name val="Arial"/>
      <family val="2"/>
    </font>
    <font>
      <b/>
      <u/>
      <sz val="10"/>
      <name val="Arial"/>
      <family val="2"/>
    </font>
    <font>
      <u/>
      <sz val="10"/>
      <name val="Arial"/>
      <family val="2"/>
    </font>
    <font>
      <b/>
      <i/>
      <sz val="10"/>
      <color rgb="FF0000FF"/>
      <name val="Arial"/>
      <family val="2"/>
    </font>
    <font>
      <b/>
      <sz val="14"/>
      <name val="Arial"/>
      <family val="2"/>
    </font>
    <font>
      <b/>
      <sz val="10"/>
      <color indexed="10"/>
      <name val="Arial"/>
      <family val="2"/>
    </font>
    <font>
      <b/>
      <sz val="14"/>
      <color indexed="10"/>
      <name val="Arial"/>
      <family val="2"/>
    </font>
    <font>
      <vertAlign val="superscript"/>
      <sz val="10"/>
      <name val="Arial"/>
      <family val="2"/>
    </font>
    <font>
      <u val="singleAccounting"/>
      <sz val="10"/>
      <name val="Arial"/>
      <family val="2"/>
    </font>
    <font>
      <sz val="10"/>
      <color indexed="12"/>
      <name val="Arial"/>
      <family val="2"/>
    </font>
    <font>
      <sz val="10"/>
      <color indexed="10"/>
      <name val="Arial"/>
      <family val="2"/>
    </font>
    <font>
      <b/>
      <sz val="10"/>
      <color rgb="FFFF0000"/>
      <name val="Arial"/>
      <family val="2"/>
    </font>
    <font>
      <sz val="9"/>
      <name val="Arial"/>
      <family val="2"/>
    </font>
    <font>
      <b/>
      <sz val="9"/>
      <color rgb="FFFF0000"/>
      <name val="Arial"/>
      <family val="2"/>
    </font>
    <font>
      <sz val="10"/>
      <color rgb="FFFF0000"/>
      <name val="Arial"/>
      <family val="2"/>
    </font>
    <font>
      <sz val="20"/>
      <name val="Arial"/>
      <family val="2"/>
    </font>
    <font>
      <b/>
      <sz val="9"/>
      <color rgb="FF0000FF"/>
      <name val="Arial"/>
      <family val="2"/>
    </font>
    <font>
      <b/>
      <sz val="12"/>
      <color rgb="FFFF0000"/>
      <name val="Arial"/>
      <family val="2"/>
    </font>
    <font>
      <b/>
      <sz val="12"/>
      <color indexed="10"/>
      <name val="Arial"/>
      <family val="2"/>
    </font>
    <font>
      <b/>
      <sz val="8"/>
      <color indexed="81"/>
      <name val="Tahoma"/>
      <family val="2"/>
    </font>
    <font>
      <sz val="8"/>
      <color indexed="81"/>
      <name val="Tahoma"/>
      <family val="2"/>
    </font>
    <font>
      <sz val="8"/>
      <name val="Helv"/>
    </font>
    <font>
      <sz val="11"/>
      <name val="Calibri"/>
      <family val="2"/>
      <scheme val="minor"/>
    </font>
    <font>
      <b/>
      <sz val="10"/>
      <color rgb="FFFF0000"/>
      <name val="Times New Roman"/>
      <family val="1"/>
    </font>
    <font>
      <b/>
      <sz val="14"/>
      <name val="Times New Roman"/>
      <family val="1"/>
    </font>
    <font>
      <b/>
      <sz val="14"/>
      <color rgb="FFFF0000"/>
      <name val="Calibri"/>
      <family val="2"/>
      <scheme val="minor"/>
    </font>
    <font>
      <b/>
      <sz val="11"/>
      <color rgb="FFFF0000"/>
      <name val="Calibri"/>
      <family val="2"/>
      <scheme val="minor"/>
    </font>
    <font>
      <b/>
      <sz val="14"/>
      <color rgb="FFFF0000"/>
      <name val="Times New Roman"/>
      <family val="1"/>
    </font>
    <font>
      <sz val="14"/>
      <color rgb="FFFF0000"/>
      <name val="Helv"/>
    </font>
    <font>
      <sz val="14"/>
      <name val="Calibri"/>
      <family val="2"/>
      <scheme val="minor"/>
    </font>
    <font>
      <b/>
      <sz val="9"/>
      <name val="Arial"/>
      <family val="2"/>
    </font>
    <font>
      <b/>
      <i/>
      <sz val="14"/>
      <color rgb="FF0070C0"/>
      <name val="Calibri"/>
      <family val="2"/>
      <scheme val="minor"/>
    </font>
    <font>
      <sz val="11"/>
      <color rgb="FF0070C0"/>
      <name val="Calibri"/>
      <family val="2"/>
      <scheme val="minor"/>
    </font>
    <font>
      <sz val="9"/>
      <name val="Calibri"/>
      <family val="2"/>
      <scheme val="minor"/>
    </font>
    <font>
      <b/>
      <sz val="9"/>
      <name val="Calibri"/>
      <family val="2"/>
      <scheme val="minor"/>
    </font>
    <font>
      <b/>
      <i/>
      <sz val="10"/>
      <color rgb="FF0000FF"/>
      <name val="Times New Roman"/>
      <family val="1"/>
    </font>
    <font>
      <sz val="10"/>
      <name val="Arial"/>
      <family val="2"/>
    </font>
    <font>
      <u/>
      <sz val="9"/>
      <color theme="1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CCFF3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
    <xf numFmtId="164" fontId="0" fillId="0" borderId="0">
      <alignment horizontal="left" wrapText="1"/>
    </xf>
    <xf numFmtId="9" fontId="3"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164" fontId="38" fillId="0" borderId="0">
      <alignment horizontal="left" wrapText="1"/>
    </xf>
    <xf numFmtId="43" fontId="38" fillId="0" borderId="0" applyFont="0" applyFill="0" applyBorder="0" applyAlignment="0" applyProtection="0"/>
    <xf numFmtId="0" fontId="11" fillId="0" borderId="0"/>
    <xf numFmtId="43" fontId="5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397">
    <xf numFmtId="164" fontId="0" fillId="0" borderId="0" xfId="0">
      <alignment horizontal="left" wrapText="1"/>
    </xf>
    <xf numFmtId="0" fontId="0" fillId="2" borderId="0" xfId="0" applyNumberFormat="1" applyFill="1" applyAlignment="1"/>
    <xf numFmtId="0" fontId="4" fillId="0" borderId="0" xfId="0" applyNumberFormat="1" applyFont="1" applyFill="1" applyAlignment="1">
      <alignment horizontal="right"/>
    </xf>
    <xf numFmtId="0" fontId="0" fillId="2" borderId="0" xfId="0" applyNumberFormat="1" applyFill="1" applyAlignment="1">
      <alignment horizontal="right"/>
    </xf>
    <xf numFmtId="0" fontId="5" fillId="2" borderId="0" xfId="0" applyNumberFormat="1" applyFont="1" applyFill="1" applyAlignment="1">
      <alignment horizontal="centerContinuous" vertical="center"/>
    </xf>
    <xf numFmtId="0" fontId="0" fillId="2" borderId="0" xfId="0" applyNumberFormat="1" applyFill="1" applyAlignment="1">
      <alignment horizontal="centerContinuous"/>
    </xf>
    <xf numFmtId="0" fontId="6" fillId="2" borderId="0" xfId="0" applyNumberFormat="1" applyFont="1" applyFill="1" applyAlignment="1">
      <alignment vertical="center"/>
    </xf>
    <xf numFmtId="0" fontId="5" fillId="2" borderId="0" xfId="0" applyNumberFormat="1" applyFont="1" applyFill="1" applyAlignment="1">
      <alignment vertical="center"/>
    </xf>
    <xf numFmtId="0" fontId="5" fillId="2" borderId="0" xfId="0" applyNumberFormat="1" applyFont="1" applyFill="1" applyAlignment="1">
      <alignment horizontal="left" vertical="center"/>
    </xf>
    <xf numFmtId="0" fontId="5" fillId="2" borderId="1" xfId="0" applyNumberFormat="1" applyFont="1" applyFill="1" applyBorder="1" applyAlignment="1">
      <alignment vertical="center"/>
    </xf>
    <xf numFmtId="0" fontId="0" fillId="2" borderId="2" xfId="0" applyNumberFormat="1" applyFill="1" applyBorder="1" applyAlignment="1"/>
    <xf numFmtId="0" fontId="0" fillId="2" borderId="3" xfId="0" applyNumberFormat="1" applyFill="1" applyBorder="1" applyAlignment="1"/>
    <xf numFmtId="0" fontId="5" fillId="2" borderId="4" xfId="0" quotePrefix="1" applyNumberFormat="1" applyFont="1" applyFill="1" applyBorder="1" applyAlignment="1">
      <alignment horizontal="left" vertical="center"/>
    </xf>
    <xf numFmtId="0" fontId="5" fillId="2" borderId="0" xfId="0" applyNumberFormat="1" applyFont="1" applyFill="1" applyBorder="1" applyAlignment="1">
      <alignment vertical="center"/>
    </xf>
    <xf numFmtId="0" fontId="0" fillId="2" borderId="0" xfId="0" applyNumberFormat="1" applyFill="1" applyBorder="1" applyAlignment="1"/>
    <xf numFmtId="0" fontId="0" fillId="2" borderId="5" xfId="0" applyNumberFormat="1" applyFill="1" applyBorder="1" applyAlignment="1"/>
    <xf numFmtId="0" fontId="5" fillId="2" borderId="4" xfId="0" applyNumberFormat="1" applyFont="1" applyFill="1" applyBorder="1" applyAlignment="1">
      <alignment horizontal="left" vertical="center"/>
    </xf>
    <xf numFmtId="0" fontId="5" fillId="2" borderId="6" xfId="0" applyNumberFormat="1" applyFont="1" applyFill="1" applyBorder="1" applyAlignment="1">
      <alignment horizontal="left" vertical="center"/>
    </xf>
    <xf numFmtId="0" fontId="0" fillId="2" borderId="7" xfId="0" applyNumberFormat="1" applyFill="1" applyBorder="1" applyAlignment="1"/>
    <xf numFmtId="0" fontId="0" fillId="2" borderId="8" xfId="0" applyNumberFormat="1" applyFill="1" applyBorder="1" applyAlignment="1"/>
    <xf numFmtId="0" fontId="5" fillId="2" borderId="0" xfId="0" applyNumberFormat="1" applyFont="1" applyFill="1" applyBorder="1" applyAlignment="1">
      <alignment horizontal="left" vertical="center"/>
    </xf>
    <xf numFmtId="0" fontId="6" fillId="2" borderId="0" xfId="0" quotePrefix="1" applyNumberFormat="1" applyFont="1" applyFill="1" applyAlignment="1">
      <alignment horizontal="left" vertical="center"/>
    </xf>
    <xf numFmtId="0" fontId="6" fillId="2" borderId="0" xfId="0" applyNumberFormat="1" applyFont="1" applyFill="1" applyAlignment="1">
      <alignment horizontal="left" vertical="center"/>
    </xf>
    <xf numFmtId="0" fontId="6" fillId="2" borderId="0" xfId="0" applyNumberFormat="1" applyFont="1" applyFill="1" applyAlignment="1"/>
    <xf numFmtId="0" fontId="0" fillId="0" borderId="0" xfId="0" applyNumberFormat="1" applyAlignment="1"/>
    <xf numFmtId="0" fontId="0" fillId="0" borderId="0" xfId="0" applyNumberFormat="1" applyFill="1" applyAlignment="1">
      <alignment horizontal="right"/>
    </xf>
    <xf numFmtId="0" fontId="8" fillId="0" borderId="0" xfId="0" applyNumberFormat="1" applyFont="1" applyAlignment="1">
      <alignment horizontal="right"/>
    </xf>
    <xf numFmtId="164" fontId="9" fillId="0" borderId="1" xfId="0" applyFont="1" applyBorder="1" applyAlignment="1">
      <alignment horizontal="centerContinuous" vertical="center"/>
    </xf>
    <xf numFmtId="164" fontId="9" fillId="0" borderId="3" xfId="0" applyFont="1" applyBorder="1" applyAlignment="1">
      <alignment horizontal="centerContinuous" vertical="center"/>
    </xf>
    <xf numFmtId="164" fontId="9" fillId="0" borderId="9" xfId="0" applyFont="1" applyBorder="1" applyAlignment="1">
      <alignment horizontal="centerContinuous" vertical="center"/>
    </xf>
    <xf numFmtId="0" fontId="9" fillId="0" borderId="10" xfId="0" applyNumberFormat="1" applyFont="1" applyBorder="1" applyAlignment="1">
      <alignment horizontal="centerContinuous" vertical="center"/>
    </xf>
    <xf numFmtId="0" fontId="9" fillId="0" borderId="11" xfId="0" applyNumberFormat="1" applyFont="1" applyBorder="1" applyAlignment="1">
      <alignment horizontal="centerContinuous" vertical="center"/>
    </xf>
    <xf numFmtId="0" fontId="2" fillId="0" borderId="9" xfId="0" applyNumberFormat="1" applyFont="1" applyBorder="1" applyAlignment="1">
      <alignment horizontal="center" vertical="center"/>
    </xf>
    <xf numFmtId="0" fontId="2" fillId="0" borderId="9" xfId="0" applyNumberFormat="1" applyFont="1" applyBorder="1" applyAlignment="1">
      <alignment horizontal="center" vertical="center" wrapText="1"/>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1" fillId="0" borderId="0" xfId="0" applyNumberFormat="1" applyFont="1" applyAlignment="1"/>
    <xf numFmtId="0" fontId="10" fillId="0" borderId="12" xfId="0" applyNumberFormat="1" applyFont="1" applyBorder="1" applyAlignment="1"/>
    <xf numFmtId="0" fontId="0" fillId="0" borderId="0" xfId="0" applyNumberFormat="1" applyAlignment="1">
      <alignment horizontal="center"/>
    </xf>
    <xf numFmtId="42" fontId="10" fillId="0" borderId="1" xfId="2" applyNumberFormat="1" applyFont="1" applyBorder="1"/>
    <xf numFmtId="42" fontId="0" fillId="0" borderId="0" xfId="0" applyNumberFormat="1" applyAlignment="1"/>
    <xf numFmtId="42" fontId="10" fillId="0" borderId="1" xfId="0" applyNumberFormat="1" applyFont="1" applyBorder="1" applyAlignment="1"/>
    <xf numFmtId="42" fontId="10" fillId="0" borderId="5" xfId="0" applyNumberFormat="1" applyFont="1" applyBorder="1" applyAlignment="1"/>
    <xf numFmtId="0" fontId="10" fillId="0" borderId="13" xfId="0" applyNumberFormat="1" applyFont="1" applyBorder="1" applyAlignment="1"/>
    <xf numFmtId="41" fontId="10" fillId="0" borderId="4" xfId="2" applyNumberFormat="1" applyFont="1" applyBorder="1"/>
    <xf numFmtId="41" fontId="0" fillId="0" borderId="0" xfId="0" applyNumberFormat="1" applyAlignment="1"/>
    <xf numFmtId="41" fontId="10" fillId="0" borderId="4" xfId="0" applyNumberFormat="1" applyFont="1" applyBorder="1" applyAlignment="1"/>
    <xf numFmtId="41" fontId="10" fillId="0" borderId="5" xfId="0" applyNumberFormat="1" applyFont="1" applyBorder="1" applyAlignment="1"/>
    <xf numFmtId="41" fontId="0" fillId="0" borderId="0" xfId="0" applyNumberFormat="1" applyFill="1" applyAlignment="1"/>
    <xf numFmtId="41" fontId="10" fillId="0" borderId="4" xfId="0" applyNumberFormat="1" applyFont="1" applyFill="1" applyBorder="1" applyAlignment="1"/>
    <xf numFmtId="41" fontId="10" fillId="0" borderId="4" xfId="2" applyNumberFormat="1" applyFont="1" applyFill="1" applyBorder="1"/>
    <xf numFmtId="41" fontId="10" fillId="0" borderId="5" xfId="2" applyNumberFormat="1" applyFont="1" applyBorder="1"/>
    <xf numFmtId="0" fontId="10" fillId="0" borderId="13" xfId="2" applyFont="1" applyBorder="1"/>
    <xf numFmtId="41" fontId="0" fillId="0" borderId="0" xfId="0" applyNumberFormat="1" applyBorder="1" applyAlignment="1"/>
    <xf numFmtId="41" fontId="10" fillId="0" borderId="0" xfId="2" applyNumberFormat="1" applyFont="1" applyBorder="1"/>
    <xf numFmtId="41" fontId="10" fillId="0" borderId="7" xfId="2" applyNumberFormat="1" applyFont="1" applyFill="1" applyBorder="1"/>
    <xf numFmtId="0" fontId="9" fillId="0" borderId="9" xfId="0" applyNumberFormat="1" applyFont="1" applyBorder="1" applyAlignment="1"/>
    <xf numFmtId="0" fontId="9" fillId="0" borderId="11" xfId="0" applyNumberFormat="1" applyFont="1" applyBorder="1" applyAlignment="1"/>
    <xf numFmtId="42" fontId="9" fillId="0" borderId="9" xfId="0" applyNumberFormat="1" applyFont="1" applyBorder="1" applyAlignment="1"/>
    <xf numFmtId="42" fontId="9" fillId="0" borderId="6" xfId="0" applyNumberFormat="1" applyFont="1" applyBorder="1" applyAlignment="1"/>
    <xf numFmtId="42" fontId="9" fillId="0" borderId="14" xfId="0" applyNumberFormat="1" applyFont="1" applyBorder="1" applyAlignment="1"/>
    <xf numFmtId="0" fontId="10" fillId="0" borderId="4" xfId="0" applyNumberFormat="1" applyFont="1" applyFill="1" applyBorder="1" applyAlignment="1"/>
    <xf numFmtId="42" fontId="0" fillId="0" borderId="0" xfId="0" applyNumberFormat="1" applyFill="1" applyAlignment="1"/>
    <xf numFmtId="0" fontId="11" fillId="0" borderId="0" xfId="0" applyNumberFormat="1" applyFont="1" applyAlignment="1"/>
    <xf numFmtId="0" fontId="8" fillId="0" borderId="0" xfId="0" applyNumberFormat="1" applyFont="1" applyFill="1" applyAlignment="1">
      <alignment horizontal="centerContinuous"/>
    </xf>
    <xf numFmtId="0" fontId="11" fillId="0" borderId="0" xfId="0" applyNumberFormat="1" applyFont="1" applyAlignment="1">
      <alignment horizontal="centerContinuous"/>
    </xf>
    <xf numFmtId="0" fontId="11" fillId="0" borderId="0" xfId="0" applyNumberFormat="1" applyFont="1" applyFill="1" applyAlignment="1">
      <alignment horizontal="centerContinuous"/>
    </xf>
    <xf numFmtId="0" fontId="11" fillId="0" borderId="0" xfId="0" applyNumberFormat="1" applyFont="1" applyFill="1" applyAlignment="1"/>
    <xf numFmtId="0" fontId="8" fillId="0" borderId="9" xfId="0" applyNumberFormat="1" applyFont="1" applyFill="1" applyBorder="1" applyAlignment="1">
      <alignment horizontal="centerContinuous"/>
    </xf>
    <xf numFmtId="0" fontId="8" fillId="0" borderId="10" xfId="0" applyNumberFormat="1" applyFont="1" applyFill="1" applyBorder="1" applyAlignment="1">
      <alignment horizontal="centerContinuous"/>
    </xf>
    <xf numFmtId="0" fontId="11" fillId="0" borderId="11" xfId="0" applyNumberFormat="1" applyFont="1" applyFill="1" applyBorder="1" applyAlignment="1">
      <alignment horizontal="centerContinuous"/>
    </xf>
    <xf numFmtId="0" fontId="11" fillId="0" borderId="0" xfId="0" applyNumberFormat="1" applyFont="1" applyFill="1" applyBorder="1" applyAlignment="1"/>
    <xf numFmtId="0" fontId="11" fillId="0" borderId="0" xfId="0" applyNumberFormat="1" applyFont="1" applyFill="1" applyAlignment="1">
      <alignment horizontal="center"/>
    </xf>
    <xf numFmtId="0" fontId="11" fillId="0" borderId="0" xfId="0" applyNumberFormat="1" applyFont="1" applyFill="1" applyAlignment="1">
      <alignment horizontal="left"/>
    </xf>
    <xf numFmtId="41" fontId="11" fillId="0" borderId="0" xfId="0" applyNumberFormat="1" applyFont="1" applyFill="1" applyBorder="1" applyAlignment="1"/>
    <xf numFmtId="0" fontId="12" fillId="0" borderId="0" xfId="0" applyNumberFormat="1" applyFont="1" applyFill="1" applyAlignment="1">
      <alignment horizontal="center"/>
    </xf>
    <xf numFmtId="0" fontId="13" fillId="0" borderId="0" xfId="0" applyNumberFormat="1" applyFont="1" applyFill="1" applyBorder="1" applyAlignment="1">
      <alignment horizontal="right"/>
    </xf>
    <xf numFmtId="42" fontId="11" fillId="0" borderId="0" xfId="0" applyNumberFormat="1" applyFont="1" applyFill="1" applyBorder="1" applyAlignment="1">
      <alignment horizontal="right"/>
    </xf>
    <xf numFmtId="166" fontId="11" fillId="0" borderId="0" xfId="0" applyNumberFormat="1" applyFont="1" applyFill="1" applyAlignment="1">
      <alignment horizontal="center"/>
    </xf>
    <xf numFmtId="0" fontId="9" fillId="0" borderId="0" xfId="0" applyNumberFormat="1" applyFont="1" applyFill="1" applyAlignment="1">
      <alignment horizontal="center"/>
    </xf>
    <xf numFmtId="0" fontId="13" fillId="0" borderId="0" xfId="0" applyNumberFormat="1" applyFont="1" applyFill="1" applyBorder="1" applyAlignment="1"/>
    <xf numFmtId="43" fontId="11" fillId="0" borderId="0" xfId="0" applyNumberFormat="1" applyFont="1" applyFill="1" applyAlignment="1">
      <alignment horizontal="center"/>
    </xf>
    <xf numFmtId="10" fontId="11" fillId="0" borderId="0" xfId="0" applyNumberFormat="1" applyFont="1" applyFill="1" applyAlignment="1">
      <alignment horizontal="right"/>
    </xf>
    <xf numFmtId="43" fontId="11" fillId="0" borderId="0" xfId="0" applyNumberFormat="1" applyFont="1" applyFill="1" applyAlignment="1">
      <alignment horizontal="right"/>
    </xf>
    <xf numFmtId="43" fontId="13" fillId="0" borderId="0" xfId="0" applyNumberFormat="1" applyFont="1" applyFill="1" applyBorder="1" applyAlignment="1">
      <alignment horizontal="right"/>
    </xf>
    <xf numFmtId="167" fontId="11" fillId="0" borderId="0" xfId="0" applyNumberFormat="1" applyFont="1" applyFill="1" applyAlignment="1">
      <alignment horizontal="left"/>
    </xf>
    <xf numFmtId="0" fontId="8" fillId="0" borderId="0" xfId="0" applyNumberFormat="1" applyFont="1" applyFill="1" applyAlignment="1">
      <alignment horizontal="center"/>
    </xf>
    <xf numFmtId="168" fontId="11" fillId="0" borderId="0" xfId="0" applyNumberFormat="1" applyFont="1" applyFill="1" applyAlignment="1">
      <alignment horizontal="center"/>
    </xf>
    <xf numFmtId="0" fontId="14" fillId="0" borderId="0" xfId="0" applyNumberFormat="1" applyFont="1" applyFill="1" applyBorder="1" applyAlignment="1">
      <alignment horizontal="center"/>
    </xf>
    <xf numFmtId="0" fontId="8" fillId="0" borderId="7" xfId="0" applyNumberFormat="1" applyFont="1" applyFill="1" applyBorder="1" applyAlignment="1">
      <alignment horizontal="center"/>
    </xf>
    <xf numFmtId="0" fontId="11" fillId="0" borderId="7" xfId="0" applyNumberFormat="1" applyFont="1" applyFill="1" applyBorder="1" applyAlignment="1">
      <alignment horizontal="center"/>
    </xf>
    <xf numFmtId="166" fontId="8" fillId="0" borderId="7" xfId="0" applyNumberFormat="1" applyFont="1" applyFill="1" applyBorder="1" applyAlignment="1">
      <alignment horizontal="center"/>
    </xf>
    <xf numFmtId="166" fontId="11" fillId="0" borderId="0" xfId="0" applyNumberFormat="1" applyFont="1" applyFill="1" applyAlignment="1"/>
    <xf numFmtId="0" fontId="8"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41" fontId="11" fillId="0" borderId="0" xfId="0" applyNumberFormat="1" applyFont="1" applyFill="1" applyBorder="1" applyAlignment="1">
      <alignment horizontal="right"/>
    </xf>
    <xf numFmtId="169" fontId="11" fillId="0" borderId="0" xfId="0" applyNumberFormat="1" applyFont="1" applyFill="1" applyAlignment="1"/>
    <xf numFmtId="42" fontId="11" fillId="0" borderId="0" xfId="0" applyNumberFormat="1" applyFont="1" applyFill="1" applyBorder="1" applyAlignment="1"/>
    <xf numFmtId="41" fontId="11" fillId="0" borderId="0" xfId="0" applyNumberFormat="1" applyFont="1" applyFill="1" applyAlignment="1"/>
    <xf numFmtId="170" fontId="11" fillId="0" borderId="0" xfId="0" applyNumberFormat="1" applyFont="1" applyFill="1" applyAlignment="1"/>
    <xf numFmtId="167" fontId="11" fillId="0" borderId="0" xfId="0" applyNumberFormat="1" applyFont="1" applyFill="1" applyAlignment="1"/>
    <xf numFmtId="0" fontId="11" fillId="0" borderId="0" xfId="0" applyNumberFormat="1" applyFont="1" applyFill="1" applyBorder="1" applyAlignment="1">
      <alignment horizontal="left" indent="1"/>
    </xf>
    <xf numFmtId="0" fontId="11" fillId="0" borderId="0" xfId="0" applyNumberFormat="1" applyFont="1" applyFill="1" applyAlignment="1">
      <alignment horizontal="center" vertical="top"/>
    </xf>
    <xf numFmtId="0" fontId="11" fillId="0" borderId="0" xfId="0" quotePrefix="1" applyNumberFormat="1" applyFont="1" applyFill="1" applyBorder="1" applyAlignment="1">
      <alignment horizontal="left"/>
    </xf>
    <xf numFmtId="0" fontId="11" fillId="0" borderId="0" xfId="0" quotePrefix="1" applyNumberFormat="1" applyFont="1" applyFill="1" applyAlignment="1">
      <alignment horizontal="left"/>
    </xf>
    <xf numFmtId="166" fontId="13" fillId="0" borderId="0" xfId="0" applyNumberFormat="1" applyFont="1" applyFill="1" applyBorder="1" applyAlignment="1"/>
    <xf numFmtId="0" fontId="11" fillId="0" borderId="7" xfId="0" applyNumberFormat="1" applyFont="1" applyBorder="1" applyAlignment="1"/>
    <xf numFmtId="0" fontId="11" fillId="0" borderId="0" xfId="0" applyNumberFormat="1" applyFont="1" applyFill="1" applyAlignment="1">
      <alignment horizontal="left" vertical="center" indent="1"/>
    </xf>
    <xf numFmtId="39" fontId="11" fillId="0" borderId="0" xfId="0" applyNumberFormat="1" applyFont="1" applyFill="1" applyAlignment="1">
      <alignment vertical="center"/>
    </xf>
    <xf numFmtId="42" fontId="11" fillId="0" borderId="2" xfId="0" applyNumberFormat="1" applyFont="1" applyFill="1" applyBorder="1" applyAlignment="1">
      <alignment horizontal="right"/>
    </xf>
    <xf numFmtId="169" fontId="8" fillId="0" borderId="15" xfId="0" applyNumberFormat="1" applyFont="1" applyFill="1" applyBorder="1" applyAlignment="1">
      <alignment vertical="center"/>
    </xf>
    <xf numFmtId="41" fontId="15" fillId="0" borderId="15" xfId="0" applyNumberFormat="1" applyFont="1" applyFill="1" applyBorder="1" applyAlignment="1"/>
    <xf numFmtId="171" fontId="11" fillId="0" borderId="7" xfId="0" applyNumberFormat="1" applyFont="1" applyFill="1" applyBorder="1" applyAlignment="1"/>
    <xf numFmtId="171" fontId="11" fillId="0" borderId="0" xfId="0" applyNumberFormat="1" applyFont="1" applyFill="1" applyBorder="1" applyAlignment="1"/>
    <xf numFmtId="166" fontId="11" fillId="0" borderId="0" xfId="0" applyNumberFormat="1" applyFont="1" applyFill="1" applyBorder="1" applyAlignment="1"/>
    <xf numFmtId="172" fontId="11" fillId="0" borderId="0" xfId="0" applyNumberFormat="1" applyFont="1" applyFill="1" applyBorder="1" applyAlignment="1">
      <alignment horizontal="left"/>
    </xf>
    <xf numFmtId="172" fontId="16" fillId="0" borderId="0" xfId="0" applyNumberFormat="1" applyFont="1" applyFill="1" applyAlignment="1">
      <alignment horizontal="right"/>
    </xf>
    <xf numFmtId="172" fontId="17" fillId="0" borderId="0" xfId="0" applyNumberFormat="1" applyFont="1" applyFill="1" applyBorder="1" applyAlignment="1">
      <alignment horizontal="left"/>
    </xf>
    <xf numFmtId="0" fontId="16" fillId="0" borderId="0" xfId="0" applyNumberFormat="1" applyFont="1" applyFill="1" applyAlignment="1">
      <alignment horizontal="right"/>
    </xf>
    <xf numFmtId="0" fontId="17" fillId="0" borderId="0" xfId="0" applyNumberFormat="1" applyFont="1" applyFill="1" applyBorder="1" applyAlignment="1"/>
    <xf numFmtId="172" fontId="18" fillId="0" borderId="0" xfId="0" applyNumberFormat="1" applyFont="1" applyFill="1" applyAlignment="1"/>
    <xf numFmtId="172" fontId="18" fillId="0" borderId="0" xfId="0" applyNumberFormat="1" applyFont="1" applyFill="1" applyAlignment="1">
      <alignment horizontal="center"/>
    </xf>
    <xf numFmtId="172" fontId="19" fillId="0" borderId="0" xfId="0" applyNumberFormat="1" applyFont="1" applyFill="1" applyAlignment="1">
      <alignment horizontal="center"/>
    </xf>
    <xf numFmtId="0" fontId="11" fillId="0" borderId="0" xfId="0" applyNumberFormat="1" applyFont="1" applyAlignment="1">
      <alignment horizontal="center"/>
    </xf>
    <xf numFmtId="173" fontId="11" fillId="0" borderId="0" xfId="0" applyNumberFormat="1" applyFont="1" applyFill="1" applyAlignment="1"/>
    <xf numFmtId="173" fontId="13" fillId="0" borderId="0" xfId="0" applyNumberFormat="1" applyFont="1" applyFill="1" applyBorder="1" applyAlignment="1"/>
    <xf numFmtId="0" fontId="11" fillId="0" borderId="0" xfId="0" applyNumberFormat="1" applyFont="1" applyFill="1" applyAlignment="1">
      <alignment wrapText="1"/>
    </xf>
    <xf numFmtId="0" fontId="11" fillId="0" borderId="0" xfId="0" applyNumberFormat="1" applyFont="1" applyBorder="1" applyAlignment="1"/>
    <xf numFmtId="172" fontId="11" fillId="0" borderId="0" xfId="0" applyNumberFormat="1" applyFont="1" applyFill="1" applyAlignment="1"/>
    <xf numFmtId="43" fontId="11" fillId="0" borderId="0" xfId="0" applyNumberFormat="1" applyFont="1" applyFill="1" applyAlignment="1"/>
    <xf numFmtId="0" fontId="20" fillId="0" borderId="0" xfId="0" applyNumberFormat="1" applyFont="1" applyFill="1" applyAlignment="1">
      <alignment horizontal="left"/>
    </xf>
    <xf numFmtId="41" fontId="11" fillId="0" borderId="0" xfId="0" applyNumberFormat="1" applyFont="1" applyAlignment="1"/>
    <xf numFmtId="0" fontId="21" fillId="0" borderId="0" xfId="0" applyNumberFormat="1" applyFont="1" applyAlignment="1">
      <alignment horizontal="left"/>
    </xf>
    <xf numFmtId="164" fontId="22" fillId="0" borderId="0" xfId="0" applyFont="1" applyAlignment="1">
      <alignment horizontal="left"/>
    </xf>
    <xf numFmtId="0" fontId="4" fillId="0" borderId="0" xfId="0" applyNumberFormat="1" applyFont="1" applyAlignment="1">
      <alignment horizontal="right"/>
    </xf>
    <xf numFmtId="0" fontId="7" fillId="0" borderId="0" xfId="0" applyNumberFormat="1" applyFont="1" applyAlignment="1">
      <alignment horizontal="left"/>
    </xf>
    <xf numFmtId="0" fontId="23" fillId="0" borderId="0" xfId="0" applyNumberFormat="1" applyFont="1" applyAlignment="1"/>
    <xf numFmtId="0" fontId="0" fillId="0" borderId="0" xfId="0" applyNumberFormat="1" applyAlignment="1">
      <alignment horizontal="left"/>
    </xf>
    <xf numFmtId="0" fontId="8" fillId="0" borderId="0" xfId="0" applyNumberFormat="1" applyFont="1" applyAlignment="1">
      <alignment horizontal="center"/>
    </xf>
    <xf numFmtId="0" fontId="7" fillId="0" borderId="0" xfId="0" applyNumberFormat="1" applyFont="1" applyFill="1" applyAlignment="1">
      <alignment horizontal="left"/>
    </xf>
    <xf numFmtId="0" fontId="8" fillId="0" borderId="0" xfId="0" applyNumberFormat="1" applyFont="1" applyFill="1" applyBorder="1" applyAlignment="1">
      <alignment horizontal="centerContinuous"/>
    </xf>
    <xf numFmtId="0" fontId="0" fillId="0" borderId="0" xfId="0" applyNumberFormat="1" applyBorder="1" applyAlignment="1"/>
    <xf numFmtId="0" fontId="0" fillId="0" borderId="0" xfId="0" applyNumberFormat="1" applyBorder="1" applyAlignment="1">
      <alignment horizontal="center"/>
    </xf>
    <xf numFmtId="17" fontId="8" fillId="0" borderId="0" xfId="0" applyNumberFormat="1" applyFont="1" applyFill="1" applyBorder="1" applyAlignment="1">
      <alignment horizontal="center"/>
    </xf>
    <xf numFmtId="17" fontId="8" fillId="0" borderId="0" xfId="0" applyNumberFormat="1" applyFont="1" applyBorder="1" applyAlignment="1">
      <alignment horizontal="center"/>
    </xf>
    <xf numFmtId="43" fontId="25" fillId="0" borderId="0" xfId="3" applyFont="1" applyAlignment="1">
      <alignment horizontal="center"/>
    </xf>
    <xf numFmtId="43" fontId="11" fillId="0" borderId="0" xfId="3"/>
    <xf numFmtId="167" fontId="26" fillId="0" borderId="0" xfId="4" applyNumberFormat="1" applyFont="1" applyBorder="1"/>
    <xf numFmtId="0" fontId="0" fillId="0" borderId="0" xfId="0" applyNumberFormat="1" applyAlignment="1">
      <alignment horizontal="left" indent="1"/>
    </xf>
    <xf numFmtId="174" fontId="11" fillId="0" borderId="0" xfId="3" applyNumberFormat="1" applyAlignment="1">
      <alignment horizontal="center"/>
    </xf>
    <xf numFmtId="167" fontId="11" fillId="0" borderId="0" xfId="4" applyNumberFormat="1" applyFont="1" applyFill="1" applyBorder="1"/>
    <xf numFmtId="166" fontId="11" fillId="0" borderId="0" xfId="3" applyNumberFormat="1" applyFont="1" applyFill="1" applyBorder="1"/>
    <xf numFmtId="0" fontId="0" fillId="0" borderId="0" xfId="0" applyNumberFormat="1" applyFill="1" applyAlignment="1">
      <alignment horizontal="left" indent="1"/>
    </xf>
    <xf numFmtId="174" fontId="11" fillId="0" borderId="0" xfId="3" applyNumberFormat="1" applyFill="1" applyAlignment="1">
      <alignment horizontal="center"/>
    </xf>
    <xf numFmtId="43" fontId="11" fillId="0" borderId="0" xfId="3" applyFill="1"/>
    <xf numFmtId="0" fontId="0" fillId="0" borderId="0" xfId="0" applyNumberFormat="1" applyFill="1" applyAlignment="1"/>
    <xf numFmtId="0" fontId="11" fillId="0" borderId="0" xfId="0" applyNumberFormat="1" applyFont="1" applyFill="1" applyAlignment="1">
      <alignment horizontal="left" indent="1"/>
    </xf>
    <xf numFmtId="167" fontId="11" fillId="0" borderId="2" xfId="4" applyNumberFormat="1" applyFont="1" applyFill="1" applyBorder="1"/>
    <xf numFmtId="167" fontId="26" fillId="0" borderId="0" xfId="4" applyNumberFormat="1" applyFont="1" applyFill="1" applyBorder="1"/>
    <xf numFmtId="0" fontId="18" fillId="0" borderId="0" xfId="0" applyNumberFormat="1" applyFont="1" applyAlignment="1"/>
    <xf numFmtId="37" fontId="11" fillId="0" borderId="0" xfId="3" applyNumberFormat="1"/>
    <xf numFmtId="37" fontId="11" fillId="0" borderId="0" xfId="3" applyNumberFormat="1" applyFill="1"/>
    <xf numFmtId="43" fontId="11" fillId="0" borderId="0" xfId="3" applyBorder="1"/>
    <xf numFmtId="166" fontId="26" fillId="0" borderId="0" xfId="3" applyNumberFormat="1" applyFont="1" applyFill="1" applyBorder="1"/>
    <xf numFmtId="175" fontId="11" fillId="0" borderId="0" xfId="3" applyNumberFormat="1" applyBorder="1"/>
    <xf numFmtId="167" fontId="11" fillId="0" borderId="16" xfId="4" applyNumberFormat="1" applyBorder="1"/>
    <xf numFmtId="167" fontId="11" fillId="0" borderId="16" xfId="4" applyNumberFormat="1" applyFill="1" applyBorder="1"/>
    <xf numFmtId="166" fontId="27" fillId="0" borderId="0" xfId="4" applyNumberFormat="1" applyFont="1" applyBorder="1"/>
    <xf numFmtId="0" fontId="0" fillId="0" borderId="0" xfId="0" quotePrefix="1" applyNumberFormat="1" applyAlignment="1" applyProtection="1">
      <alignment horizontal="left"/>
      <protection locked="0"/>
    </xf>
    <xf numFmtId="37" fontId="11" fillId="0" borderId="0" xfId="3" applyNumberFormat="1" applyBorder="1"/>
    <xf numFmtId="9" fontId="11" fillId="0" borderId="0" xfId="5" applyNumberFormat="1" applyBorder="1"/>
    <xf numFmtId="37" fontId="11" fillId="0" borderId="0" xfId="3" applyNumberFormat="1" applyFill="1" applyBorder="1"/>
    <xf numFmtId="37" fontId="28" fillId="0" borderId="0" xfId="3" applyNumberFormat="1" applyFont="1" applyFill="1" applyBorder="1"/>
    <xf numFmtId="0" fontId="0" fillId="0" borderId="0" xfId="0" applyNumberFormat="1" applyAlignment="1" applyProtection="1">
      <alignment horizontal="left"/>
      <protection locked="0"/>
    </xf>
    <xf numFmtId="37" fontId="26" fillId="0" borderId="0" xfId="3" applyNumberFormat="1" applyFont="1" applyFill="1" applyBorder="1"/>
    <xf numFmtId="166" fontId="11" fillId="0" borderId="0" xfId="0" applyNumberFormat="1" applyFont="1" applyBorder="1" applyAlignment="1"/>
    <xf numFmtId="0" fontId="28" fillId="0" borderId="0" xfId="0" applyNumberFormat="1" applyFont="1" applyAlignment="1" applyProtection="1">
      <alignment horizontal="left"/>
      <protection locked="0"/>
    </xf>
    <xf numFmtId="166" fontId="28" fillId="0" borderId="0" xfId="0" applyNumberFormat="1" applyFont="1" applyBorder="1" applyAlignment="1"/>
    <xf numFmtId="0" fontId="0" fillId="0" borderId="0" xfId="0" applyNumberFormat="1" applyFill="1" applyAlignment="1">
      <alignment horizontal="center"/>
    </xf>
    <xf numFmtId="0" fontId="0" fillId="0" borderId="0" xfId="0" applyNumberFormat="1" applyFill="1" applyAlignment="1" applyProtection="1">
      <alignment horizontal="left"/>
      <protection locked="0"/>
    </xf>
    <xf numFmtId="43" fontId="8" fillId="0" borderId="0" xfId="3" applyFont="1" applyFill="1" applyBorder="1"/>
    <xf numFmtId="43" fontId="26" fillId="0" borderId="0" xfId="3" applyFont="1" applyFill="1" applyBorder="1"/>
    <xf numFmtId="37" fontId="26" fillId="0" borderId="17" xfId="3" applyNumberFormat="1" applyFont="1" applyFill="1" applyBorder="1"/>
    <xf numFmtId="166" fontId="11" fillId="0" borderId="17" xfId="0" applyNumberFormat="1" applyFont="1" applyBorder="1" applyAlignment="1"/>
    <xf numFmtId="164" fontId="8" fillId="0" borderId="0" xfId="0" applyFont="1" applyAlignment="1">
      <alignment wrapText="1"/>
    </xf>
    <xf numFmtId="167" fontId="11" fillId="0" borderId="0" xfId="4" applyNumberFormat="1" applyBorder="1"/>
    <xf numFmtId="178" fontId="11" fillId="0" borderId="0" xfId="3" applyNumberFormat="1" applyFont="1" applyBorder="1"/>
    <xf numFmtId="167" fontId="11" fillId="0" borderId="0" xfId="4" applyNumberFormat="1" applyFont="1" applyBorder="1"/>
    <xf numFmtId="167" fontId="11" fillId="3" borderId="0" xfId="4" applyNumberFormat="1" applyFont="1" applyFill="1" applyBorder="1"/>
    <xf numFmtId="167" fontId="11" fillId="3" borderId="0" xfId="4" applyNumberFormat="1" applyFont="1" applyFill="1" applyBorder="1" applyAlignment="1">
      <alignment horizontal="right"/>
    </xf>
    <xf numFmtId="3" fontId="31" fillId="3" borderId="0" xfId="4" applyNumberFormat="1" applyFont="1" applyFill="1" applyBorder="1"/>
    <xf numFmtId="167" fontId="0" fillId="0" borderId="0" xfId="0" applyNumberFormat="1" applyAlignment="1"/>
    <xf numFmtId="0" fontId="32" fillId="0" borderId="0" xfId="0" applyNumberFormat="1" applyFont="1" applyAlignment="1"/>
    <xf numFmtId="43" fontId="0" fillId="0" borderId="0" xfId="0" applyNumberFormat="1" applyAlignment="1"/>
    <xf numFmtId="44" fontId="0" fillId="0" borderId="0" xfId="0" applyNumberFormat="1" applyAlignment="1"/>
    <xf numFmtId="166" fontId="0" fillId="0" borderId="0" xfId="3" applyNumberFormat="1" applyFont="1" applyAlignment="1"/>
    <xf numFmtId="166" fontId="0" fillId="0" borderId="0" xfId="0" applyNumberFormat="1" applyAlignment="1"/>
    <xf numFmtId="0" fontId="0" fillId="0" borderId="0" xfId="0" applyNumberFormat="1" applyAlignment="1" applyProtection="1">
      <alignment horizontal="center"/>
      <protection locked="0"/>
    </xf>
    <xf numFmtId="0" fontId="28" fillId="0" borderId="0" xfId="0" applyNumberFormat="1" applyFont="1" applyAlignment="1"/>
    <xf numFmtId="0" fontId="33" fillId="0" borderId="0" xfId="0" applyNumberFormat="1" applyFont="1" applyAlignment="1">
      <alignment horizontal="right"/>
    </xf>
    <xf numFmtId="43" fontId="11" fillId="0" borderId="0" xfId="0" applyNumberFormat="1" applyFont="1" applyAlignment="1"/>
    <xf numFmtId="0" fontId="7" fillId="4" borderId="0" xfId="0" applyNumberFormat="1" applyFont="1" applyFill="1" applyAlignment="1">
      <alignment horizontal="center"/>
    </xf>
    <xf numFmtId="0" fontId="11" fillId="4" borderId="0" xfId="0" applyNumberFormat="1" applyFont="1" applyFill="1" applyAlignment="1"/>
    <xf numFmtId="0" fontId="11" fillId="4" borderId="0" xfId="0" applyNumberFormat="1" applyFont="1" applyFill="1" applyAlignment="1">
      <alignment horizontal="center"/>
    </xf>
    <xf numFmtId="0" fontId="8" fillId="0" borderId="0" xfId="0" applyNumberFormat="1" applyFont="1" applyAlignment="1">
      <alignment horizontal="center" wrapText="1"/>
    </xf>
    <xf numFmtId="0" fontId="11" fillId="0" borderId="0" xfId="0" applyNumberFormat="1" applyFont="1" applyAlignment="1">
      <alignment wrapText="1"/>
    </xf>
    <xf numFmtId="0" fontId="11" fillId="4" borderId="0" xfId="0" applyNumberFormat="1" applyFont="1" applyFill="1" applyAlignment="1">
      <alignment horizontal="center" wrapText="1"/>
    </xf>
    <xf numFmtId="166" fontId="11" fillId="4" borderId="0" xfId="0" applyNumberFormat="1" applyFont="1" applyFill="1" applyAlignment="1">
      <alignment horizontal="center"/>
    </xf>
    <xf numFmtId="166" fontId="15" fillId="4" borderId="0" xfId="0" applyNumberFormat="1" applyFont="1" applyFill="1" applyAlignment="1">
      <alignment horizontal="center"/>
    </xf>
    <xf numFmtId="43" fontId="11" fillId="4" borderId="0" xfId="0" applyNumberFormat="1" applyFont="1" applyFill="1" applyAlignment="1">
      <alignment horizontal="center"/>
    </xf>
    <xf numFmtId="0" fontId="11" fillId="0" borderId="0" xfId="0" applyNumberFormat="1" applyFont="1" applyAlignment="1">
      <alignment horizontal="right"/>
    </xf>
    <xf numFmtId="166" fontId="11" fillId="4" borderId="0" xfId="0" applyNumberFormat="1" applyFont="1" applyFill="1" applyAlignment="1"/>
    <xf numFmtId="166" fontId="15" fillId="4" borderId="0" xfId="0" applyNumberFormat="1" applyFont="1" applyFill="1" applyAlignment="1"/>
    <xf numFmtId="43" fontId="11" fillId="4" borderId="0" xfId="0" applyNumberFormat="1" applyFont="1" applyFill="1" applyAlignment="1"/>
    <xf numFmtId="43" fontId="11" fillId="0" borderId="0" xfId="0" applyNumberFormat="1" applyFont="1" applyBorder="1" applyAlignment="1"/>
    <xf numFmtId="0" fontId="26" fillId="0" borderId="0" xfId="0" applyNumberFormat="1" applyFont="1" applyFill="1" applyAlignment="1">
      <alignment horizontal="center"/>
    </xf>
    <xf numFmtId="0" fontId="26" fillId="0" borderId="0" xfId="0" applyNumberFormat="1" applyFont="1" applyFill="1" applyAlignment="1"/>
    <xf numFmtId="43" fontId="26" fillId="0" borderId="0" xfId="0" applyNumberFormat="1" applyFont="1" applyFill="1" applyAlignment="1"/>
    <xf numFmtId="0" fontId="11" fillId="0" borderId="0" xfId="0" applyNumberFormat="1" applyFont="1" applyFill="1" applyBorder="1" applyAlignment="1">
      <alignment horizontal="center"/>
    </xf>
    <xf numFmtId="43" fontId="29" fillId="0" borderId="0" xfId="0" applyNumberFormat="1" applyFont="1" applyAlignment="1"/>
    <xf numFmtId="179" fontId="11" fillId="0" borderId="0" xfId="0" applyNumberFormat="1" applyFont="1" applyAlignment="1"/>
    <xf numFmtId="179" fontId="11" fillId="0" borderId="0" xfId="0" applyNumberFormat="1" applyFont="1" applyFill="1" applyAlignment="1"/>
    <xf numFmtId="43" fontId="11" fillId="0" borderId="0" xfId="0" applyNumberFormat="1" applyFont="1" applyFill="1" applyBorder="1" applyAlignment="1"/>
    <xf numFmtId="43" fontId="29" fillId="0" borderId="0" xfId="0" applyNumberFormat="1" applyFont="1" applyFill="1" applyAlignment="1"/>
    <xf numFmtId="0" fontId="11" fillId="0" borderId="0" xfId="0" quotePrefix="1" applyNumberFormat="1" applyFont="1" applyAlignment="1"/>
    <xf numFmtId="179" fontId="0" fillId="0" borderId="0" xfId="0" applyNumberFormat="1" applyAlignment="1"/>
    <xf numFmtId="43" fontId="11" fillId="0" borderId="0" xfId="3" applyFont="1"/>
    <xf numFmtId="43" fontId="29" fillId="0" borderId="0" xfId="3" applyFont="1"/>
    <xf numFmtId="0" fontId="0" fillId="5" borderId="0" xfId="0" applyNumberFormat="1" applyFill="1" applyAlignment="1">
      <alignment horizontal="center"/>
    </xf>
    <xf numFmtId="179" fontId="0" fillId="5" borderId="0" xfId="0" applyNumberFormat="1" applyFill="1" applyAlignment="1"/>
    <xf numFmtId="43" fontId="11" fillId="5" borderId="0" xfId="3" applyFill="1"/>
    <xf numFmtId="43" fontId="0" fillId="5" borderId="0" xfId="0" applyNumberFormat="1" applyFill="1" applyAlignment="1"/>
    <xf numFmtId="43" fontId="11" fillId="5" borderId="0" xfId="3" applyFont="1" applyFill="1"/>
    <xf numFmtId="43" fontId="11" fillId="5" borderId="0" xfId="3" applyFill="1" applyBorder="1"/>
    <xf numFmtId="43" fontId="29" fillId="5" borderId="0" xfId="3" applyFont="1" applyFill="1"/>
    <xf numFmtId="0" fontId="0" fillId="5" borderId="0" xfId="0" applyNumberFormat="1" applyFill="1" applyAlignment="1"/>
    <xf numFmtId="49" fontId="34" fillId="5" borderId="0" xfId="3" applyNumberFormat="1" applyFont="1" applyFill="1" applyAlignment="1">
      <alignment horizontal="left"/>
    </xf>
    <xf numFmtId="9" fontId="34" fillId="5" borderId="0" xfId="1" applyFont="1" applyFill="1" applyAlignment="1">
      <alignment horizontal="left"/>
    </xf>
    <xf numFmtId="0" fontId="35" fillId="0" borderId="0" xfId="0" applyNumberFormat="1" applyFont="1" applyAlignment="1"/>
    <xf numFmtId="9" fontId="11" fillId="0" borderId="0" xfId="0" applyNumberFormat="1" applyFont="1" applyAlignment="1"/>
    <xf numFmtId="9" fontId="11" fillId="0" borderId="0" xfId="0" applyNumberFormat="1" applyFont="1" applyFill="1" applyAlignment="1"/>
    <xf numFmtId="0" fontId="35" fillId="0" borderId="0" xfId="0" applyNumberFormat="1" applyFont="1" applyAlignment="1">
      <alignment horizontal="center"/>
    </xf>
    <xf numFmtId="0" fontId="11" fillId="0" borderId="0" xfId="6" applyNumberFormat="1" applyFont="1" applyFill="1" applyAlignment="1"/>
    <xf numFmtId="164" fontId="38" fillId="0" borderId="0" xfId="6" applyFont="1">
      <alignment horizontal="left" wrapText="1"/>
    </xf>
    <xf numFmtId="0" fontId="29" fillId="0" borderId="0" xfId="0" applyNumberFormat="1" applyFont="1" applyAlignment="1">
      <alignment horizontal="right" wrapText="1"/>
    </xf>
    <xf numFmtId="0" fontId="39" fillId="0" borderId="0" xfId="6" applyNumberFormat="1" applyFont="1" applyAlignment="1"/>
    <xf numFmtId="164" fontId="21" fillId="0" borderId="0" xfId="6" applyFont="1" applyFill="1" applyAlignment="1">
      <alignment horizontal="left"/>
    </xf>
    <xf numFmtId="0" fontId="7" fillId="0" borderId="0" xfId="6" applyNumberFormat="1" applyFont="1" applyFill="1" applyAlignment="1"/>
    <xf numFmtId="0" fontId="39" fillId="0" borderId="0" xfId="6" applyNumberFormat="1" applyFont="1" applyAlignment="1">
      <alignment horizontal="center"/>
    </xf>
    <xf numFmtId="0" fontId="40" fillId="0" borderId="0" xfId="6" applyNumberFormat="1" applyFont="1" applyFill="1" applyAlignment="1">
      <alignment horizontal="left"/>
    </xf>
    <xf numFmtId="164" fontId="41" fillId="0" borderId="0" xfId="0" applyFont="1" applyFill="1" applyAlignment="1">
      <alignment horizontal="centerContinuous"/>
    </xf>
    <xf numFmtId="0" fontId="42" fillId="6" borderId="19" xfId="6" applyNumberFormat="1" applyFont="1" applyFill="1" applyBorder="1" applyAlignment="1">
      <alignment horizontal="centerContinuous"/>
    </xf>
    <xf numFmtId="0" fontId="43" fillId="6" borderId="20" xfId="6" applyNumberFormat="1" applyFont="1" applyFill="1" applyBorder="1" applyAlignment="1">
      <alignment horizontal="centerContinuous"/>
    </xf>
    <xf numFmtId="0" fontId="43" fillId="6" borderId="21" xfId="6" applyNumberFormat="1" applyFont="1" applyFill="1" applyBorder="1" applyAlignment="1">
      <alignment horizontal="centerContinuous"/>
    </xf>
    <xf numFmtId="0" fontId="8" fillId="0" borderId="0" xfId="6" applyNumberFormat="1" applyFont="1" applyFill="1" applyAlignment="1">
      <alignment horizontal="left"/>
    </xf>
    <xf numFmtId="0" fontId="44" fillId="7" borderId="19" xfId="6" applyNumberFormat="1" applyFont="1" applyFill="1" applyBorder="1" applyAlignment="1">
      <alignment horizontal="centerContinuous"/>
    </xf>
    <xf numFmtId="0" fontId="44" fillId="7" borderId="20" xfId="6" applyNumberFormat="1" applyFont="1" applyFill="1" applyBorder="1" applyAlignment="1">
      <alignment horizontal="centerContinuous"/>
    </xf>
    <xf numFmtId="164" fontId="45" fillId="7" borderId="20" xfId="6" applyFont="1" applyFill="1" applyBorder="1" applyAlignment="1">
      <alignment horizontal="centerContinuous" wrapText="1"/>
    </xf>
    <xf numFmtId="164" fontId="45" fillId="7" borderId="21" xfId="6" applyFont="1" applyFill="1" applyBorder="1" applyAlignment="1">
      <alignment horizontal="centerContinuous" wrapText="1"/>
    </xf>
    <xf numFmtId="0" fontId="46" fillId="0" borderId="0" xfId="6" applyNumberFormat="1" applyFont="1" applyAlignment="1"/>
    <xf numFmtId="0" fontId="29" fillId="0" borderId="0" xfId="6" applyNumberFormat="1" applyFont="1" applyFill="1" applyAlignment="1">
      <alignment horizontal="center"/>
    </xf>
    <xf numFmtId="0" fontId="29" fillId="0" borderId="0" xfId="6" quotePrefix="1" applyNumberFormat="1" applyFont="1" applyFill="1" applyAlignment="1">
      <alignment horizontal="left"/>
    </xf>
    <xf numFmtId="0" fontId="47" fillId="0" borderId="22" xfId="6" applyNumberFormat="1" applyFont="1" applyFill="1" applyBorder="1" applyAlignment="1">
      <alignment horizontal="center"/>
    </xf>
    <xf numFmtId="0" fontId="39" fillId="0" borderId="23" xfId="6" applyNumberFormat="1" applyFont="1" applyBorder="1" applyAlignment="1"/>
    <xf numFmtId="0" fontId="39" fillId="0" borderId="24" xfId="6" applyNumberFormat="1" applyFont="1" applyBorder="1" applyAlignment="1"/>
    <xf numFmtId="0" fontId="29" fillId="0" borderId="0" xfId="6" applyNumberFormat="1" applyFont="1" applyFill="1" applyAlignment="1">
      <alignment horizontal="left"/>
    </xf>
    <xf numFmtId="167" fontId="29" fillId="0" borderId="25" xfId="6" applyNumberFormat="1" applyFont="1" applyFill="1" applyBorder="1" applyAlignment="1"/>
    <xf numFmtId="164" fontId="38" fillId="0" borderId="0" xfId="6" applyFont="1" applyBorder="1">
      <alignment horizontal="left" wrapText="1"/>
    </xf>
    <xf numFmtId="164" fontId="38" fillId="0" borderId="26" xfId="6" applyFont="1" applyBorder="1">
      <alignment horizontal="left" wrapText="1"/>
    </xf>
    <xf numFmtId="166" fontId="29" fillId="0" borderId="25" xfId="6" applyNumberFormat="1" applyFont="1" applyFill="1" applyBorder="1" applyAlignment="1">
      <alignment horizontal="right"/>
    </xf>
    <xf numFmtId="0" fontId="29" fillId="0" borderId="0" xfId="6" applyNumberFormat="1" applyFont="1" applyBorder="1" applyAlignment="1"/>
    <xf numFmtId="0" fontId="29" fillId="0" borderId="26" xfId="6" applyNumberFormat="1" applyFont="1" applyBorder="1" applyAlignment="1"/>
    <xf numFmtId="0" fontId="29" fillId="0" borderId="9" xfId="6" applyNumberFormat="1" applyFont="1" applyBorder="1" applyAlignment="1"/>
    <xf numFmtId="0" fontId="50" fillId="0" borderId="11" xfId="6" applyNumberFormat="1" applyFont="1" applyBorder="1" applyAlignment="1">
      <alignment horizontal="right"/>
    </xf>
    <xf numFmtId="180" fontId="50" fillId="0" borderId="27" xfId="6" applyNumberFormat="1" applyFont="1" applyBorder="1" applyAlignment="1"/>
    <xf numFmtId="0" fontId="50" fillId="0" borderId="0" xfId="6" applyNumberFormat="1" applyFont="1" applyBorder="1" applyAlignment="1">
      <alignment horizontal="right"/>
    </xf>
    <xf numFmtId="0" fontId="29" fillId="0" borderId="0" xfId="6" applyNumberFormat="1" applyFont="1" applyFill="1" applyAlignment="1"/>
    <xf numFmtId="167" fontId="29" fillId="0" borderId="28" xfId="6" applyNumberFormat="1" applyFont="1" applyFill="1" applyBorder="1" applyAlignment="1">
      <alignment horizontal="right"/>
    </xf>
    <xf numFmtId="0" fontId="29" fillId="0" borderId="0" xfId="6" applyNumberFormat="1" applyFont="1" applyFill="1" applyBorder="1" applyAlignment="1"/>
    <xf numFmtId="0" fontId="29" fillId="0" borderId="0" xfId="6" applyNumberFormat="1" applyFont="1" applyFill="1" applyBorder="1" applyAlignment="1">
      <alignment horizontal="center"/>
    </xf>
    <xf numFmtId="0" fontId="50" fillId="0" borderId="0" xfId="6" applyNumberFormat="1" applyFont="1" applyFill="1" applyBorder="1" applyAlignment="1">
      <alignment horizontal="center"/>
    </xf>
    <xf numFmtId="180" fontId="50" fillId="0" borderId="29" xfId="6" applyNumberFormat="1" applyFont="1" applyBorder="1" applyAlignment="1"/>
    <xf numFmtId="10" fontId="29" fillId="0" borderId="25" xfId="6" applyNumberFormat="1" applyFont="1" applyBorder="1" applyAlignment="1"/>
    <xf numFmtId="43" fontId="29" fillId="0" borderId="0" xfId="6" applyNumberFormat="1" applyFont="1" applyFill="1" applyBorder="1" applyAlignment="1">
      <alignment horizontal="right"/>
    </xf>
    <xf numFmtId="0" fontId="47" fillId="0" borderId="0" xfId="6" applyNumberFormat="1" applyFont="1" applyFill="1" applyBorder="1" applyAlignment="1">
      <alignment horizontal="center"/>
    </xf>
    <xf numFmtId="0" fontId="47" fillId="0" borderId="26" xfId="6" applyNumberFormat="1" applyFont="1" applyFill="1" applyBorder="1" applyAlignment="1">
      <alignment horizontal="center"/>
    </xf>
    <xf numFmtId="167" fontId="29" fillId="0" borderId="0" xfId="6" applyNumberFormat="1" applyFont="1" applyFill="1" applyAlignment="1">
      <alignment horizontal="left"/>
    </xf>
    <xf numFmtId="0" fontId="29" fillId="0" borderId="25" xfId="6" applyNumberFormat="1" applyFont="1" applyBorder="1" applyAlignment="1"/>
    <xf numFmtId="43" fontId="29" fillId="0" borderId="0" xfId="6" applyNumberFormat="1" applyFont="1" applyFill="1" applyAlignment="1">
      <alignment horizontal="left"/>
    </xf>
    <xf numFmtId="166" fontId="47" fillId="0" borderId="0" xfId="6" applyNumberFormat="1" applyFont="1" applyFill="1" applyBorder="1" applyAlignment="1">
      <alignment horizontal="center"/>
    </xf>
    <xf numFmtId="166" fontId="47" fillId="0" borderId="26" xfId="6" applyNumberFormat="1" applyFont="1" applyFill="1" applyBorder="1" applyAlignment="1">
      <alignment horizontal="center"/>
    </xf>
    <xf numFmtId="0" fontId="39" fillId="0" borderId="0" xfId="6" applyNumberFormat="1" applyFont="1" applyFill="1" applyAlignment="1"/>
    <xf numFmtId="0" fontId="47" fillId="0" borderId="25" xfId="6" applyNumberFormat="1" applyFont="1" applyFill="1" applyBorder="1" applyAlignment="1">
      <alignment horizontal="center"/>
    </xf>
    <xf numFmtId="173" fontId="29" fillId="0" borderId="0" xfId="6" applyNumberFormat="1" applyFont="1" applyFill="1" applyBorder="1" applyAlignment="1"/>
    <xf numFmtId="166" fontId="29" fillId="0" borderId="0" xfId="6" applyNumberFormat="1" applyFont="1" applyFill="1" applyBorder="1" applyAlignment="1">
      <alignment horizontal="center"/>
    </xf>
    <xf numFmtId="167" fontId="29" fillId="0" borderId="0" xfId="6" applyNumberFormat="1" applyFont="1" applyBorder="1" applyAlignment="1"/>
    <xf numFmtId="167" fontId="29" fillId="0" borderId="26" xfId="6" applyNumberFormat="1" applyFont="1" applyBorder="1" applyAlignment="1"/>
    <xf numFmtId="166" fontId="39" fillId="0" borderId="0" xfId="6" applyNumberFormat="1" applyFont="1" applyFill="1" applyAlignment="1"/>
    <xf numFmtId="166" fontId="29" fillId="0" borderId="26" xfId="6" applyNumberFormat="1" applyFont="1" applyBorder="1" applyAlignment="1"/>
    <xf numFmtId="166" fontId="29" fillId="0" borderId="25" xfId="7" applyNumberFormat="1" applyFont="1" applyFill="1" applyBorder="1" applyAlignment="1"/>
    <xf numFmtId="166" fontId="29" fillId="0" borderId="0" xfId="6" applyNumberFormat="1" applyFont="1" applyBorder="1" applyAlignment="1"/>
    <xf numFmtId="0" fontId="29" fillId="0" borderId="0" xfId="6" applyNumberFormat="1" applyFont="1" applyFill="1" applyBorder="1" applyAlignment="1">
      <alignment horizontal="left" indent="1"/>
    </xf>
    <xf numFmtId="0" fontId="29" fillId="0" borderId="0" xfId="6" applyNumberFormat="1" applyFont="1" applyFill="1" applyAlignment="1">
      <alignment horizontal="center" vertical="top"/>
    </xf>
    <xf numFmtId="0" fontId="29" fillId="0" borderId="0" xfId="6" applyNumberFormat="1" applyFont="1" applyFill="1" applyAlignment="1">
      <alignment vertical="top"/>
    </xf>
    <xf numFmtId="0" fontId="29" fillId="0" borderId="0" xfId="6" quotePrefix="1" applyNumberFormat="1" applyFont="1" applyFill="1" applyBorder="1" applyAlignment="1">
      <alignment horizontal="left"/>
    </xf>
    <xf numFmtId="0" fontId="51" fillId="0" borderId="0" xfId="6" applyNumberFormat="1" applyFont="1" applyAlignment="1"/>
    <xf numFmtId="0" fontId="50" fillId="0" borderId="25" xfId="6" applyNumberFormat="1" applyFont="1" applyFill="1" applyBorder="1" applyAlignment="1"/>
    <xf numFmtId="0" fontId="50" fillId="0" borderId="0" xfId="6" applyNumberFormat="1" applyFont="1" applyFill="1" applyBorder="1" applyAlignment="1"/>
    <xf numFmtId="0" fontId="50" fillId="0" borderId="26" xfId="6" applyNumberFormat="1" applyFont="1" applyFill="1" applyBorder="1" applyAlignment="1"/>
    <xf numFmtId="0" fontId="29" fillId="0" borderId="0" xfId="6" applyNumberFormat="1" applyFont="1" applyFill="1" applyAlignment="1">
      <alignment horizontal="left" vertical="center" indent="1"/>
    </xf>
    <xf numFmtId="167" fontId="29" fillId="0" borderId="28" xfId="6" applyNumberFormat="1" applyFont="1" applyFill="1" applyBorder="1" applyAlignment="1"/>
    <xf numFmtId="173" fontId="29" fillId="0" borderId="2" xfId="6" applyNumberFormat="1" applyFont="1" applyBorder="1" applyAlignment="1"/>
    <xf numFmtId="167" fontId="29" fillId="0" borderId="2" xfId="6" applyNumberFormat="1" applyFont="1" applyFill="1" applyBorder="1" applyAlignment="1"/>
    <xf numFmtId="167" fontId="29" fillId="0" borderId="30" xfId="6" applyNumberFormat="1" applyFont="1" applyFill="1" applyBorder="1" applyAlignment="1"/>
    <xf numFmtId="171" fontId="29" fillId="0" borderId="25" xfId="6" applyNumberFormat="1" applyFont="1" applyFill="1" applyBorder="1" applyAlignment="1">
      <alignment horizontal="right"/>
    </xf>
    <xf numFmtId="171" fontId="29" fillId="0" borderId="0" xfId="6" applyNumberFormat="1" applyFont="1" applyFill="1" applyBorder="1" applyAlignment="1">
      <alignment horizontal="right"/>
    </xf>
    <xf numFmtId="171" fontId="29" fillId="0" borderId="0" xfId="6" applyNumberFormat="1" applyFont="1" applyBorder="1" applyAlignment="1"/>
    <xf numFmtId="171" fontId="29" fillId="0" borderId="26" xfId="6" applyNumberFormat="1" applyFont="1" applyBorder="1" applyAlignment="1"/>
    <xf numFmtId="166" fontId="29" fillId="0" borderId="25" xfId="6" applyNumberFormat="1" applyFont="1" applyFill="1" applyBorder="1" applyAlignment="1"/>
    <xf numFmtId="166" fontId="29" fillId="0" borderId="0" xfId="8" applyNumberFormat="1" applyFont="1" applyFill="1" applyBorder="1"/>
    <xf numFmtId="167" fontId="29" fillId="0" borderId="25" xfId="6" applyNumberFormat="1" applyFont="1" applyBorder="1" applyAlignment="1"/>
    <xf numFmtId="0" fontId="29" fillId="0" borderId="0" xfId="6" applyNumberFormat="1" applyFont="1" applyBorder="1" applyAlignment="1">
      <alignment horizontal="center" wrapText="1"/>
    </xf>
    <xf numFmtId="0" fontId="29" fillId="0" borderId="26" xfId="6" applyNumberFormat="1" applyFont="1" applyBorder="1" applyAlignment="1">
      <alignment horizontal="center" wrapText="1"/>
    </xf>
    <xf numFmtId="0" fontId="50" fillId="0" borderId="25" xfId="6" applyNumberFormat="1" applyFont="1" applyBorder="1" applyAlignment="1"/>
    <xf numFmtId="0" fontId="50" fillId="0" borderId="0" xfId="6" applyNumberFormat="1" applyFont="1" applyBorder="1" applyAlignment="1"/>
    <xf numFmtId="0" fontId="50" fillId="0" borderId="26" xfId="6" applyNumberFormat="1" applyFont="1" applyBorder="1" applyAlignment="1"/>
    <xf numFmtId="167" fontId="50" fillId="0" borderId="25" xfId="6" applyNumberFormat="1" applyFont="1" applyBorder="1" applyAlignment="1"/>
    <xf numFmtId="173" fontId="29" fillId="0" borderId="0" xfId="6" applyNumberFormat="1" applyFont="1" applyBorder="1" applyAlignment="1"/>
    <xf numFmtId="173" fontId="29" fillId="0" borderId="26" xfId="6" applyNumberFormat="1" applyFont="1" applyBorder="1" applyAlignment="1"/>
    <xf numFmtId="0" fontId="50" fillId="0" borderId="31" xfId="6" applyNumberFormat="1" applyFont="1" applyBorder="1" applyAlignment="1"/>
    <xf numFmtId="173" fontId="29" fillId="0" borderId="18" xfId="6" applyNumberFormat="1" applyFont="1" applyBorder="1" applyAlignment="1"/>
    <xf numFmtId="173" fontId="29" fillId="0" borderId="32" xfId="6" applyNumberFormat="1" applyFont="1" applyBorder="1" applyAlignment="1"/>
    <xf numFmtId="0" fontId="50" fillId="0" borderId="0" xfId="6" applyNumberFormat="1" applyFont="1" applyFill="1" applyAlignment="1"/>
    <xf numFmtId="164" fontId="38" fillId="0" borderId="0" xfId="6">
      <alignment horizontal="left" wrapText="1"/>
    </xf>
    <xf numFmtId="164" fontId="52" fillId="0" borderId="0" xfId="6" applyFont="1" applyFill="1" applyBorder="1" applyAlignment="1"/>
    <xf numFmtId="0" fontId="38" fillId="0" borderId="0" xfId="6" applyNumberFormat="1" applyFont="1" applyAlignment="1"/>
    <xf numFmtId="0" fontId="15" fillId="0" borderId="0" xfId="6" applyNumberFormat="1" applyFont="1" applyBorder="1" applyAlignment="1"/>
    <xf numFmtId="0" fontId="8" fillId="0" borderId="0" xfId="0" applyNumberFormat="1" applyFont="1" applyFill="1" applyAlignment="1"/>
    <xf numFmtId="9" fontId="11" fillId="0" borderId="0" xfId="5" applyFont="1" applyFill="1"/>
    <xf numFmtId="0" fontId="11" fillId="0" borderId="0" xfId="0" applyNumberFormat="1" applyFont="1" applyFill="1" applyAlignment="1">
      <alignment horizontal="right"/>
    </xf>
    <xf numFmtId="176" fontId="29" fillId="0" borderId="0" xfId="3" applyNumberFormat="1" applyFont="1" applyFill="1" applyBorder="1"/>
    <xf numFmtId="43" fontId="11" fillId="0" borderId="0" xfId="3" applyFill="1" applyBorder="1"/>
    <xf numFmtId="167" fontId="11" fillId="0" borderId="0" xfId="4" applyNumberFormat="1" applyFill="1" applyBorder="1"/>
    <xf numFmtId="0" fontId="28" fillId="0" borderId="0" xfId="0" applyNumberFormat="1" applyFont="1" applyFill="1" applyAlignment="1">
      <alignment horizontal="left"/>
    </xf>
    <xf numFmtId="176" fontId="30" fillId="0" borderId="0" xfId="3" applyNumberFormat="1" applyFont="1" applyFill="1" applyBorder="1"/>
    <xf numFmtId="167" fontId="28" fillId="0" borderId="0" xfId="0" applyNumberFormat="1" applyFont="1" applyFill="1" applyBorder="1" applyAlignment="1"/>
    <xf numFmtId="0" fontId="18" fillId="0" borderId="0" xfId="0" applyNumberFormat="1" applyFont="1" applyFill="1" applyAlignment="1">
      <alignment horizontal="left"/>
    </xf>
    <xf numFmtId="167" fontId="11" fillId="0" borderId="10" xfId="4" applyNumberFormat="1" applyFill="1" applyBorder="1"/>
    <xf numFmtId="0" fontId="8" fillId="0" borderId="0" xfId="0" quotePrefix="1" applyNumberFormat="1" applyFont="1" applyFill="1" applyAlignment="1" applyProtection="1">
      <alignment horizontal="left"/>
      <protection locked="0"/>
    </xf>
    <xf numFmtId="167" fontId="11" fillId="0" borderId="18" xfId="4" applyNumberFormat="1" applyFill="1" applyBorder="1"/>
    <xf numFmtId="0" fontId="29" fillId="0" borderId="0" xfId="0" applyNumberFormat="1" applyFont="1" applyFill="1" applyAlignment="1"/>
    <xf numFmtId="167" fontId="0" fillId="0" borderId="0" xfId="0" applyNumberFormat="1" applyFill="1" applyAlignment="1"/>
    <xf numFmtId="0" fontId="29" fillId="0" borderId="0" xfId="0" quotePrefix="1" applyNumberFormat="1" applyFont="1" applyFill="1" applyAlignment="1">
      <alignment horizontal="center"/>
    </xf>
    <xf numFmtId="167" fontId="11" fillId="0" borderId="0" xfId="4" applyNumberFormat="1" applyFont="1" applyFill="1"/>
    <xf numFmtId="177" fontId="29" fillId="0" borderId="0" xfId="5" applyNumberFormat="1" applyFont="1" applyFill="1"/>
    <xf numFmtId="0" fontId="48" fillId="5" borderId="19" xfId="6" applyNumberFormat="1" applyFont="1" applyFill="1" applyBorder="1" applyAlignment="1">
      <alignment horizontal="centerContinuous"/>
    </xf>
    <xf numFmtId="0" fontId="49" fillId="5" borderId="20" xfId="6" applyNumberFormat="1" applyFont="1" applyFill="1" applyBorder="1" applyAlignment="1">
      <alignment horizontal="centerContinuous"/>
    </xf>
    <xf numFmtId="0" fontId="49" fillId="5" borderId="21" xfId="6" applyNumberFormat="1" applyFont="1" applyFill="1" applyBorder="1" applyAlignment="1">
      <alignment horizontal="centerContinuous"/>
    </xf>
    <xf numFmtId="9" fontId="34" fillId="5" borderId="0" xfId="1" applyNumberFormat="1" applyFont="1" applyFill="1" applyAlignment="1">
      <alignment horizontal="left"/>
    </xf>
    <xf numFmtId="0" fontId="47" fillId="0" borderId="0" xfId="0" applyNumberFormat="1" applyFont="1" applyAlignment="1">
      <alignment horizontal="left"/>
    </xf>
    <xf numFmtId="0" fontId="29" fillId="0" borderId="0" xfId="0" applyNumberFormat="1" applyFont="1" applyAlignment="1"/>
    <xf numFmtId="0" fontId="30" fillId="0" borderId="0" xfId="0" applyNumberFormat="1" applyFont="1" applyFill="1" applyAlignment="1"/>
    <xf numFmtId="0" fontId="54" fillId="0" borderId="0" xfId="0" applyNumberFormat="1" applyFont="1" applyAlignment="1"/>
    <xf numFmtId="0" fontId="47" fillId="0" borderId="0" xfId="0" applyNumberFormat="1" applyFont="1" applyAlignment="1"/>
    <xf numFmtId="0" fontId="47" fillId="0" borderId="0" xfId="0" applyNumberFormat="1" applyFont="1" applyAlignment="1">
      <alignment horizontal="right"/>
    </xf>
    <xf numFmtId="0" fontId="29" fillId="0" borderId="0" xfId="0" applyNumberFormat="1" applyFont="1" applyAlignment="1">
      <alignment horizontal="center"/>
    </xf>
    <xf numFmtId="0" fontId="29" fillId="0" borderId="0" xfId="0" applyNumberFormat="1" applyFont="1" applyFill="1" applyAlignment="1">
      <alignment horizontal="center"/>
    </xf>
    <xf numFmtId="182" fontId="29" fillId="0" borderId="0" xfId="0" applyNumberFormat="1" applyFont="1" applyAlignment="1" applyProtection="1">
      <protection locked="0"/>
    </xf>
    <xf numFmtId="166" fontId="29" fillId="0" borderId="0" xfId="0" applyNumberFormat="1" applyFont="1" applyFill="1" applyAlignment="1" applyProtection="1">
      <protection locked="0"/>
    </xf>
    <xf numFmtId="10" fontId="29" fillId="0" borderId="0" xfId="0" applyNumberFormat="1" applyFont="1" applyAlignment="1"/>
    <xf numFmtId="182" fontId="29" fillId="0" borderId="0" xfId="0" applyNumberFormat="1" applyFont="1" applyAlignment="1" applyProtection="1">
      <alignment horizontal="right"/>
      <protection locked="0"/>
    </xf>
    <xf numFmtId="10" fontId="29" fillId="0" borderId="0" xfId="0" applyNumberFormat="1" applyFont="1" applyFill="1" applyAlignment="1"/>
    <xf numFmtId="14" fontId="29" fillId="0" borderId="0" xfId="0" applyNumberFormat="1" applyFont="1" applyAlignment="1"/>
    <xf numFmtId="49" fontId="29" fillId="0" borderId="0" xfId="0" applyNumberFormat="1" applyFont="1" applyAlignment="1">
      <alignment horizontal="center"/>
    </xf>
    <xf numFmtId="14" fontId="29" fillId="0" borderId="0" xfId="0" applyNumberFormat="1" applyFont="1" applyFill="1" applyAlignment="1"/>
    <xf numFmtId="49" fontId="29" fillId="0" borderId="0" xfId="0" applyNumberFormat="1" applyFont="1" applyFill="1" applyAlignment="1">
      <alignment horizontal="center"/>
    </xf>
    <xf numFmtId="166" fontId="29" fillId="0" borderId="0" xfId="10" applyNumberFormat="1" applyFont="1" applyFill="1" applyAlignment="1" applyProtection="1">
      <protection locked="0"/>
    </xf>
    <xf numFmtId="10" fontId="29" fillId="0" borderId="0" xfId="11" applyNumberFormat="1" applyFont="1" applyFill="1"/>
    <xf numFmtId="43" fontId="29" fillId="0" borderId="0" xfId="10" applyFont="1" applyFill="1"/>
    <xf numFmtId="0" fontId="29" fillId="5" borderId="0" xfId="0" applyNumberFormat="1" applyFont="1" applyFill="1" applyAlignment="1"/>
    <xf numFmtId="43" fontId="29" fillId="5" borderId="0" xfId="0" applyNumberFormat="1" applyFont="1" applyFill="1" applyAlignment="1"/>
    <xf numFmtId="14" fontId="29" fillId="5" borderId="0" xfId="0" applyNumberFormat="1" applyFont="1" applyFill="1" applyAlignment="1"/>
    <xf numFmtId="166" fontId="29" fillId="5" borderId="0" xfId="10" applyNumberFormat="1" applyFont="1" applyFill="1" applyAlignment="1" applyProtection="1">
      <protection locked="0"/>
    </xf>
    <xf numFmtId="49" fontId="29" fillId="5" borderId="0" xfId="0" applyNumberFormat="1" applyFont="1" applyFill="1" applyAlignment="1">
      <alignment horizontal="center"/>
    </xf>
    <xf numFmtId="0" fontId="8" fillId="0" borderId="0" xfId="0" applyNumberFormat="1" applyFont="1" applyAlignment="1"/>
    <xf numFmtId="181" fontId="11" fillId="0" borderId="0" xfId="1" applyNumberFormat="1" applyFont="1" applyAlignment="1"/>
    <xf numFmtId="166" fontId="11" fillId="0" borderId="0" xfId="9" applyNumberFormat="1" applyFont="1" applyAlignment="1"/>
    <xf numFmtId="0" fontId="0" fillId="0" borderId="0" xfId="0" applyNumberFormat="1" applyAlignment="1">
      <alignment wrapText="1"/>
    </xf>
    <xf numFmtId="0" fontId="7" fillId="0" borderId="0" xfId="0" applyNumberFormat="1" applyFont="1" applyAlignment="1">
      <alignment horizontal="center"/>
    </xf>
    <xf numFmtId="0" fontId="7" fillId="0" borderId="0" xfId="0" applyNumberFormat="1" applyFont="1" applyFill="1" applyAlignment="1">
      <alignment horizontal="center"/>
    </xf>
    <xf numFmtId="165" fontId="7" fillId="0" borderId="0" xfId="0" applyNumberFormat="1" applyFont="1" applyAlignment="1">
      <alignment horizontal="center" wrapText="1"/>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11" fillId="0" borderId="0" xfId="0" applyNumberFormat="1" applyFont="1" applyAlignment="1">
      <alignment wrapText="1"/>
    </xf>
    <xf numFmtId="0" fontId="29" fillId="0" borderId="0" xfId="0" applyNumberFormat="1" applyFont="1" applyFill="1" applyAlignment="1">
      <alignment wrapText="1"/>
    </xf>
  </cellXfs>
  <cellStyles count="12">
    <cellStyle name="Comma" xfId="9" builtinId="3"/>
    <cellStyle name="Comma 10 2 2" xfId="3" xr:uid="{00000000-0005-0000-0000-000001000000}"/>
    <cellStyle name="Comma 10 2 2 2" xfId="10" xr:uid="{00000000-0005-0000-0000-000002000000}"/>
    <cellStyle name="Comma 10 2 2 3" xfId="8" xr:uid="{00000000-0005-0000-0000-000003000000}"/>
    <cellStyle name="Comma 2" xfId="7" xr:uid="{00000000-0005-0000-0000-000004000000}"/>
    <cellStyle name="Currency 10 2 2" xfId="4" xr:uid="{00000000-0005-0000-0000-000005000000}"/>
    <cellStyle name="Normal" xfId="0" builtinId="0"/>
    <cellStyle name="Normal 154" xfId="2" xr:uid="{00000000-0005-0000-0000-000007000000}"/>
    <cellStyle name="Normal 2" xfId="6" xr:uid="{00000000-0005-0000-0000-000008000000}"/>
    <cellStyle name="Percent" xfId="1" builtinId="5"/>
    <cellStyle name="Percent 11" xfId="5" xr:uid="{00000000-0005-0000-0000-00000A000000}"/>
    <cellStyle name="Percent 11 2" xfId="11" xr:uid="{00000000-0005-0000-0000-00000B000000}"/>
  </cellStyles>
  <dxfs count="1">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absoluteAnchor>
    <xdr:pos x="6675120" y="5118735"/>
    <xdr:ext cx="2767013" cy="1037272"/>
    <xdr:sp macro="" textlink="">
      <xdr:nvSpPr>
        <xdr:cNvPr id="2" name="Text Box 1" hidden="1">
          <a:extLst>
            <a:ext uri="{FF2B5EF4-FFF2-40B4-BE49-F238E27FC236}">
              <a16:creationId xmlns:a16="http://schemas.microsoft.com/office/drawing/2014/main" id="{00000000-0008-0000-0500-000002000000}"/>
            </a:ext>
          </a:extLst>
        </xdr:cNvPr>
        <xdr:cNvSpPr txBox="1">
          <a:spLocks noChangeArrowheads="1"/>
        </xdr:cNvSpPr>
      </xdr:nvSpPr>
      <xdr:spPr bwMode="auto">
        <a:xfrm>
          <a:off x="6675120" y="5118735"/>
          <a:ext cx="2767013" cy="1037272"/>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absoluteAnchor>
  <xdr:absoluteAnchor>
    <xdr:pos x="7627620" y="4480560"/>
    <xdr:ext cx="30480" cy="505778"/>
    <xdr:sp macro="" textlink="">
      <xdr:nvSpPr>
        <xdr:cNvPr id="3" name="Text Box 2" hidden="1">
          <a:extLst>
            <a:ext uri="{FF2B5EF4-FFF2-40B4-BE49-F238E27FC236}">
              <a16:creationId xmlns:a16="http://schemas.microsoft.com/office/drawing/2014/main" id="{00000000-0008-0000-0500-000003000000}"/>
            </a:ext>
          </a:extLst>
        </xdr:cNvPr>
        <xdr:cNvSpPr txBox="1">
          <a:spLocks noChangeArrowheads="1"/>
        </xdr:cNvSpPr>
      </xdr:nvSpPr>
      <xdr:spPr bwMode="auto">
        <a:xfrm>
          <a:off x="7627620" y="4480560"/>
          <a:ext cx="30480" cy="505778"/>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asmr/AppData/Local/Temp/Workshare/n5oke4np.bgm/1/Documents%20and%20Settings/wgho/Local%20Settings/Temporary%20Internet%20Files/OLKCA/14stat01%202008%20re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asmr/AppData/Local/Temp/Workshare/5llch3t0.mcs/4/Budget/2011%20Bgt/Units/11%20AOP_A_mo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asmr/AppData/Local/Temp/Workshare/5llch3t0.mcs/4/temp/Temporary%20Internet%20Files/Content.Outlook/S5M2I7E6/1&amp;2%20Section%203%202011%20AOP/Section%203/Section%203%20SpreadShee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smr/AppData/Local/Temp/Workshare/5llch3t0.mcs/4/Power%20Costs/Resources/Coal/WEC%20Pricing%20Analysis/2012/Colstrip%201&amp;2%202012%20AOP%20Final%20Vers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rasmr/AppData/Local/Temp/Workshare/n5oke4np.bgm/1/Documents%20and%20Settings/wgho/Local%20Settings/Temporary%20Internet%20Files/OLKCA/14stat07%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rasmr/AppData/Local/Temp/Workshare/n5oke4np.bgm/1/Documents%20and%20Settings/wgho/Local%20Settings/Temporary%20Internet%20Files/Content.Outlook/MYT8SSOH/14stat10%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MW Sum"/>
      <sheetName val="U1"/>
      <sheetName val="U2"/>
      <sheetName val="U2HtRt"/>
      <sheetName val="U3"/>
      <sheetName val="U4"/>
      <sheetName val="U4 HP"/>
      <sheetName val="12Perf"/>
      <sheetName val="1HR"/>
      <sheetName val="2HR"/>
      <sheetName val="12Mo08"/>
      <sheetName val="34Mo08"/>
      <sheetName val="34Perf"/>
      <sheetName val="3HR"/>
      <sheetName val="4HR"/>
    </sheetNames>
    <sheetDataSet>
      <sheetData sheetId="0"/>
      <sheetData sheetId="1"/>
      <sheetData sheetId="2"/>
      <sheetData sheetId="3" refreshError="1"/>
      <sheetData sheetId="4"/>
      <sheetData sheetId="5"/>
      <sheetData sheetId="6" refreshError="1"/>
      <sheetData sheetId="7"/>
      <sheetData sheetId="8" refreshError="1"/>
      <sheetData sheetId="9" refreshError="1"/>
      <sheetData sheetId="10"/>
      <sheetData sheetId="11"/>
      <sheetData sheetId="12"/>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MW Sum"/>
      <sheetName val="U1"/>
      <sheetName val="U2"/>
      <sheetName val="U2HtRt"/>
      <sheetName val="U3"/>
      <sheetName val="U4"/>
      <sheetName val="U4 HP"/>
      <sheetName val="12Perf"/>
      <sheetName val="1HR"/>
      <sheetName val="2HR"/>
      <sheetName val="12Mo08"/>
      <sheetName val="34Mo08"/>
      <sheetName val="34Perf"/>
      <sheetName val="3HR"/>
      <sheetName val="4HR"/>
    </sheetNames>
    <sheetDataSet>
      <sheetData sheetId="0"/>
      <sheetData sheetId="1"/>
      <sheetData sheetId="2"/>
      <sheetData sheetId="3" refreshError="1"/>
      <sheetData sheetId="4"/>
      <sheetData sheetId="5"/>
      <sheetData sheetId="6" refreshError="1"/>
      <sheetData sheetId="7"/>
      <sheetData sheetId="8" refreshError="1"/>
      <sheetData sheetId="9" refreshError="1"/>
      <sheetData sheetId="10"/>
      <sheetData sheetId="11"/>
      <sheetData sheetId="12"/>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MW Sum"/>
      <sheetName val="U1"/>
      <sheetName val="U2"/>
      <sheetName val="U2HtRt"/>
      <sheetName val="U3"/>
      <sheetName val="U4"/>
      <sheetName val="U4 HP"/>
      <sheetName val="12Perf"/>
      <sheetName val="1HR"/>
      <sheetName val="2HR"/>
      <sheetName val="12Mo08"/>
      <sheetName val="34Mo08"/>
      <sheetName val="34Perf"/>
      <sheetName val="3HR"/>
      <sheetName val="4HR"/>
    </sheetNames>
    <sheetDataSet>
      <sheetData sheetId="0"/>
      <sheetData sheetId="1"/>
      <sheetData sheetId="2"/>
      <sheetData sheetId="3" refreshError="1"/>
      <sheetData sheetId="4"/>
      <sheetData sheetId="5"/>
      <sheetData sheetId="6" refreshError="1"/>
      <sheetData sheetId="7"/>
      <sheetData sheetId="8" refreshError="1"/>
      <sheetData sheetId="9" refreshError="1"/>
      <sheetData sheetId="10"/>
      <sheetData sheetId="11"/>
      <sheetData sheetId="12"/>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9"/>
  <sheetViews>
    <sheetView workbookViewId="0">
      <selection activeCell="O9" sqref="O9"/>
    </sheetView>
  </sheetViews>
  <sheetFormatPr defaultColWidth="9.140625" defaultRowHeight="12.75" x14ac:dyDescent="0.2"/>
  <cols>
    <col min="1" max="1" width="2" style="1" customWidth="1"/>
    <col min="2" max="2" width="5.42578125" style="1" customWidth="1"/>
    <col min="3" max="12" width="9.140625" style="1"/>
    <col min="13" max="13" width="25.85546875" style="1" bestFit="1" customWidth="1"/>
    <col min="14" max="16384" width="9.140625" style="1"/>
  </cols>
  <sheetData>
    <row r="1" spans="2:13" x14ac:dyDescent="0.2">
      <c r="M1" s="2" t="s">
        <v>323</v>
      </c>
    </row>
    <row r="2" spans="2:13" x14ac:dyDescent="0.2">
      <c r="M2" s="3"/>
    </row>
    <row r="3" spans="2:13" ht="15.75" x14ac:dyDescent="0.2">
      <c r="B3" s="4" t="s">
        <v>0</v>
      </c>
      <c r="C3" s="5"/>
      <c r="D3" s="5"/>
      <c r="E3" s="5"/>
      <c r="F3" s="5"/>
      <c r="G3" s="5"/>
      <c r="H3" s="5"/>
      <c r="I3" s="5"/>
      <c r="J3" s="5"/>
      <c r="K3" s="5"/>
      <c r="L3" s="5"/>
      <c r="M3" s="5"/>
    </row>
    <row r="4" spans="2:13" ht="15.75" x14ac:dyDescent="0.2">
      <c r="B4" s="4" t="s">
        <v>1</v>
      </c>
      <c r="C4" s="5"/>
      <c r="D4" s="5"/>
      <c r="E4" s="5"/>
      <c r="F4" s="5"/>
      <c r="G4" s="5"/>
      <c r="H4" s="5"/>
      <c r="I4" s="5"/>
      <c r="J4" s="5"/>
      <c r="K4" s="5"/>
      <c r="L4" s="5"/>
      <c r="M4" s="5"/>
    </row>
    <row r="5" spans="2:13" ht="15.75" x14ac:dyDescent="0.2">
      <c r="B5" s="4" t="s">
        <v>2</v>
      </c>
      <c r="C5" s="5"/>
      <c r="D5" s="5"/>
      <c r="E5" s="5"/>
      <c r="F5" s="5"/>
      <c r="G5" s="5"/>
      <c r="H5" s="5"/>
      <c r="I5" s="5"/>
      <c r="J5" s="5"/>
      <c r="K5" s="5"/>
      <c r="L5" s="5"/>
      <c r="M5" s="5"/>
    </row>
    <row r="6" spans="2:13" ht="15.75" x14ac:dyDescent="0.2">
      <c r="B6" s="4" t="s">
        <v>3</v>
      </c>
      <c r="C6" s="5"/>
      <c r="D6" s="5"/>
      <c r="E6" s="5"/>
      <c r="F6" s="5"/>
      <c r="G6" s="5"/>
      <c r="H6" s="5"/>
      <c r="I6" s="5"/>
      <c r="J6" s="5"/>
      <c r="K6" s="5"/>
      <c r="L6" s="5"/>
      <c r="M6" s="5"/>
    </row>
    <row r="7" spans="2:13" ht="15.75" x14ac:dyDescent="0.2">
      <c r="B7" s="6"/>
      <c r="C7" s="6"/>
      <c r="D7" s="6"/>
      <c r="E7" s="6"/>
      <c r="F7" s="6"/>
      <c r="G7" s="6"/>
      <c r="H7" s="6"/>
      <c r="I7" s="6"/>
      <c r="J7" s="6"/>
      <c r="K7" s="6"/>
      <c r="L7" s="6"/>
      <c r="M7" s="6"/>
    </row>
    <row r="8" spans="2:13" ht="15.75" x14ac:dyDescent="0.2">
      <c r="B8" s="7" t="s">
        <v>4</v>
      </c>
      <c r="M8" s="8" t="s">
        <v>5</v>
      </c>
    </row>
    <row r="9" spans="2:13" ht="15.75" x14ac:dyDescent="0.2">
      <c r="B9" s="6"/>
    </row>
    <row r="10" spans="2:13" ht="15.75" x14ac:dyDescent="0.2">
      <c r="B10" s="9"/>
      <c r="C10" s="10"/>
      <c r="D10" s="10"/>
      <c r="E10" s="10"/>
      <c r="F10" s="10"/>
      <c r="G10" s="10"/>
      <c r="H10" s="10"/>
      <c r="I10" s="10"/>
      <c r="J10" s="10"/>
      <c r="K10" s="10"/>
      <c r="L10" s="10"/>
      <c r="M10" s="11"/>
    </row>
    <row r="11" spans="2:13" ht="15.75" x14ac:dyDescent="0.2">
      <c r="B11" s="12" t="s">
        <v>6</v>
      </c>
      <c r="C11" s="13" t="s">
        <v>7</v>
      </c>
      <c r="D11" s="14"/>
      <c r="E11" s="14"/>
      <c r="F11" s="14"/>
      <c r="G11" s="14"/>
      <c r="H11" s="14"/>
      <c r="I11" s="14"/>
      <c r="J11" s="14"/>
      <c r="K11" s="14"/>
      <c r="L11" s="14"/>
      <c r="M11" s="15"/>
    </row>
    <row r="12" spans="2:13" ht="15.75" x14ac:dyDescent="0.2">
      <c r="B12" s="16"/>
      <c r="C12" s="13" t="s">
        <v>8</v>
      </c>
      <c r="D12" s="14"/>
      <c r="E12" s="14"/>
      <c r="F12" s="14"/>
      <c r="G12" s="14"/>
      <c r="H12" s="14"/>
      <c r="I12" s="14"/>
      <c r="J12" s="14"/>
      <c r="K12" s="14"/>
      <c r="L12" s="14"/>
      <c r="M12" s="15"/>
    </row>
    <row r="13" spans="2:13" ht="15.75" x14ac:dyDescent="0.2">
      <c r="B13" s="17"/>
      <c r="C13" s="18"/>
      <c r="D13" s="18"/>
      <c r="E13" s="18"/>
      <c r="F13" s="18"/>
      <c r="G13" s="18"/>
      <c r="H13" s="18"/>
      <c r="I13" s="18"/>
      <c r="J13" s="18"/>
      <c r="K13" s="18"/>
      <c r="L13" s="18"/>
      <c r="M13" s="19"/>
    </row>
    <row r="14" spans="2:13" ht="15.75" x14ac:dyDescent="0.2">
      <c r="B14" s="20"/>
      <c r="C14" s="14"/>
      <c r="D14" s="14"/>
      <c r="E14" s="14"/>
      <c r="F14" s="14"/>
      <c r="G14" s="14"/>
      <c r="H14" s="14"/>
      <c r="I14" s="14"/>
      <c r="J14" s="14"/>
      <c r="K14" s="14"/>
      <c r="L14" s="14"/>
      <c r="M14" s="14"/>
    </row>
    <row r="15" spans="2:13" ht="15.75" x14ac:dyDescent="0.2">
      <c r="B15" s="21" t="s">
        <v>9</v>
      </c>
      <c r="C15" s="6" t="s">
        <v>10</v>
      </c>
      <c r="M15" s="6" t="str">
        <f>'SEF-3 p 1 PC Summary'!A1</f>
        <v>SEF-3 p 1 PC Summary</v>
      </c>
    </row>
    <row r="16" spans="2:13" ht="15.75" x14ac:dyDescent="0.2">
      <c r="B16" s="22"/>
    </row>
    <row r="17" spans="2:13" ht="15.75" x14ac:dyDescent="0.2">
      <c r="B17" s="21" t="s">
        <v>11</v>
      </c>
      <c r="C17" s="6" t="s">
        <v>12</v>
      </c>
      <c r="M17" s="6" t="str">
        <f>'SEF-3 p 2 Actual BLR'!A1</f>
        <v>SEF-3 p 2 Actual BLR</v>
      </c>
    </row>
    <row r="18" spans="2:13" ht="15.75" x14ac:dyDescent="0.2">
      <c r="B18" s="22"/>
    </row>
    <row r="19" spans="2:13" ht="15.75" x14ac:dyDescent="0.2">
      <c r="B19" s="21" t="s">
        <v>13</v>
      </c>
      <c r="C19" s="6" t="s">
        <v>14</v>
      </c>
      <c r="M19" s="6" t="str">
        <f>'SEF-3 p 3 Sch B'!A1</f>
        <v>SEF-3 p 3 Sch B</v>
      </c>
    </row>
    <row r="20" spans="2:13" ht="15.75" x14ac:dyDescent="0.2">
      <c r="B20" s="21"/>
      <c r="C20" s="6"/>
      <c r="M20" s="6"/>
    </row>
    <row r="21" spans="2:13" ht="15.75" x14ac:dyDescent="0.2">
      <c r="B21" s="21" t="s">
        <v>15</v>
      </c>
      <c r="C21" s="6" t="s">
        <v>16</v>
      </c>
      <c r="M21" s="6" t="str">
        <f>'SEF-3 p 4 Bands'!A1</f>
        <v>SEF-3 p 4 Bands</v>
      </c>
    </row>
    <row r="22" spans="2:13" ht="15.75" x14ac:dyDescent="0.2">
      <c r="B22" s="8"/>
    </row>
    <row r="23" spans="2:13" ht="15.75" x14ac:dyDescent="0.2">
      <c r="B23" s="21" t="s">
        <v>17</v>
      </c>
      <c r="C23" s="6" t="s">
        <v>316</v>
      </c>
      <c r="M23" s="6" t="str">
        <f ca="1">'SEF-3 p 5 Interest'!A2</f>
        <v>SEF-3 p 5 Interest</v>
      </c>
    </row>
    <row r="24" spans="2:13" ht="15.75" x14ac:dyDescent="0.2">
      <c r="B24" s="8"/>
    </row>
    <row r="25" spans="2:13" ht="15.75" x14ac:dyDescent="0.2">
      <c r="B25" s="21" t="s">
        <v>19</v>
      </c>
      <c r="C25" s="6" t="s">
        <v>18</v>
      </c>
      <c r="M25" s="6" t="str">
        <f>'SEF-3 p 6 Approved BLRs'!A1</f>
        <v>SEF-3 p 6 Approved BLRs</v>
      </c>
    </row>
    <row r="26" spans="2:13" ht="15.75" x14ac:dyDescent="0.2">
      <c r="B26" s="6"/>
    </row>
    <row r="27" spans="2:13" ht="15.75" x14ac:dyDescent="0.2">
      <c r="B27" s="21" t="s">
        <v>21</v>
      </c>
      <c r="C27" s="6" t="s">
        <v>20</v>
      </c>
      <c r="M27" s="6" t="str">
        <f>'SEF-3 p 6 Approved BLRs'!A1</f>
        <v>SEF-3 p 6 Approved BLRs</v>
      </c>
    </row>
    <row r="28" spans="2:13" ht="15.75" x14ac:dyDescent="0.2">
      <c r="B28" s="6"/>
    </row>
    <row r="29" spans="2:13" ht="15.75" x14ac:dyDescent="0.25">
      <c r="B29" s="21" t="s">
        <v>315</v>
      </c>
      <c r="C29" s="23" t="s">
        <v>22</v>
      </c>
      <c r="M29" s="23" t="str">
        <f>'SEF-3 p 6 Approved BLRs'!A1</f>
        <v>SEF-3 p 6 Approved BLRs</v>
      </c>
    </row>
  </sheetData>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8"/>
  <sheetViews>
    <sheetView topLeftCell="A16" zoomScaleNormal="100" workbookViewId="0">
      <selection activeCell="F36" sqref="F36"/>
    </sheetView>
  </sheetViews>
  <sheetFormatPr defaultColWidth="8.85546875" defaultRowHeight="12.75" x14ac:dyDescent="0.2"/>
  <cols>
    <col min="1" max="1" width="19.42578125" style="24" customWidth="1"/>
    <col min="2" max="2" width="7.5703125" style="24" customWidth="1"/>
    <col min="3" max="4" width="16" style="24" bestFit="1" customWidth="1"/>
    <col min="5" max="5" width="14.28515625" style="24" bestFit="1" customWidth="1"/>
    <col min="6" max="6" width="15.28515625" style="24" customWidth="1"/>
    <col min="7" max="7" width="14" style="24" bestFit="1" customWidth="1"/>
    <col min="8" max="8" width="15" style="24" bestFit="1" customWidth="1"/>
    <col min="9" max="9" width="14" style="24" bestFit="1" customWidth="1"/>
    <col min="10" max="10" width="11.7109375" style="24" customWidth="1"/>
    <col min="11" max="11" width="14" style="24" bestFit="1" customWidth="1"/>
    <col min="12" max="16384" width="8.85546875" style="24"/>
  </cols>
  <sheetData>
    <row r="1" spans="1:12" x14ac:dyDescent="0.2">
      <c r="A1" s="24" t="s">
        <v>254</v>
      </c>
      <c r="K1" s="2" t="s">
        <v>318</v>
      </c>
    </row>
    <row r="2" spans="1:12" x14ac:dyDescent="0.2">
      <c r="K2" s="25"/>
    </row>
    <row r="3" spans="1:12" ht="15.75" x14ac:dyDescent="0.25">
      <c r="A3" s="389" t="s">
        <v>23</v>
      </c>
      <c r="B3" s="389"/>
      <c r="C3" s="389"/>
      <c r="D3" s="389"/>
      <c r="E3" s="389"/>
      <c r="F3" s="389"/>
      <c r="G3" s="389"/>
      <c r="H3" s="389"/>
      <c r="I3" s="389"/>
      <c r="J3" s="389"/>
      <c r="K3" s="389"/>
    </row>
    <row r="4" spans="1:12" ht="15.75" x14ac:dyDescent="0.25">
      <c r="A4" s="390" t="s">
        <v>24</v>
      </c>
      <c r="B4" s="390"/>
      <c r="C4" s="390"/>
      <c r="D4" s="390"/>
      <c r="E4" s="390"/>
      <c r="F4" s="390"/>
      <c r="G4" s="390"/>
      <c r="H4" s="390"/>
      <c r="I4" s="390"/>
      <c r="J4" s="390"/>
      <c r="K4" s="390"/>
    </row>
    <row r="5" spans="1:12" ht="15.75" x14ac:dyDescent="0.25">
      <c r="A5" s="389" t="s">
        <v>25</v>
      </c>
      <c r="B5" s="389"/>
      <c r="C5" s="389"/>
      <c r="D5" s="389"/>
      <c r="E5" s="389"/>
      <c r="F5" s="389"/>
      <c r="G5" s="389"/>
      <c r="H5" s="389"/>
      <c r="I5" s="389"/>
      <c r="J5" s="389"/>
      <c r="K5" s="389"/>
    </row>
    <row r="6" spans="1:12" ht="15.75" x14ac:dyDescent="0.25">
      <c r="A6" s="391">
        <v>44196</v>
      </c>
      <c r="B6" s="391"/>
      <c r="C6" s="391"/>
      <c r="D6" s="391"/>
      <c r="E6" s="391"/>
      <c r="F6" s="391"/>
      <c r="G6" s="391"/>
      <c r="H6" s="391"/>
      <c r="I6" s="391"/>
      <c r="J6" s="391"/>
      <c r="K6" s="391"/>
    </row>
    <row r="7" spans="1:12" ht="16.899999999999999" customHeight="1" x14ac:dyDescent="0.2">
      <c r="K7" s="26"/>
    </row>
    <row r="8" spans="1:12" x14ac:dyDescent="0.2">
      <c r="K8" s="26"/>
    </row>
    <row r="9" spans="1:12" ht="15" customHeight="1" x14ac:dyDescent="0.2">
      <c r="A9" s="27" t="s">
        <v>26</v>
      </c>
      <c r="B9" s="28"/>
      <c r="C9" s="29" t="s">
        <v>27</v>
      </c>
      <c r="D9" s="30"/>
      <c r="E9" s="30"/>
      <c r="F9" s="30"/>
      <c r="G9" s="31"/>
      <c r="H9" s="392" t="s">
        <v>28</v>
      </c>
      <c r="I9" s="393"/>
      <c r="J9" s="393"/>
      <c r="K9" s="394"/>
    </row>
    <row r="10" spans="1:12" ht="51" x14ac:dyDescent="0.25">
      <c r="A10" s="32" t="s">
        <v>29</v>
      </c>
      <c r="B10" s="33" t="s">
        <v>30</v>
      </c>
      <c r="C10" s="34" t="s">
        <v>31</v>
      </c>
      <c r="D10" s="35" t="s">
        <v>32</v>
      </c>
      <c r="E10" s="35" t="s">
        <v>33</v>
      </c>
      <c r="F10" s="35" t="s">
        <v>34</v>
      </c>
      <c r="G10" s="36" t="s">
        <v>35</v>
      </c>
      <c r="H10" s="35" t="s">
        <v>36</v>
      </c>
      <c r="I10" s="35" t="s">
        <v>37</v>
      </c>
      <c r="J10" s="35" t="s">
        <v>38</v>
      </c>
      <c r="K10" s="36" t="s">
        <v>39</v>
      </c>
      <c r="L10" s="37"/>
    </row>
    <row r="11" spans="1:12" x14ac:dyDescent="0.2">
      <c r="A11" s="38" t="s">
        <v>40</v>
      </c>
      <c r="B11" s="39">
        <v>1</v>
      </c>
      <c r="C11" s="40">
        <v>844964750</v>
      </c>
      <c r="D11" s="41">
        <v>843126410</v>
      </c>
      <c r="E11" s="41">
        <f>C11-D11</f>
        <v>1838340</v>
      </c>
      <c r="F11" s="41">
        <v>-10041.857816</v>
      </c>
      <c r="G11" s="41">
        <f>E11+F11</f>
        <v>1828298.142184</v>
      </c>
      <c r="H11" s="42">
        <v>1828298.1421840005</v>
      </c>
      <c r="I11" s="41">
        <v>0</v>
      </c>
      <c r="J11" s="41">
        <v>0</v>
      </c>
      <c r="K11" s="43">
        <f>SUM(I11:J11)</f>
        <v>0</v>
      </c>
    </row>
    <row r="12" spans="1:12" x14ac:dyDescent="0.2">
      <c r="A12" s="44" t="s">
        <v>41</v>
      </c>
      <c r="B12" s="39">
        <v>2</v>
      </c>
      <c r="C12" s="45">
        <v>902349263.97024715</v>
      </c>
      <c r="D12" s="46">
        <v>872785984.59352458</v>
      </c>
      <c r="E12" s="46">
        <f t="shared" ref="E12:E22" si="0">C12-D12</f>
        <v>29563279.376722574</v>
      </c>
      <c r="F12" s="46">
        <v>-11955.56486819593</v>
      </c>
      <c r="G12" s="46">
        <f t="shared" ref="G12:G30" si="1">E12+F12</f>
        <v>29551323.811854377</v>
      </c>
      <c r="H12" s="47">
        <v>24775661.905927196</v>
      </c>
      <c r="I12" s="46">
        <v>4775661.905927198</v>
      </c>
      <c r="J12" s="46">
        <v>59850.54</v>
      </c>
      <c r="K12" s="48">
        <f t="shared" ref="K12:K24" si="2">SUM(I12:J12)</f>
        <v>4835512.445927198</v>
      </c>
    </row>
    <row r="13" spans="1:12" x14ac:dyDescent="0.2">
      <c r="A13" s="44" t="s">
        <v>42</v>
      </c>
      <c r="B13" s="39">
        <v>3</v>
      </c>
      <c r="C13" s="45">
        <v>959374104.03139043</v>
      </c>
      <c r="D13" s="46">
        <v>949412458.91374898</v>
      </c>
      <c r="E13" s="46">
        <f t="shared" si="0"/>
        <v>9961645.117641449</v>
      </c>
      <c r="F13" s="46">
        <v>-4084.5046275270583</v>
      </c>
      <c r="G13" s="46">
        <f t="shared" si="1"/>
        <v>9957560.6130139213</v>
      </c>
      <c r="H13" s="47">
        <v>9957560.1130137034</v>
      </c>
      <c r="I13" s="46">
        <v>0</v>
      </c>
      <c r="J13" s="46">
        <v>318471.18</v>
      </c>
      <c r="K13" s="48">
        <f t="shared" si="2"/>
        <v>318471.18</v>
      </c>
    </row>
    <row r="14" spans="1:12" x14ac:dyDescent="0.2">
      <c r="A14" s="44" t="s">
        <v>43</v>
      </c>
      <c r="B14" s="39">
        <v>4</v>
      </c>
      <c r="C14" s="45">
        <v>1062847819.7545457</v>
      </c>
      <c r="D14" s="46">
        <v>1075227682.880441</v>
      </c>
      <c r="E14" s="46">
        <f t="shared" si="0"/>
        <v>-12379863.125895262</v>
      </c>
      <c r="F14" s="46">
        <v>4375.2658466270659</v>
      </c>
      <c r="G14" s="46">
        <f t="shared" si="1"/>
        <v>-12375487.860048635</v>
      </c>
      <c r="H14" s="47">
        <v>-12375487.8600486</v>
      </c>
      <c r="I14" s="46">
        <v>0</v>
      </c>
      <c r="J14" s="46">
        <v>633012.99</v>
      </c>
      <c r="K14" s="48">
        <f t="shared" si="2"/>
        <v>633012.99</v>
      </c>
    </row>
    <row r="15" spans="1:12" x14ac:dyDescent="0.2">
      <c r="A15" s="44" t="s">
        <v>44</v>
      </c>
      <c r="B15" s="39">
        <v>5</v>
      </c>
      <c r="C15" s="45">
        <v>596418335.19410086</v>
      </c>
      <c r="D15" s="46">
        <v>597089566.84872186</v>
      </c>
      <c r="E15" s="46">
        <f t="shared" si="0"/>
        <v>-671231.65462100506</v>
      </c>
      <c r="F15" s="46">
        <v>198.48320027138107</v>
      </c>
      <c r="G15" s="46">
        <f t="shared" si="1"/>
        <v>-671033.17142073368</v>
      </c>
      <c r="H15" s="47">
        <v>-671033.17142074555</v>
      </c>
      <c r="I15" s="46">
        <v>0</v>
      </c>
      <c r="J15" s="46">
        <v>97548.88</v>
      </c>
      <c r="K15" s="48">
        <f t="shared" si="2"/>
        <v>97548.88</v>
      </c>
    </row>
    <row r="16" spans="1:12" x14ac:dyDescent="0.2">
      <c r="A16" s="44" t="s">
        <v>45</v>
      </c>
      <c r="B16" s="39">
        <v>6</v>
      </c>
      <c r="C16" s="45">
        <v>1222865319.6180968</v>
      </c>
      <c r="D16" s="46">
        <v>1253089187.2173302</v>
      </c>
      <c r="E16" s="46">
        <f t="shared" si="0"/>
        <v>-30223867.599233389</v>
      </c>
      <c r="F16" s="46">
        <v>11197.107687541837</v>
      </c>
      <c r="G16" s="46">
        <f>E16+F16-0.01</f>
        <v>-30212670.50154585</v>
      </c>
      <c r="H16" s="47">
        <v>-25106334.74577</v>
      </c>
      <c r="I16" s="46">
        <v>-5106336.2457729317</v>
      </c>
      <c r="J16" s="46">
        <v>-57570.279999999977</v>
      </c>
      <c r="K16" s="48">
        <f>SUM(I16:J16)+0.03</f>
        <v>-5163906.4957729317</v>
      </c>
    </row>
    <row r="17" spans="1:11" x14ac:dyDescent="0.2">
      <c r="A17" s="44" t="s">
        <v>46</v>
      </c>
      <c r="B17" s="39">
        <v>7</v>
      </c>
      <c r="C17" s="45">
        <v>1328115191.0171254</v>
      </c>
      <c r="D17" s="46">
        <v>1329880671.323267</v>
      </c>
      <c r="E17" s="46">
        <f t="shared" si="0"/>
        <v>-1765480.3061416149</v>
      </c>
      <c r="F17" s="46">
        <v>555.92425131658092</v>
      </c>
      <c r="G17" s="46">
        <f t="shared" si="1"/>
        <v>-1764924.3818902983</v>
      </c>
      <c r="H17" s="47">
        <v>-1764924.3818904329</v>
      </c>
      <c r="I17" s="46">
        <v>0</v>
      </c>
      <c r="J17" s="46">
        <v>-140876.32999999999</v>
      </c>
      <c r="K17" s="48">
        <f t="shared" si="2"/>
        <v>-140876.32999999999</v>
      </c>
    </row>
    <row r="18" spans="1:11" x14ac:dyDescent="0.2">
      <c r="A18" s="44" t="s">
        <v>47</v>
      </c>
      <c r="B18" s="39">
        <v>8</v>
      </c>
      <c r="C18" s="45">
        <v>1404869952.8157759</v>
      </c>
      <c r="D18" s="46">
        <v>1374588966.0130439</v>
      </c>
      <c r="E18" s="46">
        <f t="shared" si="0"/>
        <v>30280986.802731991</v>
      </c>
      <c r="F18" s="46">
        <v>-10889.345664129194</v>
      </c>
      <c r="G18" s="46">
        <f t="shared" si="1"/>
        <v>30270097.457067862</v>
      </c>
      <c r="H18" s="47">
        <v>25135048.728533998</v>
      </c>
      <c r="I18" s="46">
        <v>5135048.7285339981</v>
      </c>
      <c r="J18" s="46">
        <v>-28888.25</v>
      </c>
      <c r="K18" s="48">
        <f t="shared" si="2"/>
        <v>5106160.4785339981</v>
      </c>
    </row>
    <row r="19" spans="1:11" x14ac:dyDescent="0.2">
      <c r="A19" s="44" t="s">
        <v>48</v>
      </c>
      <c r="B19" s="39">
        <v>9</v>
      </c>
      <c r="C19" s="45">
        <v>1373029095.7777412</v>
      </c>
      <c r="D19" s="46">
        <v>1336852575.7359295</v>
      </c>
      <c r="E19" s="46">
        <f t="shared" si="0"/>
        <v>36176520.041811705</v>
      </c>
      <c r="F19" s="46">
        <v>-12991.809044456051</v>
      </c>
      <c r="G19" s="46">
        <f t="shared" si="1"/>
        <v>36163528.232767247</v>
      </c>
      <c r="H19" s="47">
        <v>28081764.116383635</v>
      </c>
      <c r="I19" s="46">
        <v>8081764.1163836308</v>
      </c>
      <c r="J19" s="46">
        <v>228424.27000000002</v>
      </c>
      <c r="K19" s="48">
        <f t="shared" si="2"/>
        <v>8310188.3863836303</v>
      </c>
    </row>
    <row r="20" spans="1:11" x14ac:dyDescent="0.2">
      <c r="A20" s="44" t="s">
        <v>49</v>
      </c>
      <c r="B20" s="39">
        <v>10</v>
      </c>
      <c r="C20" s="45">
        <v>1351667526.8192265</v>
      </c>
      <c r="D20" s="46">
        <v>1386507506.9778061</v>
      </c>
      <c r="E20" s="46">
        <f t="shared" si="0"/>
        <v>-34839980.158579588</v>
      </c>
      <c r="F20" s="46">
        <v>12162.637073359452</v>
      </c>
      <c r="G20" s="46">
        <f t="shared" si="1"/>
        <v>-34827817.521506228</v>
      </c>
      <c r="H20" s="47">
        <v>-27413908.760753103</v>
      </c>
      <c r="I20" s="46">
        <v>-7413908.7607531026</v>
      </c>
      <c r="J20" s="46">
        <v>235834.49</v>
      </c>
      <c r="K20" s="48">
        <f t="shared" si="2"/>
        <v>-7178074.2707531024</v>
      </c>
    </row>
    <row r="21" spans="1:11" x14ac:dyDescent="0.2">
      <c r="A21" s="44" t="s">
        <v>50</v>
      </c>
      <c r="B21" s="39">
        <v>11</v>
      </c>
      <c r="C21" s="45">
        <v>1291380391.3549569</v>
      </c>
      <c r="D21" s="46">
        <v>1317033977.9436071</v>
      </c>
      <c r="E21" s="46">
        <f t="shared" si="0"/>
        <v>-25653586.588650227</v>
      </c>
      <c r="F21" s="46">
        <v>9022.6316473116167</v>
      </c>
      <c r="G21" s="46">
        <f t="shared" si="1"/>
        <v>-25644563.957002915</v>
      </c>
      <c r="H21" s="47">
        <v>-22822281.978501365</v>
      </c>
      <c r="I21" s="46">
        <v>-2822281.9785013627</v>
      </c>
      <c r="J21" s="46">
        <v>-222321.84999999998</v>
      </c>
      <c r="K21" s="48">
        <f t="shared" si="2"/>
        <v>-3044603.8285013628</v>
      </c>
    </row>
    <row r="22" spans="1:11" x14ac:dyDescent="0.2">
      <c r="A22" s="44" t="s">
        <v>51</v>
      </c>
      <c r="B22" s="39">
        <v>12</v>
      </c>
      <c r="C22" s="45">
        <v>1274102997.3475122</v>
      </c>
      <c r="D22" s="49">
        <v>1312154858.628</v>
      </c>
      <c r="E22" s="46">
        <f t="shared" si="0"/>
        <v>-38051861.280487776</v>
      </c>
      <c r="F22" s="49">
        <v>12978.624</v>
      </c>
      <c r="G22" s="46">
        <f t="shared" si="1"/>
        <v>-38038882.656487778</v>
      </c>
      <c r="H22" s="50">
        <v>-29019441.328000002</v>
      </c>
      <c r="I22" s="49">
        <v>-9019441.3279999997</v>
      </c>
      <c r="J22" s="49">
        <v>-213421.28</v>
      </c>
      <c r="K22" s="48">
        <f t="shared" si="2"/>
        <v>-9232862.6079999991</v>
      </c>
    </row>
    <row r="23" spans="1:11" x14ac:dyDescent="0.2">
      <c r="A23" s="44" t="s">
        <v>52</v>
      </c>
      <c r="B23" s="39">
        <v>13</v>
      </c>
      <c r="C23" s="45">
        <v>1287974217.5695443</v>
      </c>
      <c r="D23" s="46">
        <v>1248312258.778192</v>
      </c>
      <c r="E23" s="46">
        <f>C23-D23+1</f>
        <v>39661959.791352272</v>
      </c>
      <c r="F23" s="46">
        <v>-14285.279181989725</v>
      </c>
      <c r="G23" s="46">
        <f t="shared" si="1"/>
        <v>39647674.512170285</v>
      </c>
      <c r="H23" s="47">
        <v>29823837.132318199</v>
      </c>
      <c r="I23" s="46">
        <v>9823837.1323181987</v>
      </c>
      <c r="J23" s="46">
        <v>-152027.51</v>
      </c>
      <c r="K23" s="48">
        <f t="shared" si="2"/>
        <v>9671809.6223181989</v>
      </c>
    </row>
    <row r="24" spans="1:11" x14ac:dyDescent="0.2">
      <c r="A24" s="44" t="s">
        <v>53</v>
      </c>
      <c r="B24" s="39">
        <v>14</v>
      </c>
      <c r="C24" s="45">
        <v>1236017951.8704073</v>
      </c>
      <c r="D24" s="46">
        <v>1227782112.6010308</v>
      </c>
      <c r="E24" s="46">
        <f>C24-D24</f>
        <v>8235839.2693765163</v>
      </c>
      <c r="F24" s="46">
        <v>-2871.0135693038465</v>
      </c>
      <c r="G24" s="46">
        <f t="shared" si="1"/>
        <v>8232968.2558072126</v>
      </c>
      <c r="H24" s="47">
        <v>8232968.2558071353</v>
      </c>
      <c r="I24" s="46">
        <v>0</v>
      </c>
      <c r="J24" s="46">
        <v>112266.22</v>
      </c>
      <c r="K24" s="48">
        <f t="shared" si="2"/>
        <v>112266.22</v>
      </c>
    </row>
    <row r="25" spans="1:11" x14ac:dyDescent="0.2">
      <c r="A25" s="44" t="s">
        <v>54</v>
      </c>
      <c r="B25" s="39">
        <v>15</v>
      </c>
      <c r="C25" s="45">
        <v>1220596542.9704072</v>
      </c>
      <c r="D25" s="46">
        <v>1218537443.1465518</v>
      </c>
      <c r="E25" s="46">
        <f>C25-D25</f>
        <v>2059099.8238554001</v>
      </c>
      <c r="F25" s="46">
        <v>-717.80219859653153</v>
      </c>
      <c r="G25" s="46">
        <f t="shared" si="1"/>
        <v>2058382.0216568036</v>
      </c>
      <c r="H25" s="47">
        <v>2058382.0216568038</v>
      </c>
      <c r="I25" s="46">
        <v>0</v>
      </c>
      <c r="J25" s="49">
        <v>118735.72000000002</v>
      </c>
      <c r="K25" s="48">
        <f>SUM(I25:J25)</f>
        <v>118735.72000000002</v>
      </c>
    </row>
    <row r="26" spans="1:11" x14ac:dyDescent="0.2">
      <c r="A26" s="44" t="s">
        <v>55</v>
      </c>
      <c r="B26" s="39">
        <v>16</v>
      </c>
      <c r="C26" s="45">
        <v>724504794.36064517</v>
      </c>
      <c r="D26" s="46">
        <v>712806440.73005688</v>
      </c>
      <c r="E26" s="46">
        <f>C26-D26</f>
        <v>11698353.630588293</v>
      </c>
      <c r="F26" s="46">
        <v>-4074.5953580830246</v>
      </c>
      <c r="G26" s="46">
        <f t="shared" si="1"/>
        <v>11694279.03523021</v>
      </c>
      <c r="H26" s="47">
        <v>11694278.888148952</v>
      </c>
      <c r="I26" s="46">
        <v>0</v>
      </c>
      <c r="J26" s="49">
        <v>132897.58000000002</v>
      </c>
      <c r="K26" s="48">
        <f>SUM(I26:J26)</f>
        <v>132897.58000000002</v>
      </c>
    </row>
    <row r="27" spans="1:11" x14ac:dyDescent="0.2">
      <c r="A27" s="44" t="s">
        <v>56</v>
      </c>
      <c r="B27" s="39">
        <v>17</v>
      </c>
      <c r="C27" s="51">
        <v>672820072.63999999</v>
      </c>
      <c r="D27" s="46">
        <v>681067291.78421998</v>
      </c>
      <c r="E27" s="46">
        <f t="shared" ref="E27" si="3">C27-D27</f>
        <v>-8247219.1442199945</v>
      </c>
      <c r="F27" s="46">
        <v>2757.8700818255311</v>
      </c>
      <c r="G27" s="46">
        <f t="shared" si="1"/>
        <v>-8244461.2741381694</v>
      </c>
      <c r="H27" s="45">
        <v>-8244461.2741381861</v>
      </c>
      <c r="I27" s="46">
        <v>0</v>
      </c>
      <c r="J27" s="49">
        <v>144165.36000000002</v>
      </c>
      <c r="K27" s="52">
        <f>SUM(I27:J27)</f>
        <v>144165.36000000002</v>
      </c>
    </row>
    <row r="28" spans="1:11" x14ac:dyDescent="0.2">
      <c r="A28" s="44" t="s">
        <v>57</v>
      </c>
      <c r="B28" s="39">
        <v>18</v>
      </c>
      <c r="C28" s="45">
        <v>756262068.65999997</v>
      </c>
      <c r="D28" s="46">
        <v>689007443.93178606</v>
      </c>
      <c r="E28" s="46">
        <v>67254624.728213906</v>
      </c>
      <c r="F28" s="46">
        <v>-22489.947526425123</v>
      </c>
      <c r="G28" s="46">
        <f t="shared" si="1"/>
        <v>67232134.780687481</v>
      </c>
      <c r="H28" s="47">
        <v>31223213.778170489</v>
      </c>
      <c r="I28" s="46">
        <v>36008921.303534389</v>
      </c>
      <c r="J28" s="49">
        <v>1001058.1200000001</v>
      </c>
      <c r="K28" s="48">
        <f>SUM(I28:J28)</f>
        <v>37009979.423534386</v>
      </c>
    </row>
    <row r="29" spans="1:11" x14ac:dyDescent="0.2">
      <c r="A29" s="53" t="s">
        <v>58</v>
      </c>
      <c r="B29" s="39">
        <v>18</v>
      </c>
      <c r="C29" s="45">
        <f>I29</f>
        <v>-39463264.873670019</v>
      </c>
      <c r="D29" s="46"/>
      <c r="E29" s="46">
        <f t="shared" ref="E29" si="4">C29-D29</f>
        <v>-39463264.873670019</v>
      </c>
      <c r="F29" s="54"/>
      <c r="G29" s="46">
        <f t="shared" si="1"/>
        <v>-39463264.873670019</v>
      </c>
      <c r="H29" s="45"/>
      <c r="I29" s="55">
        <f>-SUM(I11:I28)</f>
        <v>-39463264.873670019</v>
      </c>
      <c r="J29" s="55">
        <f>-SUM(J11:J28)</f>
        <v>-2267159.8500000006</v>
      </c>
      <c r="K29" s="52">
        <f>-SUM(K11:K28)</f>
        <v>-41730424.753670014</v>
      </c>
    </row>
    <row r="30" spans="1:11" x14ac:dyDescent="0.2">
      <c r="A30" s="44" t="s">
        <v>59</v>
      </c>
      <c r="B30" s="39">
        <v>19</v>
      </c>
      <c r="C30" s="50">
        <f>'SEF-3 p 3 Sch B'!R21</f>
        <v>747585116.48013973</v>
      </c>
      <c r="D30" s="49">
        <f>'SEF-3 p 3 Sch B'!R32</f>
        <v>671441456.57952166</v>
      </c>
      <c r="E30" s="49">
        <f>C30-D30</f>
        <v>76143659.900618076</v>
      </c>
      <c r="F30" s="49">
        <f>'SEF-3 p 3 Sch B'!R38+'SEF-3 p 3 Sch B'!R39-'SEF-3 p 3 Sch B'!R35</f>
        <v>-25000.775020971894</v>
      </c>
      <c r="G30" s="49">
        <f t="shared" si="1"/>
        <v>76118659.125597104</v>
      </c>
      <c r="H30" s="51">
        <f>SUM('SEF-3 p 4 Bands'!AF245:AF256)</f>
        <v>32111865.912559718</v>
      </c>
      <c r="I30" s="56">
        <f>SUM('SEF-3 p 4 Bands'!P245:P256)</f>
        <v>44006793.213037401</v>
      </c>
      <c r="J30" s="49">
        <f>'SEF-3 p 5 Interest'!O437</f>
        <v>2002495.3000000005</v>
      </c>
      <c r="K30" s="52">
        <f>SUM(I30:J30)</f>
        <v>46009288.513037398</v>
      </c>
    </row>
    <row r="31" spans="1:11" x14ac:dyDescent="0.2">
      <c r="A31" s="57" t="s">
        <v>60</v>
      </c>
      <c r="B31" s="58"/>
      <c r="C31" s="59">
        <f>SUM(C11:C30)+1</f>
        <v>20218282248.378193</v>
      </c>
      <c r="D31" s="59">
        <f>SUM(D11:D30)</f>
        <v>20096704294.626781</v>
      </c>
      <c r="E31" s="59">
        <f>SUM(E11:E30)</f>
        <v>121577953.75141332</v>
      </c>
      <c r="F31" s="59">
        <f>SUM(F11:F30)</f>
        <v>-66153.95108742491</v>
      </c>
      <c r="G31" s="59">
        <f>SUM(G11:G30)</f>
        <v>121511799.79032588</v>
      </c>
      <c r="H31" s="59">
        <f>SUM(H11:H30)+1.12</f>
        <v>77505006.614181399</v>
      </c>
      <c r="I31" s="60">
        <f>SUM(I11:I30)</f>
        <v>44006793.213037401</v>
      </c>
      <c r="J31" s="59">
        <f>SUM(J11:J30)</f>
        <v>2002495.3000000005</v>
      </c>
      <c r="K31" s="61">
        <f>SUM(K11:K30)</f>
        <v>46009288.513037398</v>
      </c>
    </row>
    <row r="32" spans="1:11" x14ac:dyDescent="0.2">
      <c r="A32" s="62"/>
      <c r="C32" s="63"/>
      <c r="D32" s="63"/>
      <c r="E32" s="63"/>
      <c r="F32" s="63"/>
      <c r="G32" s="63"/>
      <c r="H32" s="63"/>
      <c r="I32" s="63"/>
      <c r="J32" s="63"/>
      <c r="K32" s="63"/>
    </row>
    <row r="33" spans="1:11" x14ac:dyDescent="0.2">
      <c r="A33" s="62"/>
      <c r="C33" s="63"/>
      <c r="D33" s="63"/>
      <c r="E33" s="63"/>
      <c r="F33" s="63"/>
      <c r="G33" s="63"/>
      <c r="H33" s="63"/>
      <c r="I33" s="63"/>
      <c r="J33" s="63"/>
      <c r="K33" s="63"/>
    </row>
    <row r="34" spans="1:11" ht="41.25" customHeight="1" x14ac:dyDescent="0.2">
      <c r="A34" s="388" t="s">
        <v>61</v>
      </c>
      <c r="B34" s="388"/>
      <c r="C34" s="388"/>
      <c r="D34" s="388"/>
      <c r="E34" s="388"/>
      <c r="F34" s="388"/>
    </row>
    <row r="35" spans="1:11" x14ac:dyDescent="0.2">
      <c r="C35" s="41"/>
      <c r="D35" s="41"/>
      <c r="E35" s="41"/>
      <c r="F35" s="41"/>
      <c r="G35" s="41"/>
      <c r="H35" s="41"/>
      <c r="I35" s="41"/>
      <c r="J35" s="41"/>
      <c r="K35" s="41"/>
    </row>
    <row r="36" spans="1:11" x14ac:dyDescent="0.2">
      <c r="C36" s="41"/>
      <c r="D36" s="41"/>
      <c r="E36" s="41"/>
      <c r="F36" s="41"/>
      <c r="G36" s="41"/>
      <c r="H36" s="41"/>
      <c r="I36" s="41"/>
      <c r="J36" s="41"/>
      <c r="K36" s="41"/>
    </row>
    <row r="37" spans="1:11" x14ac:dyDescent="0.2">
      <c r="C37" s="41"/>
      <c r="D37" s="41"/>
      <c r="E37" s="41"/>
      <c r="F37" s="41"/>
      <c r="G37" s="41"/>
      <c r="H37" s="41"/>
      <c r="I37" s="41"/>
      <c r="J37" s="41"/>
      <c r="K37" s="41"/>
    </row>
    <row r="38" spans="1:11" x14ac:dyDescent="0.2">
      <c r="C38" s="41"/>
      <c r="D38" s="41"/>
      <c r="E38" s="41"/>
      <c r="F38" s="41"/>
      <c r="G38" s="41"/>
      <c r="H38" s="41"/>
      <c r="I38" s="41"/>
      <c r="J38" s="41"/>
      <c r="K38" s="41"/>
    </row>
  </sheetData>
  <mergeCells count="6">
    <mergeCell ref="A34:F34"/>
    <mergeCell ref="A3:K3"/>
    <mergeCell ref="A4:K4"/>
    <mergeCell ref="A5:K5"/>
    <mergeCell ref="A6:K6"/>
    <mergeCell ref="H9:K9"/>
  </mergeCells>
  <pageMargins left="0.7" right="0.7" top="0.75" bottom="0.75"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42"/>
  <sheetViews>
    <sheetView zoomScale="90" zoomScaleNormal="90" workbookViewId="0">
      <selection activeCell="G2" sqref="G2"/>
    </sheetView>
  </sheetViews>
  <sheetFormatPr defaultColWidth="9.140625" defaultRowHeight="12.75" x14ac:dyDescent="0.2"/>
  <cols>
    <col min="1" max="1" width="8.5703125" style="64" customWidth="1"/>
    <col min="2" max="2" width="37.28515625" style="64" customWidth="1"/>
    <col min="3" max="3" width="9.28515625" style="64" customWidth="1"/>
    <col min="4" max="4" width="17.85546875" style="64" bestFit="1" customWidth="1"/>
    <col min="5" max="5" width="11.85546875" style="64" customWidth="1"/>
    <col min="6" max="6" width="5.7109375" style="64" customWidth="1"/>
    <col min="7" max="7" width="14.140625" style="64" customWidth="1"/>
    <col min="8" max="11" width="12.140625" style="64" bestFit="1" customWidth="1"/>
    <col min="12" max="16384" width="9.140625" style="64"/>
  </cols>
  <sheetData>
    <row r="1" spans="1:13" ht="15.6" customHeight="1" x14ac:dyDescent="0.2">
      <c r="A1" s="24" t="s">
        <v>255</v>
      </c>
      <c r="G1" s="2" t="s">
        <v>319</v>
      </c>
    </row>
    <row r="2" spans="1:13" ht="15.6" customHeight="1" x14ac:dyDescent="0.2">
      <c r="G2" s="25"/>
    </row>
    <row r="3" spans="1:13" ht="15.6" customHeight="1" x14ac:dyDescent="0.2">
      <c r="A3" s="65" t="s">
        <v>62</v>
      </c>
      <c r="B3" s="65"/>
      <c r="C3" s="65"/>
      <c r="D3" s="65"/>
      <c r="E3" s="65"/>
      <c r="F3" s="65"/>
      <c r="G3" s="66"/>
    </row>
    <row r="4" spans="1:13" ht="15.6" customHeight="1" x14ac:dyDescent="0.2">
      <c r="A4" s="65" t="s">
        <v>63</v>
      </c>
      <c r="B4" s="65"/>
      <c r="C4" s="65"/>
      <c r="D4" s="65"/>
      <c r="E4" s="65"/>
      <c r="F4" s="65"/>
      <c r="G4" s="67"/>
    </row>
    <row r="5" spans="1:13" ht="15.6" customHeight="1" x14ac:dyDescent="0.2">
      <c r="A5" s="65" t="s">
        <v>64</v>
      </c>
      <c r="B5" s="65"/>
      <c r="C5" s="65"/>
      <c r="D5" s="65"/>
      <c r="E5" s="65"/>
      <c r="F5" s="65"/>
      <c r="G5" s="67"/>
    </row>
    <row r="6" spans="1:13" ht="18" customHeight="1" x14ac:dyDescent="0.2">
      <c r="H6" s="68"/>
      <c r="I6" s="68"/>
      <c r="J6" s="68"/>
      <c r="K6" s="68"/>
      <c r="L6" s="68"/>
      <c r="M6" s="68"/>
    </row>
    <row r="7" spans="1:13" ht="18" customHeight="1" x14ac:dyDescent="0.2">
      <c r="A7" s="69" t="s">
        <v>65</v>
      </c>
      <c r="B7" s="70"/>
      <c r="C7" s="70"/>
      <c r="D7" s="70"/>
      <c r="E7" s="70"/>
      <c r="F7" s="70"/>
      <c r="G7" s="71"/>
      <c r="H7" s="72"/>
      <c r="I7" s="72"/>
      <c r="J7" s="72"/>
      <c r="K7" s="72"/>
      <c r="L7" s="72"/>
      <c r="M7" s="72"/>
    </row>
    <row r="8" spans="1:13" x14ac:dyDescent="0.2">
      <c r="A8" s="73"/>
      <c r="B8" s="74"/>
      <c r="C8" s="73"/>
      <c r="D8" s="75"/>
      <c r="E8" s="76"/>
      <c r="F8" s="76"/>
      <c r="G8" s="77"/>
      <c r="H8" s="77"/>
      <c r="I8" s="77"/>
      <c r="J8" s="77"/>
      <c r="K8" s="77"/>
      <c r="L8" s="77"/>
      <c r="M8" s="77"/>
    </row>
    <row r="9" spans="1:13" x14ac:dyDescent="0.2">
      <c r="A9" s="73"/>
      <c r="B9" s="68"/>
      <c r="C9" s="68"/>
      <c r="D9" s="78"/>
      <c r="E9" s="68"/>
      <c r="F9" s="79"/>
      <c r="G9" s="80" t="s">
        <v>66</v>
      </c>
      <c r="H9" s="81"/>
      <c r="I9" s="81"/>
      <c r="J9" s="81"/>
      <c r="K9" s="81"/>
      <c r="L9" s="81"/>
      <c r="M9" s="81"/>
    </row>
    <row r="10" spans="1:13" x14ac:dyDescent="0.2">
      <c r="A10" s="73"/>
      <c r="B10" s="74"/>
      <c r="C10" s="82"/>
      <c r="D10" s="83"/>
      <c r="E10" s="84"/>
      <c r="F10" s="79"/>
      <c r="G10" s="80" t="s">
        <v>67</v>
      </c>
      <c r="H10" s="85"/>
      <c r="I10" s="85"/>
      <c r="J10" s="85"/>
      <c r="K10" s="85"/>
      <c r="L10" s="85"/>
      <c r="M10" s="85"/>
    </row>
    <row r="11" spans="1:13" x14ac:dyDescent="0.2">
      <c r="A11" s="73"/>
      <c r="B11" s="86"/>
      <c r="C11" s="73"/>
      <c r="D11" s="83"/>
      <c r="E11" s="87" t="s">
        <v>68</v>
      </c>
      <c r="F11" s="88"/>
      <c r="G11" s="80" t="s">
        <v>69</v>
      </c>
      <c r="H11" s="89"/>
      <c r="I11" s="89"/>
      <c r="J11" s="89"/>
      <c r="K11" s="89"/>
      <c r="L11" s="89"/>
      <c r="M11" s="89"/>
    </row>
    <row r="12" spans="1:13" x14ac:dyDescent="0.2">
      <c r="A12" s="90" t="s">
        <v>70</v>
      </c>
      <c r="B12" s="90" t="s">
        <v>26</v>
      </c>
      <c r="C12" s="91"/>
      <c r="D12" s="90" t="s">
        <v>71</v>
      </c>
      <c r="E12" s="90" t="s">
        <v>72</v>
      </c>
      <c r="F12" s="92"/>
      <c r="G12" s="92" t="s">
        <v>73</v>
      </c>
      <c r="H12" s="89"/>
      <c r="I12" s="89"/>
      <c r="J12" s="89"/>
      <c r="K12" s="89"/>
      <c r="L12" s="89"/>
      <c r="M12" s="89"/>
    </row>
    <row r="13" spans="1:13" x14ac:dyDescent="0.2">
      <c r="B13" s="74"/>
      <c r="C13" s="73"/>
      <c r="D13" s="93"/>
      <c r="E13" s="94" t="s">
        <v>74</v>
      </c>
      <c r="F13" s="95"/>
      <c r="G13" s="89"/>
      <c r="H13" s="89"/>
      <c r="I13" s="89"/>
      <c r="J13" s="89"/>
      <c r="K13" s="89"/>
      <c r="L13" s="89"/>
      <c r="M13" s="89"/>
    </row>
    <row r="14" spans="1:13" x14ac:dyDescent="0.2">
      <c r="A14" s="73">
        <v>10</v>
      </c>
      <c r="B14" s="74" t="s">
        <v>75</v>
      </c>
      <c r="C14" s="93"/>
      <c r="D14" s="96" t="s">
        <v>76</v>
      </c>
      <c r="E14" s="97"/>
      <c r="F14" s="93" t="s">
        <v>77</v>
      </c>
      <c r="G14" s="98">
        <v>0</v>
      </c>
      <c r="H14" s="68"/>
      <c r="I14" s="68"/>
      <c r="J14" s="68"/>
      <c r="K14" s="68"/>
      <c r="L14" s="68"/>
      <c r="M14" s="68"/>
    </row>
    <row r="15" spans="1:13" x14ac:dyDescent="0.2">
      <c r="A15" s="73" t="s">
        <v>78</v>
      </c>
      <c r="B15" s="74" t="s">
        <v>79</v>
      </c>
      <c r="C15" s="93"/>
      <c r="D15" s="98">
        <f>'SEF-3 p 3 Sch B'!R19</f>
        <v>4787056.9800000004</v>
      </c>
      <c r="E15" s="97">
        <f t="shared" ref="E15:E32" si="0">D15/$D$41</f>
        <v>0.23854047952655039</v>
      </c>
      <c r="F15" s="93" t="s">
        <v>80</v>
      </c>
      <c r="G15" s="99">
        <f>D15</f>
        <v>4787056.9800000004</v>
      </c>
      <c r="H15" s="68"/>
      <c r="I15" s="68"/>
      <c r="J15" s="68"/>
      <c r="K15" s="68"/>
      <c r="L15" s="68"/>
      <c r="M15" s="68"/>
    </row>
    <row r="16" spans="1:13" x14ac:dyDescent="0.2">
      <c r="A16" s="73" t="s">
        <v>81</v>
      </c>
      <c r="B16" s="64" t="s">
        <v>82</v>
      </c>
      <c r="C16" s="93"/>
      <c r="D16" s="75">
        <f>'SEF-3 p 3 Sch B'!R20</f>
        <v>6553425.610139749</v>
      </c>
      <c r="E16" s="100">
        <f t="shared" si="0"/>
        <v>0.32655915609851621</v>
      </c>
      <c r="F16" s="93" t="s">
        <v>80</v>
      </c>
      <c r="G16" s="99">
        <f t="shared" ref="G16" si="1">D16</f>
        <v>6553425.610139749</v>
      </c>
      <c r="H16" s="68"/>
      <c r="I16" s="68"/>
      <c r="J16" s="68"/>
      <c r="K16" s="68"/>
      <c r="L16" s="68"/>
      <c r="M16" s="68"/>
    </row>
    <row r="17" spans="1:13" x14ac:dyDescent="0.2">
      <c r="A17" s="73">
        <v>11</v>
      </c>
      <c r="B17" s="68" t="s">
        <v>83</v>
      </c>
      <c r="C17" s="93"/>
      <c r="D17" s="96" t="s">
        <v>76</v>
      </c>
      <c r="E17" s="100"/>
      <c r="F17" s="93" t="s">
        <v>77</v>
      </c>
      <c r="G17" s="68"/>
      <c r="H17" s="68"/>
      <c r="I17" s="68"/>
      <c r="J17" s="68"/>
      <c r="K17" s="68"/>
      <c r="L17" s="68"/>
      <c r="M17" s="68"/>
    </row>
    <row r="18" spans="1:13" x14ac:dyDescent="0.2">
      <c r="A18" s="73">
        <v>12</v>
      </c>
      <c r="B18" s="68" t="s">
        <v>84</v>
      </c>
      <c r="C18" s="93"/>
      <c r="D18" s="96" t="s">
        <v>76</v>
      </c>
      <c r="E18" s="100"/>
      <c r="F18" s="101" t="s">
        <v>77</v>
      </c>
      <c r="G18" s="68"/>
      <c r="H18" s="68"/>
      <c r="I18" s="68"/>
      <c r="J18" s="68"/>
      <c r="K18" s="68"/>
      <c r="L18" s="68"/>
      <c r="M18" s="68"/>
    </row>
    <row r="19" spans="1:13" x14ac:dyDescent="0.2">
      <c r="A19" s="73">
        <v>13</v>
      </c>
      <c r="B19" s="68" t="s">
        <v>85</v>
      </c>
      <c r="C19" s="68"/>
      <c r="D19" s="75">
        <f>'SEF-3 p 3 Sch B'!R8</f>
        <v>40960558</v>
      </c>
      <c r="E19" s="100">
        <f t="shared" si="0"/>
        <v>2.0410768427901771</v>
      </c>
      <c r="F19" s="99" t="s">
        <v>80</v>
      </c>
      <c r="G19" s="99">
        <f t="shared" ref="G19:G20" si="2">D19</f>
        <v>40960558</v>
      </c>
      <c r="H19" s="68"/>
      <c r="I19" s="68"/>
      <c r="J19" s="68"/>
      <c r="K19" s="68"/>
      <c r="L19" s="68"/>
      <c r="M19" s="68"/>
    </row>
    <row r="20" spans="1:13" x14ac:dyDescent="0.2">
      <c r="A20" s="73">
        <v>14</v>
      </c>
      <c r="B20" s="68" t="s">
        <v>86</v>
      </c>
      <c r="C20" s="68"/>
      <c r="D20" s="75">
        <f>'SEF-3 p 3 Sch B'!R10</f>
        <v>487451751</v>
      </c>
      <c r="E20" s="100">
        <f t="shared" si="0"/>
        <v>24.289866386674309</v>
      </c>
      <c r="F20" s="99" t="s">
        <v>80</v>
      </c>
      <c r="G20" s="99">
        <f t="shared" si="2"/>
        <v>487451751</v>
      </c>
      <c r="H20" s="68"/>
      <c r="I20" s="68"/>
      <c r="J20" s="68"/>
      <c r="K20" s="68"/>
      <c r="L20" s="68"/>
      <c r="M20" s="68"/>
    </row>
    <row r="21" spans="1:13" x14ac:dyDescent="0.2">
      <c r="A21" s="73">
        <v>15</v>
      </c>
      <c r="B21" s="68" t="s">
        <v>87</v>
      </c>
      <c r="C21" s="68"/>
      <c r="D21" s="96" t="s">
        <v>76</v>
      </c>
      <c r="E21" s="100"/>
      <c r="F21" s="99" t="s">
        <v>77</v>
      </c>
      <c r="G21" s="68"/>
      <c r="H21" s="68"/>
      <c r="I21" s="68"/>
      <c r="J21" s="68"/>
      <c r="K21" s="68"/>
      <c r="L21" s="68"/>
      <c r="M21" s="68"/>
    </row>
    <row r="22" spans="1:13" x14ac:dyDescent="0.2">
      <c r="A22" s="73" t="s">
        <v>88</v>
      </c>
      <c r="B22" s="102" t="s">
        <v>89</v>
      </c>
      <c r="C22" s="68"/>
      <c r="D22" s="96" t="s">
        <v>76</v>
      </c>
      <c r="E22" s="100"/>
      <c r="F22" s="99" t="s">
        <v>77</v>
      </c>
      <c r="G22" s="68"/>
      <c r="H22" s="68"/>
      <c r="I22" s="68"/>
      <c r="J22" s="68"/>
      <c r="K22" s="68"/>
      <c r="L22" s="68"/>
      <c r="M22" s="68"/>
    </row>
    <row r="23" spans="1:13" x14ac:dyDescent="0.2">
      <c r="A23" s="73" t="s">
        <v>90</v>
      </c>
      <c r="B23" s="102" t="s">
        <v>91</v>
      </c>
      <c r="C23" s="68"/>
      <c r="D23" s="96" t="s">
        <v>76</v>
      </c>
      <c r="E23" s="100"/>
      <c r="F23" s="99" t="s">
        <v>77</v>
      </c>
      <c r="G23" s="68"/>
      <c r="H23" s="68"/>
      <c r="I23" s="68"/>
      <c r="J23" s="68"/>
      <c r="K23" s="68"/>
      <c r="L23" s="68"/>
      <c r="M23" s="68"/>
    </row>
    <row r="24" spans="1:13" x14ac:dyDescent="0.2">
      <c r="A24" s="73" t="s">
        <v>92</v>
      </c>
      <c r="B24" s="102" t="s">
        <v>93</v>
      </c>
      <c r="C24" s="68"/>
      <c r="D24" s="75">
        <f>'SEF-3 p 3 Sch B'!R15</f>
        <v>726974</v>
      </c>
      <c r="E24" s="100">
        <f t="shared" si="0"/>
        <v>3.6225331615612907E-2</v>
      </c>
      <c r="F24" s="99" t="s">
        <v>80</v>
      </c>
      <c r="G24" s="99">
        <f>D24</f>
        <v>726974</v>
      </c>
      <c r="H24" s="68"/>
      <c r="I24" s="68"/>
      <c r="J24" s="68"/>
      <c r="K24" s="68"/>
      <c r="L24" s="68"/>
      <c r="M24" s="68"/>
    </row>
    <row r="25" spans="1:13" x14ac:dyDescent="0.2">
      <c r="A25" s="73" t="s">
        <v>94</v>
      </c>
      <c r="B25" s="102" t="s">
        <v>95</v>
      </c>
      <c r="C25" s="68"/>
      <c r="D25" s="96" t="s">
        <v>76</v>
      </c>
      <c r="E25" s="100"/>
      <c r="F25" s="99" t="s">
        <v>77</v>
      </c>
      <c r="G25" s="68"/>
      <c r="H25" s="68"/>
      <c r="I25" s="68"/>
      <c r="J25" s="68"/>
      <c r="K25" s="68"/>
      <c r="L25" s="68"/>
      <c r="M25" s="68"/>
    </row>
    <row r="26" spans="1:13" x14ac:dyDescent="0.2">
      <c r="A26" s="73" t="s">
        <v>96</v>
      </c>
      <c r="B26" s="102" t="s">
        <v>97</v>
      </c>
      <c r="C26" s="68"/>
      <c r="D26" s="75">
        <f>'SEF-3 p 3 Sch B'!R12</f>
        <v>458787.89</v>
      </c>
      <c r="E26" s="100">
        <f t="shared" si="0"/>
        <v>2.2861537629237545E-2</v>
      </c>
      <c r="F26" s="99" t="s">
        <v>80</v>
      </c>
      <c r="G26" s="99">
        <f t="shared" ref="G26:G28" si="3">D26</f>
        <v>458787.89</v>
      </c>
      <c r="H26" s="68"/>
      <c r="I26" s="68"/>
      <c r="J26" s="68"/>
      <c r="K26" s="68"/>
      <c r="L26" s="68"/>
      <c r="M26" s="68"/>
    </row>
    <row r="27" spans="1:13" x14ac:dyDescent="0.2">
      <c r="A27" s="73">
        <v>16</v>
      </c>
      <c r="B27" s="68" t="s">
        <v>98</v>
      </c>
      <c r="C27" s="68"/>
      <c r="D27" s="75">
        <f>'SEF-3 p 3 Sch B'!R9</f>
        <v>158146136</v>
      </c>
      <c r="E27" s="100">
        <f t="shared" si="0"/>
        <v>7.8804692056769818</v>
      </c>
      <c r="F27" s="99" t="s">
        <v>80</v>
      </c>
      <c r="G27" s="99">
        <f t="shared" si="3"/>
        <v>158146136</v>
      </c>
      <c r="H27" s="68"/>
      <c r="I27" s="68"/>
      <c r="J27" s="68"/>
      <c r="K27" s="68"/>
      <c r="L27" s="68"/>
      <c r="M27" s="68"/>
    </row>
    <row r="28" spans="1:13" x14ac:dyDescent="0.2">
      <c r="A28" s="73">
        <v>17</v>
      </c>
      <c r="B28" s="68" t="s">
        <v>99</v>
      </c>
      <c r="C28" s="68"/>
      <c r="D28" s="75">
        <f>'SEF-3 p 3 Sch B'!R14</f>
        <v>123613130</v>
      </c>
      <c r="E28" s="100">
        <f t="shared" si="0"/>
        <v>6.1596791993852156</v>
      </c>
      <c r="F28" s="99" t="s">
        <v>80</v>
      </c>
      <c r="G28" s="99">
        <f t="shared" si="3"/>
        <v>123613130</v>
      </c>
      <c r="H28" s="68"/>
      <c r="I28" s="68"/>
      <c r="J28" s="68"/>
      <c r="K28" s="68"/>
      <c r="L28" s="68"/>
      <c r="M28" s="68"/>
    </row>
    <row r="29" spans="1:13" x14ac:dyDescent="0.2">
      <c r="A29" s="73">
        <v>18</v>
      </c>
      <c r="B29" s="68" t="s">
        <v>100</v>
      </c>
      <c r="C29" s="68"/>
      <c r="D29" s="96" t="s">
        <v>76</v>
      </c>
      <c r="E29" s="100"/>
      <c r="F29" s="99" t="s">
        <v>77</v>
      </c>
      <c r="G29" s="68"/>
      <c r="H29" s="68"/>
      <c r="I29" s="68"/>
      <c r="J29" s="68"/>
      <c r="K29" s="68"/>
      <c r="L29" s="68"/>
      <c r="M29" s="68"/>
    </row>
    <row r="30" spans="1:13" x14ac:dyDescent="0.2">
      <c r="A30" s="73">
        <v>19</v>
      </c>
      <c r="B30" s="68" t="s">
        <v>101</v>
      </c>
      <c r="C30" s="68"/>
      <c r="D30" s="96" t="s">
        <v>76</v>
      </c>
      <c r="E30" s="100"/>
      <c r="F30" s="99" t="s">
        <v>77</v>
      </c>
      <c r="G30" s="68"/>
      <c r="H30" s="68"/>
      <c r="I30" s="68"/>
      <c r="J30" s="68"/>
      <c r="K30" s="68"/>
      <c r="L30" s="68"/>
      <c r="M30" s="68"/>
    </row>
    <row r="31" spans="1:13" x14ac:dyDescent="0.2">
      <c r="A31" s="73">
        <v>20</v>
      </c>
      <c r="B31" s="68" t="s">
        <v>102</v>
      </c>
      <c r="C31" s="68"/>
      <c r="D31" s="75">
        <f>'SEF-3 p 3 Sch B'!R13</f>
        <v>-66450901</v>
      </c>
      <c r="E31" s="100">
        <f t="shared" si="0"/>
        <v>-3.311268250145484</v>
      </c>
      <c r="F31" s="99" t="s">
        <v>80</v>
      </c>
      <c r="G31" s="99">
        <f t="shared" ref="G31:G32" si="4">D31</f>
        <v>-66450901</v>
      </c>
      <c r="H31" s="68"/>
      <c r="I31" s="68"/>
      <c r="J31" s="68"/>
      <c r="K31" s="68"/>
      <c r="L31" s="68"/>
      <c r="M31" s="68"/>
    </row>
    <row r="32" spans="1:13" x14ac:dyDescent="0.2">
      <c r="A32" s="103">
        <v>21</v>
      </c>
      <c r="B32" s="24" t="s">
        <v>103</v>
      </c>
      <c r="C32" s="68"/>
      <c r="D32" s="75">
        <f>'SEF-3 p 3 Sch B'!R11</f>
        <v>-8661802</v>
      </c>
      <c r="E32" s="100">
        <f t="shared" si="0"/>
        <v>-0.43162018151787973</v>
      </c>
      <c r="F32" s="99" t="s">
        <v>80</v>
      </c>
      <c r="G32" s="99">
        <f t="shared" si="4"/>
        <v>-8661802</v>
      </c>
      <c r="H32" s="68"/>
      <c r="I32" s="68"/>
      <c r="J32" s="68"/>
      <c r="K32" s="68"/>
      <c r="L32" s="68"/>
      <c r="M32" s="68"/>
    </row>
    <row r="33" spans="1:13" x14ac:dyDescent="0.2">
      <c r="A33" s="73">
        <v>22</v>
      </c>
      <c r="B33" s="68" t="s">
        <v>104</v>
      </c>
      <c r="C33" s="68"/>
      <c r="D33" s="96" t="s">
        <v>76</v>
      </c>
      <c r="E33" s="97"/>
      <c r="F33" s="99" t="s">
        <v>77</v>
      </c>
      <c r="G33" s="68"/>
      <c r="H33" s="68"/>
      <c r="I33" s="68"/>
      <c r="J33" s="68"/>
      <c r="K33" s="68"/>
      <c r="L33" s="68"/>
      <c r="M33" s="68"/>
    </row>
    <row r="34" spans="1:13" x14ac:dyDescent="0.2">
      <c r="A34" s="73">
        <v>23</v>
      </c>
      <c r="B34" s="104" t="s">
        <v>105</v>
      </c>
      <c r="C34" s="68" t="s">
        <v>106</v>
      </c>
      <c r="D34" s="96" t="s">
        <v>76</v>
      </c>
      <c r="E34" s="97"/>
      <c r="F34" s="99" t="s">
        <v>77</v>
      </c>
      <c r="G34" s="68"/>
      <c r="H34" s="68"/>
      <c r="I34" s="68"/>
      <c r="J34" s="68"/>
      <c r="K34" s="68"/>
      <c r="L34" s="68"/>
      <c r="M34" s="68"/>
    </row>
    <row r="35" spans="1:13" x14ac:dyDescent="0.2">
      <c r="A35" s="73">
        <v>24</v>
      </c>
      <c r="B35" s="105" t="s">
        <v>107</v>
      </c>
      <c r="C35" s="93"/>
      <c r="D35" s="96" t="s">
        <v>76</v>
      </c>
      <c r="E35" s="97"/>
      <c r="F35" s="99" t="s">
        <v>77</v>
      </c>
      <c r="G35" s="68"/>
      <c r="H35" s="68"/>
      <c r="I35" s="68"/>
      <c r="J35" s="68"/>
      <c r="K35" s="68"/>
      <c r="L35" s="68"/>
      <c r="M35" s="68"/>
    </row>
    <row r="36" spans="1:13" x14ac:dyDescent="0.2">
      <c r="A36" s="73">
        <v>25</v>
      </c>
      <c r="B36" s="105" t="s">
        <v>108</v>
      </c>
      <c r="C36" s="68"/>
      <c r="D36" s="96" t="s">
        <v>76</v>
      </c>
      <c r="E36" s="97"/>
      <c r="F36" s="99" t="s">
        <v>77</v>
      </c>
      <c r="G36" s="106"/>
      <c r="H36" s="106"/>
      <c r="I36" s="106"/>
      <c r="J36" s="106"/>
      <c r="K36" s="99"/>
      <c r="L36" s="68"/>
      <c r="M36" s="68"/>
    </row>
    <row r="37" spans="1:13" ht="13.5" thickBot="1" x14ac:dyDescent="0.25">
      <c r="A37" s="73">
        <f t="shared" ref="A37:A47" si="5">A36+1</f>
        <v>26</v>
      </c>
      <c r="B37" s="68" t="s">
        <v>109</v>
      </c>
      <c r="C37" s="73"/>
      <c r="D37" s="96" t="s">
        <v>76</v>
      </c>
      <c r="E37" s="97"/>
      <c r="F37" s="75" t="s">
        <v>77</v>
      </c>
      <c r="G37" s="107"/>
      <c r="L37" s="106"/>
      <c r="M37" s="106"/>
    </row>
    <row r="38" spans="1:13" ht="21.95" customHeight="1" thickBot="1" x14ac:dyDescent="0.25">
      <c r="A38" s="73">
        <f t="shared" si="5"/>
        <v>27</v>
      </c>
      <c r="B38" s="108" t="s">
        <v>110</v>
      </c>
      <c r="C38" s="109"/>
      <c r="D38" s="110">
        <f>SUM(D14:D37)</f>
        <v>747585116.48013973</v>
      </c>
      <c r="E38" s="111">
        <f>SUM(E14:E37)</f>
        <v>37.252389707733236</v>
      </c>
      <c r="F38" s="112">
        <f>D38-'SEF-3 p 3 Sch B'!R21</f>
        <v>0</v>
      </c>
      <c r="G38" s="110">
        <f>SUM(G14:G37)</f>
        <v>747585116.48013973</v>
      </c>
      <c r="H38" s="106"/>
      <c r="I38" s="106"/>
      <c r="J38" s="106"/>
      <c r="K38" s="106"/>
      <c r="L38" s="106"/>
      <c r="M38" s="106"/>
    </row>
    <row r="39" spans="1:13" x14ac:dyDescent="0.2">
      <c r="A39" s="73">
        <f t="shared" si="5"/>
        <v>28</v>
      </c>
      <c r="B39" s="68" t="s">
        <v>111</v>
      </c>
      <c r="C39" s="68"/>
      <c r="D39" s="113"/>
      <c r="E39" s="114"/>
      <c r="F39" s="93"/>
      <c r="G39" s="106"/>
      <c r="H39" s="106"/>
      <c r="I39" s="106"/>
      <c r="J39" s="106"/>
      <c r="K39" s="106"/>
      <c r="L39" s="106"/>
      <c r="M39" s="106"/>
    </row>
    <row r="40" spans="1:13" x14ac:dyDescent="0.2">
      <c r="A40" s="73">
        <f t="shared" si="5"/>
        <v>29</v>
      </c>
      <c r="B40" s="68"/>
      <c r="C40" s="68"/>
      <c r="D40" s="110"/>
      <c r="E40" s="93"/>
      <c r="F40" s="115"/>
      <c r="G40" s="106"/>
      <c r="H40" s="106"/>
      <c r="I40" s="106"/>
      <c r="J40" s="106"/>
      <c r="K40" s="106"/>
      <c r="L40" s="106"/>
      <c r="M40" s="106"/>
    </row>
    <row r="41" spans="1:13" x14ac:dyDescent="0.2">
      <c r="A41" s="73">
        <f t="shared" si="5"/>
        <v>30</v>
      </c>
      <c r="B41" s="68" t="s">
        <v>112</v>
      </c>
      <c r="C41" s="68"/>
      <c r="D41" s="75">
        <f>'SEF-3 p 3 Sch B'!R27/1000</f>
        <v>20068111.666000001</v>
      </c>
      <c r="E41" s="116"/>
      <c r="F41" s="93"/>
      <c r="G41" s="106"/>
      <c r="H41" s="106"/>
      <c r="I41" s="106"/>
      <c r="J41" s="106"/>
      <c r="K41" s="106"/>
      <c r="L41" s="106"/>
      <c r="M41" s="106"/>
    </row>
    <row r="42" spans="1:13" x14ac:dyDescent="0.2">
      <c r="A42" s="73">
        <f t="shared" si="5"/>
        <v>31</v>
      </c>
      <c r="B42" s="68" t="s">
        <v>113</v>
      </c>
      <c r="C42" s="68"/>
      <c r="D42" s="115"/>
      <c r="E42" s="115"/>
      <c r="F42" s="93"/>
      <c r="G42" s="106"/>
      <c r="H42" s="106"/>
      <c r="I42" s="106"/>
      <c r="J42" s="106"/>
      <c r="K42" s="106"/>
      <c r="L42" s="106"/>
      <c r="M42" s="106"/>
    </row>
    <row r="43" spans="1:13" x14ac:dyDescent="0.2">
      <c r="A43" s="73">
        <f t="shared" si="5"/>
        <v>32</v>
      </c>
      <c r="B43" s="68"/>
      <c r="C43" s="68"/>
      <c r="D43" s="117" t="s">
        <v>114</v>
      </c>
      <c r="E43" s="115"/>
      <c r="F43" s="117"/>
      <c r="G43" s="106"/>
      <c r="H43" s="118"/>
      <c r="I43" s="118"/>
      <c r="J43" s="118"/>
      <c r="K43" s="118"/>
      <c r="L43" s="118"/>
      <c r="M43" s="118"/>
    </row>
    <row r="44" spans="1:13" x14ac:dyDescent="0.2">
      <c r="A44" s="73">
        <f t="shared" si="5"/>
        <v>33</v>
      </c>
      <c r="B44" s="68"/>
      <c r="C44" s="68"/>
      <c r="D44" s="119" t="s">
        <v>115</v>
      </c>
      <c r="E44" s="115"/>
      <c r="F44" s="119"/>
      <c r="G44" s="106"/>
      <c r="H44" s="120"/>
      <c r="I44" s="120"/>
      <c r="J44" s="120"/>
      <c r="K44" s="120"/>
      <c r="L44" s="120"/>
      <c r="M44" s="120"/>
    </row>
    <row r="45" spans="1:13" x14ac:dyDescent="0.2">
      <c r="A45" s="73">
        <f t="shared" si="5"/>
        <v>34</v>
      </c>
      <c r="B45" s="105" t="s">
        <v>116</v>
      </c>
      <c r="C45" s="68"/>
      <c r="D45" s="121"/>
      <c r="E45" s="115"/>
      <c r="F45" s="122"/>
      <c r="G45" s="106"/>
      <c r="H45" s="123"/>
      <c r="I45" s="124"/>
      <c r="K45" s="68"/>
      <c r="L45" s="123"/>
    </row>
    <row r="46" spans="1:13" x14ac:dyDescent="0.2">
      <c r="A46" s="73">
        <f t="shared" si="5"/>
        <v>35</v>
      </c>
      <c r="B46" s="68" t="s">
        <v>117</v>
      </c>
      <c r="C46" s="68"/>
      <c r="D46" s="97">
        <f>E38</f>
        <v>37.252389707733236</v>
      </c>
      <c r="E46" s="115"/>
      <c r="F46" s="125"/>
      <c r="G46" s="106"/>
      <c r="H46" s="126"/>
      <c r="I46" s="126"/>
      <c r="J46" s="126"/>
      <c r="K46" s="126"/>
      <c r="L46" s="126"/>
      <c r="M46" s="126"/>
    </row>
    <row r="47" spans="1:13" x14ac:dyDescent="0.2">
      <c r="A47" s="73">
        <f t="shared" si="5"/>
        <v>36</v>
      </c>
      <c r="B47" s="68" t="s">
        <v>118</v>
      </c>
      <c r="C47" s="68"/>
      <c r="D47" s="97">
        <f>E38</f>
        <v>37.252389707733236</v>
      </c>
      <c r="E47" s="115"/>
      <c r="F47" s="125"/>
      <c r="G47" s="106"/>
      <c r="H47" s="126"/>
      <c r="I47" s="126"/>
      <c r="J47" s="126"/>
      <c r="K47" s="126"/>
      <c r="L47" s="126"/>
      <c r="M47" s="126"/>
    </row>
    <row r="48" spans="1:13" x14ac:dyDescent="0.2">
      <c r="A48" s="73"/>
      <c r="B48" s="127"/>
      <c r="C48" s="127"/>
      <c r="D48" s="97"/>
      <c r="E48" s="97"/>
      <c r="F48" s="125"/>
      <c r="G48" s="126"/>
      <c r="H48" s="126"/>
      <c r="I48" s="126"/>
      <c r="J48" s="126"/>
      <c r="K48" s="126"/>
      <c r="L48" s="126"/>
      <c r="M48" s="126"/>
    </row>
    <row r="49" spans="1:13" ht="12.75" customHeight="1" x14ac:dyDescent="0.2">
      <c r="A49" s="73"/>
      <c r="B49" s="68"/>
      <c r="C49" s="68"/>
      <c r="D49" s="68"/>
      <c r="E49" s="68"/>
      <c r="F49" s="93"/>
      <c r="G49" s="72"/>
      <c r="H49" s="72"/>
      <c r="I49" s="72"/>
      <c r="J49" s="72"/>
      <c r="K49" s="128"/>
      <c r="L49" s="128"/>
      <c r="M49" s="128"/>
    </row>
    <row r="50" spans="1:13" x14ac:dyDescent="0.2">
      <c r="A50" s="73"/>
      <c r="B50" s="68"/>
      <c r="C50" s="68"/>
      <c r="D50" s="125"/>
      <c r="E50" s="68"/>
      <c r="F50" s="129"/>
      <c r="G50" s="72"/>
      <c r="H50" s="72"/>
      <c r="I50" s="72"/>
      <c r="J50" s="72"/>
      <c r="K50" s="128"/>
      <c r="L50" s="128"/>
      <c r="M50" s="128"/>
    </row>
    <row r="51" spans="1:13" x14ac:dyDescent="0.2">
      <c r="A51" s="73"/>
      <c r="B51" s="73"/>
      <c r="C51" s="127"/>
      <c r="D51" s="129"/>
      <c r="E51" s="130"/>
      <c r="F51" s="129"/>
      <c r="G51" s="128"/>
      <c r="H51" s="128"/>
      <c r="I51" s="128"/>
      <c r="J51" s="128"/>
      <c r="K51" s="128"/>
      <c r="L51" s="128"/>
      <c r="M51" s="128"/>
    </row>
    <row r="52" spans="1:13" x14ac:dyDescent="0.2">
      <c r="B52" s="131" t="s">
        <v>106</v>
      </c>
      <c r="C52" s="68"/>
      <c r="D52" s="68"/>
      <c r="E52" s="130"/>
      <c r="F52" s="93"/>
      <c r="G52" s="128"/>
      <c r="H52" s="128"/>
      <c r="I52" s="128"/>
      <c r="J52" s="128"/>
      <c r="K52" s="128"/>
      <c r="L52" s="128"/>
      <c r="M52" s="128"/>
    </row>
    <row r="55" spans="1:13" x14ac:dyDescent="0.2">
      <c r="D55" s="132"/>
    </row>
    <row r="56" spans="1:13" x14ac:dyDescent="0.2">
      <c r="D56" s="132"/>
    </row>
    <row r="89" spans="1:5" x14ac:dyDescent="0.2">
      <c r="A89" s="128"/>
      <c r="B89" s="128"/>
      <c r="C89" s="128"/>
      <c r="D89" s="128"/>
      <c r="E89" s="128"/>
    </row>
    <row r="90" spans="1:5" x14ac:dyDescent="0.2">
      <c r="A90" s="128"/>
      <c r="B90" s="128"/>
      <c r="C90" s="128"/>
      <c r="D90" s="128"/>
      <c r="E90" s="128"/>
    </row>
    <row r="91" spans="1:5" x14ac:dyDescent="0.2">
      <c r="A91" s="128"/>
      <c r="B91" s="128"/>
      <c r="C91" s="128"/>
      <c r="D91" s="128"/>
      <c r="E91" s="128"/>
    </row>
    <row r="92" spans="1:5" x14ac:dyDescent="0.2">
      <c r="A92" s="128"/>
      <c r="B92" s="128"/>
      <c r="C92" s="128"/>
      <c r="D92" s="128"/>
      <c r="E92" s="128"/>
    </row>
    <row r="93" spans="1:5" x14ac:dyDescent="0.2">
      <c r="A93" s="128"/>
      <c r="B93" s="128"/>
      <c r="C93" s="128"/>
      <c r="D93" s="128"/>
      <c r="E93" s="128"/>
    </row>
    <row r="94" spans="1:5" x14ac:dyDescent="0.2">
      <c r="A94" s="128"/>
      <c r="B94" s="128"/>
      <c r="C94" s="128"/>
      <c r="D94" s="128"/>
      <c r="E94" s="128"/>
    </row>
    <row r="95" spans="1:5" x14ac:dyDescent="0.2">
      <c r="A95" s="128"/>
      <c r="B95" s="128"/>
      <c r="C95" s="128"/>
      <c r="D95" s="128"/>
      <c r="E95" s="128"/>
    </row>
    <row r="96" spans="1:5" x14ac:dyDescent="0.2">
      <c r="A96" s="128"/>
      <c r="B96" s="128"/>
      <c r="C96" s="128"/>
      <c r="D96" s="128"/>
      <c r="E96" s="128"/>
    </row>
    <row r="97" spans="1:5" x14ac:dyDescent="0.2">
      <c r="A97" s="128"/>
      <c r="B97" s="128"/>
      <c r="C97" s="128"/>
      <c r="D97" s="128"/>
      <c r="E97" s="128"/>
    </row>
    <row r="98" spans="1:5" x14ac:dyDescent="0.2">
      <c r="A98" s="128"/>
      <c r="B98" s="128"/>
      <c r="C98" s="128"/>
      <c r="D98" s="128"/>
      <c r="E98" s="128"/>
    </row>
    <row r="99" spans="1:5" x14ac:dyDescent="0.2">
      <c r="A99" s="128"/>
      <c r="B99" s="128"/>
      <c r="C99" s="128"/>
      <c r="D99" s="128"/>
      <c r="E99" s="128"/>
    </row>
    <row r="100" spans="1:5" x14ac:dyDescent="0.2">
      <c r="A100" s="128"/>
      <c r="B100" s="128"/>
      <c r="C100" s="128"/>
      <c r="D100" s="128"/>
      <c r="E100" s="128"/>
    </row>
    <row r="101" spans="1:5" x14ac:dyDescent="0.2">
      <c r="A101" s="128"/>
      <c r="B101" s="128"/>
      <c r="C101" s="128"/>
      <c r="D101" s="128"/>
      <c r="E101" s="128"/>
    </row>
    <row r="102" spans="1:5" x14ac:dyDescent="0.2">
      <c r="A102" s="128"/>
      <c r="B102" s="128"/>
      <c r="C102" s="128"/>
      <c r="D102" s="128"/>
      <c r="E102" s="128"/>
    </row>
    <row r="103" spans="1:5" x14ac:dyDescent="0.2">
      <c r="A103" s="128"/>
      <c r="B103" s="128"/>
      <c r="C103" s="128"/>
      <c r="D103" s="128"/>
      <c r="E103" s="128"/>
    </row>
    <row r="104" spans="1:5" x14ac:dyDescent="0.2">
      <c r="A104" s="128"/>
      <c r="B104" s="128"/>
      <c r="C104" s="128"/>
      <c r="D104" s="128"/>
      <c r="E104" s="128"/>
    </row>
    <row r="105" spans="1:5" x14ac:dyDescent="0.2">
      <c r="A105" s="128"/>
      <c r="B105" s="128"/>
      <c r="C105" s="128"/>
      <c r="D105" s="128"/>
      <c r="E105" s="128"/>
    </row>
    <row r="106" spans="1:5" x14ac:dyDescent="0.2">
      <c r="A106" s="128"/>
      <c r="B106" s="128"/>
      <c r="C106" s="128"/>
      <c r="D106" s="128"/>
      <c r="E106" s="128"/>
    </row>
    <row r="107" spans="1:5" x14ac:dyDescent="0.2">
      <c r="A107" s="128"/>
      <c r="B107" s="128"/>
      <c r="C107" s="128"/>
      <c r="D107" s="128"/>
      <c r="E107" s="128"/>
    </row>
    <row r="108" spans="1:5" x14ac:dyDescent="0.2">
      <c r="A108" s="128"/>
      <c r="B108" s="128"/>
      <c r="C108" s="128"/>
      <c r="D108" s="128"/>
      <c r="E108" s="128"/>
    </row>
    <row r="109" spans="1:5" x14ac:dyDescent="0.2">
      <c r="A109" s="128"/>
      <c r="B109" s="128"/>
      <c r="C109" s="128"/>
      <c r="D109" s="128"/>
      <c r="E109" s="128"/>
    </row>
    <row r="110" spans="1:5" x14ac:dyDescent="0.2">
      <c r="A110" s="128"/>
      <c r="B110" s="128"/>
      <c r="C110" s="128"/>
      <c r="D110" s="128"/>
      <c r="E110" s="128"/>
    </row>
    <row r="111" spans="1:5" x14ac:dyDescent="0.2">
      <c r="A111" s="128"/>
      <c r="B111" s="128"/>
      <c r="C111" s="128"/>
      <c r="D111" s="128"/>
      <c r="E111" s="128"/>
    </row>
    <row r="112" spans="1:5" x14ac:dyDescent="0.2">
      <c r="A112" s="128"/>
      <c r="B112" s="128"/>
      <c r="C112" s="128"/>
      <c r="D112" s="128"/>
      <c r="E112" s="128"/>
    </row>
    <row r="113" spans="1:5" x14ac:dyDescent="0.2">
      <c r="A113" s="128"/>
      <c r="B113" s="128"/>
      <c r="C113" s="128"/>
      <c r="D113" s="128"/>
      <c r="E113" s="128"/>
    </row>
    <row r="114" spans="1:5" x14ac:dyDescent="0.2">
      <c r="A114" s="128"/>
      <c r="B114" s="128"/>
      <c r="C114" s="128"/>
      <c r="D114" s="128"/>
      <c r="E114" s="128"/>
    </row>
    <row r="115" spans="1:5" x14ac:dyDescent="0.2">
      <c r="A115" s="128"/>
      <c r="B115" s="128"/>
      <c r="C115" s="128"/>
      <c r="D115" s="128"/>
      <c r="E115" s="128"/>
    </row>
    <row r="116" spans="1:5" x14ac:dyDescent="0.2">
      <c r="A116" s="128"/>
      <c r="B116" s="128"/>
      <c r="C116" s="128"/>
      <c r="D116" s="128"/>
      <c r="E116" s="128"/>
    </row>
    <row r="117" spans="1:5" x14ac:dyDescent="0.2">
      <c r="A117" s="128"/>
      <c r="B117" s="128"/>
      <c r="C117" s="128"/>
      <c r="D117" s="128"/>
      <c r="E117" s="128"/>
    </row>
    <row r="118" spans="1:5" x14ac:dyDescent="0.2">
      <c r="A118" s="128"/>
      <c r="B118" s="128"/>
      <c r="C118" s="128"/>
      <c r="D118" s="128"/>
      <c r="E118" s="128"/>
    </row>
    <row r="119" spans="1:5" x14ac:dyDescent="0.2">
      <c r="A119" s="128"/>
      <c r="B119" s="128"/>
      <c r="C119" s="128"/>
      <c r="D119" s="128"/>
      <c r="E119" s="128"/>
    </row>
    <row r="120" spans="1:5" x14ac:dyDescent="0.2">
      <c r="A120" s="128"/>
      <c r="B120" s="128"/>
      <c r="C120" s="128"/>
      <c r="D120" s="128"/>
      <c r="E120" s="128"/>
    </row>
    <row r="121" spans="1:5" x14ac:dyDescent="0.2">
      <c r="A121" s="128"/>
      <c r="B121" s="128"/>
      <c r="C121" s="128"/>
      <c r="D121" s="128"/>
      <c r="E121" s="128"/>
    </row>
    <row r="122" spans="1:5" x14ac:dyDescent="0.2">
      <c r="A122" s="128"/>
      <c r="B122" s="128"/>
      <c r="C122" s="128"/>
      <c r="D122" s="128"/>
      <c r="E122" s="128"/>
    </row>
    <row r="123" spans="1:5" x14ac:dyDescent="0.2">
      <c r="A123" s="128"/>
      <c r="B123" s="128"/>
      <c r="C123" s="128"/>
      <c r="D123" s="128"/>
      <c r="E123" s="128"/>
    </row>
    <row r="124" spans="1:5" x14ac:dyDescent="0.2">
      <c r="A124" s="128"/>
      <c r="B124" s="128"/>
      <c r="C124" s="128"/>
      <c r="D124" s="128"/>
      <c r="E124" s="128"/>
    </row>
    <row r="125" spans="1:5" x14ac:dyDescent="0.2">
      <c r="A125" s="128"/>
      <c r="B125" s="128"/>
      <c r="C125" s="128"/>
      <c r="D125" s="128"/>
      <c r="E125" s="128"/>
    </row>
    <row r="126" spans="1:5" x14ac:dyDescent="0.2">
      <c r="A126" s="128"/>
      <c r="B126" s="128"/>
      <c r="C126" s="128"/>
      <c r="D126" s="128"/>
      <c r="E126" s="128"/>
    </row>
    <row r="127" spans="1:5" x14ac:dyDescent="0.2">
      <c r="A127" s="128"/>
      <c r="B127" s="128"/>
      <c r="C127" s="128"/>
      <c r="D127" s="128"/>
      <c r="E127" s="128"/>
    </row>
    <row r="128" spans="1:5" x14ac:dyDescent="0.2">
      <c r="A128" s="128"/>
      <c r="B128" s="128"/>
      <c r="C128" s="128"/>
      <c r="D128" s="128"/>
      <c r="E128" s="128"/>
    </row>
    <row r="129" spans="1:5" x14ac:dyDescent="0.2">
      <c r="A129" s="128"/>
      <c r="B129" s="128"/>
      <c r="C129" s="128"/>
      <c r="D129" s="128"/>
      <c r="E129" s="128"/>
    </row>
    <row r="130" spans="1:5" x14ac:dyDescent="0.2">
      <c r="A130" s="128"/>
      <c r="B130" s="128"/>
      <c r="C130" s="128"/>
      <c r="D130" s="128"/>
      <c r="E130" s="128"/>
    </row>
    <row r="131" spans="1:5" x14ac:dyDescent="0.2">
      <c r="A131" s="128"/>
      <c r="B131" s="128"/>
      <c r="C131" s="128"/>
      <c r="D131" s="128"/>
      <c r="E131" s="128"/>
    </row>
    <row r="132" spans="1:5" x14ac:dyDescent="0.2">
      <c r="A132" s="128"/>
      <c r="B132" s="128"/>
      <c r="C132" s="128"/>
      <c r="D132" s="128"/>
      <c r="E132" s="128"/>
    </row>
    <row r="133" spans="1:5" x14ac:dyDescent="0.2">
      <c r="A133" s="128"/>
      <c r="B133" s="128"/>
      <c r="C133" s="128"/>
      <c r="D133" s="128"/>
      <c r="E133" s="128"/>
    </row>
    <row r="134" spans="1:5" x14ac:dyDescent="0.2">
      <c r="A134" s="128"/>
      <c r="B134" s="128"/>
      <c r="C134" s="128"/>
      <c r="D134" s="128"/>
      <c r="E134" s="128"/>
    </row>
    <row r="135" spans="1:5" x14ac:dyDescent="0.2">
      <c r="A135" s="128"/>
      <c r="B135" s="128"/>
      <c r="C135" s="128"/>
      <c r="D135" s="128"/>
      <c r="E135" s="128"/>
    </row>
    <row r="136" spans="1:5" x14ac:dyDescent="0.2">
      <c r="A136" s="128"/>
      <c r="B136" s="128"/>
      <c r="C136" s="128"/>
      <c r="D136" s="128"/>
      <c r="E136" s="128"/>
    </row>
    <row r="137" spans="1:5" x14ac:dyDescent="0.2">
      <c r="A137" s="128"/>
      <c r="B137" s="128"/>
      <c r="C137" s="128"/>
      <c r="D137" s="128"/>
      <c r="E137" s="128"/>
    </row>
    <row r="138" spans="1:5" x14ac:dyDescent="0.2">
      <c r="A138" s="128"/>
      <c r="B138" s="128"/>
      <c r="C138" s="128"/>
      <c r="D138" s="128"/>
      <c r="E138" s="128"/>
    </row>
    <row r="139" spans="1:5" x14ac:dyDescent="0.2">
      <c r="A139" s="128"/>
      <c r="B139" s="128"/>
      <c r="C139" s="128"/>
      <c r="D139" s="128"/>
      <c r="E139" s="128"/>
    </row>
    <row r="140" spans="1:5" x14ac:dyDescent="0.2">
      <c r="A140" s="128"/>
      <c r="B140" s="128"/>
      <c r="C140" s="128"/>
      <c r="D140" s="128"/>
      <c r="E140" s="128"/>
    </row>
    <row r="141" spans="1:5" x14ac:dyDescent="0.2">
      <c r="A141" s="128"/>
      <c r="B141" s="128"/>
      <c r="C141" s="128"/>
      <c r="D141" s="128"/>
      <c r="E141" s="128"/>
    </row>
    <row r="142" spans="1:5" x14ac:dyDescent="0.2">
      <c r="A142" s="128"/>
      <c r="B142" s="128"/>
      <c r="C142" s="128"/>
      <c r="D142" s="128"/>
      <c r="E142" s="128"/>
    </row>
  </sheetData>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948"/>
  <sheetViews>
    <sheetView zoomScale="80" zoomScaleNormal="80" workbookViewId="0">
      <pane xSplit="5" ySplit="5" topLeftCell="I15" activePane="bottomRight" state="frozen"/>
      <selection activeCell="G260" sqref="G260"/>
      <selection pane="topRight" activeCell="G260" sqref="G260"/>
      <selection pane="bottomLeft" activeCell="G260" sqref="G260"/>
      <selection pane="bottomRight" activeCell="R2" sqref="R2"/>
    </sheetView>
  </sheetViews>
  <sheetFormatPr defaultColWidth="8.85546875" defaultRowHeight="12.75" outlineLevelCol="1" x14ac:dyDescent="0.2"/>
  <cols>
    <col min="1" max="1" width="9.28515625" style="39" customWidth="1"/>
    <col min="2" max="2" width="6.7109375" style="39" hidden="1" customWidth="1" outlineLevel="1"/>
    <col min="3" max="3" width="35.28515625" style="24" customWidth="1" collapsed="1"/>
    <col min="4" max="5" width="13" style="24" bestFit="1" customWidth="1"/>
    <col min="6" max="7" width="15.42578125" style="24" customWidth="1"/>
    <col min="8" max="8" width="16.140625" style="24" customWidth="1"/>
    <col min="9" max="9" width="14.85546875" style="24" customWidth="1"/>
    <col min="10" max="10" width="15.42578125" style="24" customWidth="1"/>
    <col min="11" max="12" width="14.85546875" style="24" customWidth="1"/>
    <col min="13" max="13" width="15.7109375" style="24" customWidth="1"/>
    <col min="14" max="14" width="15.42578125" style="24" customWidth="1"/>
    <col min="15" max="15" width="16" style="24" customWidth="1"/>
    <col min="16" max="17" width="14.85546875" style="24" customWidth="1"/>
    <col min="18" max="18" width="17.42578125" style="24" customWidth="1"/>
    <col min="19" max="19" width="44" style="24" bestFit="1" customWidth="1"/>
    <col min="20" max="20" width="14" style="24" bestFit="1" customWidth="1"/>
    <col min="21" max="21" width="4.85546875" style="24" bestFit="1" customWidth="1"/>
    <col min="22" max="16384" width="8.85546875" style="24"/>
  </cols>
  <sheetData>
    <row r="1" spans="1:20" ht="18" x14ac:dyDescent="0.25">
      <c r="A1" s="24" t="s">
        <v>256</v>
      </c>
      <c r="F1" s="133" t="s">
        <v>119</v>
      </c>
      <c r="G1" s="134"/>
      <c r="R1" s="135" t="s">
        <v>320</v>
      </c>
    </row>
    <row r="2" spans="1:20" ht="18" x14ac:dyDescent="0.25">
      <c r="C2" s="136"/>
      <c r="G2" s="64"/>
      <c r="H2" s="137"/>
    </row>
    <row r="3" spans="1:20" ht="15.75" x14ac:dyDescent="0.25">
      <c r="A3" s="138"/>
      <c r="B3" s="138"/>
      <c r="C3" s="136"/>
      <c r="E3" s="39"/>
      <c r="F3" s="139"/>
      <c r="G3" s="139"/>
      <c r="H3" s="139"/>
      <c r="I3" s="139"/>
      <c r="J3" s="139"/>
      <c r="K3" s="139"/>
      <c r="L3" s="139"/>
      <c r="M3" s="139"/>
      <c r="N3" s="139"/>
      <c r="O3" s="139"/>
      <c r="P3" s="139"/>
      <c r="Q3" s="139"/>
      <c r="R3" s="139"/>
    </row>
    <row r="4" spans="1:20" ht="15.75" x14ac:dyDescent="0.25">
      <c r="A4" s="138" t="s">
        <v>120</v>
      </c>
      <c r="B4" s="138"/>
      <c r="C4" s="140"/>
      <c r="E4" s="39"/>
      <c r="F4" s="139"/>
      <c r="G4" s="141"/>
      <c r="H4" s="141"/>
      <c r="I4" s="141"/>
      <c r="J4" s="141"/>
      <c r="K4" s="141"/>
      <c r="L4" s="141"/>
      <c r="M4" s="141"/>
      <c r="N4" s="141"/>
      <c r="O4" s="141"/>
      <c r="P4" s="141"/>
      <c r="Q4" s="141"/>
      <c r="R4" s="141" t="s">
        <v>121</v>
      </c>
    </row>
    <row r="5" spans="1:20" ht="14.25" x14ac:dyDescent="0.2">
      <c r="A5" s="39" t="s">
        <v>70</v>
      </c>
      <c r="B5" s="124" t="s">
        <v>122</v>
      </c>
      <c r="C5" s="142"/>
      <c r="E5" s="143"/>
      <c r="F5" s="144">
        <v>43831</v>
      </c>
      <c r="G5" s="145">
        <v>43862</v>
      </c>
      <c r="H5" s="144">
        <v>43891</v>
      </c>
      <c r="I5" s="145">
        <v>43922</v>
      </c>
      <c r="J5" s="144">
        <v>43952</v>
      </c>
      <c r="K5" s="145">
        <v>43983</v>
      </c>
      <c r="L5" s="144">
        <v>44013</v>
      </c>
      <c r="M5" s="145">
        <v>44044</v>
      </c>
      <c r="N5" s="144">
        <v>44075</v>
      </c>
      <c r="O5" s="145">
        <v>44105</v>
      </c>
      <c r="P5" s="144">
        <v>44136</v>
      </c>
      <c r="Q5" s="145">
        <v>44166</v>
      </c>
      <c r="R5" s="145" t="s">
        <v>123</v>
      </c>
    </row>
    <row r="6" spans="1:20" x14ac:dyDescent="0.2">
      <c r="A6" s="39">
        <f>ROW()</f>
        <v>6</v>
      </c>
    </row>
    <row r="7" spans="1:20" ht="15" x14ac:dyDescent="0.35">
      <c r="A7" s="39">
        <f>ROW()</f>
        <v>7</v>
      </c>
      <c r="C7" s="24" t="s">
        <v>124</v>
      </c>
      <c r="D7" s="146" t="s">
        <v>125</v>
      </c>
      <c r="E7" s="147"/>
      <c r="F7" s="148"/>
      <c r="G7" s="148"/>
      <c r="H7" s="148"/>
      <c r="I7" s="148"/>
      <c r="J7" s="148"/>
      <c r="K7" s="148"/>
      <c r="L7" s="148"/>
      <c r="M7" s="148"/>
      <c r="N7" s="148"/>
      <c r="O7" s="148"/>
      <c r="P7" s="148"/>
      <c r="Q7" s="148"/>
      <c r="R7" s="148"/>
      <c r="T7" s="147"/>
    </row>
    <row r="8" spans="1:20" x14ac:dyDescent="0.2">
      <c r="A8" s="39">
        <f>ROW()</f>
        <v>8</v>
      </c>
      <c r="B8" s="39">
        <v>2</v>
      </c>
      <c r="C8" s="149" t="s">
        <v>126</v>
      </c>
      <c r="D8" s="150">
        <v>501</v>
      </c>
      <c r="E8" s="147"/>
      <c r="F8" s="151">
        <v>3958150</v>
      </c>
      <c r="G8" s="151">
        <v>5600228</v>
      </c>
      <c r="H8" s="151">
        <v>4806082</v>
      </c>
      <c r="I8" s="151">
        <v>4554386</v>
      </c>
      <c r="J8" s="151">
        <v>1510204</v>
      </c>
      <c r="K8" s="151">
        <v>1379776</v>
      </c>
      <c r="L8" s="151">
        <v>3430890</v>
      </c>
      <c r="M8" s="151">
        <v>4306028</v>
      </c>
      <c r="N8" s="151">
        <v>2607492</v>
      </c>
      <c r="O8" s="151">
        <v>1880330</v>
      </c>
      <c r="P8" s="151">
        <v>2788425</v>
      </c>
      <c r="Q8" s="151">
        <v>4138567</v>
      </c>
      <c r="R8" s="151">
        <f t="shared" ref="R8:R15" si="0">SUM(F8:Q8)</f>
        <v>40960558</v>
      </c>
      <c r="T8" s="147"/>
    </row>
    <row r="9" spans="1:20" x14ac:dyDescent="0.2">
      <c r="A9" s="39">
        <f>ROW()</f>
        <v>9</v>
      </c>
      <c r="B9" s="39">
        <v>3</v>
      </c>
      <c r="C9" s="149" t="s">
        <v>127</v>
      </c>
      <c r="D9" s="150">
        <v>547</v>
      </c>
      <c r="E9" s="147"/>
      <c r="F9" s="152">
        <v>17930659</v>
      </c>
      <c r="G9" s="152">
        <v>12725323</v>
      </c>
      <c r="H9" s="152">
        <v>18604036</v>
      </c>
      <c r="I9" s="152">
        <v>14013636</v>
      </c>
      <c r="J9" s="152">
        <v>5610116</v>
      </c>
      <c r="K9" s="152">
        <v>5905785</v>
      </c>
      <c r="L9" s="152">
        <v>10379809</v>
      </c>
      <c r="M9" s="152">
        <v>15354867</v>
      </c>
      <c r="N9" s="152">
        <v>18202197</v>
      </c>
      <c r="O9" s="152">
        <v>13410645</v>
      </c>
      <c r="P9" s="152">
        <v>10522990</v>
      </c>
      <c r="Q9" s="152">
        <v>15486073</v>
      </c>
      <c r="R9" s="152">
        <f t="shared" si="0"/>
        <v>158146136</v>
      </c>
      <c r="T9" s="147"/>
    </row>
    <row r="10" spans="1:20" s="156" customFormat="1" x14ac:dyDescent="0.2">
      <c r="A10" s="39">
        <f>ROW()</f>
        <v>10</v>
      </c>
      <c r="B10" s="39">
        <v>4</v>
      </c>
      <c r="C10" s="153" t="s">
        <v>128</v>
      </c>
      <c r="D10" s="154">
        <v>555</v>
      </c>
      <c r="E10" s="155"/>
      <c r="F10" s="152">
        <v>49656617</v>
      </c>
      <c r="G10" s="152">
        <v>43310486</v>
      </c>
      <c r="H10" s="152">
        <v>41595247</v>
      </c>
      <c r="I10" s="152">
        <v>32361560</v>
      </c>
      <c r="J10" s="152">
        <v>38067005</v>
      </c>
      <c r="K10" s="152">
        <v>34743286</v>
      </c>
      <c r="L10" s="152">
        <v>29072562</v>
      </c>
      <c r="M10" s="152">
        <v>28507990</v>
      </c>
      <c r="N10" s="152">
        <v>25399615</v>
      </c>
      <c r="O10" s="152">
        <v>47010071</v>
      </c>
      <c r="P10" s="152">
        <v>55615132</v>
      </c>
      <c r="Q10" s="152">
        <v>62112180</v>
      </c>
      <c r="R10" s="152">
        <f t="shared" si="0"/>
        <v>487451751</v>
      </c>
      <c r="T10" s="155"/>
    </row>
    <row r="11" spans="1:20" x14ac:dyDescent="0.2">
      <c r="A11" s="39">
        <f>ROW()</f>
        <v>11</v>
      </c>
      <c r="B11" s="39">
        <v>5</v>
      </c>
      <c r="C11" s="149" t="s">
        <v>129</v>
      </c>
      <c r="D11" s="154" t="s">
        <v>130</v>
      </c>
      <c r="E11" s="147"/>
      <c r="F11" s="152">
        <v>552765</v>
      </c>
      <c r="G11" s="152">
        <v>1162925</v>
      </c>
      <c r="H11" s="152">
        <v>581937</v>
      </c>
      <c r="I11" s="152">
        <v>-3695</v>
      </c>
      <c r="J11" s="152">
        <v>303319</v>
      </c>
      <c r="K11" s="152">
        <v>71291</v>
      </c>
      <c r="L11" s="152">
        <v>1075862</v>
      </c>
      <c r="M11" s="152">
        <v>-705579</v>
      </c>
      <c r="N11" s="152">
        <v>-864707</v>
      </c>
      <c r="O11" s="152">
        <v>-4659330</v>
      </c>
      <c r="P11" s="152">
        <v>-3230298</v>
      </c>
      <c r="Q11" s="152">
        <v>-2946292</v>
      </c>
      <c r="R11" s="152">
        <f>SUM(F11:Q11)</f>
        <v>-8661802</v>
      </c>
      <c r="T11" s="147"/>
    </row>
    <row r="12" spans="1:20" x14ac:dyDescent="0.2">
      <c r="A12" s="39">
        <f>ROW()</f>
        <v>12</v>
      </c>
      <c r="B12" s="39">
        <v>6</v>
      </c>
      <c r="C12" s="149" t="s">
        <v>131</v>
      </c>
      <c r="D12" s="154">
        <v>55700003</v>
      </c>
      <c r="E12" s="147"/>
      <c r="F12" s="152">
        <v>54888.38</v>
      </c>
      <c r="G12" s="152">
        <v>34336.86</v>
      </c>
      <c r="H12" s="152">
        <v>62320.160000000003</v>
      </c>
      <c r="I12" s="152">
        <v>35823.5</v>
      </c>
      <c r="J12" s="152">
        <v>28137.5</v>
      </c>
      <c r="K12" s="152">
        <v>25094</v>
      </c>
      <c r="L12" s="152">
        <v>27666.98</v>
      </c>
      <c r="M12" s="152">
        <v>35774.26</v>
      </c>
      <c r="N12" s="152">
        <v>37379.24</v>
      </c>
      <c r="O12" s="152">
        <v>46142.63</v>
      </c>
      <c r="P12" s="152">
        <v>15068.38</v>
      </c>
      <c r="Q12" s="152">
        <v>56156</v>
      </c>
      <c r="R12" s="152">
        <f>SUM(F12:Q12)</f>
        <v>458787.89</v>
      </c>
      <c r="T12" s="147"/>
    </row>
    <row r="13" spans="1:20" x14ac:dyDescent="0.2">
      <c r="A13" s="39">
        <f>ROW()</f>
        <v>13</v>
      </c>
      <c r="B13" s="39">
        <v>7</v>
      </c>
      <c r="C13" s="149" t="s">
        <v>132</v>
      </c>
      <c r="D13" s="154">
        <v>447</v>
      </c>
      <c r="E13" s="147"/>
      <c r="F13" s="152">
        <v>-6636073</v>
      </c>
      <c r="G13" s="152">
        <v>-4565989</v>
      </c>
      <c r="H13" s="152">
        <v>-5622569</v>
      </c>
      <c r="I13" s="152">
        <v>-6017407</v>
      </c>
      <c r="J13" s="152">
        <v>-2281623</v>
      </c>
      <c r="K13" s="152">
        <v>-1933966</v>
      </c>
      <c r="L13" s="152">
        <v>-4443361</v>
      </c>
      <c r="M13" s="152">
        <v>-8051102</v>
      </c>
      <c r="N13" s="152">
        <v>-7762358</v>
      </c>
      <c r="O13" s="152">
        <v>-10184780</v>
      </c>
      <c r="P13" s="152">
        <v>-3416085</v>
      </c>
      <c r="Q13" s="152">
        <v>-5535588</v>
      </c>
      <c r="R13" s="152">
        <f t="shared" si="0"/>
        <v>-66450901</v>
      </c>
      <c r="T13" s="147"/>
    </row>
    <row r="14" spans="1:20" x14ac:dyDescent="0.2">
      <c r="A14" s="39">
        <f>ROW()</f>
        <v>14</v>
      </c>
      <c r="B14" s="39">
        <v>8</v>
      </c>
      <c r="C14" s="149" t="s">
        <v>133</v>
      </c>
      <c r="D14" s="154">
        <v>565</v>
      </c>
      <c r="E14" s="147"/>
      <c r="F14" s="152">
        <v>10382627</v>
      </c>
      <c r="G14" s="152">
        <v>10235596</v>
      </c>
      <c r="H14" s="152">
        <v>10351209</v>
      </c>
      <c r="I14" s="152">
        <v>10604125</v>
      </c>
      <c r="J14" s="152">
        <v>10423473</v>
      </c>
      <c r="K14" s="152">
        <v>10324044</v>
      </c>
      <c r="L14" s="152">
        <v>10265944</v>
      </c>
      <c r="M14" s="152">
        <v>10157236</v>
      </c>
      <c r="N14" s="152">
        <v>10340223</v>
      </c>
      <c r="O14" s="152">
        <v>10506869</v>
      </c>
      <c r="P14" s="152">
        <v>10209634</v>
      </c>
      <c r="Q14" s="152">
        <v>9812150</v>
      </c>
      <c r="R14" s="152">
        <f t="shared" si="0"/>
        <v>123613130</v>
      </c>
      <c r="T14" s="147"/>
    </row>
    <row r="15" spans="1:20" s="156" customFormat="1" x14ac:dyDescent="0.2">
      <c r="A15" s="39">
        <f>ROW()</f>
        <v>15</v>
      </c>
      <c r="B15" s="39">
        <v>10</v>
      </c>
      <c r="C15" s="157" t="s">
        <v>93</v>
      </c>
      <c r="D15" s="154">
        <v>40810005</v>
      </c>
      <c r="E15" s="155"/>
      <c r="F15" s="152">
        <v>10582</v>
      </c>
      <c r="G15" s="152">
        <v>74591</v>
      </c>
      <c r="H15" s="152">
        <v>74590</v>
      </c>
      <c r="I15" s="152">
        <v>70707</v>
      </c>
      <c r="J15" s="152">
        <v>73620</v>
      </c>
      <c r="K15" s="152">
        <v>73619</v>
      </c>
      <c r="L15" s="152">
        <v>76129</v>
      </c>
      <c r="M15" s="152">
        <v>73978</v>
      </c>
      <c r="N15" s="152">
        <v>73978</v>
      </c>
      <c r="O15" s="152">
        <v>41727</v>
      </c>
      <c r="P15" s="152">
        <v>41727</v>
      </c>
      <c r="Q15" s="152">
        <v>41726</v>
      </c>
      <c r="R15" s="152">
        <f t="shared" si="0"/>
        <v>726974</v>
      </c>
      <c r="T15" s="155"/>
    </row>
    <row r="16" spans="1:20" x14ac:dyDescent="0.2">
      <c r="A16" s="39">
        <f>ROW()</f>
        <v>16</v>
      </c>
      <c r="C16" s="149" t="s">
        <v>134</v>
      </c>
      <c r="D16" s="150"/>
      <c r="E16" s="147"/>
      <c r="F16" s="158">
        <f t="shared" ref="F16:R16" si="1">SUM(F8:F15)</f>
        <v>75910215.379999995</v>
      </c>
      <c r="G16" s="158">
        <f t="shared" si="1"/>
        <v>68577496.859999999</v>
      </c>
      <c r="H16" s="158">
        <f>SUM(H8:H15)</f>
        <v>70452852.159999996</v>
      </c>
      <c r="I16" s="158">
        <f t="shared" si="1"/>
        <v>55619135.5</v>
      </c>
      <c r="J16" s="158">
        <f t="shared" si="1"/>
        <v>53734251.5</v>
      </c>
      <c r="K16" s="158">
        <f t="shared" si="1"/>
        <v>50588929</v>
      </c>
      <c r="L16" s="158">
        <f t="shared" si="1"/>
        <v>49885501.979999997</v>
      </c>
      <c r="M16" s="158">
        <f t="shared" si="1"/>
        <v>49679192.259999998</v>
      </c>
      <c r="N16" s="158">
        <f t="shared" si="1"/>
        <v>48033819.240000002</v>
      </c>
      <c r="O16" s="158">
        <f t="shared" si="1"/>
        <v>58051674.630000003</v>
      </c>
      <c r="P16" s="158">
        <f t="shared" si="1"/>
        <v>72546593.379999995</v>
      </c>
      <c r="Q16" s="158">
        <f t="shared" si="1"/>
        <v>83164972</v>
      </c>
      <c r="R16" s="158">
        <f t="shared" si="1"/>
        <v>736244633.88999999</v>
      </c>
    </row>
    <row r="17" spans="1:18" x14ac:dyDescent="0.2">
      <c r="A17" s="39">
        <f>ROW()</f>
        <v>17</v>
      </c>
      <c r="C17" s="149"/>
      <c r="D17" s="150"/>
      <c r="E17" s="147"/>
      <c r="F17" s="159"/>
      <c r="G17" s="159"/>
      <c r="H17" s="159"/>
      <c r="I17" s="159"/>
      <c r="J17" s="159"/>
      <c r="K17" s="159"/>
      <c r="L17" s="159"/>
      <c r="M17" s="159"/>
      <c r="N17" s="159"/>
      <c r="O17" s="159"/>
      <c r="P17" s="159"/>
      <c r="Q17" s="159"/>
      <c r="R17" s="152"/>
    </row>
    <row r="18" spans="1:18" x14ac:dyDescent="0.2">
      <c r="A18" s="39">
        <f>ROW()</f>
        <v>18</v>
      </c>
      <c r="C18" s="160" t="s">
        <v>135</v>
      </c>
      <c r="D18" s="147"/>
      <c r="E18" s="147"/>
      <c r="F18" s="161"/>
      <c r="G18" s="161"/>
      <c r="H18" s="161"/>
      <c r="I18" s="161"/>
      <c r="J18" s="161"/>
      <c r="K18" s="161"/>
      <c r="L18" s="161"/>
      <c r="M18" s="161"/>
      <c r="N18" s="161"/>
      <c r="O18" s="162"/>
      <c r="P18" s="162"/>
      <c r="Q18" s="162"/>
      <c r="R18" s="162"/>
    </row>
    <row r="19" spans="1:18" x14ac:dyDescent="0.2">
      <c r="A19" s="39">
        <f>ROW()</f>
        <v>19</v>
      </c>
      <c r="B19" s="39">
        <v>9</v>
      </c>
      <c r="C19" s="24" t="s">
        <v>136</v>
      </c>
      <c r="D19" s="163"/>
      <c r="E19" s="163"/>
      <c r="F19" s="164">
        <v>421225.98</v>
      </c>
      <c r="G19" s="164">
        <v>393791</v>
      </c>
      <c r="H19" s="164">
        <v>420687</v>
      </c>
      <c r="I19" s="164">
        <v>407664</v>
      </c>
      <c r="J19" s="164">
        <v>421253</v>
      </c>
      <c r="K19" s="164">
        <v>407664</v>
      </c>
      <c r="L19" s="164">
        <v>421253</v>
      </c>
      <c r="M19" s="164">
        <v>421253</v>
      </c>
      <c r="N19" s="164">
        <v>407664</v>
      </c>
      <c r="O19" s="164">
        <v>380942</v>
      </c>
      <c r="P19" s="164">
        <v>336995</v>
      </c>
      <c r="Q19" s="164">
        <v>346665</v>
      </c>
      <c r="R19" s="151">
        <f>SUM(F19:Q19)</f>
        <v>4787056.9800000004</v>
      </c>
    </row>
    <row r="20" spans="1:18" x14ac:dyDescent="0.2">
      <c r="A20" s="39">
        <f>ROW()</f>
        <v>20</v>
      </c>
      <c r="B20" s="39" t="s">
        <v>76</v>
      </c>
      <c r="C20" s="64" t="s">
        <v>137</v>
      </c>
      <c r="D20" s="163"/>
      <c r="E20" s="163"/>
      <c r="F20" s="164">
        <v>616827.00353867642</v>
      </c>
      <c r="G20" s="164">
        <v>616827.00353867642</v>
      </c>
      <c r="H20" s="164">
        <v>616827.00353867642</v>
      </c>
      <c r="I20" s="164">
        <v>616827.00353867642</v>
      </c>
      <c r="J20" s="164">
        <v>616827.00353867642</v>
      </c>
      <c r="K20" s="164">
        <v>616827.00353867642</v>
      </c>
      <c r="L20" s="164">
        <v>616827.00353867642</v>
      </c>
      <c r="M20" s="164">
        <v>616827.00353867642</v>
      </c>
      <c r="N20" s="164">
        <v>616827.00353867642</v>
      </c>
      <c r="O20" s="164">
        <v>434238.73329166032</v>
      </c>
      <c r="P20" s="164">
        <v>283871.92249999999</v>
      </c>
      <c r="Q20" s="164">
        <v>283871.92249999999</v>
      </c>
      <c r="R20" s="152">
        <f>SUM(F20:Q20)</f>
        <v>6553425.610139749</v>
      </c>
    </row>
    <row r="21" spans="1:18" ht="13.5" thickBot="1" x14ac:dyDescent="0.25">
      <c r="A21" s="39">
        <f>ROW()</f>
        <v>21</v>
      </c>
      <c r="C21" s="160" t="s">
        <v>138</v>
      </c>
      <c r="D21" s="165"/>
      <c r="E21" s="163"/>
      <c r="F21" s="166">
        <f>F16+F19+F20</f>
        <v>76948268.363538682</v>
      </c>
      <c r="G21" s="166">
        <f t="shared" ref="G21:Q21" si="2">G16+G19+G20</f>
        <v>69588114.863538682</v>
      </c>
      <c r="H21" s="166">
        <f>H16+H19+H20</f>
        <v>71490366.163538679</v>
      </c>
      <c r="I21" s="167">
        <f t="shared" si="2"/>
        <v>56643626.503538676</v>
      </c>
      <c r="J21" s="166">
        <f t="shared" si="2"/>
        <v>54772331.503538676</v>
      </c>
      <c r="K21" s="166">
        <f t="shared" si="2"/>
        <v>51613420.003538676</v>
      </c>
      <c r="L21" s="166">
        <f t="shared" si="2"/>
        <v>50923581.983538672</v>
      </c>
      <c r="M21" s="166">
        <f t="shared" si="2"/>
        <v>50717272.263538674</v>
      </c>
      <c r="N21" s="166">
        <f t="shared" si="2"/>
        <v>49058310.243538678</v>
      </c>
      <c r="O21" s="166">
        <f t="shared" si="2"/>
        <v>58866855.363291666</v>
      </c>
      <c r="P21" s="166">
        <f>P16+P19+P20</f>
        <v>73167460.302499995</v>
      </c>
      <c r="Q21" s="167">
        <f t="shared" si="2"/>
        <v>83795508.922499999</v>
      </c>
      <c r="R21" s="166">
        <f>R16+R19+R20</f>
        <v>747585116.48013973</v>
      </c>
    </row>
    <row r="22" spans="1:18" x14ac:dyDescent="0.2">
      <c r="A22" s="39">
        <f>ROW()</f>
        <v>22</v>
      </c>
      <c r="C22" s="64"/>
      <c r="I22" s="156"/>
      <c r="P22" s="168"/>
      <c r="Q22" s="156"/>
    </row>
    <row r="23" spans="1:18" x14ac:dyDescent="0.2">
      <c r="A23" s="39">
        <f>ROW()</f>
        <v>23</v>
      </c>
      <c r="C23" s="169"/>
      <c r="D23" s="163"/>
      <c r="E23" s="163"/>
      <c r="F23" s="170"/>
      <c r="G23" s="171"/>
      <c r="H23" s="170"/>
      <c r="I23" s="172"/>
      <c r="J23" s="170"/>
      <c r="K23" s="170"/>
      <c r="L23" s="170"/>
      <c r="M23" s="170"/>
      <c r="N23" s="170"/>
      <c r="O23" s="170"/>
      <c r="P23" s="173"/>
      <c r="Q23" s="173"/>
      <c r="R23" s="170"/>
    </row>
    <row r="24" spans="1:18" x14ac:dyDescent="0.2">
      <c r="A24" s="39">
        <f>ROW()</f>
        <v>24</v>
      </c>
      <c r="B24" s="39">
        <v>13</v>
      </c>
      <c r="C24" s="174" t="s">
        <v>139</v>
      </c>
      <c r="D24" s="163"/>
      <c r="E24" s="163"/>
      <c r="F24" s="175">
        <v>2032459697</v>
      </c>
      <c r="G24" s="175">
        <v>1946004894</v>
      </c>
      <c r="H24" s="175">
        <v>1861833580</v>
      </c>
      <c r="I24" s="175">
        <v>1464967722</v>
      </c>
      <c r="J24" s="175">
        <v>1385879895</v>
      </c>
      <c r="K24" s="175">
        <v>1364865963</v>
      </c>
      <c r="L24" s="175">
        <v>1531493834</v>
      </c>
      <c r="M24" s="175">
        <v>1532153178</v>
      </c>
      <c r="N24" s="175">
        <v>1417939075</v>
      </c>
      <c r="O24" s="175">
        <v>695995158</v>
      </c>
      <c r="P24" s="175"/>
      <c r="Q24" s="175"/>
      <c r="R24" s="176">
        <f>SUM(F24:Q24)</f>
        <v>15233592996</v>
      </c>
    </row>
    <row r="25" spans="1:18" x14ac:dyDescent="0.2">
      <c r="A25" s="39">
        <f>ROW()</f>
        <v>25</v>
      </c>
      <c r="C25" s="177" t="s">
        <v>140</v>
      </c>
      <c r="D25" s="163"/>
      <c r="E25" s="163"/>
      <c r="F25" s="175"/>
      <c r="G25" s="175"/>
      <c r="H25" s="175"/>
      <c r="I25" s="175"/>
      <c r="J25" s="175"/>
      <c r="K25" s="175"/>
      <c r="L25" s="175"/>
      <c r="M25" s="175"/>
      <c r="N25" s="175"/>
      <c r="O25" s="175"/>
      <c r="P25" s="173">
        <v>-17171592</v>
      </c>
      <c r="Q25" s="173">
        <v>-10252715</v>
      </c>
      <c r="R25" s="178">
        <f>SUM(F25:Q25)</f>
        <v>-27424307</v>
      </c>
    </row>
    <row r="26" spans="1:18" s="156" customFormat="1" x14ac:dyDescent="0.2">
      <c r="A26" s="39">
        <f>ROW()</f>
        <v>26</v>
      </c>
      <c r="B26" s="179">
        <v>13</v>
      </c>
      <c r="C26" s="180" t="s">
        <v>141</v>
      </c>
      <c r="D26" s="181"/>
      <c r="E26" s="181"/>
      <c r="F26" s="175"/>
      <c r="G26" s="175"/>
      <c r="H26" s="175"/>
      <c r="I26" s="175"/>
      <c r="J26" s="175"/>
      <c r="K26" s="182"/>
      <c r="L26" s="182"/>
      <c r="M26" s="175"/>
      <c r="N26" s="175"/>
      <c r="O26" s="175">
        <v>926848471</v>
      </c>
      <c r="P26" s="175">
        <v>1910188038</v>
      </c>
      <c r="Q26" s="175">
        <v>2024906468</v>
      </c>
      <c r="R26" s="176">
        <f>SUM(F26:Q26)</f>
        <v>4861942977</v>
      </c>
    </row>
    <row r="27" spans="1:18" s="156" customFormat="1" ht="13.5" thickBot="1" x14ac:dyDescent="0.25">
      <c r="A27" s="39">
        <f>ROW()</f>
        <v>27</v>
      </c>
      <c r="B27" s="179"/>
      <c r="C27" s="180"/>
      <c r="D27" s="181"/>
      <c r="E27" s="181"/>
      <c r="F27" s="183">
        <f t="shared" ref="F27:R27" si="3">SUM(F24:F26)</f>
        <v>2032459697</v>
      </c>
      <c r="G27" s="183">
        <f t="shared" si="3"/>
        <v>1946004894</v>
      </c>
      <c r="H27" s="183">
        <f t="shared" si="3"/>
        <v>1861833580</v>
      </c>
      <c r="I27" s="183">
        <f t="shared" si="3"/>
        <v>1464967722</v>
      </c>
      <c r="J27" s="183">
        <f t="shared" si="3"/>
        <v>1385879895</v>
      </c>
      <c r="K27" s="183">
        <f t="shared" si="3"/>
        <v>1364865963</v>
      </c>
      <c r="L27" s="183">
        <f t="shared" si="3"/>
        <v>1531493834</v>
      </c>
      <c r="M27" s="183">
        <f t="shared" si="3"/>
        <v>1532153178</v>
      </c>
      <c r="N27" s="183">
        <f t="shared" si="3"/>
        <v>1417939075</v>
      </c>
      <c r="O27" s="183">
        <f t="shared" si="3"/>
        <v>1622843629</v>
      </c>
      <c r="P27" s="183">
        <f t="shared" si="3"/>
        <v>1893016446</v>
      </c>
      <c r="Q27" s="183">
        <f t="shared" si="3"/>
        <v>2014653753</v>
      </c>
      <c r="R27" s="184">
        <f t="shared" si="3"/>
        <v>20068111666</v>
      </c>
    </row>
    <row r="28" spans="1:18" s="156" customFormat="1" ht="13.5" thickTop="1" x14ac:dyDescent="0.2">
      <c r="A28" s="179">
        <f>ROW()</f>
        <v>28</v>
      </c>
      <c r="B28" s="179"/>
      <c r="C28" s="338" t="s">
        <v>142</v>
      </c>
      <c r="D28" s="341"/>
      <c r="E28" s="342"/>
      <c r="N28" s="343"/>
      <c r="Q28" s="68"/>
      <c r="R28" s="343"/>
    </row>
    <row r="29" spans="1:18" s="156" customFormat="1" x14ac:dyDescent="0.2">
      <c r="A29" s="179">
        <f>ROW()</f>
        <v>29</v>
      </c>
      <c r="B29" s="179">
        <v>14</v>
      </c>
      <c r="C29" s="340" t="s">
        <v>143</v>
      </c>
      <c r="D29" s="341">
        <v>3.3034000000000001E-2</v>
      </c>
      <c r="E29" s="155"/>
      <c r="F29" s="343">
        <f t="shared" ref="F29:O29" si="4">F24*$D$29</f>
        <v>67140273.630697995</v>
      </c>
      <c r="G29" s="343">
        <f t="shared" si="4"/>
        <v>64284325.668396004</v>
      </c>
      <c r="H29" s="343">
        <f t="shared" si="4"/>
        <v>61503810.481720001</v>
      </c>
      <c r="I29" s="343">
        <f t="shared" si="4"/>
        <v>48393743.728547998</v>
      </c>
      <c r="J29" s="343">
        <f t="shared" si="4"/>
        <v>45781156.45143</v>
      </c>
      <c r="K29" s="343">
        <f t="shared" si="4"/>
        <v>45086982.221742004</v>
      </c>
      <c r="L29" s="343">
        <f t="shared" si="4"/>
        <v>50591367.312356003</v>
      </c>
      <c r="M29" s="343">
        <f t="shared" si="4"/>
        <v>50613148.082052</v>
      </c>
      <c r="N29" s="343">
        <f t="shared" si="4"/>
        <v>46840199.403549999</v>
      </c>
      <c r="O29" s="343">
        <f t="shared" si="4"/>
        <v>22991504.049371999</v>
      </c>
      <c r="P29" s="343"/>
      <c r="Q29" s="343"/>
      <c r="R29" s="343">
        <f>SUM(F29:Q29)</f>
        <v>503226511.02986401</v>
      </c>
    </row>
    <row r="30" spans="1:18" s="156" customFormat="1" x14ac:dyDescent="0.2">
      <c r="A30" s="179">
        <f>ROW()</f>
        <v>30</v>
      </c>
      <c r="B30" s="179"/>
      <c r="C30" s="344" t="s">
        <v>144</v>
      </c>
      <c r="D30" s="345">
        <v>2.4274760595591114E-2</v>
      </c>
      <c r="E30" s="345">
        <v>3.2705721867639703E-2</v>
      </c>
      <c r="F30" s="343"/>
      <c r="G30" s="343"/>
      <c r="H30" s="343"/>
      <c r="I30" s="343"/>
      <c r="J30" s="343"/>
      <c r="K30" s="343"/>
      <c r="L30" s="343"/>
      <c r="M30" s="343"/>
      <c r="N30" s="343"/>
      <c r="O30" s="343"/>
      <c r="P30" s="346">
        <f>+P25*D30</f>
        <v>-416836.2848451676</v>
      </c>
      <c r="Q30" s="346">
        <f>+Q25*E30</f>
        <v>-335322.44517817762</v>
      </c>
      <c r="R30" s="346">
        <f>SUM(F30:Q30)</f>
        <v>-752158.73002334521</v>
      </c>
    </row>
    <row r="31" spans="1:18" s="156" customFormat="1" x14ac:dyDescent="0.2">
      <c r="A31" s="179">
        <f>ROW()</f>
        <v>31</v>
      </c>
      <c r="B31" s="179">
        <v>14</v>
      </c>
      <c r="C31" s="340" t="s">
        <v>145</v>
      </c>
      <c r="D31" s="341">
        <v>3.4752999999999999E-2</v>
      </c>
      <c r="E31" s="155"/>
      <c r="H31" s="343"/>
      <c r="I31" s="343"/>
      <c r="J31" s="343">
        <f>J26*$D$29</f>
        <v>0</v>
      </c>
      <c r="K31" s="343">
        <f>K26*$D$29</f>
        <v>0</v>
      </c>
      <c r="L31" s="343">
        <f>L26*$D$29</f>
        <v>0</v>
      </c>
      <c r="M31" s="343">
        <f>M26*$D$29</f>
        <v>0</v>
      </c>
      <c r="N31" s="343">
        <f>N26*$D$29</f>
        <v>0</v>
      </c>
      <c r="O31" s="343">
        <f>O26*$D$31</f>
        <v>32210764.912662998</v>
      </c>
      <c r="P31" s="343">
        <f t="shared" ref="P31:Q31" si="5">P26*$D$31</f>
        <v>66384764.884613998</v>
      </c>
      <c r="Q31" s="343">
        <f t="shared" si="5"/>
        <v>70371574.482403994</v>
      </c>
      <c r="R31" s="152">
        <f>SUM(F31:Q31)</f>
        <v>168967104.279681</v>
      </c>
    </row>
    <row r="32" spans="1:18" s="156" customFormat="1" x14ac:dyDescent="0.2">
      <c r="A32" s="179">
        <f>ROW()</f>
        <v>32</v>
      </c>
      <c r="B32" s="179">
        <v>15</v>
      </c>
      <c r="C32" s="347" t="s">
        <v>146</v>
      </c>
      <c r="D32" s="341"/>
      <c r="E32" s="155"/>
      <c r="F32" s="348">
        <f t="shared" ref="F32:R32" si="6">SUM(F29:F31)</f>
        <v>67140273.630697995</v>
      </c>
      <c r="G32" s="348">
        <f t="shared" si="6"/>
        <v>64284325.668396004</v>
      </c>
      <c r="H32" s="348">
        <f t="shared" si="6"/>
        <v>61503810.481720001</v>
      </c>
      <c r="I32" s="348">
        <f t="shared" si="6"/>
        <v>48393743.728547998</v>
      </c>
      <c r="J32" s="348">
        <f t="shared" si="6"/>
        <v>45781156.45143</v>
      </c>
      <c r="K32" s="348">
        <f t="shared" si="6"/>
        <v>45086982.221742004</v>
      </c>
      <c r="L32" s="348">
        <f t="shared" si="6"/>
        <v>50591367.312356003</v>
      </c>
      <c r="M32" s="348">
        <f t="shared" si="6"/>
        <v>50613148.082052</v>
      </c>
      <c r="N32" s="348">
        <f t="shared" si="6"/>
        <v>46840199.403549999</v>
      </c>
      <c r="O32" s="348">
        <f t="shared" si="6"/>
        <v>55202268.962035</v>
      </c>
      <c r="P32" s="348">
        <f t="shared" si="6"/>
        <v>65967928.599768832</v>
      </c>
      <c r="Q32" s="348">
        <f t="shared" si="6"/>
        <v>70036252.037225813</v>
      </c>
      <c r="R32" s="348">
        <f t="shared" si="6"/>
        <v>671441456.57952166</v>
      </c>
    </row>
    <row r="33" spans="1:18" s="156" customFormat="1" x14ac:dyDescent="0.2">
      <c r="A33" s="179">
        <f>ROW()</f>
        <v>33</v>
      </c>
      <c r="B33" s="179"/>
      <c r="C33" s="25"/>
      <c r="D33" s="341"/>
      <c r="E33" s="155"/>
      <c r="F33" s="343"/>
      <c r="G33" s="343"/>
      <c r="H33" s="343"/>
      <c r="I33" s="343"/>
      <c r="J33" s="343"/>
      <c r="K33" s="343"/>
      <c r="L33" s="343"/>
      <c r="M33" s="343"/>
      <c r="N33" s="343"/>
      <c r="O33" s="343"/>
      <c r="P33" s="343"/>
      <c r="Q33" s="343"/>
      <c r="R33" s="164"/>
    </row>
    <row r="34" spans="1:18" s="156" customFormat="1" ht="13.5" thickBot="1" x14ac:dyDescent="0.25">
      <c r="A34" s="179">
        <f>ROW()</f>
        <v>34</v>
      </c>
      <c r="B34" s="179">
        <v>17</v>
      </c>
      <c r="C34" s="349" t="s">
        <v>147</v>
      </c>
      <c r="E34" s="155"/>
      <c r="F34" s="350">
        <f>F21-F32</f>
        <v>9807994.732840687</v>
      </c>
      <c r="G34" s="350">
        <f t="shared" ref="G34:H34" si="7">G21-G32</f>
        <v>5303789.1951426789</v>
      </c>
      <c r="H34" s="350">
        <f t="shared" si="7"/>
        <v>9986555.681818679</v>
      </c>
      <c r="I34" s="350">
        <f>I21-I32</f>
        <v>8249882.7749906778</v>
      </c>
      <c r="J34" s="350">
        <f t="shared" ref="J34:R34" si="8">J21-J32</f>
        <v>8991175.0521086752</v>
      </c>
      <c r="K34" s="350">
        <f t="shared" si="8"/>
        <v>6526437.7817966715</v>
      </c>
      <c r="L34" s="350">
        <f t="shared" si="8"/>
        <v>332214.6711826697</v>
      </c>
      <c r="M34" s="350">
        <f t="shared" si="8"/>
        <v>104124.18148667365</v>
      </c>
      <c r="N34" s="350">
        <f t="shared" si="8"/>
        <v>2218110.8399886787</v>
      </c>
      <c r="O34" s="350">
        <f t="shared" si="8"/>
        <v>3664586.4012566656</v>
      </c>
      <c r="P34" s="350">
        <f>P21-P32</f>
        <v>7199531.7027311623</v>
      </c>
      <c r="Q34" s="350">
        <f t="shared" si="8"/>
        <v>13759256.885274187</v>
      </c>
      <c r="R34" s="350">
        <f t="shared" si="8"/>
        <v>76143659.900618076</v>
      </c>
    </row>
    <row r="35" spans="1:18" s="156" customFormat="1" x14ac:dyDescent="0.2">
      <c r="A35" s="179">
        <f>ROW()</f>
        <v>35</v>
      </c>
      <c r="B35" s="179"/>
      <c r="C35" s="351" t="s">
        <v>148</v>
      </c>
      <c r="F35" s="352">
        <f t="shared" ref="F35:R35" si="9">+F34</f>
        <v>9807994.732840687</v>
      </c>
      <c r="G35" s="352">
        <f t="shared" si="9"/>
        <v>5303789.1951426789</v>
      </c>
      <c r="H35" s="352">
        <f t="shared" si="9"/>
        <v>9986555.681818679</v>
      </c>
      <c r="I35" s="352">
        <f t="shared" si="9"/>
        <v>8249882.7749906778</v>
      </c>
      <c r="J35" s="352">
        <f t="shared" si="9"/>
        <v>8991175.0521086752</v>
      </c>
      <c r="K35" s="352">
        <f t="shared" si="9"/>
        <v>6526437.7817966715</v>
      </c>
      <c r="L35" s="352">
        <f t="shared" si="9"/>
        <v>332214.6711826697</v>
      </c>
      <c r="M35" s="352">
        <f t="shared" si="9"/>
        <v>104124.18148667365</v>
      </c>
      <c r="N35" s="352">
        <f t="shared" si="9"/>
        <v>2218110.8399886787</v>
      </c>
      <c r="O35" s="352">
        <f t="shared" si="9"/>
        <v>3664586.4012566656</v>
      </c>
      <c r="P35" s="352">
        <f t="shared" si="9"/>
        <v>7199531.7027311623</v>
      </c>
      <c r="Q35" s="352">
        <f t="shared" si="9"/>
        <v>13759256.885274187</v>
      </c>
      <c r="R35" s="352">
        <f t="shared" si="9"/>
        <v>76143659.900618076</v>
      </c>
    </row>
    <row r="36" spans="1:18" s="156" customFormat="1" x14ac:dyDescent="0.2">
      <c r="A36" s="179">
        <f>ROW()</f>
        <v>36</v>
      </c>
      <c r="B36" s="179"/>
    </row>
    <row r="37" spans="1:18" s="156" customFormat="1" x14ac:dyDescent="0.2">
      <c r="A37" s="179">
        <f>ROW()</f>
        <v>37</v>
      </c>
      <c r="B37" s="179"/>
      <c r="C37" s="338" t="s">
        <v>149</v>
      </c>
      <c r="D37" s="353"/>
      <c r="F37" s="343"/>
      <c r="G37" s="343"/>
      <c r="H37" s="343"/>
      <c r="I37" s="343"/>
      <c r="J37" s="343"/>
      <c r="K37" s="343"/>
      <c r="L37" s="343"/>
      <c r="M37" s="343"/>
      <c r="N37" s="343"/>
      <c r="O37" s="343"/>
      <c r="P37" s="343"/>
      <c r="Q37" s="343"/>
      <c r="R37" s="354"/>
    </row>
    <row r="38" spans="1:18" s="156" customFormat="1" x14ac:dyDescent="0.2">
      <c r="A38" s="179">
        <f>ROW()</f>
        <v>38</v>
      </c>
      <c r="B38" s="179"/>
      <c r="C38" s="340" t="s">
        <v>150</v>
      </c>
      <c r="D38" s="355">
        <v>3.344E-4</v>
      </c>
      <c r="E38" s="355"/>
      <c r="F38" s="343">
        <f>F35*(1-$D$38)</f>
        <v>9804714.9394020252</v>
      </c>
      <c r="G38" s="343">
        <f t="shared" ref="G38:L38" si="10">G35*(1-$D$38)</f>
        <v>5302015.6080358233</v>
      </c>
      <c r="H38" s="343">
        <f>H35*(1-$D$38)</f>
        <v>9983216.1775986794</v>
      </c>
      <c r="I38" s="343">
        <f t="shared" si="10"/>
        <v>8247124.0141907213</v>
      </c>
      <c r="J38" s="343">
        <f t="shared" si="10"/>
        <v>8988168.4031712506</v>
      </c>
      <c r="K38" s="343">
        <f t="shared" si="10"/>
        <v>6524255.3410024391</v>
      </c>
      <c r="L38" s="343">
        <f t="shared" si="10"/>
        <v>332103.57859662623</v>
      </c>
      <c r="M38" s="343">
        <f>M35*(1-$D$38)</f>
        <v>104089.36236038452</v>
      </c>
      <c r="N38" s="343">
        <f>N35*(1-$D$38)</f>
        <v>2217369.1037237868</v>
      </c>
      <c r="O38" s="343">
        <f>O35*(1-$D$38)*14/31</f>
        <v>1654421.0803192642</v>
      </c>
      <c r="P38" s="343"/>
      <c r="Q38" s="343"/>
      <c r="R38" s="343">
        <f>SUM(F38:Q38)</f>
        <v>53157477.608401008</v>
      </c>
    </row>
    <row r="39" spans="1:18" s="156" customFormat="1" x14ac:dyDescent="0.2">
      <c r="A39" s="179">
        <f>ROW()</f>
        <v>39</v>
      </c>
      <c r="B39" s="179"/>
      <c r="C39" s="340" t="s">
        <v>151</v>
      </c>
      <c r="D39" s="355">
        <v>3.143E-4</v>
      </c>
      <c r="E39" s="355"/>
      <c r="F39" s="343"/>
      <c r="G39" s="343"/>
      <c r="H39" s="343"/>
      <c r="I39" s="343"/>
      <c r="J39" s="343"/>
      <c r="K39" s="343"/>
      <c r="L39" s="343"/>
      <c r="M39" s="343"/>
      <c r="N39" s="343"/>
      <c r="O39" s="343">
        <f>O35*(1-$D$39)*17/31</f>
        <v>2008980.2764439599</v>
      </c>
      <c r="P39" s="343">
        <f>P35*(1-$D$39)</f>
        <v>7197268.8899169937</v>
      </c>
      <c r="Q39" s="343">
        <f>Q35*(1-$D$39)</f>
        <v>13754932.350835145</v>
      </c>
      <c r="R39" s="343">
        <f>SUM(F39:Q39)</f>
        <v>22961181.517196096</v>
      </c>
    </row>
    <row r="40" spans="1:18" s="156" customFormat="1" x14ac:dyDescent="0.2">
      <c r="A40" s="179">
        <f>ROW()</f>
        <v>40</v>
      </c>
      <c r="B40" s="179"/>
      <c r="C40" s="340"/>
      <c r="D40" s="355"/>
      <c r="E40" s="355"/>
      <c r="F40" s="343"/>
      <c r="G40" s="343"/>
      <c r="H40" s="343"/>
      <c r="I40" s="343"/>
      <c r="J40" s="343"/>
      <c r="K40" s="343"/>
      <c r="L40" s="343"/>
      <c r="M40" s="343"/>
      <c r="N40" s="343"/>
      <c r="O40" s="343"/>
      <c r="P40" s="343"/>
      <c r="Q40" s="343"/>
      <c r="R40" s="343"/>
    </row>
    <row r="41" spans="1:18" s="156" customFormat="1" x14ac:dyDescent="0.2">
      <c r="A41" s="179">
        <f>ROW()</f>
        <v>41</v>
      </c>
      <c r="B41" s="179"/>
      <c r="C41" s="338" t="s">
        <v>152</v>
      </c>
      <c r="E41" s="155"/>
      <c r="F41" s="343">
        <f t="shared" ref="F41:N41" si="11">+F38</f>
        <v>9804714.9394020252</v>
      </c>
      <c r="G41" s="151">
        <f t="shared" si="11"/>
        <v>5302015.6080358233</v>
      </c>
      <c r="H41" s="343">
        <f t="shared" si="11"/>
        <v>9983216.1775986794</v>
      </c>
      <c r="I41" s="343">
        <f t="shared" si="11"/>
        <v>8247124.0141907213</v>
      </c>
      <c r="J41" s="343">
        <f t="shared" si="11"/>
        <v>8988168.4031712506</v>
      </c>
      <c r="K41" s="343">
        <f t="shared" si="11"/>
        <v>6524255.3410024391</v>
      </c>
      <c r="L41" s="343">
        <f t="shared" si="11"/>
        <v>332103.57859662623</v>
      </c>
      <c r="M41" s="343">
        <f t="shared" si="11"/>
        <v>104089.36236038452</v>
      </c>
      <c r="N41" s="343">
        <f t="shared" si="11"/>
        <v>2217369.1037237868</v>
      </c>
      <c r="O41" s="343">
        <f>+O38+O39</f>
        <v>3663401.3567632241</v>
      </c>
      <c r="P41" s="343">
        <f>+P38+P39</f>
        <v>7197268.8899169937</v>
      </c>
      <c r="Q41" s="343">
        <f>+Q38+Q39</f>
        <v>13754932.350835145</v>
      </c>
      <c r="R41" s="343">
        <f>+R38+R39</f>
        <v>76118659.125597104</v>
      </c>
    </row>
    <row r="42" spans="1:18" s="156" customFormat="1" x14ac:dyDescent="0.2">
      <c r="A42" s="179">
        <f>ROW()</f>
        <v>42</v>
      </c>
      <c r="B42" s="179"/>
      <c r="C42" s="338" t="s">
        <v>153</v>
      </c>
      <c r="E42" s="155"/>
      <c r="F42" s="343">
        <f t="shared" ref="F42:R42" si="12">-F41</f>
        <v>-9804714.9394020252</v>
      </c>
      <c r="G42" s="343">
        <f t="shared" si="12"/>
        <v>-5302015.6080358233</v>
      </c>
      <c r="H42" s="343">
        <f t="shared" si="12"/>
        <v>-9983216.1775986794</v>
      </c>
      <c r="I42" s="343">
        <f t="shared" si="12"/>
        <v>-8247124.0141907213</v>
      </c>
      <c r="J42" s="343">
        <f t="shared" si="12"/>
        <v>-8988168.4031712506</v>
      </c>
      <c r="K42" s="343">
        <f t="shared" si="12"/>
        <v>-6524255.3410024391</v>
      </c>
      <c r="L42" s="343">
        <f t="shared" si="12"/>
        <v>-332103.57859662623</v>
      </c>
      <c r="M42" s="343">
        <f t="shared" si="12"/>
        <v>-104089.36236038452</v>
      </c>
      <c r="N42" s="343">
        <f t="shared" si="12"/>
        <v>-2217369.1037237868</v>
      </c>
      <c r="O42" s="343">
        <f t="shared" si="12"/>
        <v>-3663401.3567632241</v>
      </c>
      <c r="P42" s="343">
        <f t="shared" si="12"/>
        <v>-7197268.8899169937</v>
      </c>
      <c r="Q42" s="343">
        <f t="shared" si="12"/>
        <v>-13754932.350835145</v>
      </c>
      <c r="R42" s="343">
        <f t="shared" si="12"/>
        <v>-76118659.125597104</v>
      </c>
    </row>
    <row r="43" spans="1:18" s="156" customFormat="1" x14ac:dyDescent="0.2">
      <c r="A43" s="179">
        <f>ROW()</f>
        <v>43</v>
      </c>
      <c r="B43" s="179"/>
      <c r="C43" s="338"/>
      <c r="E43" s="155"/>
      <c r="F43" s="343"/>
      <c r="G43" s="343"/>
      <c r="H43" s="343"/>
      <c r="I43" s="343"/>
      <c r="J43" s="343"/>
      <c r="K43" s="343"/>
      <c r="L43" s="343"/>
      <c r="M43" s="343"/>
      <c r="N43" s="343"/>
      <c r="O43" s="343"/>
      <c r="P43" s="343"/>
      <c r="Q43" s="343"/>
      <c r="R43" s="343"/>
    </row>
    <row r="44" spans="1:18" s="156" customFormat="1" x14ac:dyDescent="0.2">
      <c r="A44" s="179">
        <f>ROW()</f>
        <v>44</v>
      </c>
      <c r="B44" s="179"/>
      <c r="C44" s="338" t="s">
        <v>154</v>
      </c>
      <c r="E44" s="155"/>
      <c r="F44" s="343">
        <f>+F41</f>
        <v>9804714.9394020252</v>
      </c>
      <c r="G44" s="343">
        <f t="shared" ref="G44:Q45" si="13">+F44+G41</f>
        <v>15106730.547437849</v>
      </c>
      <c r="H44" s="343">
        <f t="shared" si="13"/>
        <v>25089946.725036528</v>
      </c>
      <c r="I44" s="343">
        <f t="shared" si="13"/>
        <v>33337070.73922725</v>
      </c>
      <c r="J44" s="343">
        <f t="shared" si="13"/>
        <v>42325239.142398499</v>
      </c>
      <c r="K44" s="343">
        <f t="shared" si="13"/>
        <v>48849494.483400941</v>
      </c>
      <c r="L44" s="343">
        <f t="shared" si="13"/>
        <v>49181598.06199757</v>
      </c>
      <c r="M44" s="343">
        <f t="shared" si="13"/>
        <v>49285687.424357958</v>
      </c>
      <c r="N44" s="343">
        <f t="shared" si="13"/>
        <v>51503056.528081745</v>
      </c>
      <c r="O44" s="343">
        <f t="shared" si="13"/>
        <v>55166457.884844966</v>
      </c>
      <c r="P44" s="343">
        <f t="shared" si="13"/>
        <v>62363726.77476196</v>
      </c>
      <c r="Q44" s="343">
        <f t="shared" si="13"/>
        <v>76118659.125597104</v>
      </c>
      <c r="R44" s="343">
        <f>+R41</f>
        <v>76118659.125597104</v>
      </c>
    </row>
    <row r="45" spans="1:18" s="156" customFormat="1" x14ac:dyDescent="0.2">
      <c r="A45" s="179">
        <f>ROW()</f>
        <v>45</v>
      </c>
      <c r="B45" s="179"/>
      <c r="C45" s="338" t="s">
        <v>155</v>
      </c>
      <c r="E45" s="155"/>
      <c r="F45" s="343">
        <f>+F42</f>
        <v>-9804714.9394020252</v>
      </c>
      <c r="G45" s="343">
        <f t="shared" si="13"/>
        <v>-15106730.547437849</v>
      </c>
      <c r="H45" s="343">
        <f t="shared" si="13"/>
        <v>-25089946.725036528</v>
      </c>
      <c r="I45" s="343">
        <f t="shared" si="13"/>
        <v>-33337070.73922725</v>
      </c>
      <c r="J45" s="343">
        <f t="shared" si="13"/>
        <v>-42325239.142398499</v>
      </c>
      <c r="K45" s="343">
        <f t="shared" si="13"/>
        <v>-48849494.483400941</v>
      </c>
      <c r="L45" s="343">
        <f t="shared" si="13"/>
        <v>-49181598.06199757</v>
      </c>
      <c r="M45" s="343">
        <f t="shared" si="13"/>
        <v>-49285687.424357958</v>
      </c>
      <c r="N45" s="343">
        <f t="shared" si="13"/>
        <v>-51503056.528081745</v>
      </c>
      <c r="O45" s="343">
        <f t="shared" si="13"/>
        <v>-55166457.884844966</v>
      </c>
      <c r="P45" s="343">
        <f t="shared" si="13"/>
        <v>-62363726.77476196</v>
      </c>
      <c r="Q45" s="343">
        <f t="shared" si="13"/>
        <v>-76118659.125597104</v>
      </c>
      <c r="R45" s="343">
        <f>+R42</f>
        <v>-76118659.125597104</v>
      </c>
    </row>
    <row r="46" spans="1:18" s="156" customFormat="1" x14ac:dyDescent="0.2">
      <c r="A46" s="179">
        <f>ROW()</f>
        <v>46</v>
      </c>
      <c r="B46" s="179"/>
      <c r="C46" s="338"/>
      <c r="E46" s="155"/>
      <c r="F46" s="343"/>
      <c r="G46" s="343"/>
      <c r="H46" s="343"/>
      <c r="I46" s="343"/>
      <c r="J46" s="343"/>
      <c r="K46" s="343"/>
      <c r="L46" s="343"/>
      <c r="M46" s="343"/>
      <c r="N46" s="343"/>
      <c r="O46" s="343"/>
      <c r="P46" s="343"/>
      <c r="Q46" s="343"/>
      <c r="R46" s="343"/>
    </row>
    <row r="47" spans="1:18" x14ac:dyDescent="0.2">
      <c r="A47" s="39">
        <f>ROW()</f>
        <v>47</v>
      </c>
      <c r="C47" s="185"/>
      <c r="D47" s="185"/>
      <c r="E47" s="185"/>
      <c r="F47" s="185"/>
      <c r="G47" s="185"/>
      <c r="H47" s="185"/>
      <c r="I47" s="185"/>
      <c r="J47" s="186"/>
      <c r="K47" s="186"/>
      <c r="L47" s="186"/>
      <c r="M47" s="186"/>
      <c r="N47" s="186"/>
      <c r="O47" s="186"/>
      <c r="P47" s="186"/>
      <c r="Q47" s="186"/>
      <c r="R47" s="187"/>
    </row>
    <row r="48" spans="1:18" s="64" customFormat="1" x14ac:dyDescent="0.2">
      <c r="A48" s="39">
        <f>ROW()</f>
        <v>48</v>
      </c>
      <c r="B48" s="39"/>
      <c r="C48" s="395" t="s">
        <v>156</v>
      </c>
      <c r="D48" s="395"/>
      <c r="E48" s="395"/>
      <c r="F48" s="395"/>
      <c r="G48" s="395"/>
      <c r="H48" s="395"/>
      <c r="I48" s="395"/>
      <c r="J48" s="188"/>
      <c r="K48" s="188"/>
      <c r="L48" s="188"/>
      <c r="M48" s="188"/>
      <c r="N48" s="188"/>
      <c r="O48" s="188"/>
      <c r="P48" s="189"/>
      <c r="Q48" s="190" t="s">
        <v>157</v>
      </c>
      <c r="R48" s="191">
        <f>'SEF-3 p 4 Bands'!D256-R41</f>
        <v>0</v>
      </c>
    </row>
    <row r="49" spans="1:18" ht="25.5" x14ac:dyDescent="0.35">
      <c r="A49" s="24"/>
      <c r="B49" s="24"/>
      <c r="I49" s="192"/>
      <c r="N49" s="193"/>
      <c r="O49" s="193"/>
      <c r="P49" s="193"/>
      <c r="Q49" s="194"/>
      <c r="R49" s="192"/>
    </row>
    <row r="50" spans="1:18" x14ac:dyDescent="0.2">
      <c r="A50" s="24"/>
      <c r="B50" s="24"/>
      <c r="I50" s="192"/>
      <c r="Q50" s="192"/>
      <c r="R50" s="192"/>
    </row>
    <row r="51" spans="1:18" x14ac:dyDescent="0.2">
      <c r="A51" s="24"/>
      <c r="B51" s="24"/>
      <c r="G51" s="195"/>
      <c r="Q51" s="195"/>
    </row>
    <row r="52" spans="1:18" x14ac:dyDescent="0.2">
      <c r="A52" s="24"/>
      <c r="B52" s="24"/>
      <c r="G52" s="195"/>
      <c r="H52" s="192"/>
    </row>
    <row r="53" spans="1:18" x14ac:dyDescent="0.2">
      <c r="A53" s="24"/>
      <c r="B53" s="24"/>
      <c r="F53" s="192"/>
    </row>
    <row r="54" spans="1:18" x14ac:dyDescent="0.2">
      <c r="A54" s="24"/>
      <c r="B54" s="24"/>
      <c r="K54" s="196"/>
    </row>
    <row r="55" spans="1:18" x14ac:dyDescent="0.2">
      <c r="A55" s="24"/>
      <c r="B55" s="24"/>
      <c r="K55" s="196"/>
    </row>
    <row r="56" spans="1:18" x14ac:dyDescent="0.2">
      <c r="A56" s="24"/>
      <c r="B56" s="24"/>
      <c r="K56" s="196"/>
    </row>
    <row r="57" spans="1:18" x14ac:dyDescent="0.2">
      <c r="A57" s="24"/>
      <c r="B57" s="24"/>
      <c r="K57" s="196"/>
    </row>
    <row r="58" spans="1:18" x14ac:dyDescent="0.2">
      <c r="A58" s="24"/>
      <c r="B58" s="24"/>
    </row>
    <row r="59" spans="1:18" x14ac:dyDescent="0.2">
      <c r="A59" s="24"/>
      <c r="B59" s="24"/>
      <c r="K59" s="197"/>
    </row>
    <row r="60" spans="1:18" x14ac:dyDescent="0.2">
      <c r="A60" s="24"/>
      <c r="B60" s="24"/>
    </row>
    <row r="61" spans="1:18" x14ac:dyDescent="0.2">
      <c r="A61" s="24"/>
      <c r="B61" s="24"/>
    </row>
    <row r="62" spans="1:18" x14ac:dyDescent="0.2">
      <c r="A62" s="24"/>
      <c r="B62" s="24"/>
    </row>
    <row r="63" spans="1:18" x14ac:dyDescent="0.2">
      <c r="A63" s="24"/>
      <c r="B63" s="24"/>
    </row>
    <row r="64" spans="1:18" x14ac:dyDescent="0.2">
      <c r="A64" s="24"/>
      <c r="B64" s="24"/>
    </row>
    <row r="65" spans="1:2" x14ac:dyDescent="0.2">
      <c r="A65" s="24"/>
      <c r="B65" s="24"/>
    </row>
    <row r="66" spans="1:2" x14ac:dyDescent="0.2">
      <c r="A66" s="24"/>
      <c r="B66" s="24"/>
    </row>
    <row r="67" spans="1:2" x14ac:dyDescent="0.2">
      <c r="A67" s="24"/>
      <c r="B67" s="24"/>
    </row>
    <row r="68" spans="1:2" x14ac:dyDescent="0.2">
      <c r="A68" s="24"/>
      <c r="B68" s="24"/>
    </row>
    <row r="69" spans="1:2" x14ac:dyDescent="0.2">
      <c r="A69" s="24"/>
      <c r="B69" s="24"/>
    </row>
    <row r="70" spans="1:2" x14ac:dyDescent="0.2">
      <c r="A70" s="198"/>
      <c r="B70" s="198"/>
    </row>
    <row r="71" spans="1:2" x14ac:dyDescent="0.2">
      <c r="A71" s="198"/>
      <c r="B71" s="198"/>
    </row>
    <row r="72" spans="1:2" x14ac:dyDescent="0.2">
      <c r="A72" s="198"/>
      <c r="B72" s="198"/>
    </row>
    <row r="73" spans="1:2" x14ac:dyDescent="0.2">
      <c r="A73" s="198"/>
      <c r="B73" s="198"/>
    </row>
    <row r="74" spans="1:2" x14ac:dyDescent="0.2">
      <c r="A74" s="198"/>
      <c r="B74" s="198"/>
    </row>
    <row r="75" spans="1:2" x14ac:dyDescent="0.2">
      <c r="A75" s="198"/>
      <c r="B75" s="198"/>
    </row>
    <row r="76" spans="1:2" x14ac:dyDescent="0.2">
      <c r="A76" s="198"/>
      <c r="B76" s="198"/>
    </row>
    <row r="77" spans="1:2" x14ac:dyDescent="0.2">
      <c r="A77" s="198"/>
      <c r="B77" s="198"/>
    </row>
    <row r="78" spans="1:2" x14ac:dyDescent="0.2">
      <c r="A78" s="198"/>
      <c r="B78" s="198"/>
    </row>
    <row r="79" spans="1:2" x14ac:dyDescent="0.2">
      <c r="A79" s="198"/>
      <c r="B79" s="198"/>
    </row>
    <row r="80" spans="1:2" x14ac:dyDescent="0.2">
      <c r="A80" s="198"/>
      <c r="B80" s="198"/>
    </row>
    <row r="81" spans="1:2" x14ac:dyDescent="0.2">
      <c r="A81" s="198"/>
      <c r="B81" s="198"/>
    </row>
    <row r="82" spans="1:2" x14ac:dyDescent="0.2">
      <c r="A82" s="198"/>
      <c r="B82" s="198"/>
    </row>
    <row r="83" spans="1:2" x14ac:dyDescent="0.2">
      <c r="A83" s="198"/>
      <c r="B83" s="198"/>
    </row>
    <row r="84" spans="1:2" x14ac:dyDescent="0.2">
      <c r="A84" s="198"/>
      <c r="B84" s="198"/>
    </row>
    <row r="85" spans="1:2" x14ac:dyDescent="0.2">
      <c r="A85" s="198"/>
      <c r="B85" s="198"/>
    </row>
    <row r="86" spans="1:2" x14ac:dyDescent="0.2">
      <c r="A86" s="198"/>
      <c r="B86" s="198"/>
    </row>
    <row r="87" spans="1:2" x14ac:dyDescent="0.2">
      <c r="A87" s="198"/>
      <c r="B87" s="198"/>
    </row>
    <row r="88" spans="1:2" x14ac:dyDescent="0.2">
      <c r="A88" s="198"/>
      <c r="B88" s="198"/>
    </row>
    <row r="89" spans="1:2" x14ac:dyDescent="0.2">
      <c r="A89" s="198"/>
      <c r="B89" s="198"/>
    </row>
    <row r="90" spans="1:2" x14ac:dyDescent="0.2">
      <c r="A90" s="198"/>
      <c r="B90" s="198"/>
    </row>
    <row r="91" spans="1:2" x14ac:dyDescent="0.2">
      <c r="A91" s="198"/>
      <c r="B91" s="198"/>
    </row>
    <row r="92" spans="1:2" x14ac:dyDescent="0.2">
      <c r="A92" s="198"/>
      <c r="B92" s="198"/>
    </row>
    <row r="93" spans="1:2" x14ac:dyDescent="0.2">
      <c r="A93" s="198"/>
      <c r="B93" s="198"/>
    </row>
    <row r="94" spans="1:2" x14ac:dyDescent="0.2">
      <c r="A94" s="198"/>
      <c r="B94" s="198"/>
    </row>
    <row r="95" spans="1:2" x14ac:dyDescent="0.2">
      <c r="A95" s="198"/>
      <c r="B95" s="198"/>
    </row>
    <row r="96" spans="1:2" x14ac:dyDescent="0.2">
      <c r="A96" s="198"/>
      <c r="B96" s="198"/>
    </row>
    <row r="97" spans="1:2" x14ac:dyDescent="0.2">
      <c r="A97" s="198"/>
      <c r="B97" s="198"/>
    </row>
    <row r="98" spans="1:2" x14ac:dyDescent="0.2">
      <c r="A98" s="198"/>
      <c r="B98" s="198"/>
    </row>
    <row r="99" spans="1:2" x14ac:dyDescent="0.2">
      <c r="A99" s="198"/>
      <c r="B99" s="198"/>
    </row>
    <row r="100" spans="1:2" x14ac:dyDescent="0.2">
      <c r="A100" s="198"/>
      <c r="B100" s="198"/>
    </row>
    <row r="101" spans="1:2" x14ac:dyDescent="0.2">
      <c r="A101" s="198"/>
      <c r="B101" s="198"/>
    </row>
    <row r="102" spans="1:2" x14ac:dyDescent="0.2">
      <c r="A102" s="198"/>
      <c r="B102" s="198"/>
    </row>
    <row r="103" spans="1:2" x14ac:dyDescent="0.2">
      <c r="A103" s="198"/>
      <c r="B103" s="198"/>
    </row>
    <row r="104" spans="1:2" x14ac:dyDescent="0.2">
      <c r="A104" s="198"/>
      <c r="B104" s="198"/>
    </row>
    <row r="105" spans="1:2" x14ac:dyDescent="0.2">
      <c r="A105" s="198"/>
      <c r="B105" s="198"/>
    </row>
    <row r="106" spans="1:2" x14ac:dyDescent="0.2">
      <c r="A106" s="198"/>
      <c r="B106" s="198"/>
    </row>
    <row r="107" spans="1:2" x14ac:dyDescent="0.2">
      <c r="A107" s="198"/>
      <c r="B107" s="198"/>
    </row>
    <row r="108" spans="1:2" x14ac:dyDescent="0.2">
      <c r="A108" s="198"/>
      <c r="B108" s="198"/>
    </row>
    <row r="109" spans="1:2" x14ac:dyDescent="0.2">
      <c r="A109" s="198"/>
      <c r="B109" s="198"/>
    </row>
    <row r="110" spans="1:2" x14ac:dyDescent="0.2">
      <c r="A110" s="198"/>
      <c r="B110" s="198"/>
    </row>
    <row r="111" spans="1:2" x14ac:dyDescent="0.2">
      <c r="A111" s="198"/>
      <c r="B111" s="198"/>
    </row>
    <row r="112" spans="1:2" x14ac:dyDescent="0.2">
      <c r="A112" s="198"/>
      <c r="B112" s="198"/>
    </row>
    <row r="113" spans="1:2" x14ac:dyDescent="0.2">
      <c r="A113" s="198"/>
      <c r="B113" s="198"/>
    </row>
    <row r="114" spans="1:2" x14ac:dyDescent="0.2">
      <c r="A114" s="198"/>
      <c r="B114" s="198"/>
    </row>
    <row r="115" spans="1:2" x14ac:dyDescent="0.2">
      <c r="A115" s="198"/>
      <c r="B115" s="198"/>
    </row>
    <row r="116" spans="1:2" x14ac:dyDescent="0.2">
      <c r="A116" s="198"/>
      <c r="B116" s="198"/>
    </row>
    <row r="117" spans="1:2" x14ac:dyDescent="0.2">
      <c r="A117" s="198"/>
      <c r="B117" s="198"/>
    </row>
    <row r="118" spans="1:2" x14ac:dyDescent="0.2">
      <c r="A118" s="198"/>
      <c r="B118" s="198"/>
    </row>
    <row r="119" spans="1:2" x14ac:dyDescent="0.2">
      <c r="A119" s="198"/>
      <c r="B119" s="198"/>
    </row>
    <row r="120" spans="1:2" x14ac:dyDescent="0.2">
      <c r="A120" s="198"/>
      <c r="B120" s="198"/>
    </row>
    <row r="121" spans="1:2" x14ac:dyDescent="0.2">
      <c r="A121" s="198"/>
      <c r="B121" s="198"/>
    </row>
    <row r="122" spans="1:2" x14ac:dyDescent="0.2">
      <c r="A122" s="198"/>
      <c r="B122" s="198"/>
    </row>
    <row r="123" spans="1:2" x14ac:dyDescent="0.2">
      <c r="A123" s="198"/>
      <c r="B123" s="198"/>
    </row>
    <row r="124" spans="1:2" x14ac:dyDescent="0.2">
      <c r="A124" s="198"/>
      <c r="B124" s="198"/>
    </row>
    <row r="125" spans="1:2" x14ac:dyDescent="0.2">
      <c r="A125" s="198"/>
      <c r="B125" s="198"/>
    </row>
    <row r="126" spans="1:2" x14ac:dyDescent="0.2">
      <c r="A126" s="198"/>
      <c r="B126" s="198"/>
    </row>
    <row r="127" spans="1:2" x14ac:dyDescent="0.2">
      <c r="A127" s="198"/>
      <c r="B127" s="198"/>
    </row>
    <row r="128" spans="1:2" x14ac:dyDescent="0.2">
      <c r="A128" s="198"/>
      <c r="B128" s="198"/>
    </row>
    <row r="129" spans="1:2" x14ac:dyDescent="0.2">
      <c r="A129" s="198"/>
      <c r="B129" s="198"/>
    </row>
    <row r="130" spans="1:2" x14ac:dyDescent="0.2">
      <c r="A130" s="198"/>
      <c r="B130" s="198"/>
    </row>
    <row r="131" spans="1:2" x14ac:dyDescent="0.2">
      <c r="A131" s="198"/>
      <c r="B131" s="198"/>
    </row>
    <row r="132" spans="1:2" x14ac:dyDescent="0.2">
      <c r="A132" s="198"/>
      <c r="B132" s="198"/>
    </row>
    <row r="133" spans="1:2" x14ac:dyDescent="0.2">
      <c r="A133" s="198"/>
      <c r="B133" s="198"/>
    </row>
    <row r="134" spans="1:2" x14ac:dyDescent="0.2">
      <c r="A134" s="198"/>
      <c r="B134" s="198"/>
    </row>
    <row r="135" spans="1:2" x14ac:dyDescent="0.2">
      <c r="A135" s="198"/>
      <c r="B135" s="198"/>
    </row>
    <row r="136" spans="1:2" x14ac:dyDescent="0.2">
      <c r="A136" s="198"/>
      <c r="B136" s="198"/>
    </row>
    <row r="137" spans="1:2" x14ac:dyDescent="0.2">
      <c r="A137" s="198"/>
      <c r="B137" s="198"/>
    </row>
    <row r="138" spans="1:2" x14ac:dyDescent="0.2">
      <c r="A138" s="198"/>
      <c r="B138" s="198"/>
    </row>
    <row r="139" spans="1:2" x14ac:dyDescent="0.2">
      <c r="A139" s="198"/>
      <c r="B139" s="198"/>
    </row>
    <row r="140" spans="1:2" x14ac:dyDescent="0.2">
      <c r="A140" s="198"/>
      <c r="B140" s="198"/>
    </row>
    <row r="141" spans="1:2" x14ac:dyDescent="0.2">
      <c r="A141" s="198"/>
      <c r="B141" s="198"/>
    </row>
    <row r="142" spans="1:2" x14ac:dyDescent="0.2">
      <c r="A142" s="198"/>
      <c r="B142" s="198"/>
    </row>
    <row r="143" spans="1:2" x14ac:dyDescent="0.2">
      <c r="A143" s="198"/>
      <c r="B143" s="198"/>
    </row>
    <row r="144" spans="1:2" x14ac:dyDescent="0.2">
      <c r="A144" s="198"/>
      <c r="B144" s="198"/>
    </row>
    <row r="145" spans="1:2" x14ac:dyDescent="0.2">
      <c r="A145" s="198"/>
      <c r="B145" s="198"/>
    </row>
    <row r="146" spans="1:2" x14ac:dyDescent="0.2">
      <c r="A146" s="198"/>
      <c r="B146" s="198"/>
    </row>
    <row r="147" spans="1:2" x14ac:dyDescent="0.2">
      <c r="A147" s="198"/>
      <c r="B147" s="198"/>
    </row>
    <row r="148" spans="1:2" x14ac:dyDescent="0.2">
      <c r="A148" s="198"/>
      <c r="B148" s="198"/>
    </row>
    <row r="149" spans="1:2" x14ac:dyDescent="0.2">
      <c r="A149" s="198"/>
      <c r="B149" s="198"/>
    </row>
    <row r="150" spans="1:2" x14ac:dyDescent="0.2">
      <c r="A150" s="198"/>
      <c r="B150" s="198"/>
    </row>
    <row r="151" spans="1:2" x14ac:dyDescent="0.2">
      <c r="A151" s="198"/>
      <c r="B151" s="198"/>
    </row>
    <row r="152" spans="1:2" x14ac:dyDescent="0.2">
      <c r="A152" s="198"/>
      <c r="B152" s="198"/>
    </row>
    <row r="153" spans="1:2" x14ac:dyDescent="0.2">
      <c r="A153" s="198"/>
      <c r="B153" s="198"/>
    </row>
    <row r="154" spans="1:2" x14ac:dyDescent="0.2">
      <c r="A154" s="198"/>
      <c r="B154" s="198"/>
    </row>
    <row r="155" spans="1:2" x14ac:dyDescent="0.2">
      <c r="A155" s="198"/>
      <c r="B155" s="198"/>
    </row>
    <row r="156" spans="1:2" x14ac:dyDescent="0.2">
      <c r="A156" s="198"/>
      <c r="B156" s="198"/>
    </row>
    <row r="157" spans="1:2" x14ac:dyDescent="0.2">
      <c r="A157" s="198"/>
      <c r="B157" s="198"/>
    </row>
    <row r="158" spans="1:2" x14ac:dyDescent="0.2">
      <c r="A158" s="198"/>
      <c r="B158" s="198"/>
    </row>
    <row r="159" spans="1:2" x14ac:dyDescent="0.2">
      <c r="A159" s="198"/>
      <c r="B159" s="198"/>
    </row>
    <row r="160" spans="1:2" x14ac:dyDescent="0.2">
      <c r="A160" s="198"/>
      <c r="B160" s="198"/>
    </row>
    <row r="161" spans="1:2" x14ac:dyDescent="0.2">
      <c r="A161" s="198"/>
      <c r="B161" s="198"/>
    </row>
    <row r="162" spans="1:2" x14ac:dyDescent="0.2">
      <c r="A162" s="198"/>
      <c r="B162" s="198"/>
    </row>
    <row r="163" spans="1:2" x14ac:dyDescent="0.2">
      <c r="A163" s="198"/>
      <c r="B163" s="198"/>
    </row>
    <row r="164" spans="1:2" x14ac:dyDescent="0.2">
      <c r="A164" s="198"/>
      <c r="B164" s="198"/>
    </row>
    <row r="165" spans="1:2" x14ac:dyDescent="0.2">
      <c r="A165" s="198"/>
      <c r="B165" s="198"/>
    </row>
    <row r="166" spans="1:2" x14ac:dyDescent="0.2">
      <c r="A166" s="198"/>
      <c r="B166" s="198"/>
    </row>
    <row r="167" spans="1:2" x14ac:dyDescent="0.2">
      <c r="A167" s="198"/>
      <c r="B167" s="198"/>
    </row>
    <row r="168" spans="1:2" x14ac:dyDescent="0.2">
      <c r="A168" s="198"/>
      <c r="B168" s="198"/>
    </row>
    <row r="169" spans="1:2" x14ac:dyDescent="0.2">
      <c r="A169" s="198"/>
      <c r="B169" s="198"/>
    </row>
    <row r="170" spans="1:2" x14ac:dyDescent="0.2">
      <c r="A170" s="198"/>
      <c r="B170" s="198"/>
    </row>
    <row r="171" spans="1:2" x14ac:dyDescent="0.2">
      <c r="A171" s="198"/>
      <c r="B171" s="198"/>
    </row>
    <row r="172" spans="1:2" x14ac:dyDescent="0.2">
      <c r="A172" s="198"/>
      <c r="B172" s="198"/>
    </row>
    <row r="173" spans="1:2" x14ac:dyDescent="0.2">
      <c r="A173" s="198"/>
      <c r="B173" s="198"/>
    </row>
    <row r="174" spans="1:2" x14ac:dyDescent="0.2">
      <c r="A174" s="198"/>
      <c r="B174" s="198"/>
    </row>
    <row r="175" spans="1:2" x14ac:dyDescent="0.2">
      <c r="A175" s="198"/>
      <c r="B175" s="198"/>
    </row>
    <row r="176" spans="1:2" x14ac:dyDescent="0.2">
      <c r="A176" s="198"/>
      <c r="B176" s="198"/>
    </row>
    <row r="177" spans="1:2" x14ac:dyDescent="0.2">
      <c r="A177" s="198"/>
      <c r="B177" s="198"/>
    </row>
    <row r="178" spans="1:2" x14ac:dyDescent="0.2">
      <c r="A178" s="198"/>
      <c r="B178" s="198"/>
    </row>
    <row r="179" spans="1:2" x14ac:dyDescent="0.2">
      <c r="A179" s="198"/>
      <c r="B179" s="198"/>
    </row>
    <row r="180" spans="1:2" x14ac:dyDescent="0.2">
      <c r="A180" s="198"/>
      <c r="B180" s="198"/>
    </row>
    <row r="181" spans="1:2" x14ac:dyDescent="0.2">
      <c r="A181" s="198"/>
      <c r="B181" s="198"/>
    </row>
    <row r="182" spans="1:2" x14ac:dyDescent="0.2">
      <c r="A182" s="198"/>
      <c r="B182" s="198"/>
    </row>
    <row r="183" spans="1:2" x14ac:dyDescent="0.2">
      <c r="A183" s="198"/>
      <c r="B183" s="198"/>
    </row>
    <row r="184" spans="1:2" x14ac:dyDescent="0.2">
      <c r="A184" s="198"/>
      <c r="B184" s="198"/>
    </row>
    <row r="185" spans="1:2" x14ac:dyDescent="0.2">
      <c r="A185" s="198"/>
      <c r="B185" s="198"/>
    </row>
    <row r="186" spans="1:2" x14ac:dyDescent="0.2">
      <c r="A186" s="198"/>
      <c r="B186" s="198"/>
    </row>
    <row r="187" spans="1:2" x14ac:dyDescent="0.2">
      <c r="A187" s="198"/>
      <c r="B187" s="198"/>
    </row>
    <row r="188" spans="1:2" x14ac:dyDescent="0.2">
      <c r="A188" s="198"/>
      <c r="B188" s="198"/>
    </row>
    <row r="189" spans="1:2" x14ac:dyDescent="0.2">
      <c r="A189" s="198"/>
      <c r="B189" s="198"/>
    </row>
    <row r="190" spans="1:2" x14ac:dyDescent="0.2">
      <c r="A190" s="198"/>
      <c r="B190" s="198"/>
    </row>
    <row r="191" spans="1:2" x14ac:dyDescent="0.2">
      <c r="A191" s="198"/>
      <c r="B191" s="198"/>
    </row>
    <row r="192" spans="1:2" x14ac:dyDescent="0.2">
      <c r="A192" s="198"/>
      <c r="B192" s="198"/>
    </row>
    <row r="193" spans="1:2" x14ac:dyDescent="0.2">
      <c r="A193" s="198"/>
      <c r="B193" s="198"/>
    </row>
    <row r="194" spans="1:2" x14ac:dyDescent="0.2">
      <c r="A194" s="198"/>
      <c r="B194" s="198"/>
    </row>
    <row r="195" spans="1:2" x14ac:dyDescent="0.2">
      <c r="A195" s="198"/>
      <c r="B195" s="198"/>
    </row>
    <row r="196" spans="1:2" x14ac:dyDescent="0.2">
      <c r="A196" s="198"/>
      <c r="B196" s="198"/>
    </row>
    <row r="197" spans="1:2" x14ac:dyDescent="0.2">
      <c r="A197" s="198"/>
      <c r="B197" s="198"/>
    </row>
    <row r="198" spans="1:2" x14ac:dyDescent="0.2">
      <c r="A198" s="198"/>
      <c r="B198" s="198"/>
    </row>
    <row r="199" spans="1:2" x14ac:dyDescent="0.2">
      <c r="A199" s="198"/>
      <c r="B199" s="198"/>
    </row>
    <row r="200" spans="1:2" x14ac:dyDescent="0.2">
      <c r="A200" s="198"/>
      <c r="B200" s="198"/>
    </row>
    <row r="201" spans="1:2" x14ac:dyDescent="0.2">
      <c r="A201" s="198"/>
      <c r="B201" s="198"/>
    </row>
    <row r="202" spans="1:2" x14ac:dyDescent="0.2">
      <c r="A202" s="198"/>
      <c r="B202" s="198"/>
    </row>
    <row r="203" spans="1:2" x14ac:dyDescent="0.2">
      <c r="A203" s="198"/>
      <c r="B203" s="198"/>
    </row>
    <row r="204" spans="1:2" x14ac:dyDescent="0.2">
      <c r="A204" s="198"/>
      <c r="B204" s="198"/>
    </row>
    <row r="205" spans="1:2" x14ac:dyDescent="0.2">
      <c r="A205" s="198"/>
      <c r="B205" s="198"/>
    </row>
    <row r="206" spans="1:2" x14ac:dyDescent="0.2">
      <c r="A206" s="198"/>
      <c r="B206" s="198"/>
    </row>
    <row r="207" spans="1:2" x14ac:dyDescent="0.2">
      <c r="A207" s="198"/>
      <c r="B207" s="198"/>
    </row>
    <row r="208" spans="1:2" x14ac:dyDescent="0.2">
      <c r="A208" s="198"/>
      <c r="B208" s="198"/>
    </row>
    <row r="209" spans="1:2" x14ac:dyDescent="0.2">
      <c r="A209" s="198"/>
      <c r="B209" s="198"/>
    </row>
    <row r="210" spans="1:2" x14ac:dyDescent="0.2">
      <c r="A210" s="198"/>
      <c r="B210" s="198"/>
    </row>
    <row r="211" spans="1:2" x14ac:dyDescent="0.2">
      <c r="A211" s="198"/>
      <c r="B211" s="198"/>
    </row>
    <row r="212" spans="1:2" x14ac:dyDescent="0.2">
      <c r="A212" s="198"/>
      <c r="B212" s="198"/>
    </row>
    <row r="213" spans="1:2" x14ac:dyDescent="0.2">
      <c r="A213" s="198"/>
      <c r="B213" s="198"/>
    </row>
    <row r="214" spans="1:2" x14ac:dyDescent="0.2">
      <c r="A214" s="198"/>
      <c r="B214" s="198"/>
    </row>
    <row r="215" spans="1:2" x14ac:dyDescent="0.2">
      <c r="A215" s="198"/>
      <c r="B215" s="198"/>
    </row>
    <row r="216" spans="1:2" x14ac:dyDescent="0.2">
      <c r="A216" s="198"/>
      <c r="B216" s="198"/>
    </row>
    <row r="217" spans="1:2" x14ac:dyDescent="0.2">
      <c r="A217" s="198"/>
      <c r="B217" s="198"/>
    </row>
    <row r="218" spans="1:2" x14ac:dyDescent="0.2">
      <c r="A218" s="198"/>
      <c r="B218" s="198"/>
    </row>
    <row r="219" spans="1:2" x14ac:dyDescent="0.2">
      <c r="A219" s="198"/>
      <c r="B219" s="198"/>
    </row>
    <row r="220" spans="1:2" x14ac:dyDescent="0.2">
      <c r="A220" s="198"/>
      <c r="B220" s="198"/>
    </row>
    <row r="221" spans="1:2" x14ac:dyDescent="0.2">
      <c r="A221" s="198"/>
      <c r="B221" s="198"/>
    </row>
    <row r="222" spans="1:2" x14ac:dyDescent="0.2">
      <c r="A222" s="198"/>
      <c r="B222" s="198"/>
    </row>
    <row r="223" spans="1:2" x14ac:dyDescent="0.2">
      <c r="A223" s="198"/>
      <c r="B223" s="198"/>
    </row>
    <row r="224" spans="1:2" x14ac:dyDescent="0.2">
      <c r="A224" s="198"/>
      <c r="B224" s="198"/>
    </row>
    <row r="225" spans="1:2" x14ac:dyDescent="0.2">
      <c r="A225" s="198"/>
      <c r="B225" s="198"/>
    </row>
    <row r="226" spans="1:2" x14ac:dyDescent="0.2">
      <c r="A226" s="198"/>
      <c r="B226" s="198"/>
    </row>
    <row r="227" spans="1:2" x14ac:dyDescent="0.2">
      <c r="A227" s="198"/>
      <c r="B227" s="198"/>
    </row>
    <row r="228" spans="1:2" x14ac:dyDescent="0.2">
      <c r="A228" s="198"/>
      <c r="B228" s="198"/>
    </row>
    <row r="229" spans="1:2" x14ac:dyDescent="0.2">
      <c r="A229" s="198"/>
      <c r="B229" s="198"/>
    </row>
    <row r="230" spans="1:2" x14ac:dyDescent="0.2">
      <c r="A230" s="198"/>
      <c r="B230" s="198"/>
    </row>
    <row r="231" spans="1:2" x14ac:dyDescent="0.2">
      <c r="A231" s="198"/>
      <c r="B231" s="198"/>
    </row>
    <row r="232" spans="1:2" x14ac:dyDescent="0.2">
      <c r="A232" s="198"/>
      <c r="B232" s="198"/>
    </row>
    <row r="233" spans="1:2" x14ac:dyDescent="0.2">
      <c r="A233" s="198"/>
      <c r="B233" s="198"/>
    </row>
    <row r="234" spans="1:2" x14ac:dyDescent="0.2">
      <c r="A234" s="198"/>
      <c r="B234" s="198"/>
    </row>
    <row r="235" spans="1:2" x14ac:dyDescent="0.2">
      <c r="A235" s="198"/>
      <c r="B235" s="198"/>
    </row>
    <row r="236" spans="1:2" x14ac:dyDescent="0.2">
      <c r="A236" s="198"/>
      <c r="B236" s="198"/>
    </row>
    <row r="237" spans="1:2" x14ac:dyDescent="0.2">
      <c r="A237" s="198"/>
      <c r="B237" s="198"/>
    </row>
    <row r="238" spans="1:2" x14ac:dyDescent="0.2">
      <c r="A238" s="198"/>
      <c r="B238" s="198"/>
    </row>
    <row r="239" spans="1:2" x14ac:dyDescent="0.2">
      <c r="A239" s="198"/>
      <c r="B239" s="198"/>
    </row>
    <row r="240" spans="1:2" x14ac:dyDescent="0.2">
      <c r="A240" s="198"/>
      <c r="B240" s="198"/>
    </row>
    <row r="241" spans="1:2" x14ac:dyDescent="0.2">
      <c r="A241" s="198"/>
      <c r="B241" s="198"/>
    </row>
    <row r="242" spans="1:2" x14ac:dyDescent="0.2">
      <c r="A242" s="198"/>
      <c r="B242" s="198"/>
    </row>
    <row r="243" spans="1:2" x14ac:dyDescent="0.2">
      <c r="A243" s="198"/>
      <c r="B243" s="198"/>
    </row>
    <row r="244" spans="1:2" x14ac:dyDescent="0.2">
      <c r="A244" s="198"/>
      <c r="B244" s="198"/>
    </row>
    <row r="245" spans="1:2" x14ac:dyDescent="0.2">
      <c r="A245" s="198"/>
      <c r="B245" s="198"/>
    </row>
    <row r="246" spans="1:2" x14ac:dyDescent="0.2">
      <c r="A246" s="198"/>
      <c r="B246" s="198"/>
    </row>
    <row r="247" spans="1:2" x14ac:dyDescent="0.2">
      <c r="A247" s="198"/>
      <c r="B247" s="198"/>
    </row>
    <row r="248" spans="1:2" x14ac:dyDescent="0.2">
      <c r="A248" s="198"/>
      <c r="B248" s="198"/>
    </row>
    <row r="249" spans="1:2" x14ac:dyDescent="0.2">
      <c r="A249" s="198"/>
      <c r="B249" s="198"/>
    </row>
    <row r="250" spans="1:2" x14ac:dyDescent="0.2">
      <c r="A250" s="198"/>
      <c r="B250" s="198"/>
    </row>
    <row r="251" spans="1:2" x14ac:dyDescent="0.2">
      <c r="A251" s="198"/>
      <c r="B251" s="198"/>
    </row>
    <row r="252" spans="1:2" x14ac:dyDescent="0.2">
      <c r="A252" s="198"/>
      <c r="B252" s="198"/>
    </row>
    <row r="253" spans="1:2" x14ac:dyDescent="0.2">
      <c r="A253" s="198"/>
      <c r="B253" s="198"/>
    </row>
    <row r="254" spans="1:2" x14ac:dyDescent="0.2">
      <c r="A254" s="198"/>
      <c r="B254" s="198"/>
    </row>
    <row r="255" spans="1:2" x14ac:dyDescent="0.2">
      <c r="A255" s="198"/>
      <c r="B255" s="198"/>
    </row>
    <row r="256" spans="1:2" x14ac:dyDescent="0.2">
      <c r="A256" s="198"/>
      <c r="B256" s="198"/>
    </row>
    <row r="257" spans="1:2" x14ac:dyDescent="0.2">
      <c r="A257" s="198"/>
      <c r="B257" s="198"/>
    </row>
    <row r="258" spans="1:2" x14ac:dyDescent="0.2">
      <c r="A258" s="198"/>
      <c r="B258" s="198"/>
    </row>
    <row r="259" spans="1:2" x14ac:dyDescent="0.2">
      <c r="A259" s="198"/>
      <c r="B259" s="198"/>
    </row>
    <row r="260" spans="1:2" x14ac:dyDescent="0.2">
      <c r="A260" s="198"/>
      <c r="B260" s="198"/>
    </row>
    <row r="261" spans="1:2" x14ac:dyDescent="0.2">
      <c r="A261" s="198"/>
      <c r="B261" s="198"/>
    </row>
    <row r="262" spans="1:2" x14ac:dyDescent="0.2">
      <c r="A262" s="198"/>
      <c r="B262" s="198"/>
    </row>
    <row r="263" spans="1:2" x14ac:dyDescent="0.2">
      <c r="A263" s="198"/>
      <c r="B263" s="198"/>
    </row>
    <row r="264" spans="1:2" x14ac:dyDescent="0.2">
      <c r="A264" s="198"/>
      <c r="B264" s="198"/>
    </row>
    <row r="265" spans="1:2" x14ac:dyDescent="0.2">
      <c r="A265" s="198"/>
      <c r="B265" s="198"/>
    </row>
    <row r="266" spans="1:2" x14ac:dyDescent="0.2">
      <c r="A266" s="198"/>
      <c r="B266" s="198"/>
    </row>
    <row r="267" spans="1:2" x14ac:dyDescent="0.2">
      <c r="A267" s="198"/>
      <c r="B267" s="198"/>
    </row>
    <row r="268" spans="1:2" x14ac:dyDescent="0.2">
      <c r="A268" s="198"/>
      <c r="B268" s="198"/>
    </row>
    <row r="269" spans="1:2" x14ac:dyDescent="0.2">
      <c r="A269" s="198"/>
      <c r="B269" s="198"/>
    </row>
    <row r="270" spans="1:2" x14ac:dyDescent="0.2">
      <c r="A270" s="198"/>
      <c r="B270" s="198"/>
    </row>
    <row r="271" spans="1:2" x14ac:dyDescent="0.2">
      <c r="A271" s="198"/>
      <c r="B271" s="198"/>
    </row>
    <row r="272" spans="1:2" x14ac:dyDescent="0.2">
      <c r="A272" s="198"/>
      <c r="B272" s="198"/>
    </row>
    <row r="273" spans="1:2" x14ac:dyDescent="0.2">
      <c r="A273" s="198"/>
      <c r="B273" s="198"/>
    </row>
    <row r="274" spans="1:2" x14ac:dyDescent="0.2">
      <c r="A274" s="198"/>
      <c r="B274" s="198"/>
    </row>
    <row r="275" spans="1:2" x14ac:dyDescent="0.2">
      <c r="A275" s="198"/>
      <c r="B275" s="198"/>
    </row>
    <row r="276" spans="1:2" x14ac:dyDescent="0.2">
      <c r="A276" s="198"/>
      <c r="B276" s="198"/>
    </row>
    <row r="277" spans="1:2" x14ac:dyDescent="0.2">
      <c r="A277" s="198"/>
      <c r="B277" s="198"/>
    </row>
    <row r="278" spans="1:2" x14ac:dyDescent="0.2">
      <c r="A278" s="198"/>
      <c r="B278" s="198"/>
    </row>
    <row r="279" spans="1:2" x14ac:dyDescent="0.2">
      <c r="A279" s="198"/>
      <c r="B279" s="198"/>
    </row>
    <row r="280" spans="1:2" x14ac:dyDescent="0.2">
      <c r="A280" s="198"/>
      <c r="B280" s="198"/>
    </row>
    <row r="281" spans="1:2" x14ac:dyDescent="0.2">
      <c r="A281" s="198"/>
      <c r="B281" s="198"/>
    </row>
    <row r="282" spans="1:2" x14ac:dyDescent="0.2">
      <c r="A282" s="198"/>
      <c r="B282" s="198"/>
    </row>
    <row r="283" spans="1:2" x14ac:dyDescent="0.2">
      <c r="A283" s="198"/>
      <c r="B283" s="198"/>
    </row>
    <row r="284" spans="1:2" x14ac:dyDescent="0.2">
      <c r="A284" s="198"/>
      <c r="B284" s="198"/>
    </row>
    <row r="285" spans="1:2" x14ac:dyDescent="0.2">
      <c r="A285" s="198"/>
      <c r="B285" s="198"/>
    </row>
    <row r="286" spans="1:2" x14ac:dyDescent="0.2">
      <c r="A286" s="198"/>
      <c r="B286" s="198"/>
    </row>
    <row r="287" spans="1:2" x14ac:dyDescent="0.2">
      <c r="A287" s="198"/>
      <c r="B287" s="198"/>
    </row>
    <row r="288" spans="1:2" x14ac:dyDescent="0.2">
      <c r="A288" s="198"/>
      <c r="B288" s="198"/>
    </row>
    <row r="289" spans="1:2" x14ac:dyDescent="0.2">
      <c r="A289" s="198"/>
      <c r="B289" s="198"/>
    </row>
    <row r="290" spans="1:2" x14ac:dyDescent="0.2">
      <c r="A290" s="198"/>
      <c r="B290" s="198"/>
    </row>
    <row r="291" spans="1:2" x14ac:dyDescent="0.2">
      <c r="A291" s="198"/>
      <c r="B291" s="198"/>
    </row>
    <row r="292" spans="1:2" x14ac:dyDescent="0.2">
      <c r="A292" s="198"/>
      <c r="B292" s="198"/>
    </row>
    <row r="293" spans="1:2" x14ac:dyDescent="0.2">
      <c r="A293" s="198"/>
      <c r="B293" s="198"/>
    </row>
    <row r="294" spans="1:2" x14ac:dyDescent="0.2">
      <c r="A294" s="198"/>
      <c r="B294" s="198"/>
    </row>
    <row r="295" spans="1:2" x14ac:dyDescent="0.2">
      <c r="A295" s="198"/>
      <c r="B295" s="198"/>
    </row>
    <row r="296" spans="1:2" x14ac:dyDescent="0.2">
      <c r="A296" s="198"/>
      <c r="B296" s="198"/>
    </row>
    <row r="297" spans="1:2" x14ac:dyDescent="0.2">
      <c r="A297" s="198"/>
      <c r="B297" s="198"/>
    </row>
    <row r="298" spans="1:2" x14ac:dyDescent="0.2">
      <c r="A298" s="198"/>
      <c r="B298" s="198"/>
    </row>
    <row r="299" spans="1:2" x14ac:dyDescent="0.2">
      <c r="A299" s="198"/>
      <c r="B299" s="198"/>
    </row>
    <row r="300" spans="1:2" x14ac:dyDescent="0.2">
      <c r="A300" s="198"/>
      <c r="B300" s="198"/>
    </row>
    <row r="301" spans="1:2" x14ac:dyDescent="0.2">
      <c r="A301" s="198"/>
      <c r="B301" s="198"/>
    </row>
    <row r="302" spans="1:2" x14ac:dyDescent="0.2">
      <c r="A302" s="198"/>
      <c r="B302" s="198"/>
    </row>
    <row r="303" spans="1:2" x14ac:dyDescent="0.2">
      <c r="A303" s="198"/>
      <c r="B303" s="198"/>
    </row>
    <row r="304" spans="1:2" x14ac:dyDescent="0.2">
      <c r="A304" s="198"/>
      <c r="B304" s="198"/>
    </row>
    <row r="305" spans="1:2" x14ac:dyDescent="0.2">
      <c r="A305" s="198"/>
      <c r="B305" s="198"/>
    </row>
    <row r="306" spans="1:2" x14ac:dyDescent="0.2">
      <c r="A306" s="198"/>
      <c r="B306" s="198"/>
    </row>
    <row r="307" spans="1:2" x14ac:dyDescent="0.2">
      <c r="A307" s="198"/>
      <c r="B307" s="198"/>
    </row>
    <row r="308" spans="1:2" x14ac:dyDescent="0.2">
      <c r="A308" s="198"/>
      <c r="B308" s="198"/>
    </row>
    <row r="309" spans="1:2" x14ac:dyDescent="0.2">
      <c r="A309" s="198"/>
      <c r="B309" s="198"/>
    </row>
    <row r="310" spans="1:2" x14ac:dyDescent="0.2">
      <c r="A310" s="198"/>
      <c r="B310" s="198"/>
    </row>
    <row r="311" spans="1:2" x14ac:dyDescent="0.2">
      <c r="A311" s="198"/>
      <c r="B311" s="198"/>
    </row>
    <row r="312" spans="1:2" x14ac:dyDescent="0.2">
      <c r="A312" s="198"/>
      <c r="B312" s="198"/>
    </row>
    <row r="313" spans="1:2" x14ac:dyDescent="0.2">
      <c r="A313" s="198"/>
      <c r="B313" s="198"/>
    </row>
    <row r="314" spans="1:2" x14ac:dyDescent="0.2">
      <c r="A314" s="198"/>
      <c r="B314" s="198"/>
    </row>
    <row r="315" spans="1:2" x14ac:dyDescent="0.2">
      <c r="A315" s="198"/>
      <c r="B315" s="198"/>
    </row>
    <row r="316" spans="1:2" x14ac:dyDescent="0.2">
      <c r="A316" s="198"/>
      <c r="B316" s="198"/>
    </row>
    <row r="317" spans="1:2" x14ac:dyDescent="0.2">
      <c r="A317" s="198"/>
      <c r="B317" s="198"/>
    </row>
    <row r="318" spans="1:2" x14ac:dyDescent="0.2">
      <c r="A318" s="198"/>
      <c r="B318" s="198"/>
    </row>
    <row r="319" spans="1:2" x14ac:dyDescent="0.2">
      <c r="A319" s="198"/>
      <c r="B319" s="198"/>
    </row>
    <row r="320" spans="1:2" x14ac:dyDescent="0.2">
      <c r="A320" s="198"/>
      <c r="B320" s="198"/>
    </row>
    <row r="321" spans="1:2" x14ac:dyDescent="0.2">
      <c r="A321" s="198"/>
      <c r="B321" s="198"/>
    </row>
    <row r="322" spans="1:2" x14ac:dyDescent="0.2">
      <c r="A322" s="198"/>
      <c r="B322" s="198"/>
    </row>
    <row r="323" spans="1:2" x14ac:dyDescent="0.2">
      <c r="A323" s="198"/>
      <c r="B323" s="198"/>
    </row>
    <row r="324" spans="1:2" x14ac:dyDescent="0.2">
      <c r="A324" s="198"/>
      <c r="B324" s="198"/>
    </row>
    <row r="325" spans="1:2" x14ac:dyDescent="0.2">
      <c r="A325" s="198"/>
      <c r="B325" s="198"/>
    </row>
    <row r="326" spans="1:2" x14ac:dyDescent="0.2">
      <c r="A326" s="198"/>
      <c r="B326" s="198"/>
    </row>
    <row r="327" spans="1:2" x14ac:dyDescent="0.2">
      <c r="A327" s="198"/>
      <c r="B327" s="198"/>
    </row>
    <row r="328" spans="1:2" x14ac:dyDescent="0.2">
      <c r="A328" s="198"/>
      <c r="B328" s="198"/>
    </row>
    <row r="329" spans="1:2" x14ac:dyDescent="0.2">
      <c r="A329" s="198"/>
      <c r="B329" s="198"/>
    </row>
    <row r="330" spans="1:2" x14ac:dyDescent="0.2">
      <c r="A330" s="198"/>
      <c r="B330" s="198"/>
    </row>
    <row r="331" spans="1:2" x14ac:dyDescent="0.2">
      <c r="A331" s="198"/>
      <c r="B331" s="198"/>
    </row>
    <row r="332" spans="1:2" x14ac:dyDescent="0.2">
      <c r="A332" s="198"/>
      <c r="B332" s="198"/>
    </row>
    <row r="333" spans="1:2" x14ac:dyDescent="0.2">
      <c r="A333" s="198"/>
      <c r="B333" s="198"/>
    </row>
    <row r="334" spans="1:2" x14ac:dyDescent="0.2">
      <c r="A334" s="198"/>
      <c r="B334" s="198"/>
    </row>
    <row r="335" spans="1:2" x14ac:dyDescent="0.2">
      <c r="A335" s="198"/>
      <c r="B335" s="198"/>
    </row>
    <row r="336" spans="1:2" x14ac:dyDescent="0.2">
      <c r="A336" s="198"/>
      <c r="B336" s="198"/>
    </row>
    <row r="337" spans="1:2" x14ac:dyDescent="0.2">
      <c r="A337" s="198"/>
      <c r="B337" s="198"/>
    </row>
    <row r="338" spans="1:2" x14ac:dyDescent="0.2">
      <c r="A338" s="198"/>
      <c r="B338" s="198"/>
    </row>
    <row r="339" spans="1:2" x14ac:dyDescent="0.2">
      <c r="A339" s="198"/>
      <c r="B339" s="198"/>
    </row>
    <row r="340" spans="1:2" x14ac:dyDescent="0.2">
      <c r="A340" s="198"/>
      <c r="B340" s="198"/>
    </row>
    <row r="341" spans="1:2" x14ac:dyDescent="0.2">
      <c r="A341" s="198"/>
      <c r="B341" s="198"/>
    </row>
    <row r="342" spans="1:2" x14ac:dyDescent="0.2">
      <c r="A342" s="198"/>
      <c r="B342" s="198"/>
    </row>
    <row r="343" spans="1:2" x14ac:dyDescent="0.2">
      <c r="A343" s="198"/>
      <c r="B343" s="198"/>
    </row>
    <row r="344" spans="1:2" x14ac:dyDescent="0.2">
      <c r="A344" s="198"/>
      <c r="B344" s="198"/>
    </row>
    <row r="345" spans="1:2" x14ac:dyDescent="0.2">
      <c r="A345" s="198"/>
      <c r="B345" s="198"/>
    </row>
    <row r="346" spans="1:2" x14ac:dyDescent="0.2">
      <c r="A346" s="198"/>
      <c r="B346" s="198"/>
    </row>
    <row r="347" spans="1:2" x14ac:dyDescent="0.2">
      <c r="A347" s="198"/>
      <c r="B347" s="198"/>
    </row>
    <row r="348" spans="1:2" x14ac:dyDescent="0.2">
      <c r="A348" s="198"/>
      <c r="B348" s="198"/>
    </row>
    <row r="349" spans="1:2" x14ac:dyDescent="0.2">
      <c r="A349" s="198"/>
      <c r="B349" s="198"/>
    </row>
    <row r="350" spans="1:2" x14ac:dyDescent="0.2">
      <c r="A350" s="198"/>
      <c r="B350" s="198"/>
    </row>
    <row r="351" spans="1:2" x14ac:dyDescent="0.2">
      <c r="A351" s="198"/>
      <c r="B351" s="198"/>
    </row>
    <row r="352" spans="1:2" x14ac:dyDescent="0.2">
      <c r="A352" s="198"/>
      <c r="B352" s="198"/>
    </row>
    <row r="353" spans="1:2" x14ac:dyDescent="0.2">
      <c r="A353" s="198"/>
      <c r="B353" s="198"/>
    </row>
    <row r="354" spans="1:2" x14ac:dyDescent="0.2">
      <c r="A354" s="198"/>
      <c r="B354" s="198"/>
    </row>
    <row r="355" spans="1:2" x14ac:dyDescent="0.2">
      <c r="A355" s="198"/>
      <c r="B355" s="198"/>
    </row>
    <row r="356" spans="1:2" x14ac:dyDescent="0.2">
      <c r="A356" s="198"/>
      <c r="B356" s="198"/>
    </row>
    <row r="357" spans="1:2" x14ac:dyDescent="0.2">
      <c r="A357" s="198"/>
      <c r="B357" s="198"/>
    </row>
    <row r="358" spans="1:2" x14ac:dyDescent="0.2">
      <c r="A358" s="198"/>
      <c r="B358" s="198"/>
    </row>
    <row r="359" spans="1:2" x14ac:dyDescent="0.2">
      <c r="A359" s="198"/>
      <c r="B359" s="198"/>
    </row>
    <row r="360" spans="1:2" x14ac:dyDescent="0.2">
      <c r="A360" s="198"/>
      <c r="B360" s="198"/>
    </row>
    <row r="361" spans="1:2" x14ac:dyDescent="0.2">
      <c r="A361" s="198"/>
      <c r="B361" s="198"/>
    </row>
    <row r="362" spans="1:2" x14ac:dyDescent="0.2">
      <c r="A362" s="198"/>
      <c r="B362" s="198"/>
    </row>
    <row r="363" spans="1:2" x14ac:dyDescent="0.2">
      <c r="A363" s="198"/>
      <c r="B363" s="198"/>
    </row>
    <row r="364" spans="1:2" x14ac:dyDescent="0.2">
      <c r="A364" s="198"/>
      <c r="B364" s="198"/>
    </row>
    <row r="365" spans="1:2" x14ac:dyDescent="0.2">
      <c r="A365" s="198"/>
      <c r="B365" s="198"/>
    </row>
    <row r="366" spans="1:2" x14ac:dyDescent="0.2">
      <c r="A366" s="198"/>
      <c r="B366" s="198"/>
    </row>
    <row r="367" spans="1:2" x14ac:dyDescent="0.2">
      <c r="A367" s="198"/>
      <c r="B367" s="198"/>
    </row>
    <row r="368" spans="1:2" x14ac:dyDescent="0.2">
      <c r="A368" s="198"/>
      <c r="B368" s="198"/>
    </row>
    <row r="369" spans="1:2" x14ac:dyDescent="0.2">
      <c r="A369" s="198"/>
      <c r="B369" s="198"/>
    </row>
    <row r="370" spans="1:2" x14ac:dyDescent="0.2">
      <c r="A370" s="198"/>
      <c r="B370" s="198"/>
    </row>
    <row r="371" spans="1:2" x14ac:dyDescent="0.2">
      <c r="A371" s="198"/>
      <c r="B371" s="198"/>
    </row>
    <row r="372" spans="1:2" x14ac:dyDescent="0.2">
      <c r="A372" s="198"/>
      <c r="B372" s="198"/>
    </row>
    <row r="373" spans="1:2" x14ac:dyDescent="0.2">
      <c r="A373" s="198"/>
      <c r="B373" s="198"/>
    </row>
    <row r="374" spans="1:2" x14ac:dyDescent="0.2">
      <c r="A374" s="198"/>
      <c r="B374" s="198"/>
    </row>
    <row r="375" spans="1:2" x14ac:dyDescent="0.2">
      <c r="A375" s="198"/>
      <c r="B375" s="198"/>
    </row>
    <row r="376" spans="1:2" x14ac:dyDescent="0.2">
      <c r="A376" s="198"/>
      <c r="B376" s="198"/>
    </row>
    <row r="377" spans="1:2" x14ac:dyDescent="0.2">
      <c r="A377" s="198"/>
      <c r="B377" s="198"/>
    </row>
    <row r="378" spans="1:2" x14ac:dyDescent="0.2">
      <c r="A378" s="198"/>
      <c r="B378" s="198"/>
    </row>
    <row r="379" spans="1:2" x14ac:dyDescent="0.2">
      <c r="A379" s="198"/>
      <c r="B379" s="198"/>
    </row>
    <row r="380" spans="1:2" x14ac:dyDescent="0.2">
      <c r="A380" s="198"/>
      <c r="B380" s="198"/>
    </row>
    <row r="381" spans="1:2" x14ac:dyDescent="0.2">
      <c r="A381" s="198"/>
      <c r="B381" s="198"/>
    </row>
    <row r="382" spans="1:2" x14ac:dyDescent="0.2">
      <c r="A382" s="198"/>
      <c r="B382" s="198"/>
    </row>
    <row r="383" spans="1:2" x14ac:dyDescent="0.2">
      <c r="A383" s="198"/>
      <c r="B383" s="198"/>
    </row>
    <row r="384" spans="1:2" x14ac:dyDescent="0.2">
      <c r="A384" s="198"/>
      <c r="B384" s="198"/>
    </row>
    <row r="385" spans="1:2" x14ac:dyDescent="0.2">
      <c r="A385" s="198"/>
      <c r="B385" s="198"/>
    </row>
    <row r="386" spans="1:2" x14ac:dyDescent="0.2">
      <c r="A386" s="198"/>
      <c r="B386" s="198"/>
    </row>
    <row r="387" spans="1:2" x14ac:dyDescent="0.2">
      <c r="A387" s="198"/>
      <c r="B387" s="198"/>
    </row>
    <row r="388" spans="1:2" x14ac:dyDescent="0.2">
      <c r="A388" s="198"/>
      <c r="B388" s="198"/>
    </row>
    <row r="389" spans="1:2" x14ac:dyDescent="0.2">
      <c r="A389" s="198"/>
      <c r="B389" s="198"/>
    </row>
    <row r="390" spans="1:2" x14ac:dyDescent="0.2">
      <c r="A390" s="198"/>
      <c r="B390" s="198"/>
    </row>
    <row r="391" spans="1:2" x14ac:dyDescent="0.2">
      <c r="A391" s="198"/>
      <c r="B391" s="198"/>
    </row>
    <row r="392" spans="1:2" x14ac:dyDescent="0.2">
      <c r="A392" s="198"/>
      <c r="B392" s="198"/>
    </row>
    <row r="393" spans="1:2" x14ac:dyDescent="0.2">
      <c r="A393" s="198"/>
      <c r="B393" s="198"/>
    </row>
    <row r="394" spans="1:2" x14ac:dyDescent="0.2">
      <c r="A394" s="198"/>
      <c r="B394" s="198"/>
    </row>
    <row r="395" spans="1:2" x14ac:dyDescent="0.2">
      <c r="A395" s="198"/>
      <c r="B395" s="198"/>
    </row>
    <row r="396" spans="1:2" x14ac:dyDescent="0.2">
      <c r="A396" s="198"/>
      <c r="B396" s="198"/>
    </row>
    <row r="397" spans="1:2" x14ac:dyDescent="0.2">
      <c r="A397" s="198"/>
      <c r="B397" s="198"/>
    </row>
    <row r="398" spans="1:2" x14ac:dyDescent="0.2">
      <c r="A398" s="198"/>
      <c r="B398" s="198"/>
    </row>
    <row r="399" spans="1:2" x14ac:dyDescent="0.2">
      <c r="A399" s="198"/>
      <c r="B399" s="198"/>
    </row>
    <row r="400" spans="1:2" x14ac:dyDescent="0.2">
      <c r="A400" s="198"/>
      <c r="B400" s="198"/>
    </row>
    <row r="401" spans="1:2" x14ac:dyDescent="0.2">
      <c r="A401" s="198"/>
      <c r="B401" s="198"/>
    </row>
    <row r="402" spans="1:2" x14ac:dyDescent="0.2">
      <c r="A402" s="198"/>
      <c r="B402" s="198"/>
    </row>
    <row r="403" spans="1:2" x14ac:dyDescent="0.2">
      <c r="A403" s="198"/>
      <c r="B403" s="198"/>
    </row>
    <row r="404" spans="1:2" x14ac:dyDescent="0.2">
      <c r="A404" s="198"/>
      <c r="B404" s="198"/>
    </row>
    <row r="405" spans="1:2" x14ac:dyDescent="0.2">
      <c r="A405" s="198"/>
      <c r="B405" s="198"/>
    </row>
    <row r="406" spans="1:2" x14ac:dyDescent="0.2">
      <c r="A406" s="198"/>
      <c r="B406" s="198"/>
    </row>
    <row r="407" spans="1:2" x14ac:dyDescent="0.2">
      <c r="A407" s="198"/>
      <c r="B407" s="198"/>
    </row>
    <row r="408" spans="1:2" x14ac:dyDescent="0.2">
      <c r="A408" s="198"/>
      <c r="B408" s="198"/>
    </row>
    <row r="409" spans="1:2" x14ac:dyDescent="0.2">
      <c r="A409" s="198"/>
      <c r="B409" s="198"/>
    </row>
    <row r="410" spans="1:2" x14ac:dyDescent="0.2">
      <c r="A410" s="198"/>
      <c r="B410" s="198"/>
    </row>
    <row r="411" spans="1:2" x14ac:dyDescent="0.2">
      <c r="A411" s="198"/>
      <c r="B411" s="198"/>
    </row>
    <row r="412" spans="1:2" x14ac:dyDescent="0.2">
      <c r="A412" s="198"/>
      <c r="B412" s="198"/>
    </row>
    <row r="413" spans="1:2" x14ac:dyDescent="0.2">
      <c r="A413" s="198"/>
      <c r="B413" s="198"/>
    </row>
    <row r="414" spans="1:2" x14ac:dyDescent="0.2">
      <c r="A414" s="198"/>
      <c r="B414" s="198"/>
    </row>
    <row r="415" spans="1:2" x14ac:dyDescent="0.2">
      <c r="A415" s="198"/>
      <c r="B415" s="198"/>
    </row>
    <row r="416" spans="1:2" x14ac:dyDescent="0.2">
      <c r="A416" s="198"/>
      <c r="B416" s="198"/>
    </row>
    <row r="417" spans="1:2" x14ac:dyDescent="0.2">
      <c r="A417" s="198"/>
      <c r="B417" s="198"/>
    </row>
    <row r="418" spans="1:2" x14ac:dyDescent="0.2">
      <c r="A418" s="198"/>
      <c r="B418" s="198"/>
    </row>
    <row r="419" spans="1:2" x14ac:dyDescent="0.2">
      <c r="A419" s="198"/>
      <c r="B419" s="198"/>
    </row>
    <row r="420" spans="1:2" x14ac:dyDescent="0.2">
      <c r="A420" s="198"/>
      <c r="B420" s="198"/>
    </row>
    <row r="421" spans="1:2" x14ac:dyDescent="0.2">
      <c r="A421" s="198"/>
      <c r="B421" s="198"/>
    </row>
    <row r="422" spans="1:2" x14ac:dyDescent="0.2">
      <c r="A422" s="198"/>
      <c r="B422" s="198"/>
    </row>
    <row r="423" spans="1:2" x14ac:dyDescent="0.2">
      <c r="A423" s="198"/>
      <c r="B423" s="198"/>
    </row>
    <row r="424" spans="1:2" x14ac:dyDescent="0.2">
      <c r="A424" s="198"/>
      <c r="B424" s="198"/>
    </row>
    <row r="425" spans="1:2" x14ac:dyDescent="0.2">
      <c r="A425" s="198"/>
      <c r="B425" s="198"/>
    </row>
    <row r="426" spans="1:2" x14ac:dyDescent="0.2">
      <c r="A426" s="198"/>
      <c r="B426" s="198"/>
    </row>
    <row r="427" spans="1:2" x14ac:dyDescent="0.2">
      <c r="A427" s="198"/>
      <c r="B427" s="198"/>
    </row>
    <row r="428" spans="1:2" x14ac:dyDescent="0.2">
      <c r="A428" s="198"/>
      <c r="B428" s="198"/>
    </row>
    <row r="429" spans="1:2" x14ac:dyDescent="0.2">
      <c r="A429" s="198"/>
      <c r="B429" s="198"/>
    </row>
    <row r="430" spans="1:2" x14ac:dyDescent="0.2">
      <c r="A430" s="198"/>
      <c r="B430" s="198"/>
    </row>
    <row r="431" spans="1:2" x14ac:dyDescent="0.2">
      <c r="A431" s="198"/>
      <c r="B431" s="198"/>
    </row>
    <row r="432" spans="1:2" x14ac:dyDescent="0.2">
      <c r="A432" s="198"/>
      <c r="B432" s="198"/>
    </row>
    <row r="433" spans="1:2" x14ac:dyDescent="0.2">
      <c r="A433" s="198"/>
      <c r="B433" s="198"/>
    </row>
    <row r="434" spans="1:2" x14ac:dyDescent="0.2">
      <c r="A434" s="198"/>
      <c r="B434" s="198"/>
    </row>
    <row r="435" spans="1:2" x14ac:dyDescent="0.2">
      <c r="A435" s="198"/>
      <c r="B435" s="198"/>
    </row>
    <row r="436" spans="1:2" x14ac:dyDescent="0.2">
      <c r="A436" s="198"/>
      <c r="B436" s="198"/>
    </row>
    <row r="437" spans="1:2" x14ac:dyDescent="0.2">
      <c r="A437" s="198"/>
      <c r="B437" s="198"/>
    </row>
    <row r="438" spans="1:2" x14ac:dyDescent="0.2">
      <c r="A438" s="198"/>
      <c r="B438" s="198"/>
    </row>
    <row r="439" spans="1:2" x14ac:dyDescent="0.2">
      <c r="A439" s="198"/>
      <c r="B439" s="198"/>
    </row>
    <row r="440" spans="1:2" x14ac:dyDescent="0.2">
      <c r="A440" s="198"/>
      <c r="B440" s="198"/>
    </row>
    <row r="441" spans="1:2" x14ac:dyDescent="0.2">
      <c r="A441" s="198"/>
      <c r="B441" s="198"/>
    </row>
    <row r="442" spans="1:2" x14ac:dyDescent="0.2">
      <c r="A442" s="198"/>
      <c r="B442" s="198"/>
    </row>
    <row r="443" spans="1:2" x14ac:dyDescent="0.2">
      <c r="A443" s="198"/>
      <c r="B443" s="198"/>
    </row>
    <row r="444" spans="1:2" x14ac:dyDescent="0.2">
      <c r="A444" s="198"/>
      <c r="B444" s="198"/>
    </row>
    <row r="445" spans="1:2" x14ac:dyDescent="0.2">
      <c r="A445" s="198"/>
      <c r="B445" s="198"/>
    </row>
    <row r="446" spans="1:2" x14ac:dyDescent="0.2">
      <c r="A446" s="198"/>
      <c r="B446" s="198"/>
    </row>
    <row r="447" spans="1:2" x14ac:dyDescent="0.2">
      <c r="A447" s="198"/>
      <c r="B447" s="198"/>
    </row>
    <row r="448" spans="1:2" x14ac:dyDescent="0.2">
      <c r="A448" s="198"/>
      <c r="B448" s="198"/>
    </row>
    <row r="449" spans="1:2" x14ac:dyDescent="0.2">
      <c r="A449" s="198"/>
      <c r="B449" s="198"/>
    </row>
    <row r="450" spans="1:2" x14ac:dyDescent="0.2">
      <c r="A450" s="198"/>
      <c r="B450" s="198"/>
    </row>
    <row r="451" spans="1:2" x14ac:dyDescent="0.2">
      <c r="A451" s="198"/>
      <c r="B451" s="198"/>
    </row>
    <row r="452" spans="1:2" x14ac:dyDescent="0.2">
      <c r="A452" s="198"/>
      <c r="B452" s="198"/>
    </row>
    <row r="453" spans="1:2" x14ac:dyDescent="0.2">
      <c r="A453" s="198"/>
      <c r="B453" s="198"/>
    </row>
    <row r="454" spans="1:2" x14ac:dyDescent="0.2">
      <c r="A454" s="198"/>
      <c r="B454" s="198"/>
    </row>
    <row r="455" spans="1:2" x14ac:dyDescent="0.2">
      <c r="A455" s="198"/>
      <c r="B455" s="198"/>
    </row>
    <row r="456" spans="1:2" x14ac:dyDescent="0.2">
      <c r="A456" s="198"/>
      <c r="B456" s="198"/>
    </row>
    <row r="457" spans="1:2" x14ac:dyDescent="0.2">
      <c r="A457" s="198"/>
      <c r="B457" s="198"/>
    </row>
    <row r="458" spans="1:2" x14ac:dyDescent="0.2">
      <c r="A458" s="198"/>
      <c r="B458" s="198"/>
    </row>
    <row r="459" spans="1:2" x14ac:dyDescent="0.2">
      <c r="A459" s="198"/>
      <c r="B459" s="198"/>
    </row>
    <row r="460" spans="1:2" x14ac:dyDescent="0.2">
      <c r="A460" s="198"/>
      <c r="B460" s="198"/>
    </row>
    <row r="461" spans="1:2" x14ac:dyDescent="0.2">
      <c r="A461" s="198"/>
      <c r="B461" s="198"/>
    </row>
    <row r="462" spans="1:2" x14ac:dyDescent="0.2">
      <c r="A462" s="198"/>
      <c r="B462" s="198"/>
    </row>
    <row r="463" spans="1:2" x14ac:dyDescent="0.2">
      <c r="A463" s="198"/>
      <c r="B463" s="198"/>
    </row>
    <row r="464" spans="1:2" x14ac:dyDescent="0.2">
      <c r="A464" s="198"/>
      <c r="B464" s="198"/>
    </row>
    <row r="465" spans="1:2" x14ac:dyDescent="0.2">
      <c r="A465" s="198"/>
      <c r="B465" s="198"/>
    </row>
    <row r="466" spans="1:2" x14ac:dyDescent="0.2">
      <c r="A466" s="198"/>
      <c r="B466" s="198"/>
    </row>
    <row r="467" spans="1:2" x14ac:dyDescent="0.2">
      <c r="A467" s="198"/>
      <c r="B467" s="198"/>
    </row>
    <row r="468" spans="1:2" x14ac:dyDescent="0.2">
      <c r="A468" s="198"/>
      <c r="B468" s="198"/>
    </row>
    <row r="469" spans="1:2" x14ac:dyDescent="0.2">
      <c r="A469" s="198"/>
      <c r="B469" s="198"/>
    </row>
    <row r="470" spans="1:2" x14ac:dyDescent="0.2">
      <c r="A470" s="198"/>
      <c r="B470" s="198"/>
    </row>
    <row r="471" spans="1:2" x14ac:dyDescent="0.2">
      <c r="A471" s="198"/>
      <c r="B471" s="198"/>
    </row>
    <row r="472" spans="1:2" x14ac:dyDescent="0.2">
      <c r="A472" s="198"/>
      <c r="B472" s="198"/>
    </row>
    <row r="473" spans="1:2" x14ac:dyDescent="0.2">
      <c r="A473" s="198"/>
      <c r="B473" s="198"/>
    </row>
    <row r="474" spans="1:2" x14ac:dyDescent="0.2">
      <c r="A474" s="198"/>
      <c r="B474" s="198"/>
    </row>
    <row r="475" spans="1:2" x14ac:dyDescent="0.2">
      <c r="A475" s="198"/>
      <c r="B475" s="198"/>
    </row>
    <row r="476" spans="1:2" x14ac:dyDescent="0.2">
      <c r="A476" s="198"/>
      <c r="B476" s="198"/>
    </row>
    <row r="477" spans="1:2" x14ac:dyDescent="0.2">
      <c r="A477" s="198"/>
      <c r="B477" s="198"/>
    </row>
    <row r="478" spans="1:2" x14ac:dyDescent="0.2">
      <c r="A478" s="198"/>
      <c r="B478" s="198"/>
    </row>
    <row r="479" spans="1:2" x14ac:dyDescent="0.2">
      <c r="A479" s="198"/>
      <c r="B479" s="198"/>
    </row>
    <row r="480" spans="1:2" x14ac:dyDescent="0.2">
      <c r="A480" s="198"/>
      <c r="B480" s="198"/>
    </row>
    <row r="481" spans="1:2" x14ac:dyDescent="0.2">
      <c r="A481" s="198"/>
      <c r="B481" s="198"/>
    </row>
    <row r="482" spans="1:2" x14ac:dyDescent="0.2">
      <c r="A482" s="198"/>
      <c r="B482" s="198"/>
    </row>
    <row r="483" spans="1:2" x14ac:dyDescent="0.2">
      <c r="A483" s="198"/>
      <c r="B483" s="198"/>
    </row>
    <row r="484" spans="1:2" x14ac:dyDescent="0.2">
      <c r="A484" s="198"/>
      <c r="B484" s="198"/>
    </row>
    <row r="485" spans="1:2" x14ac:dyDescent="0.2">
      <c r="A485" s="198"/>
      <c r="B485" s="198"/>
    </row>
    <row r="486" spans="1:2" x14ac:dyDescent="0.2">
      <c r="A486" s="198"/>
      <c r="B486" s="198"/>
    </row>
    <row r="487" spans="1:2" x14ac:dyDescent="0.2">
      <c r="A487" s="198"/>
      <c r="B487" s="198"/>
    </row>
    <row r="488" spans="1:2" x14ac:dyDescent="0.2">
      <c r="A488" s="198"/>
      <c r="B488" s="198"/>
    </row>
    <row r="489" spans="1:2" x14ac:dyDescent="0.2">
      <c r="A489" s="198"/>
      <c r="B489" s="198"/>
    </row>
    <row r="490" spans="1:2" x14ac:dyDescent="0.2">
      <c r="A490" s="198"/>
      <c r="B490" s="198"/>
    </row>
    <row r="491" spans="1:2" x14ac:dyDescent="0.2">
      <c r="A491" s="198"/>
      <c r="B491" s="198"/>
    </row>
    <row r="492" spans="1:2" x14ac:dyDescent="0.2">
      <c r="A492" s="198"/>
      <c r="B492" s="198"/>
    </row>
    <row r="493" spans="1:2" x14ac:dyDescent="0.2">
      <c r="A493" s="198"/>
      <c r="B493" s="198"/>
    </row>
    <row r="494" spans="1:2" x14ac:dyDescent="0.2">
      <c r="A494" s="198"/>
      <c r="B494" s="198"/>
    </row>
    <row r="495" spans="1:2" x14ac:dyDescent="0.2">
      <c r="A495" s="198"/>
      <c r="B495" s="198"/>
    </row>
    <row r="496" spans="1:2" x14ac:dyDescent="0.2">
      <c r="A496" s="198"/>
      <c r="B496" s="198"/>
    </row>
    <row r="497" spans="1:2" x14ac:dyDescent="0.2">
      <c r="A497" s="198"/>
      <c r="B497" s="198"/>
    </row>
    <row r="498" spans="1:2" x14ac:dyDescent="0.2">
      <c r="A498" s="198"/>
      <c r="B498" s="198"/>
    </row>
    <row r="499" spans="1:2" x14ac:dyDescent="0.2">
      <c r="A499" s="198"/>
      <c r="B499" s="198"/>
    </row>
    <row r="500" spans="1:2" x14ac:dyDescent="0.2">
      <c r="A500" s="198"/>
      <c r="B500" s="198"/>
    </row>
    <row r="501" spans="1:2" x14ac:dyDescent="0.2">
      <c r="A501" s="198"/>
      <c r="B501" s="198"/>
    </row>
    <row r="502" spans="1:2" x14ac:dyDescent="0.2">
      <c r="A502" s="198"/>
      <c r="B502" s="198"/>
    </row>
    <row r="503" spans="1:2" x14ac:dyDescent="0.2">
      <c r="A503" s="198"/>
      <c r="B503" s="198"/>
    </row>
    <row r="504" spans="1:2" x14ac:dyDescent="0.2">
      <c r="A504" s="198"/>
      <c r="B504" s="198"/>
    </row>
    <row r="505" spans="1:2" x14ac:dyDescent="0.2">
      <c r="A505" s="198"/>
      <c r="B505" s="198"/>
    </row>
    <row r="506" spans="1:2" x14ac:dyDescent="0.2">
      <c r="A506" s="198"/>
      <c r="B506" s="198"/>
    </row>
    <row r="507" spans="1:2" x14ac:dyDescent="0.2">
      <c r="A507" s="198"/>
      <c r="B507" s="198"/>
    </row>
    <row r="508" spans="1:2" x14ac:dyDescent="0.2">
      <c r="A508" s="198"/>
      <c r="B508" s="198"/>
    </row>
    <row r="509" spans="1:2" x14ac:dyDescent="0.2">
      <c r="A509" s="198"/>
      <c r="B509" s="198"/>
    </row>
    <row r="510" spans="1:2" x14ac:dyDescent="0.2">
      <c r="A510" s="198"/>
      <c r="B510" s="198"/>
    </row>
    <row r="511" spans="1:2" x14ac:dyDescent="0.2">
      <c r="A511" s="198"/>
      <c r="B511" s="198"/>
    </row>
    <row r="512" spans="1:2" x14ac:dyDescent="0.2">
      <c r="A512" s="198"/>
      <c r="B512" s="198"/>
    </row>
    <row r="513" spans="1:2" x14ac:dyDescent="0.2">
      <c r="A513" s="198"/>
      <c r="B513" s="198"/>
    </row>
    <row r="514" spans="1:2" x14ac:dyDescent="0.2">
      <c r="A514" s="198"/>
      <c r="B514" s="198"/>
    </row>
    <row r="515" spans="1:2" x14ac:dyDescent="0.2">
      <c r="A515" s="198"/>
      <c r="B515" s="198"/>
    </row>
    <row r="516" spans="1:2" x14ac:dyDescent="0.2">
      <c r="A516" s="198"/>
      <c r="B516" s="198"/>
    </row>
    <row r="517" spans="1:2" x14ac:dyDescent="0.2">
      <c r="A517" s="198"/>
      <c r="B517" s="198"/>
    </row>
    <row r="518" spans="1:2" x14ac:dyDescent="0.2">
      <c r="A518" s="198"/>
      <c r="B518" s="198"/>
    </row>
    <row r="519" spans="1:2" x14ac:dyDescent="0.2">
      <c r="A519" s="198"/>
      <c r="B519" s="198"/>
    </row>
    <row r="520" spans="1:2" x14ac:dyDescent="0.2">
      <c r="A520" s="198"/>
      <c r="B520" s="198"/>
    </row>
    <row r="521" spans="1:2" x14ac:dyDescent="0.2">
      <c r="A521" s="198"/>
      <c r="B521" s="198"/>
    </row>
    <row r="522" spans="1:2" x14ac:dyDescent="0.2">
      <c r="A522" s="198"/>
      <c r="B522" s="198"/>
    </row>
    <row r="523" spans="1:2" x14ac:dyDescent="0.2">
      <c r="A523" s="198"/>
      <c r="B523" s="198"/>
    </row>
    <row r="524" spans="1:2" x14ac:dyDescent="0.2">
      <c r="A524" s="198"/>
      <c r="B524" s="198"/>
    </row>
    <row r="525" spans="1:2" x14ac:dyDescent="0.2">
      <c r="A525" s="198"/>
      <c r="B525" s="198"/>
    </row>
    <row r="526" spans="1:2" x14ac:dyDescent="0.2">
      <c r="A526" s="198"/>
      <c r="B526" s="198"/>
    </row>
    <row r="527" spans="1:2" x14ac:dyDescent="0.2">
      <c r="A527" s="198"/>
      <c r="B527" s="198"/>
    </row>
    <row r="528" spans="1:2" x14ac:dyDescent="0.2">
      <c r="A528" s="198"/>
      <c r="B528" s="198"/>
    </row>
    <row r="529" spans="1:2" x14ac:dyDescent="0.2">
      <c r="A529" s="198"/>
      <c r="B529" s="198"/>
    </row>
    <row r="530" spans="1:2" x14ac:dyDescent="0.2">
      <c r="A530" s="198"/>
      <c r="B530" s="198"/>
    </row>
    <row r="531" spans="1:2" x14ac:dyDescent="0.2">
      <c r="A531" s="198"/>
      <c r="B531" s="198"/>
    </row>
    <row r="532" spans="1:2" x14ac:dyDescent="0.2">
      <c r="A532" s="198"/>
      <c r="B532" s="198"/>
    </row>
    <row r="533" spans="1:2" x14ac:dyDescent="0.2">
      <c r="A533" s="198"/>
      <c r="B533" s="198"/>
    </row>
    <row r="534" spans="1:2" x14ac:dyDescent="0.2">
      <c r="A534" s="198"/>
      <c r="B534" s="198"/>
    </row>
    <row r="535" spans="1:2" x14ac:dyDescent="0.2">
      <c r="A535" s="198"/>
      <c r="B535" s="198"/>
    </row>
    <row r="536" spans="1:2" x14ac:dyDescent="0.2">
      <c r="A536" s="198"/>
      <c r="B536" s="198"/>
    </row>
    <row r="537" spans="1:2" x14ac:dyDescent="0.2">
      <c r="A537" s="198"/>
      <c r="B537" s="198"/>
    </row>
    <row r="538" spans="1:2" x14ac:dyDescent="0.2">
      <c r="A538" s="198"/>
      <c r="B538" s="198"/>
    </row>
    <row r="539" spans="1:2" x14ac:dyDescent="0.2">
      <c r="A539" s="198"/>
      <c r="B539" s="198"/>
    </row>
    <row r="540" spans="1:2" x14ac:dyDescent="0.2">
      <c r="A540" s="198"/>
      <c r="B540" s="198"/>
    </row>
    <row r="541" spans="1:2" x14ac:dyDescent="0.2">
      <c r="A541" s="198"/>
      <c r="B541" s="198"/>
    </row>
    <row r="542" spans="1:2" x14ac:dyDescent="0.2">
      <c r="A542" s="198"/>
      <c r="B542" s="198"/>
    </row>
    <row r="543" spans="1:2" x14ac:dyDescent="0.2">
      <c r="A543" s="198"/>
      <c r="B543" s="198"/>
    </row>
    <row r="544" spans="1:2" x14ac:dyDescent="0.2">
      <c r="A544" s="198"/>
      <c r="B544" s="198"/>
    </row>
    <row r="545" spans="1:2" x14ac:dyDescent="0.2">
      <c r="A545" s="198"/>
      <c r="B545" s="198"/>
    </row>
    <row r="546" spans="1:2" x14ac:dyDescent="0.2">
      <c r="A546" s="198"/>
      <c r="B546" s="198"/>
    </row>
    <row r="547" spans="1:2" x14ac:dyDescent="0.2">
      <c r="A547" s="198"/>
      <c r="B547" s="198"/>
    </row>
    <row r="548" spans="1:2" x14ac:dyDescent="0.2">
      <c r="A548" s="198"/>
      <c r="B548" s="198"/>
    </row>
    <row r="549" spans="1:2" x14ac:dyDescent="0.2">
      <c r="A549" s="198"/>
      <c r="B549" s="198"/>
    </row>
    <row r="550" spans="1:2" x14ac:dyDescent="0.2">
      <c r="A550" s="198"/>
      <c r="B550" s="198"/>
    </row>
    <row r="551" spans="1:2" x14ac:dyDescent="0.2">
      <c r="A551" s="198"/>
      <c r="B551" s="198"/>
    </row>
    <row r="552" spans="1:2" x14ac:dyDescent="0.2">
      <c r="A552" s="198"/>
      <c r="B552" s="198"/>
    </row>
    <row r="553" spans="1:2" x14ac:dyDescent="0.2">
      <c r="A553" s="198"/>
      <c r="B553" s="198"/>
    </row>
    <row r="554" spans="1:2" x14ac:dyDescent="0.2">
      <c r="A554" s="198"/>
      <c r="B554" s="198"/>
    </row>
    <row r="555" spans="1:2" x14ac:dyDescent="0.2">
      <c r="A555" s="198"/>
      <c r="B555" s="198"/>
    </row>
    <row r="556" spans="1:2" x14ac:dyDescent="0.2">
      <c r="A556" s="198"/>
      <c r="B556" s="198"/>
    </row>
    <row r="557" spans="1:2" x14ac:dyDescent="0.2">
      <c r="A557" s="198"/>
      <c r="B557" s="198"/>
    </row>
    <row r="558" spans="1:2" x14ac:dyDescent="0.2">
      <c r="A558" s="198"/>
      <c r="B558" s="198"/>
    </row>
    <row r="559" spans="1:2" x14ac:dyDescent="0.2">
      <c r="A559" s="198"/>
      <c r="B559" s="198"/>
    </row>
    <row r="560" spans="1:2" x14ac:dyDescent="0.2">
      <c r="A560" s="198"/>
      <c r="B560" s="198"/>
    </row>
    <row r="561" spans="1:2" x14ac:dyDescent="0.2">
      <c r="A561" s="198"/>
      <c r="B561" s="198"/>
    </row>
    <row r="562" spans="1:2" x14ac:dyDescent="0.2">
      <c r="A562" s="198"/>
      <c r="B562" s="198"/>
    </row>
    <row r="563" spans="1:2" x14ac:dyDescent="0.2">
      <c r="A563" s="198"/>
      <c r="B563" s="198"/>
    </row>
    <row r="564" spans="1:2" x14ac:dyDescent="0.2">
      <c r="A564" s="198"/>
      <c r="B564" s="198"/>
    </row>
    <row r="565" spans="1:2" x14ac:dyDescent="0.2">
      <c r="A565" s="198"/>
      <c r="B565" s="198"/>
    </row>
    <row r="566" spans="1:2" x14ac:dyDescent="0.2">
      <c r="A566" s="198"/>
      <c r="B566" s="198"/>
    </row>
    <row r="567" spans="1:2" x14ac:dyDescent="0.2">
      <c r="A567" s="198"/>
      <c r="B567" s="198"/>
    </row>
    <row r="568" spans="1:2" x14ac:dyDescent="0.2">
      <c r="A568" s="198"/>
      <c r="B568" s="198"/>
    </row>
    <row r="569" spans="1:2" x14ac:dyDescent="0.2">
      <c r="A569" s="198"/>
      <c r="B569" s="198"/>
    </row>
    <row r="570" spans="1:2" x14ac:dyDescent="0.2">
      <c r="A570" s="198"/>
      <c r="B570" s="198"/>
    </row>
    <row r="571" spans="1:2" x14ac:dyDescent="0.2">
      <c r="A571" s="198"/>
      <c r="B571" s="198"/>
    </row>
    <row r="572" spans="1:2" x14ac:dyDescent="0.2">
      <c r="A572" s="198"/>
      <c r="B572" s="198"/>
    </row>
    <row r="573" spans="1:2" x14ac:dyDescent="0.2">
      <c r="A573" s="198"/>
      <c r="B573" s="198"/>
    </row>
    <row r="574" spans="1:2" x14ac:dyDescent="0.2">
      <c r="A574" s="198"/>
      <c r="B574" s="198"/>
    </row>
    <row r="575" spans="1:2" x14ac:dyDescent="0.2">
      <c r="A575" s="198"/>
      <c r="B575" s="198"/>
    </row>
    <row r="576" spans="1:2" x14ac:dyDescent="0.2">
      <c r="A576" s="198"/>
      <c r="B576" s="198"/>
    </row>
    <row r="577" spans="1:2" x14ac:dyDescent="0.2">
      <c r="A577" s="198"/>
      <c r="B577" s="198"/>
    </row>
    <row r="578" spans="1:2" x14ac:dyDescent="0.2">
      <c r="A578" s="198"/>
      <c r="B578" s="198"/>
    </row>
    <row r="579" spans="1:2" x14ac:dyDescent="0.2">
      <c r="A579" s="198"/>
      <c r="B579" s="198"/>
    </row>
    <row r="580" spans="1:2" x14ac:dyDescent="0.2">
      <c r="A580" s="198"/>
      <c r="B580" s="198"/>
    </row>
    <row r="581" spans="1:2" x14ac:dyDescent="0.2">
      <c r="A581" s="198"/>
      <c r="B581" s="198"/>
    </row>
    <row r="582" spans="1:2" x14ac:dyDescent="0.2">
      <c r="A582" s="198"/>
      <c r="B582" s="198"/>
    </row>
    <row r="583" spans="1:2" x14ac:dyDescent="0.2">
      <c r="A583" s="198"/>
      <c r="B583" s="198"/>
    </row>
    <row r="584" spans="1:2" x14ac:dyDescent="0.2">
      <c r="A584" s="198"/>
      <c r="B584" s="198"/>
    </row>
    <row r="585" spans="1:2" x14ac:dyDescent="0.2">
      <c r="A585" s="198"/>
      <c r="B585" s="198"/>
    </row>
    <row r="586" spans="1:2" x14ac:dyDescent="0.2">
      <c r="A586" s="198"/>
      <c r="B586" s="198"/>
    </row>
    <row r="587" spans="1:2" x14ac:dyDescent="0.2">
      <c r="A587" s="198"/>
      <c r="B587" s="198"/>
    </row>
    <row r="588" spans="1:2" x14ac:dyDescent="0.2">
      <c r="A588" s="198"/>
      <c r="B588" s="198"/>
    </row>
    <row r="589" spans="1:2" x14ac:dyDescent="0.2">
      <c r="A589" s="198"/>
      <c r="B589" s="198"/>
    </row>
    <row r="590" spans="1:2" x14ac:dyDescent="0.2">
      <c r="A590" s="198"/>
      <c r="B590" s="198"/>
    </row>
    <row r="591" spans="1:2" x14ac:dyDescent="0.2">
      <c r="A591" s="198"/>
      <c r="B591" s="198"/>
    </row>
    <row r="592" spans="1:2" x14ac:dyDescent="0.2">
      <c r="A592" s="198"/>
      <c r="B592" s="198"/>
    </row>
    <row r="593" spans="1:2" x14ac:dyDescent="0.2">
      <c r="A593" s="198"/>
      <c r="B593" s="198"/>
    </row>
    <row r="594" spans="1:2" x14ac:dyDescent="0.2">
      <c r="A594" s="198"/>
      <c r="B594" s="198"/>
    </row>
    <row r="595" spans="1:2" x14ac:dyDescent="0.2">
      <c r="A595" s="198"/>
      <c r="B595" s="198"/>
    </row>
    <row r="596" spans="1:2" x14ac:dyDescent="0.2">
      <c r="A596" s="198"/>
      <c r="B596" s="198"/>
    </row>
    <row r="597" spans="1:2" x14ac:dyDescent="0.2">
      <c r="A597" s="198"/>
      <c r="B597" s="198"/>
    </row>
    <row r="598" spans="1:2" x14ac:dyDescent="0.2">
      <c r="A598" s="198"/>
      <c r="B598" s="198"/>
    </row>
    <row r="599" spans="1:2" x14ac:dyDescent="0.2">
      <c r="A599" s="198"/>
      <c r="B599" s="198"/>
    </row>
    <row r="600" spans="1:2" x14ac:dyDescent="0.2">
      <c r="A600" s="198"/>
      <c r="B600" s="198"/>
    </row>
    <row r="601" spans="1:2" x14ac:dyDescent="0.2">
      <c r="A601" s="198"/>
      <c r="B601" s="198"/>
    </row>
    <row r="602" spans="1:2" x14ac:dyDescent="0.2">
      <c r="A602" s="198"/>
      <c r="B602" s="198"/>
    </row>
    <row r="603" spans="1:2" x14ac:dyDescent="0.2">
      <c r="A603" s="198"/>
      <c r="B603" s="198"/>
    </row>
    <row r="604" spans="1:2" x14ac:dyDescent="0.2">
      <c r="A604" s="198"/>
      <c r="B604" s="198"/>
    </row>
    <row r="605" spans="1:2" x14ac:dyDescent="0.2">
      <c r="A605" s="198"/>
      <c r="B605" s="198"/>
    </row>
    <row r="606" spans="1:2" x14ac:dyDescent="0.2">
      <c r="A606" s="198"/>
      <c r="B606" s="198"/>
    </row>
    <row r="607" spans="1:2" x14ac:dyDescent="0.2">
      <c r="A607" s="198"/>
      <c r="B607" s="198"/>
    </row>
    <row r="608" spans="1:2" x14ac:dyDescent="0.2">
      <c r="A608" s="198"/>
      <c r="B608" s="198"/>
    </row>
    <row r="609" spans="1:2" x14ac:dyDescent="0.2">
      <c r="A609" s="198"/>
      <c r="B609" s="198"/>
    </row>
    <row r="610" spans="1:2" x14ac:dyDescent="0.2">
      <c r="A610" s="198"/>
      <c r="B610" s="198"/>
    </row>
    <row r="611" spans="1:2" x14ac:dyDescent="0.2">
      <c r="A611" s="198"/>
      <c r="B611" s="198"/>
    </row>
    <row r="612" spans="1:2" x14ac:dyDescent="0.2">
      <c r="A612" s="198"/>
      <c r="B612" s="198"/>
    </row>
    <row r="613" spans="1:2" x14ac:dyDescent="0.2">
      <c r="A613" s="198"/>
      <c r="B613" s="198"/>
    </row>
    <row r="614" spans="1:2" x14ac:dyDescent="0.2">
      <c r="A614" s="198"/>
      <c r="B614" s="198"/>
    </row>
    <row r="615" spans="1:2" x14ac:dyDescent="0.2">
      <c r="A615" s="198"/>
      <c r="B615" s="198"/>
    </row>
    <row r="616" spans="1:2" x14ac:dyDescent="0.2">
      <c r="A616" s="198"/>
      <c r="B616" s="198"/>
    </row>
    <row r="617" spans="1:2" x14ac:dyDescent="0.2">
      <c r="A617" s="198"/>
      <c r="B617" s="198"/>
    </row>
    <row r="618" spans="1:2" x14ac:dyDescent="0.2">
      <c r="A618" s="198"/>
      <c r="B618" s="198"/>
    </row>
    <row r="619" spans="1:2" x14ac:dyDescent="0.2">
      <c r="A619" s="198"/>
      <c r="B619" s="198"/>
    </row>
    <row r="620" spans="1:2" x14ac:dyDescent="0.2">
      <c r="A620" s="198"/>
      <c r="B620" s="198"/>
    </row>
    <row r="621" spans="1:2" x14ac:dyDescent="0.2">
      <c r="A621" s="198"/>
      <c r="B621" s="198"/>
    </row>
    <row r="622" spans="1:2" x14ac:dyDescent="0.2">
      <c r="A622" s="198"/>
      <c r="B622" s="198"/>
    </row>
    <row r="623" spans="1:2" x14ac:dyDescent="0.2">
      <c r="A623" s="198"/>
      <c r="B623" s="198"/>
    </row>
    <row r="624" spans="1:2" x14ac:dyDescent="0.2">
      <c r="A624" s="198"/>
      <c r="B624" s="198"/>
    </row>
    <row r="625" spans="1:2" x14ac:dyDescent="0.2">
      <c r="A625" s="198"/>
      <c r="B625" s="198"/>
    </row>
    <row r="626" spans="1:2" x14ac:dyDescent="0.2">
      <c r="A626" s="198"/>
      <c r="B626" s="198"/>
    </row>
    <row r="627" spans="1:2" x14ac:dyDescent="0.2">
      <c r="A627" s="198"/>
      <c r="B627" s="198"/>
    </row>
    <row r="628" spans="1:2" x14ac:dyDescent="0.2">
      <c r="A628" s="198"/>
      <c r="B628" s="198"/>
    </row>
    <row r="629" spans="1:2" x14ac:dyDescent="0.2">
      <c r="A629" s="198"/>
      <c r="B629" s="198"/>
    </row>
    <row r="630" spans="1:2" x14ac:dyDescent="0.2">
      <c r="A630" s="198"/>
      <c r="B630" s="198"/>
    </row>
    <row r="631" spans="1:2" x14ac:dyDescent="0.2">
      <c r="A631" s="198"/>
      <c r="B631" s="198"/>
    </row>
    <row r="632" spans="1:2" x14ac:dyDescent="0.2">
      <c r="A632" s="198"/>
      <c r="B632" s="198"/>
    </row>
    <row r="633" spans="1:2" x14ac:dyDescent="0.2">
      <c r="A633" s="198"/>
      <c r="B633" s="198"/>
    </row>
    <row r="634" spans="1:2" x14ac:dyDescent="0.2">
      <c r="A634" s="198"/>
      <c r="B634" s="198"/>
    </row>
    <row r="635" spans="1:2" x14ac:dyDescent="0.2">
      <c r="A635" s="198"/>
      <c r="B635" s="198"/>
    </row>
    <row r="636" spans="1:2" x14ac:dyDescent="0.2">
      <c r="A636" s="198"/>
      <c r="B636" s="198"/>
    </row>
    <row r="637" spans="1:2" x14ac:dyDescent="0.2">
      <c r="A637" s="198"/>
      <c r="B637" s="198"/>
    </row>
    <row r="638" spans="1:2" x14ac:dyDescent="0.2">
      <c r="A638" s="198"/>
      <c r="B638" s="198"/>
    </row>
    <row r="639" spans="1:2" x14ac:dyDescent="0.2">
      <c r="A639" s="198"/>
      <c r="B639" s="198"/>
    </row>
    <row r="640" spans="1:2" x14ac:dyDescent="0.2">
      <c r="A640" s="198"/>
      <c r="B640" s="198"/>
    </row>
    <row r="641" spans="1:2" x14ac:dyDescent="0.2">
      <c r="A641" s="198"/>
      <c r="B641" s="198"/>
    </row>
    <row r="642" spans="1:2" x14ac:dyDescent="0.2">
      <c r="A642" s="198"/>
      <c r="B642" s="198"/>
    </row>
    <row r="643" spans="1:2" x14ac:dyDescent="0.2">
      <c r="A643" s="198"/>
      <c r="B643" s="198"/>
    </row>
    <row r="644" spans="1:2" x14ac:dyDescent="0.2">
      <c r="A644" s="198"/>
      <c r="B644" s="198"/>
    </row>
    <row r="645" spans="1:2" x14ac:dyDescent="0.2">
      <c r="A645" s="198"/>
      <c r="B645" s="198"/>
    </row>
    <row r="646" spans="1:2" x14ac:dyDescent="0.2">
      <c r="A646" s="198"/>
      <c r="B646" s="198"/>
    </row>
    <row r="647" spans="1:2" x14ac:dyDescent="0.2">
      <c r="A647" s="198"/>
      <c r="B647" s="198"/>
    </row>
    <row r="648" spans="1:2" x14ac:dyDescent="0.2">
      <c r="A648" s="198"/>
      <c r="B648" s="198"/>
    </row>
    <row r="649" spans="1:2" x14ac:dyDescent="0.2">
      <c r="A649" s="198"/>
      <c r="B649" s="198"/>
    </row>
    <row r="650" spans="1:2" x14ac:dyDescent="0.2">
      <c r="A650" s="198"/>
      <c r="B650" s="198"/>
    </row>
    <row r="651" spans="1:2" x14ac:dyDescent="0.2">
      <c r="A651" s="198"/>
      <c r="B651" s="198"/>
    </row>
    <row r="652" spans="1:2" x14ac:dyDescent="0.2">
      <c r="A652" s="198"/>
      <c r="B652" s="198"/>
    </row>
    <row r="653" spans="1:2" x14ac:dyDescent="0.2">
      <c r="A653" s="198"/>
      <c r="B653" s="198"/>
    </row>
    <row r="654" spans="1:2" x14ac:dyDescent="0.2">
      <c r="A654" s="198"/>
      <c r="B654" s="198"/>
    </row>
    <row r="655" spans="1:2" x14ac:dyDescent="0.2">
      <c r="A655" s="198"/>
      <c r="B655" s="198"/>
    </row>
    <row r="656" spans="1:2" x14ac:dyDescent="0.2">
      <c r="A656" s="198"/>
      <c r="B656" s="198"/>
    </row>
    <row r="657" spans="1:2" x14ac:dyDescent="0.2">
      <c r="A657" s="198"/>
      <c r="B657" s="198"/>
    </row>
    <row r="658" spans="1:2" x14ac:dyDescent="0.2">
      <c r="A658" s="198"/>
      <c r="B658" s="198"/>
    </row>
    <row r="659" spans="1:2" x14ac:dyDescent="0.2">
      <c r="A659" s="198"/>
      <c r="B659" s="198"/>
    </row>
    <row r="660" spans="1:2" x14ac:dyDescent="0.2">
      <c r="A660" s="198"/>
      <c r="B660" s="198"/>
    </row>
    <row r="661" spans="1:2" x14ac:dyDescent="0.2">
      <c r="A661" s="198"/>
      <c r="B661" s="198"/>
    </row>
    <row r="662" spans="1:2" x14ac:dyDescent="0.2">
      <c r="A662" s="198"/>
      <c r="B662" s="198"/>
    </row>
    <row r="663" spans="1:2" x14ac:dyDescent="0.2">
      <c r="A663" s="198"/>
      <c r="B663" s="198"/>
    </row>
    <row r="664" spans="1:2" x14ac:dyDescent="0.2">
      <c r="A664" s="198"/>
      <c r="B664" s="198"/>
    </row>
    <row r="665" spans="1:2" x14ac:dyDescent="0.2">
      <c r="A665" s="198"/>
      <c r="B665" s="198"/>
    </row>
    <row r="666" spans="1:2" x14ac:dyDescent="0.2">
      <c r="A666" s="198"/>
      <c r="B666" s="198"/>
    </row>
    <row r="667" spans="1:2" x14ac:dyDescent="0.2">
      <c r="A667" s="198"/>
      <c r="B667" s="198"/>
    </row>
    <row r="668" spans="1:2" x14ac:dyDescent="0.2">
      <c r="A668" s="198"/>
      <c r="B668" s="198"/>
    </row>
    <row r="669" spans="1:2" x14ac:dyDescent="0.2">
      <c r="A669" s="198"/>
      <c r="B669" s="198"/>
    </row>
    <row r="670" spans="1:2" x14ac:dyDescent="0.2">
      <c r="A670" s="198"/>
      <c r="B670" s="198"/>
    </row>
    <row r="671" spans="1:2" x14ac:dyDescent="0.2">
      <c r="A671" s="198"/>
      <c r="B671" s="198"/>
    </row>
    <row r="672" spans="1:2" x14ac:dyDescent="0.2">
      <c r="A672" s="198"/>
      <c r="B672" s="198"/>
    </row>
    <row r="673" spans="1:2" x14ac:dyDescent="0.2">
      <c r="A673" s="198"/>
      <c r="B673" s="198"/>
    </row>
    <row r="674" spans="1:2" x14ac:dyDescent="0.2">
      <c r="A674" s="198"/>
      <c r="B674" s="198"/>
    </row>
    <row r="675" spans="1:2" x14ac:dyDescent="0.2">
      <c r="A675" s="198"/>
      <c r="B675" s="198"/>
    </row>
    <row r="676" spans="1:2" x14ac:dyDescent="0.2">
      <c r="A676" s="198"/>
      <c r="B676" s="198"/>
    </row>
    <row r="677" spans="1:2" x14ac:dyDescent="0.2">
      <c r="A677" s="198"/>
      <c r="B677" s="198"/>
    </row>
    <row r="678" spans="1:2" x14ac:dyDescent="0.2">
      <c r="A678" s="198"/>
      <c r="B678" s="198"/>
    </row>
    <row r="679" spans="1:2" x14ac:dyDescent="0.2">
      <c r="A679" s="198"/>
      <c r="B679" s="198"/>
    </row>
    <row r="680" spans="1:2" x14ac:dyDescent="0.2">
      <c r="A680" s="198"/>
      <c r="B680" s="198"/>
    </row>
    <row r="681" spans="1:2" x14ac:dyDescent="0.2">
      <c r="A681" s="198"/>
      <c r="B681" s="198"/>
    </row>
    <row r="682" spans="1:2" x14ac:dyDescent="0.2">
      <c r="A682" s="198"/>
      <c r="B682" s="198"/>
    </row>
    <row r="683" spans="1:2" x14ac:dyDescent="0.2">
      <c r="A683" s="198"/>
      <c r="B683" s="198"/>
    </row>
    <row r="684" spans="1:2" x14ac:dyDescent="0.2">
      <c r="A684" s="198"/>
      <c r="B684" s="198"/>
    </row>
    <row r="685" spans="1:2" x14ac:dyDescent="0.2">
      <c r="A685" s="198"/>
      <c r="B685" s="198"/>
    </row>
    <row r="686" spans="1:2" x14ac:dyDescent="0.2">
      <c r="A686" s="198"/>
      <c r="B686" s="198"/>
    </row>
    <row r="687" spans="1:2" x14ac:dyDescent="0.2">
      <c r="A687" s="198"/>
      <c r="B687" s="198"/>
    </row>
    <row r="688" spans="1:2" x14ac:dyDescent="0.2">
      <c r="A688" s="198"/>
      <c r="B688" s="198"/>
    </row>
    <row r="689" spans="1:2" x14ac:dyDescent="0.2">
      <c r="A689" s="198"/>
      <c r="B689" s="198"/>
    </row>
    <row r="690" spans="1:2" x14ac:dyDescent="0.2">
      <c r="A690" s="198"/>
      <c r="B690" s="198"/>
    </row>
    <row r="691" spans="1:2" x14ac:dyDescent="0.2">
      <c r="A691" s="198"/>
      <c r="B691" s="198"/>
    </row>
    <row r="692" spans="1:2" x14ac:dyDescent="0.2">
      <c r="A692" s="198"/>
      <c r="B692" s="198"/>
    </row>
    <row r="693" spans="1:2" x14ac:dyDescent="0.2">
      <c r="A693" s="198"/>
      <c r="B693" s="198"/>
    </row>
    <row r="694" spans="1:2" x14ac:dyDescent="0.2">
      <c r="A694" s="198"/>
      <c r="B694" s="198"/>
    </row>
    <row r="695" spans="1:2" x14ac:dyDescent="0.2">
      <c r="A695" s="198"/>
      <c r="B695" s="198"/>
    </row>
    <row r="696" spans="1:2" x14ac:dyDescent="0.2">
      <c r="A696" s="198"/>
      <c r="B696" s="198"/>
    </row>
    <row r="697" spans="1:2" x14ac:dyDescent="0.2">
      <c r="A697" s="198"/>
      <c r="B697" s="198"/>
    </row>
    <row r="698" spans="1:2" x14ac:dyDescent="0.2">
      <c r="A698" s="198"/>
      <c r="B698" s="198"/>
    </row>
    <row r="699" spans="1:2" x14ac:dyDescent="0.2">
      <c r="A699" s="198"/>
      <c r="B699" s="198"/>
    </row>
    <row r="700" spans="1:2" x14ac:dyDescent="0.2">
      <c r="A700" s="198"/>
      <c r="B700" s="198"/>
    </row>
    <row r="701" spans="1:2" x14ac:dyDescent="0.2">
      <c r="A701" s="198"/>
      <c r="B701" s="198"/>
    </row>
    <row r="702" spans="1:2" x14ac:dyDescent="0.2">
      <c r="A702" s="198"/>
      <c r="B702" s="198"/>
    </row>
    <row r="703" spans="1:2" x14ac:dyDescent="0.2">
      <c r="A703" s="198"/>
      <c r="B703" s="198"/>
    </row>
    <row r="704" spans="1:2" x14ac:dyDescent="0.2">
      <c r="A704" s="198"/>
      <c r="B704" s="198"/>
    </row>
    <row r="705" spans="1:2" x14ac:dyDescent="0.2">
      <c r="A705" s="198"/>
      <c r="B705" s="198"/>
    </row>
    <row r="706" spans="1:2" x14ac:dyDescent="0.2">
      <c r="A706" s="198"/>
      <c r="B706" s="198"/>
    </row>
    <row r="707" spans="1:2" x14ac:dyDescent="0.2">
      <c r="A707" s="198"/>
      <c r="B707" s="198"/>
    </row>
    <row r="708" spans="1:2" x14ac:dyDescent="0.2">
      <c r="A708" s="198"/>
      <c r="B708" s="198"/>
    </row>
    <row r="709" spans="1:2" x14ac:dyDescent="0.2">
      <c r="A709" s="198"/>
      <c r="B709" s="198"/>
    </row>
    <row r="710" spans="1:2" x14ac:dyDescent="0.2">
      <c r="A710" s="198"/>
      <c r="B710" s="198"/>
    </row>
    <row r="711" spans="1:2" x14ac:dyDescent="0.2">
      <c r="A711" s="198"/>
      <c r="B711" s="198"/>
    </row>
    <row r="712" spans="1:2" x14ac:dyDescent="0.2">
      <c r="A712" s="198"/>
      <c r="B712" s="198"/>
    </row>
    <row r="713" spans="1:2" x14ac:dyDescent="0.2">
      <c r="A713" s="198"/>
      <c r="B713" s="198"/>
    </row>
    <row r="714" spans="1:2" x14ac:dyDescent="0.2">
      <c r="A714" s="198"/>
      <c r="B714" s="198"/>
    </row>
    <row r="715" spans="1:2" x14ac:dyDescent="0.2">
      <c r="A715" s="198"/>
      <c r="B715" s="198"/>
    </row>
    <row r="716" spans="1:2" x14ac:dyDescent="0.2">
      <c r="A716" s="198"/>
      <c r="B716" s="198"/>
    </row>
    <row r="717" spans="1:2" x14ac:dyDescent="0.2">
      <c r="A717" s="198"/>
      <c r="B717" s="198"/>
    </row>
    <row r="718" spans="1:2" x14ac:dyDescent="0.2">
      <c r="A718" s="198"/>
      <c r="B718" s="198"/>
    </row>
    <row r="719" spans="1:2" x14ac:dyDescent="0.2">
      <c r="A719" s="198"/>
      <c r="B719" s="198"/>
    </row>
    <row r="720" spans="1:2" x14ac:dyDescent="0.2">
      <c r="A720" s="198"/>
      <c r="B720" s="198"/>
    </row>
    <row r="721" spans="1:2" x14ac:dyDescent="0.2">
      <c r="A721" s="198"/>
      <c r="B721" s="198"/>
    </row>
    <row r="722" spans="1:2" x14ac:dyDescent="0.2">
      <c r="A722" s="198"/>
      <c r="B722" s="198"/>
    </row>
    <row r="723" spans="1:2" x14ac:dyDescent="0.2">
      <c r="A723" s="198"/>
      <c r="B723" s="198"/>
    </row>
    <row r="724" spans="1:2" x14ac:dyDescent="0.2">
      <c r="A724" s="198"/>
      <c r="B724" s="198"/>
    </row>
    <row r="725" spans="1:2" x14ac:dyDescent="0.2">
      <c r="A725" s="198"/>
      <c r="B725" s="198"/>
    </row>
    <row r="726" spans="1:2" x14ac:dyDescent="0.2">
      <c r="A726" s="198"/>
      <c r="B726" s="198"/>
    </row>
    <row r="727" spans="1:2" x14ac:dyDescent="0.2">
      <c r="A727" s="198"/>
      <c r="B727" s="198"/>
    </row>
    <row r="728" spans="1:2" x14ac:dyDescent="0.2">
      <c r="A728" s="198"/>
      <c r="B728" s="198"/>
    </row>
    <row r="729" spans="1:2" x14ac:dyDescent="0.2">
      <c r="A729" s="198"/>
      <c r="B729" s="198"/>
    </row>
    <row r="730" spans="1:2" x14ac:dyDescent="0.2">
      <c r="A730" s="198"/>
      <c r="B730" s="198"/>
    </row>
    <row r="731" spans="1:2" x14ac:dyDescent="0.2">
      <c r="A731" s="198"/>
      <c r="B731" s="198"/>
    </row>
    <row r="732" spans="1:2" x14ac:dyDescent="0.2">
      <c r="A732" s="198"/>
      <c r="B732" s="198"/>
    </row>
    <row r="733" spans="1:2" x14ac:dyDescent="0.2">
      <c r="A733" s="198"/>
      <c r="B733" s="198"/>
    </row>
    <row r="734" spans="1:2" x14ac:dyDescent="0.2">
      <c r="A734" s="198"/>
      <c r="B734" s="198"/>
    </row>
    <row r="735" spans="1:2" x14ac:dyDescent="0.2">
      <c r="A735" s="198"/>
      <c r="B735" s="198"/>
    </row>
    <row r="736" spans="1:2" x14ac:dyDescent="0.2">
      <c r="A736" s="198"/>
      <c r="B736" s="198"/>
    </row>
    <row r="737" spans="1:2" x14ac:dyDescent="0.2">
      <c r="A737" s="198"/>
      <c r="B737" s="198"/>
    </row>
    <row r="738" spans="1:2" x14ac:dyDescent="0.2">
      <c r="A738" s="198"/>
      <c r="B738" s="198"/>
    </row>
    <row r="739" spans="1:2" x14ac:dyDescent="0.2">
      <c r="A739" s="198"/>
      <c r="B739" s="198"/>
    </row>
    <row r="740" spans="1:2" x14ac:dyDescent="0.2">
      <c r="A740" s="198"/>
      <c r="B740" s="198"/>
    </row>
    <row r="741" spans="1:2" x14ac:dyDescent="0.2">
      <c r="A741" s="198"/>
      <c r="B741" s="198"/>
    </row>
    <row r="742" spans="1:2" x14ac:dyDescent="0.2">
      <c r="A742" s="198"/>
      <c r="B742" s="198"/>
    </row>
    <row r="743" spans="1:2" x14ac:dyDescent="0.2">
      <c r="A743" s="198"/>
      <c r="B743" s="198"/>
    </row>
    <row r="744" spans="1:2" x14ac:dyDescent="0.2">
      <c r="A744" s="198"/>
      <c r="B744" s="198"/>
    </row>
    <row r="745" spans="1:2" x14ac:dyDescent="0.2">
      <c r="A745" s="198"/>
      <c r="B745" s="198"/>
    </row>
    <row r="746" spans="1:2" x14ac:dyDescent="0.2">
      <c r="A746" s="198"/>
      <c r="B746" s="198"/>
    </row>
    <row r="747" spans="1:2" x14ac:dyDescent="0.2">
      <c r="A747" s="198"/>
      <c r="B747" s="198"/>
    </row>
    <row r="748" spans="1:2" x14ac:dyDescent="0.2">
      <c r="A748" s="198"/>
      <c r="B748" s="198"/>
    </row>
    <row r="749" spans="1:2" x14ac:dyDescent="0.2">
      <c r="A749" s="198"/>
      <c r="B749" s="198"/>
    </row>
    <row r="750" spans="1:2" x14ac:dyDescent="0.2">
      <c r="A750" s="198"/>
      <c r="B750" s="198"/>
    </row>
    <row r="751" spans="1:2" x14ac:dyDescent="0.2">
      <c r="A751" s="198"/>
      <c r="B751" s="198"/>
    </row>
    <row r="752" spans="1:2" x14ac:dyDescent="0.2">
      <c r="A752" s="198"/>
      <c r="B752" s="198"/>
    </row>
    <row r="753" spans="1:2" x14ac:dyDescent="0.2">
      <c r="A753" s="198"/>
      <c r="B753" s="198"/>
    </row>
    <row r="754" spans="1:2" x14ac:dyDescent="0.2">
      <c r="A754" s="198"/>
      <c r="B754" s="198"/>
    </row>
    <row r="755" spans="1:2" x14ac:dyDescent="0.2">
      <c r="A755" s="198"/>
      <c r="B755" s="198"/>
    </row>
    <row r="756" spans="1:2" x14ac:dyDescent="0.2">
      <c r="A756" s="198"/>
      <c r="B756" s="198"/>
    </row>
    <row r="757" spans="1:2" x14ac:dyDescent="0.2">
      <c r="A757" s="198"/>
      <c r="B757" s="198"/>
    </row>
    <row r="758" spans="1:2" x14ac:dyDescent="0.2">
      <c r="A758" s="198"/>
      <c r="B758" s="198"/>
    </row>
    <row r="759" spans="1:2" x14ac:dyDescent="0.2">
      <c r="A759" s="198"/>
      <c r="B759" s="198"/>
    </row>
    <row r="760" spans="1:2" x14ac:dyDescent="0.2">
      <c r="A760" s="198"/>
      <c r="B760" s="198"/>
    </row>
    <row r="761" spans="1:2" x14ac:dyDescent="0.2">
      <c r="A761" s="198"/>
      <c r="B761" s="198"/>
    </row>
    <row r="762" spans="1:2" x14ac:dyDescent="0.2">
      <c r="A762" s="198"/>
      <c r="B762" s="198"/>
    </row>
    <row r="763" spans="1:2" x14ac:dyDescent="0.2">
      <c r="A763" s="198"/>
      <c r="B763" s="198"/>
    </row>
    <row r="764" spans="1:2" x14ac:dyDescent="0.2">
      <c r="A764" s="198"/>
      <c r="B764" s="198"/>
    </row>
    <row r="765" spans="1:2" x14ac:dyDescent="0.2">
      <c r="A765" s="198"/>
      <c r="B765" s="198"/>
    </row>
    <row r="766" spans="1:2" x14ac:dyDescent="0.2">
      <c r="A766" s="198"/>
      <c r="B766" s="198"/>
    </row>
    <row r="767" spans="1:2" x14ac:dyDescent="0.2">
      <c r="A767" s="198"/>
      <c r="B767" s="198"/>
    </row>
    <row r="768" spans="1:2" x14ac:dyDescent="0.2">
      <c r="A768" s="198"/>
      <c r="B768" s="198"/>
    </row>
    <row r="769" spans="1:2" x14ac:dyDescent="0.2">
      <c r="A769" s="198"/>
      <c r="B769" s="198"/>
    </row>
    <row r="770" spans="1:2" x14ac:dyDescent="0.2">
      <c r="A770" s="198"/>
      <c r="B770" s="198"/>
    </row>
    <row r="771" spans="1:2" x14ac:dyDescent="0.2">
      <c r="A771" s="198"/>
      <c r="B771" s="198"/>
    </row>
    <row r="772" spans="1:2" x14ac:dyDescent="0.2">
      <c r="A772" s="198"/>
      <c r="B772" s="198"/>
    </row>
    <row r="773" spans="1:2" x14ac:dyDescent="0.2">
      <c r="A773" s="198"/>
      <c r="B773" s="198"/>
    </row>
    <row r="774" spans="1:2" x14ac:dyDescent="0.2">
      <c r="A774" s="198"/>
      <c r="B774" s="198"/>
    </row>
    <row r="775" spans="1:2" x14ac:dyDescent="0.2">
      <c r="A775" s="198"/>
      <c r="B775" s="198"/>
    </row>
    <row r="776" spans="1:2" x14ac:dyDescent="0.2">
      <c r="A776" s="198"/>
      <c r="B776" s="198"/>
    </row>
    <row r="777" spans="1:2" x14ac:dyDescent="0.2">
      <c r="A777" s="198"/>
      <c r="B777" s="198"/>
    </row>
    <row r="778" spans="1:2" x14ac:dyDescent="0.2">
      <c r="A778" s="198"/>
      <c r="B778" s="198"/>
    </row>
    <row r="779" spans="1:2" x14ac:dyDescent="0.2">
      <c r="A779" s="198"/>
      <c r="B779" s="198"/>
    </row>
    <row r="780" spans="1:2" x14ac:dyDescent="0.2">
      <c r="A780" s="198"/>
      <c r="B780" s="198"/>
    </row>
    <row r="781" spans="1:2" x14ac:dyDescent="0.2">
      <c r="A781" s="198"/>
      <c r="B781" s="198"/>
    </row>
    <row r="782" spans="1:2" x14ac:dyDescent="0.2">
      <c r="A782" s="198"/>
      <c r="B782" s="198"/>
    </row>
    <row r="783" spans="1:2" x14ac:dyDescent="0.2">
      <c r="A783" s="198"/>
      <c r="B783" s="198"/>
    </row>
    <row r="784" spans="1:2" x14ac:dyDescent="0.2">
      <c r="A784" s="198"/>
      <c r="B784" s="198"/>
    </row>
    <row r="785" spans="1:2" x14ac:dyDescent="0.2">
      <c r="A785" s="198"/>
      <c r="B785" s="198"/>
    </row>
    <row r="786" spans="1:2" x14ac:dyDescent="0.2">
      <c r="A786" s="198"/>
      <c r="B786" s="198"/>
    </row>
    <row r="787" spans="1:2" x14ac:dyDescent="0.2">
      <c r="A787" s="198"/>
      <c r="B787" s="198"/>
    </row>
    <row r="788" spans="1:2" x14ac:dyDescent="0.2">
      <c r="A788" s="198"/>
      <c r="B788" s="198"/>
    </row>
    <row r="789" spans="1:2" x14ac:dyDescent="0.2">
      <c r="A789" s="198"/>
      <c r="B789" s="198"/>
    </row>
    <row r="790" spans="1:2" x14ac:dyDescent="0.2">
      <c r="A790" s="198"/>
      <c r="B790" s="198"/>
    </row>
    <row r="791" spans="1:2" x14ac:dyDescent="0.2">
      <c r="A791" s="198"/>
      <c r="B791" s="198"/>
    </row>
    <row r="792" spans="1:2" x14ac:dyDescent="0.2">
      <c r="A792" s="198"/>
      <c r="B792" s="198"/>
    </row>
    <row r="793" spans="1:2" x14ac:dyDescent="0.2">
      <c r="A793" s="198"/>
      <c r="B793" s="198"/>
    </row>
    <row r="794" spans="1:2" x14ac:dyDescent="0.2">
      <c r="A794" s="198"/>
      <c r="B794" s="198"/>
    </row>
    <row r="795" spans="1:2" x14ac:dyDescent="0.2">
      <c r="A795" s="198"/>
      <c r="B795" s="198"/>
    </row>
    <row r="796" spans="1:2" x14ac:dyDescent="0.2">
      <c r="A796" s="198"/>
      <c r="B796" s="198"/>
    </row>
    <row r="797" spans="1:2" x14ac:dyDescent="0.2">
      <c r="A797" s="198"/>
      <c r="B797" s="198"/>
    </row>
    <row r="798" spans="1:2" x14ac:dyDescent="0.2">
      <c r="A798" s="198"/>
      <c r="B798" s="198"/>
    </row>
    <row r="799" spans="1:2" x14ac:dyDescent="0.2">
      <c r="A799" s="198"/>
      <c r="B799" s="198"/>
    </row>
    <row r="800" spans="1:2" x14ac:dyDescent="0.2">
      <c r="A800" s="198"/>
      <c r="B800" s="198"/>
    </row>
    <row r="801" spans="1:2" x14ac:dyDescent="0.2">
      <c r="A801" s="198"/>
      <c r="B801" s="198"/>
    </row>
    <row r="802" spans="1:2" x14ac:dyDescent="0.2">
      <c r="A802" s="198"/>
      <c r="B802" s="198"/>
    </row>
    <row r="803" spans="1:2" x14ac:dyDescent="0.2">
      <c r="A803" s="198"/>
      <c r="B803" s="198"/>
    </row>
    <row r="804" spans="1:2" x14ac:dyDescent="0.2">
      <c r="A804" s="198"/>
      <c r="B804" s="198"/>
    </row>
    <row r="805" spans="1:2" x14ac:dyDescent="0.2">
      <c r="A805" s="198"/>
      <c r="B805" s="198"/>
    </row>
    <row r="806" spans="1:2" x14ac:dyDescent="0.2">
      <c r="A806" s="198"/>
      <c r="B806" s="198"/>
    </row>
    <row r="807" spans="1:2" x14ac:dyDescent="0.2">
      <c r="A807" s="198"/>
      <c r="B807" s="198"/>
    </row>
    <row r="808" spans="1:2" x14ac:dyDescent="0.2">
      <c r="A808" s="198"/>
      <c r="B808" s="198"/>
    </row>
    <row r="809" spans="1:2" x14ac:dyDescent="0.2">
      <c r="A809" s="198"/>
      <c r="B809" s="198"/>
    </row>
    <row r="810" spans="1:2" x14ac:dyDescent="0.2">
      <c r="A810" s="198"/>
      <c r="B810" s="198"/>
    </row>
    <row r="811" spans="1:2" x14ac:dyDescent="0.2">
      <c r="A811" s="198"/>
      <c r="B811" s="198"/>
    </row>
    <row r="812" spans="1:2" x14ac:dyDescent="0.2">
      <c r="A812" s="198"/>
      <c r="B812" s="198"/>
    </row>
    <row r="813" spans="1:2" x14ac:dyDescent="0.2">
      <c r="A813" s="198"/>
      <c r="B813" s="198"/>
    </row>
    <row r="814" spans="1:2" x14ac:dyDescent="0.2">
      <c r="A814" s="198"/>
      <c r="B814" s="198"/>
    </row>
    <row r="815" spans="1:2" x14ac:dyDescent="0.2">
      <c r="A815" s="198"/>
      <c r="B815" s="198"/>
    </row>
    <row r="816" spans="1:2" x14ac:dyDescent="0.2">
      <c r="A816" s="198"/>
      <c r="B816" s="198"/>
    </row>
    <row r="817" spans="1:2" x14ac:dyDescent="0.2">
      <c r="A817" s="198"/>
      <c r="B817" s="198"/>
    </row>
    <row r="818" spans="1:2" x14ac:dyDescent="0.2">
      <c r="A818" s="198"/>
      <c r="B818" s="198"/>
    </row>
    <row r="819" spans="1:2" x14ac:dyDescent="0.2">
      <c r="A819" s="198"/>
      <c r="B819" s="198"/>
    </row>
    <row r="820" spans="1:2" x14ac:dyDescent="0.2">
      <c r="A820" s="198"/>
      <c r="B820" s="198"/>
    </row>
    <row r="821" spans="1:2" x14ac:dyDescent="0.2">
      <c r="A821" s="198"/>
      <c r="B821" s="198"/>
    </row>
    <row r="822" spans="1:2" x14ac:dyDescent="0.2">
      <c r="A822" s="198"/>
      <c r="B822" s="198"/>
    </row>
    <row r="823" spans="1:2" x14ac:dyDescent="0.2">
      <c r="A823" s="198"/>
      <c r="B823" s="198"/>
    </row>
    <row r="824" spans="1:2" x14ac:dyDescent="0.2">
      <c r="A824" s="198"/>
      <c r="B824" s="198"/>
    </row>
    <row r="825" spans="1:2" x14ac:dyDescent="0.2">
      <c r="A825" s="198"/>
      <c r="B825" s="198"/>
    </row>
    <row r="826" spans="1:2" x14ac:dyDescent="0.2">
      <c r="A826" s="198"/>
      <c r="B826" s="198"/>
    </row>
    <row r="827" spans="1:2" x14ac:dyDescent="0.2">
      <c r="A827" s="198"/>
      <c r="B827" s="198"/>
    </row>
    <row r="828" spans="1:2" x14ac:dyDescent="0.2">
      <c r="A828" s="198"/>
      <c r="B828" s="198"/>
    </row>
    <row r="829" spans="1:2" x14ac:dyDescent="0.2">
      <c r="A829" s="198"/>
      <c r="B829" s="198"/>
    </row>
    <row r="830" spans="1:2" x14ac:dyDescent="0.2">
      <c r="A830" s="198"/>
      <c r="B830" s="198"/>
    </row>
    <row r="831" spans="1:2" x14ac:dyDescent="0.2">
      <c r="A831" s="198"/>
      <c r="B831" s="198"/>
    </row>
    <row r="832" spans="1:2" x14ac:dyDescent="0.2">
      <c r="A832" s="198"/>
      <c r="B832" s="198"/>
    </row>
    <row r="833" spans="1:2" x14ac:dyDescent="0.2">
      <c r="A833" s="198"/>
      <c r="B833" s="198"/>
    </row>
    <row r="834" spans="1:2" x14ac:dyDescent="0.2">
      <c r="A834" s="198"/>
      <c r="B834" s="198"/>
    </row>
    <row r="835" spans="1:2" x14ac:dyDescent="0.2">
      <c r="A835" s="198"/>
      <c r="B835" s="198"/>
    </row>
    <row r="836" spans="1:2" x14ac:dyDescent="0.2">
      <c r="A836" s="198"/>
      <c r="B836" s="198"/>
    </row>
    <row r="837" spans="1:2" x14ac:dyDescent="0.2">
      <c r="A837" s="198"/>
      <c r="B837" s="198"/>
    </row>
    <row r="838" spans="1:2" x14ac:dyDescent="0.2">
      <c r="A838" s="198"/>
      <c r="B838" s="198"/>
    </row>
    <row r="839" spans="1:2" x14ac:dyDescent="0.2">
      <c r="A839" s="198"/>
      <c r="B839" s="198"/>
    </row>
    <row r="840" spans="1:2" x14ac:dyDescent="0.2">
      <c r="A840" s="198"/>
      <c r="B840" s="198"/>
    </row>
    <row r="841" spans="1:2" x14ac:dyDescent="0.2">
      <c r="A841" s="198"/>
      <c r="B841" s="198"/>
    </row>
    <row r="842" spans="1:2" x14ac:dyDescent="0.2">
      <c r="A842" s="198"/>
      <c r="B842" s="198"/>
    </row>
    <row r="843" spans="1:2" x14ac:dyDescent="0.2">
      <c r="A843" s="198"/>
      <c r="B843" s="198"/>
    </row>
    <row r="844" spans="1:2" x14ac:dyDescent="0.2">
      <c r="A844" s="198"/>
      <c r="B844" s="198"/>
    </row>
    <row r="845" spans="1:2" x14ac:dyDescent="0.2">
      <c r="A845" s="198"/>
      <c r="B845" s="198"/>
    </row>
    <row r="846" spans="1:2" x14ac:dyDescent="0.2">
      <c r="A846" s="198"/>
      <c r="B846" s="198"/>
    </row>
    <row r="847" spans="1:2" x14ac:dyDescent="0.2">
      <c r="A847" s="198"/>
      <c r="B847" s="198"/>
    </row>
    <row r="848" spans="1:2" x14ac:dyDescent="0.2">
      <c r="A848" s="198"/>
      <c r="B848" s="198"/>
    </row>
    <row r="849" spans="1:2" x14ac:dyDescent="0.2">
      <c r="A849" s="198"/>
      <c r="B849" s="198"/>
    </row>
    <row r="850" spans="1:2" x14ac:dyDescent="0.2">
      <c r="A850" s="198"/>
      <c r="B850" s="198"/>
    </row>
    <row r="851" spans="1:2" x14ac:dyDescent="0.2">
      <c r="A851" s="198"/>
      <c r="B851" s="198"/>
    </row>
    <row r="852" spans="1:2" x14ac:dyDescent="0.2">
      <c r="A852" s="198"/>
      <c r="B852" s="198"/>
    </row>
    <row r="853" spans="1:2" x14ac:dyDescent="0.2">
      <c r="A853" s="198"/>
      <c r="B853" s="198"/>
    </row>
    <row r="854" spans="1:2" x14ac:dyDescent="0.2">
      <c r="A854" s="198"/>
      <c r="B854" s="198"/>
    </row>
    <row r="855" spans="1:2" x14ac:dyDescent="0.2">
      <c r="A855" s="198"/>
      <c r="B855" s="198"/>
    </row>
    <row r="856" spans="1:2" x14ac:dyDescent="0.2">
      <c r="A856" s="198"/>
      <c r="B856" s="198"/>
    </row>
    <row r="857" spans="1:2" x14ac:dyDescent="0.2">
      <c r="A857" s="198"/>
      <c r="B857" s="198"/>
    </row>
    <row r="858" spans="1:2" x14ac:dyDescent="0.2">
      <c r="A858" s="198"/>
      <c r="B858" s="198"/>
    </row>
    <row r="859" spans="1:2" x14ac:dyDescent="0.2">
      <c r="A859" s="198"/>
      <c r="B859" s="198"/>
    </row>
    <row r="860" spans="1:2" x14ac:dyDescent="0.2">
      <c r="A860" s="198"/>
      <c r="B860" s="198"/>
    </row>
    <row r="861" spans="1:2" x14ac:dyDescent="0.2">
      <c r="A861" s="198"/>
      <c r="B861" s="198"/>
    </row>
    <row r="862" spans="1:2" x14ac:dyDescent="0.2">
      <c r="A862" s="198"/>
      <c r="B862" s="198"/>
    </row>
    <row r="863" spans="1:2" x14ac:dyDescent="0.2">
      <c r="A863" s="198"/>
      <c r="B863" s="198"/>
    </row>
    <row r="864" spans="1:2" x14ac:dyDescent="0.2">
      <c r="A864" s="198"/>
      <c r="B864" s="198"/>
    </row>
    <row r="865" spans="1:2" x14ac:dyDescent="0.2">
      <c r="A865" s="198"/>
      <c r="B865" s="198"/>
    </row>
    <row r="866" spans="1:2" x14ac:dyDescent="0.2">
      <c r="A866" s="198"/>
      <c r="B866" s="198"/>
    </row>
    <row r="867" spans="1:2" x14ac:dyDescent="0.2">
      <c r="A867" s="198"/>
      <c r="B867" s="198"/>
    </row>
    <row r="868" spans="1:2" x14ac:dyDescent="0.2">
      <c r="A868" s="198"/>
      <c r="B868" s="198"/>
    </row>
    <row r="869" spans="1:2" x14ac:dyDescent="0.2">
      <c r="A869" s="198"/>
      <c r="B869" s="198"/>
    </row>
    <row r="870" spans="1:2" x14ac:dyDescent="0.2">
      <c r="A870" s="198"/>
      <c r="B870" s="198"/>
    </row>
    <row r="871" spans="1:2" x14ac:dyDescent="0.2">
      <c r="A871" s="198"/>
      <c r="B871" s="198"/>
    </row>
    <row r="872" spans="1:2" x14ac:dyDescent="0.2">
      <c r="A872" s="198"/>
      <c r="B872" s="198"/>
    </row>
    <row r="873" spans="1:2" x14ac:dyDescent="0.2">
      <c r="A873" s="198"/>
      <c r="B873" s="198"/>
    </row>
    <row r="874" spans="1:2" x14ac:dyDescent="0.2">
      <c r="A874" s="198"/>
      <c r="B874" s="198"/>
    </row>
    <row r="875" spans="1:2" x14ac:dyDescent="0.2">
      <c r="A875" s="198"/>
      <c r="B875" s="198"/>
    </row>
    <row r="876" spans="1:2" x14ac:dyDescent="0.2">
      <c r="A876" s="198"/>
      <c r="B876" s="198"/>
    </row>
    <row r="877" spans="1:2" x14ac:dyDescent="0.2">
      <c r="A877" s="198"/>
      <c r="B877" s="198"/>
    </row>
    <row r="878" spans="1:2" x14ac:dyDescent="0.2">
      <c r="A878" s="198"/>
      <c r="B878" s="198"/>
    </row>
    <row r="879" spans="1:2" x14ac:dyDescent="0.2">
      <c r="A879" s="198"/>
      <c r="B879" s="198"/>
    </row>
    <row r="880" spans="1:2" x14ac:dyDescent="0.2">
      <c r="A880" s="198"/>
      <c r="B880" s="198"/>
    </row>
    <row r="881" spans="1:2" x14ac:dyDescent="0.2">
      <c r="A881" s="198"/>
      <c r="B881" s="198"/>
    </row>
    <row r="882" spans="1:2" x14ac:dyDescent="0.2">
      <c r="A882" s="198"/>
      <c r="B882" s="198"/>
    </row>
    <row r="883" spans="1:2" x14ac:dyDescent="0.2">
      <c r="A883" s="198"/>
      <c r="B883" s="198"/>
    </row>
    <row r="884" spans="1:2" x14ac:dyDescent="0.2">
      <c r="A884" s="198"/>
      <c r="B884" s="198"/>
    </row>
    <row r="885" spans="1:2" x14ac:dyDescent="0.2">
      <c r="A885" s="198"/>
      <c r="B885" s="198"/>
    </row>
    <row r="886" spans="1:2" x14ac:dyDescent="0.2">
      <c r="A886" s="198"/>
      <c r="B886" s="198"/>
    </row>
    <row r="887" spans="1:2" x14ac:dyDescent="0.2">
      <c r="A887" s="198"/>
      <c r="B887" s="198"/>
    </row>
    <row r="888" spans="1:2" x14ac:dyDescent="0.2">
      <c r="A888" s="198"/>
      <c r="B888" s="198"/>
    </row>
    <row r="889" spans="1:2" x14ac:dyDescent="0.2">
      <c r="A889" s="198"/>
      <c r="B889" s="198"/>
    </row>
    <row r="890" spans="1:2" x14ac:dyDescent="0.2">
      <c r="A890" s="198"/>
      <c r="B890" s="198"/>
    </row>
    <row r="891" spans="1:2" x14ac:dyDescent="0.2">
      <c r="A891" s="198"/>
      <c r="B891" s="198"/>
    </row>
    <row r="892" spans="1:2" x14ac:dyDescent="0.2">
      <c r="A892" s="198"/>
      <c r="B892" s="198"/>
    </row>
    <row r="893" spans="1:2" x14ac:dyDescent="0.2">
      <c r="A893" s="198"/>
      <c r="B893" s="198"/>
    </row>
    <row r="894" spans="1:2" x14ac:dyDescent="0.2">
      <c r="A894" s="198"/>
      <c r="B894" s="198"/>
    </row>
    <row r="895" spans="1:2" x14ac:dyDescent="0.2">
      <c r="A895" s="198"/>
      <c r="B895" s="198"/>
    </row>
    <row r="896" spans="1:2" x14ac:dyDescent="0.2">
      <c r="A896" s="198"/>
      <c r="B896" s="198"/>
    </row>
    <row r="897" spans="1:2" x14ac:dyDescent="0.2">
      <c r="A897" s="198"/>
      <c r="B897" s="198"/>
    </row>
    <row r="898" spans="1:2" x14ac:dyDescent="0.2">
      <c r="A898" s="198"/>
      <c r="B898" s="198"/>
    </row>
    <row r="899" spans="1:2" x14ac:dyDescent="0.2">
      <c r="A899" s="198"/>
      <c r="B899" s="198"/>
    </row>
    <row r="900" spans="1:2" x14ac:dyDescent="0.2">
      <c r="A900" s="198"/>
      <c r="B900" s="198"/>
    </row>
    <row r="901" spans="1:2" x14ac:dyDescent="0.2">
      <c r="A901" s="198"/>
      <c r="B901" s="198"/>
    </row>
    <row r="902" spans="1:2" x14ac:dyDescent="0.2">
      <c r="A902" s="198"/>
      <c r="B902" s="198"/>
    </row>
    <row r="903" spans="1:2" x14ac:dyDescent="0.2">
      <c r="A903" s="198"/>
      <c r="B903" s="198"/>
    </row>
    <row r="904" spans="1:2" x14ac:dyDescent="0.2">
      <c r="A904" s="198"/>
      <c r="B904" s="198"/>
    </row>
    <row r="905" spans="1:2" x14ac:dyDescent="0.2">
      <c r="A905" s="198"/>
      <c r="B905" s="198"/>
    </row>
    <row r="906" spans="1:2" x14ac:dyDescent="0.2">
      <c r="A906" s="198"/>
      <c r="B906" s="198"/>
    </row>
    <row r="907" spans="1:2" x14ac:dyDescent="0.2">
      <c r="A907" s="198"/>
      <c r="B907" s="198"/>
    </row>
    <row r="908" spans="1:2" x14ac:dyDescent="0.2">
      <c r="A908" s="198"/>
      <c r="B908" s="198"/>
    </row>
    <row r="909" spans="1:2" x14ac:dyDescent="0.2">
      <c r="A909" s="198"/>
      <c r="B909" s="198"/>
    </row>
    <row r="910" spans="1:2" x14ac:dyDescent="0.2">
      <c r="A910" s="198"/>
      <c r="B910" s="198"/>
    </row>
    <row r="911" spans="1:2" x14ac:dyDescent="0.2">
      <c r="A911" s="198"/>
      <c r="B911" s="198"/>
    </row>
    <row r="912" spans="1:2" x14ac:dyDescent="0.2">
      <c r="A912" s="198"/>
      <c r="B912" s="198"/>
    </row>
    <row r="913" spans="1:2" x14ac:dyDescent="0.2">
      <c r="A913" s="198"/>
      <c r="B913" s="198"/>
    </row>
    <row r="914" spans="1:2" x14ac:dyDescent="0.2">
      <c r="A914" s="198"/>
      <c r="B914" s="198"/>
    </row>
    <row r="915" spans="1:2" x14ac:dyDescent="0.2">
      <c r="A915" s="198"/>
      <c r="B915" s="198"/>
    </row>
    <row r="916" spans="1:2" x14ac:dyDescent="0.2">
      <c r="A916" s="198"/>
      <c r="B916" s="198"/>
    </row>
    <row r="917" spans="1:2" x14ac:dyDescent="0.2">
      <c r="A917" s="198"/>
      <c r="B917" s="198"/>
    </row>
    <row r="918" spans="1:2" x14ac:dyDescent="0.2">
      <c r="A918" s="198"/>
      <c r="B918" s="198"/>
    </row>
    <row r="919" spans="1:2" x14ac:dyDescent="0.2">
      <c r="A919" s="198"/>
      <c r="B919" s="198"/>
    </row>
    <row r="920" spans="1:2" x14ac:dyDescent="0.2">
      <c r="A920" s="198"/>
      <c r="B920" s="198"/>
    </row>
    <row r="921" spans="1:2" x14ac:dyDescent="0.2">
      <c r="A921" s="198"/>
      <c r="B921" s="198"/>
    </row>
    <row r="922" spans="1:2" x14ac:dyDescent="0.2">
      <c r="A922" s="198"/>
      <c r="B922" s="198"/>
    </row>
    <row r="923" spans="1:2" x14ac:dyDescent="0.2">
      <c r="A923" s="198"/>
      <c r="B923" s="198"/>
    </row>
    <row r="924" spans="1:2" x14ac:dyDescent="0.2">
      <c r="A924" s="198"/>
      <c r="B924" s="198"/>
    </row>
    <row r="925" spans="1:2" x14ac:dyDescent="0.2">
      <c r="A925" s="198"/>
      <c r="B925" s="198"/>
    </row>
    <row r="926" spans="1:2" x14ac:dyDescent="0.2">
      <c r="A926" s="198"/>
      <c r="B926" s="198"/>
    </row>
    <row r="927" spans="1:2" x14ac:dyDescent="0.2">
      <c r="A927" s="198"/>
      <c r="B927" s="198"/>
    </row>
    <row r="928" spans="1:2" x14ac:dyDescent="0.2">
      <c r="A928" s="198"/>
      <c r="B928" s="198"/>
    </row>
    <row r="929" spans="1:2" x14ac:dyDescent="0.2">
      <c r="A929" s="198"/>
      <c r="B929" s="198"/>
    </row>
    <row r="930" spans="1:2" x14ac:dyDescent="0.2">
      <c r="A930" s="198"/>
      <c r="B930" s="198"/>
    </row>
    <row r="931" spans="1:2" x14ac:dyDescent="0.2">
      <c r="A931" s="198"/>
      <c r="B931" s="198"/>
    </row>
    <row r="932" spans="1:2" x14ac:dyDescent="0.2">
      <c r="A932" s="198"/>
      <c r="B932" s="198"/>
    </row>
    <row r="933" spans="1:2" x14ac:dyDescent="0.2">
      <c r="A933" s="198"/>
      <c r="B933" s="198"/>
    </row>
    <row r="934" spans="1:2" x14ac:dyDescent="0.2">
      <c r="A934" s="198"/>
      <c r="B934" s="198"/>
    </row>
    <row r="935" spans="1:2" x14ac:dyDescent="0.2">
      <c r="A935" s="198"/>
      <c r="B935" s="198"/>
    </row>
    <row r="936" spans="1:2" x14ac:dyDescent="0.2">
      <c r="A936" s="198"/>
      <c r="B936" s="198"/>
    </row>
    <row r="937" spans="1:2" x14ac:dyDescent="0.2">
      <c r="A937" s="198"/>
      <c r="B937" s="198"/>
    </row>
    <row r="938" spans="1:2" x14ac:dyDescent="0.2">
      <c r="A938" s="198"/>
      <c r="B938" s="198"/>
    </row>
    <row r="939" spans="1:2" x14ac:dyDescent="0.2">
      <c r="A939" s="198"/>
      <c r="B939" s="198"/>
    </row>
    <row r="940" spans="1:2" x14ac:dyDescent="0.2">
      <c r="A940" s="198"/>
      <c r="B940" s="198"/>
    </row>
    <row r="941" spans="1:2" x14ac:dyDescent="0.2">
      <c r="A941" s="198"/>
      <c r="B941" s="198"/>
    </row>
    <row r="942" spans="1:2" x14ac:dyDescent="0.2">
      <c r="A942" s="198"/>
      <c r="B942" s="198"/>
    </row>
    <row r="943" spans="1:2" x14ac:dyDescent="0.2">
      <c r="A943" s="198"/>
      <c r="B943" s="198"/>
    </row>
    <row r="944" spans="1:2" x14ac:dyDescent="0.2">
      <c r="A944" s="198"/>
      <c r="B944" s="198"/>
    </row>
    <row r="945" spans="1:2" x14ac:dyDescent="0.2">
      <c r="A945" s="198"/>
      <c r="B945" s="198"/>
    </row>
    <row r="946" spans="1:2" x14ac:dyDescent="0.2">
      <c r="A946" s="198"/>
      <c r="B946" s="198"/>
    </row>
    <row r="947" spans="1:2" x14ac:dyDescent="0.2">
      <c r="A947" s="198"/>
      <c r="B947" s="198"/>
    </row>
    <row r="948" spans="1:2" x14ac:dyDescent="0.2">
      <c r="A948" s="198"/>
      <c r="B948" s="198"/>
    </row>
    <row r="949" spans="1:2" x14ac:dyDescent="0.2">
      <c r="A949" s="198"/>
      <c r="B949" s="198"/>
    </row>
    <row r="950" spans="1:2" x14ac:dyDescent="0.2">
      <c r="A950" s="198"/>
      <c r="B950" s="198"/>
    </row>
    <row r="951" spans="1:2" x14ac:dyDescent="0.2">
      <c r="A951" s="198"/>
      <c r="B951" s="198"/>
    </row>
    <row r="952" spans="1:2" x14ac:dyDescent="0.2">
      <c r="A952" s="198"/>
      <c r="B952" s="198"/>
    </row>
    <row r="953" spans="1:2" x14ac:dyDescent="0.2">
      <c r="A953" s="198"/>
      <c r="B953" s="198"/>
    </row>
    <row r="954" spans="1:2" x14ac:dyDescent="0.2">
      <c r="A954" s="198"/>
      <c r="B954" s="198"/>
    </row>
    <row r="955" spans="1:2" x14ac:dyDescent="0.2">
      <c r="A955" s="198"/>
      <c r="B955" s="198"/>
    </row>
    <row r="956" spans="1:2" x14ac:dyDescent="0.2">
      <c r="A956" s="198"/>
      <c r="B956" s="198"/>
    </row>
    <row r="957" spans="1:2" x14ac:dyDescent="0.2">
      <c r="A957" s="198"/>
      <c r="B957" s="198"/>
    </row>
    <row r="958" spans="1:2" x14ac:dyDescent="0.2">
      <c r="A958" s="198"/>
      <c r="B958" s="198"/>
    </row>
    <row r="959" spans="1:2" x14ac:dyDescent="0.2">
      <c r="A959" s="198"/>
      <c r="B959" s="198"/>
    </row>
    <row r="960" spans="1:2" x14ac:dyDescent="0.2">
      <c r="A960" s="198"/>
      <c r="B960" s="198"/>
    </row>
    <row r="961" spans="1:2" x14ac:dyDescent="0.2">
      <c r="A961" s="198"/>
      <c r="B961" s="198"/>
    </row>
    <row r="962" spans="1:2" x14ac:dyDescent="0.2">
      <c r="A962" s="198"/>
      <c r="B962" s="198"/>
    </row>
    <row r="963" spans="1:2" x14ac:dyDescent="0.2">
      <c r="A963" s="198"/>
      <c r="B963" s="198"/>
    </row>
    <row r="964" spans="1:2" x14ac:dyDescent="0.2">
      <c r="A964" s="198"/>
      <c r="B964" s="198"/>
    </row>
    <row r="965" spans="1:2" x14ac:dyDescent="0.2">
      <c r="A965" s="198"/>
      <c r="B965" s="198"/>
    </row>
    <row r="966" spans="1:2" x14ac:dyDescent="0.2">
      <c r="A966" s="198"/>
      <c r="B966" s="198"/>
    </row>
    <row r="967" spans="1:2" x14ac:dyDescent="0.2">
      <c r="A967" s="198"/>
      <c r="B967" s="198"/>
    </row>
    <row r="968" spans="1:2" x14ac:dyDescent="0.2">
      <c r="A968" s="198"/>
      <c r="B968" s="198"/>
    </row>
    <row r="969" spans="1:2" x14ac:dyDescent="0.2">
      <c r="A969" s="198"/>
      <c r="B969" s="198"/>
    </row>
    <row r="970" spans="1:2" x14ac:dyDescent="0.2">
      <c r="A970" s="198"/>
      <c r="B970" s="198"/>
    </row>
    <row r="971" spans="1:2" x14ac:dyDescent="0.2">
      <c r="A971" s="198"/>
      <c r="B971" s="198"/>
    </row>
    <row r="972" spans="1:2" x14ac:dyDescent="0.2">
      <c r="A972" s="198"/>
      <c r="B972" s="198"/>
    </row>
    <row r="973" spans="1:2" x14ac:dyDescent="0.2">
      <c r="A973" s="198"/>
      <c r="B973" s="198"/>
    </row>
    <row r="974" spans="1:2" x14ac:dyDescent="0.2">
      <c r="A974" s="198"/>
      <c r="B974" s="198"/>
    </row>
    <row r="975" spans="1:2" x14ac:dyDescent="0.2">
      <c r="A975" s="198"/>
      <c r="B975" s="198"/>
    </row>
    <row r="976" spans="1:2" x14ac:dyDescent="0.2">
      <c r="A976" s="198"/>
      <c r="B976" s="198"/>
    </row>
    <row r="977" spans="1:2" x14ac:dyDescent="0.2">
      <c r="A977" s="198"/>
      <c r="B977" s="198"/>
    </row>
    <row r="978" spans="1:2" x14ac:dyDescent="0.2">
      <c r="A978" s="198"/>
      <c r="B978" s="198"/>
    </row>
    <row r="979" spans="1:2" x14ac:dyDescent="0.2">
      <c r="A979" s="198"/>
      <c r="B979" s="198"/>
    </row>
    <row r="980" spans="1:2" x14ac:dyDescent="0.2">
      <c r="A980" s="198"/>
      <c r="B980" s="198"/>
    </row>
    <row r="981" spans="1:2" x14ac:dyDescent="0.2">
      <c r="A981" s="198"/>
      <c r="B981" s="198"/>
    </row>
    <row r="982" spans="1:2" x14ac:dyDescent="0.2">
      <c r="A982" s="198"/>
      <c r="B982" s="198"/>
    </row>
    <row r="983" spans="1:2" x14ac:dyDescent="0.2">
      <c r="A983" s="198"/>
      <c r="B983" s="198"/>
    </row>
    <row r="984" spans="1:2" x14ac:dyDescent="0.2">
      <c r="A984" s="198"/>
      <c r="B984" s="198"/>
    </row>
    <row r="985" spans="1:2" x14ac:dyDescent="0.2">
      <c r="A985" s="198"/>
      <c r="B985" s="198"/>
    </row>
    <row r="986" spans="1:2" x14ac:dyDescent="0.2">
      <c r="A986" s="198"/>
      <c r="B986" s="198"/>
    </row>
    <row r="987" spans="1:2" x14ac:dyDescent="0.2">
      <c r="A987" s="198"/>
      <c r="B987" s="198"/>
    </row>
    <row r="988" spans="1:2" x14ac:dyDescent="0.2">
      <c r="A988" s="198"/>
      <c r="B988" s="198"/>
    </row>
    <row r="989" spans="1:2" x14ac:dyDescent="0.2">
      <c r="A989" s="198"/>
      <c r="B989" s="198"/>
    </row>
    <row r="990" spans="1:2" x14ac:dyDescent="0.2">
      <c r="A990" s="198"/>
      <c r="B990" s="198"/>
    </row>
    <row r="991" spans="1:2" x14ac:dyDescent="0.2">
      <c r="A991" s="198"/>
      <c r="B991" s="198"/>
    </row>
    <row r="992" spans="1:2" x14ac:dyDescent="0.2">
      <c r="A992" s="198"/>
      <c r="B992" s="198"/>
    </row>
    <row r="993" spans="1:2" x14ac:dyDescent="0.2">
      <c r="A993" s="198"/>
      <c r="B993" s="198"/>
    </row>
    <row r="994" spans="1:2" x14ac:dyDescent="0.2">
      <c r="A994" s="198"/>
      <c r="B994" s="198"/>
    </row>
    <row r="995" spans="1:2" x14ac:dyDescent="0.2">
      <c r="A995" s="198"/>
      <c r="B995" s="198"/>
    </row>
    <row r="996" spans="1:2" x14ac:dyDescent="0.2">
      <c r="A996" s="198"/>
      <c r="B996" s="198"/>
    </row>
    <row r="997" spans="1:2" x14ac:dyDescent="0.2">
      <c r="A997" s="198"/>
      <c r="B997" s="198"/>
    </row>
    <row r="998" spans="1:2" x14ac:dyDescent="0.2">
      <c r="A998" s="198"/>
      <c r="B998" s="198"/>
    </row>
    <row r="999" spans="1:2" x14ac:dyDescent="0.2">
      <c r="A999" s="198"/>
      <c r="B999" s="198"/>
    </row>
    <row r="1000" spans="1:2" x14ac:dyDescent="0.2">
      <c r="A1000" s="198"/>
      <c r="B1000" s="198"/>
    </row>
    <row r="1001" spans="1:2" x14ac:dyDescent="0.2">
      <c r="A1001" s="198"/>
      <c r="B1001" s="198"/>
    </row>
    <row r="1002" spans="1:2" x14ac:dyDescent="0.2">
      <c r="A1002" s="198"/>
      <c r="B1002" s="198"/>
    </row>
    <row r="1003" spans="1:2" x14ac:dyDescent="0.2">
      <c r="A1003" s="198"/>
      <c r="B1003" s="198"/>
    </row>
    <row r="1004" spans="1:2" x14ac:dyDescent="0.2">
      <c r="A1004" s="198"/>
      <c r="B1004" s="198"/>
    </row>
    <row r="1005" spans="1:2" x14ac:dyDescent="0.2">
      <c r="A1005" s="198"/>
      <c r="B1005" s="198"/>
    </row>
    <row r="1006" spans="1:2" x14ac:dyDescent="0.2">
      <c r="A1006" s="198"/>
      <c r="B1006" s="198"/>
    </row>
    <row r="1007" spans="1:2" x14ac:dyDescent="0.2">
      <c r="A1007" s="198"/>
      <c r="B1007" s="198"/>
    </row>
    <row r="1008" spans="1:2" x14ac:dyDescent="0.2">
      <c r="A1008" s="198"/>
      <c r="B1008" s="198"/>
    </row>
    <row r="1009" spans="1:2" x14ac:dyDescent="0.2">
      <c r="A1009" s="198"/>
      <c r="B1009" s="198"/>
    </row>
    <row r="1010" spans="1:2" x14ac:dyDescent="0.2">
      <c r="A1010" s="198"/>
      <c r="B1010" s="198"/>
    </row>
    <row r="1011" spans="1:2" x14ac:dyDescent="0.2">
      <c r="A1011" s="198"/>
      <c r="B1011" s="198"/>
    </row>
    <row r="1012" spans="1:2" x14ac:dyDescent="0.2">
      <c r="A1012" s="198"/>
      <c r="B1012" s="198"/>
    </row>
    <row r="1013" spans="1:2" x14ac:dyDescent="0.2">
      <c r="A1013" s="198"/>
      <c r="B1013" s="198"/>
    </row>
    <row r="1014" spans="1:2" x14ac:dyDescent="0.2">
      <c r="A1014" s="198"/>
      <c r="B1014" s="198"/>
    </row>
    <row r="1015" spans="1:2" x14ac:dyDescent="0.2">
      <c r="A1015" s="198"/>
      <c r="B1015" s="198"/>
    </row>
    <row r="1016" spans="1:2" x14ac:dyDescent="0.2">
      <c r="A1016" s="198"/>
      <c r="B1016" s="198"/>
    </row>
    <row r="1017" spans="1:2" x14ac:dyDescent="0.2">
      <c r="A1017" s="198"/>
      <c r="B1017" s="198"/>
    </row>
    <row r="1018" spans="1:2" x14ac:dyDescent="0.2">
      <c r="A1018" s="198"/>
      <c r="B1018" s="198"/>
    </row>
    <row r="1019" spans="1:2" x14ac:dyDescent="0.2">
      <c r="A1019" s="198"/>
      <c r="B1019" s="198"/>
    </row>
    <row r="1020" spans="1:2" x14ac:dyDescent="0.2">
      <c r="A1020" s="198"/>
      <c r="B1020" s="198"/>
    </row>
    <row r="1021" spans="1:2" x14ac:dyDescent="0.2">
      <c r="A1021" s="198"/>
      <c r="B1021" s="198"/>
    </row>
    <row r="1022" spans="1:2" x14ac:dyDescent="0.2">
      <c r="A1022" s="198"/>
      <c r="B1022" s="198"/>
    </row>
    <row r="1023" spans="1:2" x14ac:dyDescent="0.2">
      <c r="A1023" s="198"/>
      <c r="B1023" s="198"/>
    </row>
    <row r="1024" spans="1:2" x14ac:dyDescent="0.2">
      <c r="A1024" s="198"/>
      <c r="B1024" s="198"/>
    </row>
    <row r="1025" spans="1:2" x14ac:dyDescent="0.2">
      <c r="A1025" s="198"/>
      <c r="B1025" s="198"/>
    </row>
    <row r="1026" spans="1:2" x14ac:dyDescent="0.2">
      <c r="A1026" s="198"/>
      <c r="B1026" s="198"/>
    </row>
    <row r="1027" spans="1:2" x14ac:dyDescent="0.2">
      <c r="A1027" s="198"/>
      <c r="B1027" s="198"/>
    </row>
    <row r="1028" spans="1:2" x14ac:dyDescent="0.2">
      <c r="A1028" s="198"/>
      <c r="B1028" s="198"/>
    </row>
    <row r="1029" spans="1:2" x14ac:dyDescent="0.2">
      <c r="A1029" s="198"/>
      <c r="B1029" s="198"/>
    </row>
    <row r="1030" spans="1:2" x14ac:dyDescent="0.2">
      <c r="A1030" s="198"/>
      <c r="B1030" s="198"/>
    </row>
    <row r="1031" spans="1:2" x14ac:dyDescent="0.2">
      <c r="A1031" s="198"/>
      <c r="B1031" s="198"/>
    </row>
    <row r="1032" spans="1:2" x14ac:dyDescent="0.2">
      <c r="A1032" s="198"/>
      <c r="B1032" s="198"/>
    </row>
    <row r="1033" spans="1:2" x14ac:dyDescent="0.2">
      <c r="A1033" s="198"/>
      <c r="B1033" s="198"/>
    </row>
    <row r="1034" spans="1:2" x14ac:dyDescent="0.2">
      <c r="A1034" s="198"/>
      <c r="B1034" s="198"/>
    </row>
    <row r="1035" spans="1:2" x14ac:dyDescent="0.2">
      <c r="A1035" s="198"/>
      <c r="B1035" s="198"/>
    </row>
    <row r="1036" spans="1:2" x14ac:dyDescent="0.2">
      <c r="A1036" s="198"/>
      <c r="B1036" s="198"/>
    </row>
    <row r="1037" spans="1:2" x14ac:dyDescent="0.2">
      <c r="A1037" s="198"/>
      <c r="B1037" s="198"/>
    </row>
    <row r="1038" spans="1:2" x14ac:dyDescent="0.2">
      <c r="A1038" s="198"/>
      <c r="B1038" s="198"/>
    </row>
    <row r="1039" spans="1:2" x14ac:dyDescent="0.2">
      <c r="A1039" s="198"/>
      <c r="B1039" s="198"/>
    </row>
    <row r="1040" spans="1:2" x14ac:dyDescent="0.2">
      <c r="A1040" s="198"/>
      <c r="B1040" s="198"/>
    </row>
    <row r="1041" spans="1:2" x14ac:dyDescent="0.2">
      <c r="A1041" s="198"/>
      <c r="B1041" s="198"/>
    </row>
    <row r="1042" spans="1:2" x14ac:dyDescent="0.2">
      <c r="A1042" s="198"/>
      <c r="B1042" s="198"/>
    </row>
    <row r="1043" spans="1:2" x14ac:dyDescent="0.2">
      <c r="A1043" s="198"/>
      <c r="B1043" s="198"/>
    </row>
    <row r="1044" spans="1:2" x14ac:dyDescent="0.2">
      <c r="A1044" s="198"/>
      <c r="B1044" s="198"/>
    </row>
    <row r="1045" spans="1:2" x14ac:dyDescent="0.2">
      <c r="A1045" s="198"/>
      <c r="B1045" s="198"/>
    </row>
    <row r="1046" spans="1:2" x14ac:dyDescent="0.2">
      <c r="A1046" s="198"/>
      <c r="B1046" s="198"/>
    </row>
    <row r="1047" spans="1:2" x14ac:dyDescent="0.2">
      <c r="A1047" s="198"/>
      <c r="B1047" s="198"/>
    </row>
    <row r="1048" spans="1:2" x14ac:dyDescent="0.2">
      <c r="A1048" s="198"/>
      <c r="B1048" s="198"/>
    </row>
    <row r="1049" spans="1:2" x14ac:dyDescent="0.2">
      <c r="A1049" s="198"/>
      <c r="B1049" s="198"/>
    </row>
    <row r="1050" spans="1:2" x14ac:dyDescent="0.2">
      <c r="A1050" s="198"/>
      <c r="B1050" s="198"/>
    </row>
    <row r="1051" spans="1:2" x14ac:dyDescent="0.2">
      <c r="A1051" s="198"/>
      <c r="B1051" s="198"/>
    </row>
    <row r="1052" spans="1:2" x14ac:dyDescent="0.2">
      <c r="A1052" s="198"/>
      <c r="B1052" s="198"/>
    </row>
    <row r="1053" spans="1:2" x14ac:dyDescent="0.2">
      <c r="A1053" s="198"/>
      <c r="B1053" s="198"/>
    </row>
    <row r="1054" spans="1:2" x14ac:dyDescent="0.2">
      <c r="A1054" s="198"/>
      <c r="B1054" s="198"/>
    </row>
    <row r="1055" spans="1:2" x14ac:dyDescent="0.2">
      <c r="A1055" s="198"/>
      <c r="B1055" s="198"/>
    </row>
    <row r="1056" spans="1:2" x14ac:dyDescent="0.2">
      <c r="A1056" s="198"/>
      <c r="B1056" s="198"/>
    </row>
    <row r="1057" spans="1:2" x14ac:dyDescent="0.2">
      <c r="A1057" s="198"/>
      <c r="B1057" s="198"/>
    </row>
    <row r="1058" spans="1:2" x14ac:dyDescent="0.2">
      <c r="A1058" s="198"/>
      <c r="B1058" s="198"/>
    </row>
    <row r="1059" spans="1:2" x14ac:dyDescent="0.2">
      <c r="A1059" s="198"/>
      <c r="B1059" s="198"/>
    </row>
    <row r="1060" spans="1:2" x14ac:dyDescent="0.2">
      <c r="A1060" s="198"/>
      <c r="B1060" s="198"/>
    </row>
    <row r="1061" spans="1:2" x14ac:dyDescent="0.2">
      <c r="A1061" s="198"/>
      <c r="B1061" s="198"/>
    </row>
    <row r="1062" spans="1:2" x14ac:dyDescent="0.2">
      <c r="A1062" s="198"/>
      <c r="B1062" s="198"/>
    </row>
    <row r="1063" spans="1:2" x14ac:dyDescent="0.2">
      <c r="A1063" s="198"/>
      <c r="B1063" s="198"/>
    </row>
    <row r="1064" spans="1:2" x14ac:dyDescent="0.2">
      <c r="A1064" s="198"/>
      <c r="B1064" s="198"/>
    </row>
    <row r="1065" spans="1:2" x14ac:dyDescent="0.2">
      <c r="A1065" s="198"/>
      <c r="B1065" s="198"/>
    </row>
    <row r="1066" spans="1:2" x14ac:dyDescent="0.2">
      <c r="A1066" s="198"/>
      <c r="B1066" s="198"/>
    </row>
    <row r="1067" spans="1:2" x14ac:dyDescent="0.2">
      <c r="A1067" s="198"/>
      <c r="B1067" s="198"/>
    </row>
    <row r="1068" spans="1:2" x14ac:dyDescent="0.2">
      <c r="A1068" s="198"/>
      <c r="B1068" s="198"/>
    </row>
    <row r="1069" spans="1:2" x14ac:dyDescent="0.2">
      <c r="A1069" s="198"/>
      <c r="B1069" s="198"/>
    </row>
    <row r="1070" spans="1:2" x14ac:dyDescent="0.2">
      <c r="A1070" s="198"/>
      <c r="B1070" s="198"/>
    </row>
    <row r="1071" spans="1:2" x14ac:dyDescent="0.2">
      <c r="A1071" s="198"/>
      <c r="B1071" s="198"/>
    </row>
    <row r="1072" spans="1:2" x14ac:dyDescent="0.2">
      <c r="A1072" s="198"/>
      <c r="B1072" s="198"/>
    </row>
    <row r="1073" spans="1:2" x14ac:dyDescent="0.2">
      <c r="A1073" s="198"/>
      <c r="B1073" s="198"/>
    </row>
    <row r="1074" spans="1:2" x14ac:dyDescent="0.2">
      <c r="A1074" s="198"/>
      <c r="B1074" s="198"/>
    </row>
    <row r="1075" spans="1:2" x14ac:dyDescent="0.2">
      <c r="A1075" s="198"/>
      <c r="B1075" s="198"/>
    </row>
    <row r="1076" spans="1:2" x14ac:dyDescent="0.2">
      <c r="A1076" s="198"/>
      <c r="B1076" s="198"/>
    </row>
    <row r="1077" spans="1:2" x14ac:dyDescent="0.2">
      <c r="A1077" s="198"/>
      <c r="B1077" s="198"/>
    </row>
    <row r="1078" spans="1:2" x14ac:dyDescent="0.2">
      <c r="A1078" s="198"/>
      <c r="B1078" s="198"/>
    </row>
    <row r="1079" spans="1:2" x14ac:dyDescent="0.2">
      <c r="A1079" s="198"/>
      <c r="B1079" s="198"/>
    </row>
    <row r="1080" spans="1:2" x14ac:dyDescent="0.2">
      <c r="A1080" s="198"/>
      <c r="B1080" s="198"/>
    </row>
    <row r="1081" spans="1:2" x14ac:dyDescent="0.2">
      <c r="A1081" s="198"/>
      <c r="B1081" s="198"/>
    </row>
    <row r="1082" spans="1:2" x14ac:dyDescent="0.2">
      <c r="A1082" s="198"/>
      <c r="B1082" s="198"/>
    </row>
    <row r="1083" spans="1:2" x14ac:dyDescent="0.2">
      <c r="A1083" s="198"/>
      <c r="B1083" s="198"/>
    </row>
    <row r="1084" spans="1:2" x14ac:dyDescent="0.2">
      <c r="A1084" s="198"/>
      <c r="B1084" s="198"/>
    </row>
    <row r="1085" spans="1:2" x14ac:dyDescent="0.2">
      <c r="A1085" s="198"/>
      <c r="B1085" s="198"/>
    </row>
    <row r="1086" spans="1:2" x14ac:dyDescent="0.2">
      <c r="A1086" s="198"/>
      <c r="B1086" s="198"/>
    </row>
    <row r="1087" spans="1:2" x14ac:dyDescent="0.2">
      <c r="A1087" s="198"/>
      <c r="B1087" s="198"/>
    </row>
    <row r="1088" spans="1:2" x14ac:dyDescent="0.2">
      <c r="A1088" s="198"/>
      <c r="B1088" s="198"/>
    </row>
    <row r="1089" spans="1:2" x14ac:dyDescent="0.2">
      <c r="A1089" s="198"/>
      <c r="B1089" s="198"/>
    </row>
    <row r="1090" spans="1:2" x14ac:dyDescent="0.2">
      <c r="A1090" s="198"/>
      <c r="B1090" s="198"/>
    </row>
    <row r="1091" spans="1:2" x14ac:dyDescent="0.2">
      <c r="A1091" s="198"/>
      <c r="B1091" s="198"/>
    </row>
    <row r="1092" spans="1:2" x14ac:dyDescent="0.2">
      <c r="A1092" s="198"/>
      <c r="B1092" s="198"/>
    </row>
    <row r="1093" spans="1:2" x14ac:dyDescent="0.2">
      <c r="A1093" s="198"/>
      <c r="B1093" s="198"/>
    </row>
    <row r="1094" spans="1:2" x14ac:dyDescent="0.2">
      <c r="A1094" s="198"/>
      <c r="B1094" s="198"/>
    </row>
    <row r="1095" spans="1:2" x14ac:dyDescent="0.2">
      <c r="A1095" s="198"/>
      <c r="B1095" s="198"/>
    </row>
    <row r="1096" spans="1:2" x14ac:dyDescent="0.2">
      <c r="A1096" s="198"/>
      <c r="B1096" s="198"/>
    </row>
    <row r="1097" spans="1:2" x14ac:dyDescent="0.2">
      <c r="A1097" s="198"/>
      <c r="B1097" s="198"/>
    </row>
    <row r="1098" spans="1:2" x14ac:dyDescent="0.2">
      <c r="A1098" s="198"/>
      <c r="B1098" s="198"/>
    </row>
    <row r="1099" spans="1:2" x14ac:dyDescent="0.2">
      <c r="A1099" s="198"/>
      <c r="B1099" s="198"/>
    </row>
    <row r="1100" spans="1:2" x14ac:dyDescent="0.2">
      <c r="A1100" s="198"/>
      <c r="B1100" s="198"/>
    </row>
    <row r="1101" spans="1:2" x14ac:dyDescent="0.2">
      <c r="A1101" s="198"/>
      <c r="B1101" s="198"/>
    </row>
    <row r="1102" spans="1:2" x14ac:dyDescent="0.2">
      <c r="A1102" s="198"/>
      <c r="B1102" s="198"/>
    </row>
    <row r="1103" spans="1:2" x14ac:dyDescent="0.2">
      <c r="A1103" s="198"/>
      <c r="B1103" s="198"/>
    </row>
    <row r="1104" spans="1:2" x14ac:dyDescent="0.2">
      <c r="A1104" s="198"/>
      <c r="B1104" s="198"/>
    </row>
    <row r="1105" spans="1:2" x14ac:dyDescent="0.2">
      <c r="A1105" s="198"/>
      <c r="B1105" s="198"/>
    </row>
    <row r="1106" spans="1:2" x14ac:dyDescent="0.2">
      <c r="A1106" s="198"/>
      <c r="B1106" s="198"/>
    </row>
    <row r="1107" spans="1:2" x14ac:dyDescent="0.2">
      <c r="A1107" s="198"/>
      <c r="B1107" s="198"/>
    </row>
    <row r="1108" spans="1:2" x14ac:dyDescent="0.2">
      <c r="A1108" s="198"/>
      <c r="B1108" s="198"/>
    </row>
    <row r="1109" spans="1:2" x14ac:dyDescent="0.2">
      <c r="A1109" s="198"/>
      <c r="B1109" s="198"/>
    </row>
    <row r="1110" spans="1:2" x14ac:dyDescent="0.2">
      <c r="A1110" s="198"/>
      <c r="B1110" s="198"/>
    </row>
    <row r="1111" spans="1:2" x14ac:dyDescent="0.2">
      <c r="A1111" s="198"/>
      <c r="B1111" s="198"/>
    </row>
    <row r="1112" spans="1:2" x14ac:dyDescent="0.2">
      <c r="A1112" s="198"/>
      <c r="B1112" s="198"/>
    </row>
    <row r="1113" spans="1:2" x14ac:dyDescent="0.2">
      <c r="A1113" s="198"/>
      <c r="B1113" s="198"/>
    </row>
    <row r="1114" spans="1:2" x14ac:dyDescent="0.2">
      <c r="A1114" s="198"/>
      <c r="B1114" s="198"/>
    </row>
    <row r="1115" spans="1:2" x14ac:dyDescent="0.2">
      <c r="A1115" s="198"/>
      <c r="B1115" s="198"/>
    </row>
    <row r="1116" spans="1:2" x14ac:dyDescent="0.2">
      <c r="A1116" s="198"/>
      <c r="B1116" s="198"/>
    </row>
    <row r="1117" spans="1:2" x14ac:dyDescent="0.2">
      <c r="A1117" s="198"/>
      <c r="B1117" s="198"/>
    </row>
    <row r="1118" spans="1:2" x14ac:dyDescent="0.2">
      <c r="A1118" s="198"/>
      <c r="B1118" s="198"/>
    </row>
    <row r="1119" spans="1:2" x14ac:dyDescent="0.2">
      <c r="A1119" s="198"/>
      <c r="B1119" s="198"/>
    </row>
    <row r="1120" spans="1:2" x14ac:dyDescent="0.2">
      <c r="A1120" s="198"/>
      <c r="B1120" s="198"/>
    </row>
    <row r="1121" spans="1:2" x14ac:dyDescent="0.2">
      <c r="A1121" s="198"/>
      <c r="B1121" s="198"/>
    </row>
    <row r="1122" spans="1:2" x14ac:dyDescent="0.2">
      <c r="A1122" s="198"/>
      <c r="B1122" s="198"/>
    </row>
    <row r="1123" spans="1:2" x14ac:dyDescent="0.2">
      <c r="A1123" s="198"/>
      <c r="B1123" s="198"/>
    </row>
    <row r="1124" spans="1:2" x14ac:dyDescent="0.2">
      <c r="A1124" s="198"/>
      <c r="B1124" s="198"/>
    </row>
    <row r="1125" spans="1:2" x14ac:dyDescent="0.2">
      <c r="A1125" s="198"/>
      <c r="B1125" s="198"/>
    </row>
    <row r="1126" spans="1:2" x14ac:dyDescent="0.2">
      <c r="A1126" s="198"/>
      <c r="B1126" s="198"/>
    </row>
    <row r="1127" spans="1:2" x14ac:dyDescent="0.2">
      <c r="A1127" s="198"/>
      <c r="B1127" s="198"/>
    </row>
    <row r="1128" spans="1:2" x14ac:dyDescent="0.2">
      <c r="A1128" s="198"/>
      <c r="B1128" s="198"/>
    </row>
    <row r="1129" spans="1:2" x14ac:dyDescent="0.2">
      <c r="A1129" s="198"/>
      <c r="B1129" s="198"/>
    </row>
    <row r="1130" spans="1:2" x14ac:dyDescent="0.2">
      <c r="A1130" s="198"/>
      <c r="B1130" s="198"/>
    </row>
    <row r="1131" spans="1:2" x14ac:dyDescent="0.2">
      <c r="A1131" s="198"/>
      <c r="B1131" s="198"/>
    </row>
    <row r="1132" spans="1:2" x14ac:dyDescent="0.2">
      <c r="A1132" s="198"/>
      <c r="B1132" s="198"/>
    </row>
    <row r="1133" spans="1:2" x14ac:dyDescent="0.2">
      <c r="A1133" s="198"/>
      <c r="B1133" s="198"/>
    </row>
    <row r="1134" spans="1:2" x14ac:dyDescent="0.2">
      <c r="A1134" s="198"/>
      <c r="B1134" s="198"/>
    </row>
    <row r="1135" spans="1:2" x14ac:dyDescent="0.2">
      <c r="A1135" s="198"/>
      <c r="B1135" s="198"/>
    </row>
    <row r="1136" spans="1:2" x14ac:dyDescent="0.2">
      <c r="A1136" s="198"/>
      <c r="B1136" s="198"/>
    </row>
    <row r="1137" spans="1:2" x14ac:dyDescent="0.2">
      <c r="A1137" s="198"/>
      <c r="B1137" s="198"/>
    </row>
    <row r="1138" spans="1:2" x14ac:dyDescent="0.2">
      <c r="A1138" s="198"/>
      <c r="B1138" s="198"/>
    </row>
    <row r="1139" spans="1:2" x14ac:dyDescent="0.2">
      <c r="A1139" s="198"/>
      <c r="B1139" s="198"/>
    </row>
    <row r="1140" spans="1:2" x14ac:dyDescent="0.2">
      <c r="A1140" s="198"/>
      <c r="B1140" s="198"/>
    </row>
    <row r="1141" spans="1:2" x14ac:dyDescent="0.2">
      <c r="A1141" s="198"/>
      <c r="B1141" s="198"/>
    </row>
    <row r="1142" spans="1:2" x14ac:dyDescent="0.2">
      <c r="A1142" s="198"/>
      <c r="B1142" s="198"/>
    </row>
    <row r="1143" spans="1:2" x14ac:dyDescent="0.2">
      <c r="A1143" s="198"/>
      <c r="B1143" s="198"/>
    </row>
    <row r="1144" spans="1:2" x14ac:dyDescent="0.2">
      <c r="A1144" s="198"/>
      <c r="B1144" s="198"/>
    </row>
    <row r="1145" spans="1:2" x14ac:dyDescent="0.2">
      <c r="A1145" s="198"/>
      <c r="B1145" s="198"/>
    </row>
    <row r="1146" spans="1:2" x14ac:dyDescent="0.2">
      <c r="A1146" s="198"/>
      <c r="B1146" s="198"/>
    </row>
    <row r="1147" spans="1:2" x14ac:dyDescent="0.2">
      <c r="A1147" s="198"/>
      <c r="B1147" s="198"/>
    </row>
    <row r="1148" spans="1:2" x14ac:dyDescent="0.2">
      <c r="A1148" s="198"/>
      <c r="B1148" s="198"/>
    </row>
    <row r="1149" spans="1:2" x14ac:dyDescent="0.2">
      <c r="A1149" s="198"/>
      <c r="B1149" s="198"/>
    </row>
    <row r="1150" spans="1:2" x14ac:dyDescent="0.2">
      <c r="A1150" s="198"/>
      <c r="B1150" s="198"/>
    </row>
    <row r="1151" spans="1:2" x14ac:dyDescent="0.2">
      <c r="A1151" s="198"/>
      <c r="B1151" s="198"/>
    </row>
    <row r="1152" spans="1:2" x14ac:dyDescent="0.2">
      <c r="A1152" s="198"/>
      <c r="B1152" s="198"/>
    </row>
    <row r="1153" spans="1:2" x14ac:dyDescent="0.2">
      <c r="A1153" s="198"/>
      <c r="B1153" s="198"/>
    </row>
    <row r="1154" spans="1:2" x14ac:dyDescent="0.2">
      <c r="A1154" s="198"/>
      <c r="B1154" s="198"/>
    </row>
    <row r="1155" spans="1:2" x14ac:dyDescent="0.2">
      <c r="A1155" s="198"/>
      <c r="B1155" s="198"/>
    </row>
    <row r="1156" spans="1:2" x14ac:dyDescent="0.2">
      <c r="A1156" s="198"/>
      <c r="B1156" s="198"/>
    </row>
    <row r="1157" spans="1:2" x14ac:dyDescent="0.2">
      <c r="A1157" s="198"/>
      <c r="B1157" s="198"/>
    </row>
    <row r="1158" spans="1:2" x14ac:dyDescent="0.2">
      <c r="A1158" s="198"/>
      <c r="B1158" s="198"/>
    </row>
    <row r="1159" spans="1:2" x14ac:dyDescent="0.2">
      <c r="A1159" s="198"/>
      <c r="B1159" s="198"/>
    </row>
    <row r="1160" spans="1:2" x14ac:dyDescent="0.2">
      <c r="A1160" s="198"/>
      <c r="B1160" s="198"/>
    </row>
    <row r="1161" spans="1:2" x14ac:dyDescent="0.2">
      <c r="A1161" s="198"/>
      <c r="B1161" s="198"/>
    </row>
    <row r="1162" spans="1:2" x14ac:dyDescent="0.2">
      <c r="A1162" s="198"/>
      <c r="B1162" s="198"/>
    </row>
    <row r="1163" spans="1:2" x14ac:dyDescent="0.2">
      <c r="A1163" s="198"/>
      <c r="B1163" s="198"/>
    </row>
    <row r="1164" spans="1:2" x14ac:dyDescent="0.2">
      <c r="A1164" s="198"/>
      <c r="B1164" s="198"/>
    </row>
    <row r="1165" spans="1:2" x14ac:dyDescent="0.2">
      <c r="A1165" s="198"/>
      <c r="B1165" s="198"/>
    </row>
    <row r="1166" spans="1:2" x14ac:dyDescent="0.2">
      <c r="A1166" s="198"/>
      <c r="B1166" s="198"/>
    </row>
    <row r="1167" spans="1:2" x14ac:dyDescent="0.2">
      <c r="A1167" s="198"/>
      <c r="B1167" s="198"/>
    </row>
    <row r="1168" spans="1:2" x14ac:dyDescent="0.2">
      <c r="A1168" s="198"/>
      <c r="B1168" s="198"/>
    </row>
    <row r="1169" spans="1:2" x14ac:dyDescent="0.2">
      <c r="A1169" s="198"/>
      <c r="B1169" s="198"/>
    </row>
    <row r="1170" spans="1:2" x14ac:dyDescent="0.2">
      <c r="A1170" s="198"/>
      <c r="B1170" s="198"/>
    </row>
    <row r="1171" spans="1:2" x14ac:dyDescent="0.2">
      <c r="A1171" s="198"/>
      <c r="B1171" s="198"/>
    </row>
    <row r="1172" spans="1:2" x14ac:dyDescent="0.2">
      <c r="A1172" s="198"/>
      <c r="B1172" s="198"/>
    </row>
    <row r="1173" spans="1:2" x14ac:dyDescent="0.2">
      <c r="A1173" s="198"/>
      <c r="B1173" s="198"/>
    </row>
    <row r="1174" spans="1:2" x14ac:dyDescent="0.2">
      <c r="A1174" s="198"/>
      <c r="B1174" s="198"/>
    </row>
    <row r="1175" spans="1:2" x14ac:dyDescent="0.2">
      <c r="A1175" s="198"/>
      <c r="B1175" s="198"/>
    </row>
    <row r="1176" spans="1:2" x14ac:dyDescent="0.2">
      <c r="A1176" s="198"/>
      <c r="B1176" s="198"/>
    </row>
    <row r="1177" spans="1:2" x14ac:dyDescent="0.2">
      <c r="A1177" s="198"/>
      <c r="B1177" s="198"/>
    </row>
    <row r="1178" spans="1:2" x14ac:dyDescent="0.2">
      <c r="A1178" s="198"/>
      <c r="B1178" s="198"/>
    </row>
    <row r="1179" spans="1:2" x14ac:dyDescent="0.2">
      <c r="A1179" s="198"/>
      <c r="B1179" s="198"/>
    </row>
    <row r="1180" spans="1:2" x14ac:dyDescent="0.2">
      <c r="A1180" s="198"/>
      <c r="B1180" s="198"/>
    </row>
    <row r="1181" spans="1:2" x14ac:dyDescent="0.2">
      <c r="A1181" s="198"/>
      <c r="B1181" s="198"/>
    </row>
    <row r="1182" spans="1:2" x14ac:dyDescent="0.2">
      <c r="A1182" s="198"/>
      <c r="B1182" s="198"/>
    </row>
    <row r="1183" spans="1:2" x14ac:dyDescent="0.2">
      <c r="A1183" s="198"/>
      <c r="B1183" s="198"/>
    </row>
    <row r="1184" spans="1:2" x14ac:dyDescent="0.2">
      <c r="A1184" s="198"/>
      <c r="B1184" s="198"/>
    </row>
    <row r="1185" spans="1:2" x14ac:dyDescent="0.2">
      <c r="A1185" s="198"/>
      <c r="B1185" s="198"/>
    </row>
    <row r="1186" spans="1:2" x14ac:dyDescent="0.2">
      <c r="A1186" s="198"/>
      <c r="B1186" s="198"/>
    </row>
    <row r="1187" spans="1:2" x14ac:dyDescent="0.2">
      <c r="A1187" s="198"/>
      <c r="B1187" s="198"/>
    </row>
    <row r="1188" spans="1:2" x14ac:dyDescent="0.2">
      <c r="A1188" s="198"/>
      <c r="B1188" s="198"/>
    </row>
    <row r="1189" spans="1:2" x14ac:dyDescent="0.2">
      <c r="A1189" s="198"/>
      <c r="B1189" s="198"/>
    </row>
    <row r="1190" spans="1:2" x14ac:dyDescent="0.2">
      <c r="A1190" s="198"/>
      <c r="B1190" s="198"/>
    </row>
    <row r="1191" spans="1:2" x14ac:dyDescent="0.2">
      <c r="A1191" s="198"/>
      <c r="B1191" s="198"/>
    </row>
    <row r="1192" spans="1:2" x14ac:dyDescent="0.2">
      <c r="A1192" s="198"/>
      <c r="B1192" s="198"/>
    </row>
    <row r="1193" spans="1:2" x14ac:dyDescent="0.2">
      <c r="A1193" s="198"/>
      <c r="B1193" s="198"/>
    </row>
    <row r="1194" spans="1:2" x14ac:dyDescent="0.2">
      <c r="A1194" s="198"/>
      <c r="B1194" s="198"/>
    </row>
    <row r="1195" spans="1:2" x14ac:dyDescent="0.2">
      <c r="A1195" s="198"/>
      <c r="B1195" s="198"/>
    </row>
    <row r="1196" spans="1:2" x14ac:dyDescent="0.2">
      <c r="A1196" s="198"/>
      <c r="B1196" s="198"/>
    </row>
    <row r="1197" spans="1:2" x14ac:dyDescent="0.2">
      <c r="A1197" s="198"/>
      <c r="B1197" s="198"/>
    </row>
    <row r="1198" spans="1:2" x14ac:dyDescent="0.2">
      <c r="A1198" s="198"/>
      <c r="B1198" s="198"/>
    </row>
    <row r="1199" spans="1:2" x14ac:dyDescent="0.2">
      <c r="A1199" s="198"/>
      <c r="B1199" s="198"/>
    </row>
    <row r="1200" spans="1:2" x14ac:dyDescent="0.2">
      <c r="A1200" s="198"/>
      <c r="B1200" s="198"/>
    </row>
    <row r="1201" spans="1:2" x14ac:dyDescent="0.2">
      <c r="A1201" s="198"/>
      <c r="B1201" s="198"/>
    </row>
    <row r="1202" spans="1:2" x14ac:dyDescent="0.2">
      <c r="A1202" s="198"/>
      <c r="B1202" s="198"/>
    </row>
    <row r="1203" spans="1:2" x14ac:dyDescent="0.2">
      <c r="A1203" s="198"/>
      <c r="B1203" s="198"/>
    </row>
    <row r="1204" spans="1:2" x14ac:dyDescent="0.2">
      <c r="A1204" s="198"/>
      <c r="B1204" s="198"/>
    </row>
    <row r="1205" spans="1:2" x14ac:dyDescent="0.2">
      <c r="A1205" s="198"/>
      <c r="B1205" s="198"/>
    </row>
    <row r="1206" spans="1:2" x14ac:dyDescent="0.2">
      <c r="A1206" s="198"/>
      <c r="B1206" s="198"/>
    </row>
    <row r="1207" spans="1:2" x14ac:dyDescent="0.2">
      <c r="A1207" s="198"/>
      <c r="B1207" s="198"/>
    </row>
    <row r="1208" spans="1:2" x14ac:dyDescent="0.2">
      <c r="A1208" s="198"/>
      <c r="B1208" s="198"/>
    </row>
    <row r="1209" spans="1:2" x14ac:dyDescent="0.2">
      <c r="A1209" s="198"/>
      <c r="B1209" s="198"/>
    </row>
    <row r="1210" spans="1:2" x14ac:dyDescent="0.2">
      <c r="A1210" s="198"/>
      <c r="B1210" s="198"/>
    </row>
    <row r="1211" spans="1:2" x14ac:dyDescent="0.2">
      <c r="A1211" s="198"/>
      <c r="B1211" s="198"/>
    </row>
    <row r="1212" spans="1:2" x14ac:dyDescent="0.2">
      <c r="A1212" s="198"/>
      <c r="B1212" s="198"/>
    </row>
    <row r="1213" spans="1:2" x14ac:dyDescent="0.2">
      <c r="A1213" s="198"/>
      <c r="B1213" s="198"/>
    </row>
    <row r="1214" spans="1:2" x14ac:dyDescent="0.2">
      <c r="A1214" s="198"/>
      <c r="B1214" s="198"/>
    </row>
    <row r="1215" spans="1:2" x14ac:dyDescent="0.2">
      <c r="A1215" s="198"/>
      <c r="B1215" s="198"/>
    </row>
    <row r="1216" spans="1:2" x14ac:dyDescent="0.2">
      <c r="A1216" s="198"/>
      <c r="B1216" s="198"/>
    </row>
    <row r="1217" spans="1:2" x14ac:dyDescent="0.2">
      <c r="A1217" s="198"/>
      <c r="B1217" s="198"/>
    </row>
    <row r="1218" spans="1:2" x14ac:dyDescent="0.2">
      <c r="A1218" s="198"/>
      <c r="B1218" s="198"/>
    </row>
    <row r="1219" spans="1:2" x14ac:dyDescent="0.2">
      <c r="A1219" s="198"/>
      <c r="B1219" s="198"/>
    </row>
    <row r="1220" spans="1:2" x14ac:dyDescent="0.2">
      <c r="A1220" s="198"/>
      <c r="B1220" s="198"/>
    </row>
    <row r="1221" spans="1:2" x14ac:dyDescent="0.2">
      <c r="A1221" s="198"/>
      <c r="B1221" s="198"/>
    </row>
    <row r="1222" spans="1:2" x14ac:dyDescent="0.2">
      <c r="A1222" s="198"/>
      <c r="B1222" s="198"/>
    </row>
    <row r="1223" spans="1:2" x14ac:dyDescent="0.2">
      <c r="A1223" s="198"/>
      <c r="B1223" s="198"/>
    </row>
    <row r="1224" spans="1:2" x14ac:dyDescent="0.2">
      <c r="A1224" s="198"/>
      <c r="B1224" s="198"/>
    </row>
    <row r="1225" spans="1:2" x14ac:dyDescent="0.2">
      <c r="A1225" s="198"/>
      <c r="B1225" s="198"/>
    </row>
    <row r="1226" spans="1:2" x14ac:dyDescent="0.2">
      <c r="A1226" s="198"/>
      <c r="B1226" s="198"/>
    </row>
    <row r="1227" spans="1:2" x14ac:dyDescent="0.2">
      <c r="A1227" s="198"/>
      <c r="B1227" s="198"/>
    </row>
    <row r="1228" spans="1:2" x14ac:dyDescent="0.2">
      <c r="A1228" s="198"/>
      <c r="B1228" s="198"/>
    </row>
    <row r="1229" spans="1:2" x14ac:dyDescent="0.2">
      <c r="A1229" s="198"/>
      <c r="B1229" s="198"/>
    </row>
    <row r="1230" spans="1:2" x14ac:dyDescent="0.2">
      <c r="A1230" s="198"/>
      <c r="B1230" s="198"/>
    </row>
    <row r="1231" spans="1:2" x14ac:dyDescent="0.2">
      <c r="A1231" s="198"/>
      <c r="B1231" s="198"/>
    </row>
    <row r="1232" spans="1:2" x14ac:dyDescent="0.2">
      <c r="A1232" s="198"/>
      <c r="B1232" s="198"/>
    </row>
    <row r="1233" spans="1:2" x14ac:dyDescent="0.2">
      <c r="A1233" s="198"/>
      <c r="B1233" s="198"/>
    </row>
    <row r="1234" spans="1:2" x14ac:dyDescent="0.2">
      <c r="A1234" s="198"/>
      <c r="B1234" s="198"/>
    </row>
    <row r="1235" spans="1:2" x14ac:dyDescent="0.2">
      <c r="A1235" s="198"/>
      <c r="B1235" s="198"/>
    </row>
    <row r="1236" spans="1:2" x14ac:dyDescent="0.2">
      <c r="A1236" s="198"/>
      <c r="B1236" s="198"/>
    </row>
    <row r="1237" spans="1:2" x14ac:dyDescent="0.2">
      <c r="A1237" s="198"/>
      <c r="B1237" s="198"/>
    </row>
    <row r="1238" spans="1:2" x14ac:dyDescent="0.2">
      <c r="A1238" s="198"/>
      <c r="B1238" s="198"/>
    </row>
    <row r="1239" spans="1:2" x14ac:dyDescent="0.2">
      <c r="A1239" s="198"/>
      <c r="B1239" s="198"/>
    </row>
    <row r="1240" spans="1:2" x14ac:dyDescent="0.2">
      <c r="A1240" s="198"/>
      <c r="B1240" s="198"/>
    </row>
    <row r="1241" spans="1:2" x14ac:dyDescent="0.2">
      <c r="A1241" s="198"/>
      <c r="B1241" s="198"/>
    </row>
    <row r="1242" spans="1:2" x14ac:dyDescent="0.2">
      <c r="A1242" s="198"/>
      <c r="B1242" s="198"/>
    </row>
    <row r="1243" spans="1:2" x14ac:dyDescent="0.2">
      <c r="A1243" s="198"/>
      <c r="B1243" s="198"/>
    </row>
    <row r="1244" spans="1:2" x14ac:dyDescent="0.2">
      <c r="A1244" s="198"/>
      <c r="B1244" s="198"/>
    </row>
    <row r="1245" spans="1:2" x14ac:dyDescent="0.2">
      <c r="A1245" s="198"/>
      <c r="B1245" s="198"/>
    </row>
    <row r="1246" spans="1:2" x14ac:dyDescent="0.2">
      <c r="A1246" s="198"/>
      <c r="B1246" s="198"/>
    </row>
    <row r="1247" spans="1:2" x14ac:dyDescent="0.2">
      <c r="A1247" s="198"/>
      <c r="B1247" s="198"/>
    </row>
    <row r="1248" spans="1:2" x14ac:dyDescent="0.2">
      <c r="A1248" s="198"/>
      <c r="B1248" s="198"/>
    </row>
    <row r="1249" spans="1:2" x14ac:dyDescent="0.2">
      <c r="A1249" s="198"/>
      <c r="B1249" s="198"/>
    </row>
    <row r="1250" spans="1:2" x14ac:dyDescent="0.2">
      <c r="A1250" s="198"/>
      <c r="B1250" s="198"/>
    </row>
    <row r="1251" spans="1:2" x14ac:dyDescent="0.2">
      <c r="A1251" s="198"/>
      <c r="B1251" s="198"/>
    </row>
    <row r="1252" spans="1:2" x14ac:dyDescent="0.2">
      <c r="A1252" s="198"/>
      <c r="B1252" s="198"/>
    </row>
    <row r="1253" spans="1:2" x14ac:dyDescent="0.2">
      <c r="A1253" s="198"/>
      <c r="B1253" s="198"/>
    </row>
    <row r="1254" spans="1:2" x14ac:dyDescent="0.2">
      <c r="A1254" s="198"/>
      <c r="B1254" s="198"/>
    </row>
    <row r="1255" spans="1:2" x14ac:dyDescent="0.2">
      <c r="A1255" s="198"/>
      <c r="B1255" s="198"/>
    </row>
    <row r="1256" spans="1:2" x14ac:dyDescent="0.2">
      <c r="A1256" s="198"/>
      <c r="B1256" s="198"/>
    </row>
    <row r="1257" spans="1:2" x14ac:dyDescent="0.2">
      <c r="A1257" s="198"/>
      <c r="B1257" s="198"/>
    </row>
    <row r="1258" spans="1:2" x14ac:dyDescent="0.2">
      <c r="A1258" s="198"/>
      <c r="B1258" s="198"/>
    </row>
    <row r="1259" spans="1:2" x14ac:dyDescent="0.2">
      <c r="A1259" s="198"/>
      <c r="B1259" s="198"/>
    </row>
    <row r="1260" spans="1:2" x14ac:dyDescent="0.2">
      <c r="A1260" s="198"/>
      <c r="B1260" s="198"/>
    </row>
    <row r="1261" spans="1:2" x14ac:dyDescent="0.2">
      <c r="A1261" s="198"/>
      <c r="B1261" s="198"/>
    </row>
    <row r="1262" spans="1:2" x14ac:dyDescent="0.2">
      <c r="A1262" s="198"/>
      <c r="B1262" s="198"/>
    </row>
    <row r="1263" spans="1:2" x14ac:dyDescent="0.2">
      <c r="A1263" s="198"/>
      <c r="B1263" s="198"/>
    </row>
    <row r="1264" spans="1:2" x14ac:dyDescent="0.2">
      <c r="A1264" s="198"/>
      <c r="B1264" s="198"/>
    </row>
    <row r="1265" spans="1:2" x14ac:dyDescent="0.2">
      <c r="A1265" s="198"/>
      <c r="B1265" s="198"/>
    </row>
    <row r="1266" spans="1:2" x14ac:dyDescent="0.2">
      <c r="A1266" s="198"/>
      <c r="B1266" s="198"/>
    </row>
    <row r="1267" spans="1:2" x14ac:dyDescent="0.2">
      <c r="A1267" s="198"/>
      <c r="B1267" s="198"/>
    </row>
    <row r="1268" spans="1:2" x14ac:dyDescent="0.2">
      <c r="A1268" s="198"/>
      <c r="B1268" s="198"/>
    </row>
    <row r="1269" spans="1:2" x14ac:dyDescent="0.2">
      <c r="A1269" s="198"/>
      <c r="B1269" s="198"/>
    </row>
    <row r="1270" spans="1:2" x14ac:dyDescent="0.2">
      <c r="A1270" s="198"/>
      <c r="B1270" s="198"/>
    </row>
    <row r="1271" spans="1:2" x14ac:dyDescent="0.2">
      <c r="A1271" s="198"/>
      <c r="B1271" s="198"/>
    </row>
    <row r="1272" spans="1:2" x14ac:dyDescent="0.2">
      <c r="A1272" s="198"/>
      <c r="B1272" s="198"/>
    </row>
    <row r="1273" spans="1:2" x14ac:dyDescent="0.2">
      <c r="A1273" s="198"/>
      <c r="B1273" s="198"/>
    </row>
    <row r="1274" spans="1:2" x14ac:dyDescent="0.2">
      <c r="A1274" s="198"/>
      <c r="B1274" s="198"/>
    </row>
    <row r="1275" spans="1:2" x14ac:dyDescent="0.2">
      <c r="A1275" s="198"/>
      <c r="B1275" s="198"/>
    </row>
    <row r="1276" spans="1:2" x14ac:dyDescent="0.2">
      <c r="A1276" s="198"/>
      <c r="B1276" s="198"/>
    </row>
    <row r="1277" spans="1:2" x14ac:dyDescent="0.2">
      <c r="A1277" s="198"/>
      <c r="B1277" s="198"/>
    </row>
    <row r="1278" spans="1:2" x14ac:dyDescent="0.2">
      <c r="A1278" s="198"/>
      <c r="B1278" s="198"/>
    </row>
    <row r="1279" spans="1:2" x14ac:dyDescent="0.2">
      <c r="A1279" s="198"/>
      <c r="B1279" s="198"/>
    </row>
    <row r="1280" spans="1:2" x14ac:dyDescent="0.2">
      <c r="A1280" s="198"/>
      <c r="B1280" s="198"/>
    </row>
    <row r="1281" spans="1:2" x14ac:dyDescent="0.2">
      <c r="A1281" s="198"/>
      <c r="B1281" s="198"/>
    </row>
    <row r="1282" spans="1:2" x14ac:dyDescent="0.2">
      <c r="A1282" s="198"/>
      <c r="B1282" s="198"/>
    </row>
    <row r="1283" spans="1:2" x14ac:dyDescent="0.2">
      <c r="A1283" s="198"/>
      <c r="B1283" s="198"/>
    </row>
    <row r="1284" spans="1:2" x14ac:dyDescent="0.2">
      <c r="A1284" s="198"/>
      <c r="B1284" s="198"/>
    </row>
    <row r="1285" spans="1:2" x14ac:dyDescent="0.2">
      <c r="A1285" s="198"/>
      <c r="B1285" s="198"/>
    </row>
    <row r="1286" spans="1:2" x14ac:dyDescent="0.2">
      <c r="A1286" s="198"/>
      <c r="B1286" s="198"/>
    </row>
    <row r="1287" spans="1:2" x14ac:dyDescent="0.2">
      <c r="A1287" s="198"/>
      <c r="B1287" s="198"/>
    </row>
    <row r="1288" spans="1:2" x14ac:dyDescent="0.2">
      <c r="A1288" s="198"/>
      <c r="B1288" s="198"/>
    </row>
    <row r="1289" spans="1:2" x14ac:dyDescent="0.2">
      <c r="A1289" s="198"/>
      <c r="B1289" s="198"/>
    </row>
    <row r="1290" spans="1:2" x14ac:dyDescent="0.2">
      <c r="A1290" s="198"/>
      <c r="B1290" s="198"/>
    </row>
    <row r="1291" spans="1:2" x14ac:dyDescent="0.2">
      <c r="A1291" s="198"/>
      <c r="B1291" s="198"/>
    </row>
    <row r="1292" spans="1:2" x14ac:dyDescent="0.2">
      <c r="A1292" s="198"/>
      <c r="B1292" s="198"/>
    </row>
    <row r="1293" spans="1:2" x14ac:dyDescent="0.2">
      <c r="A1293" s="198"/>
      <c r="B1293" s="198"/>
    </row>
    <row r="1294" spans="1:2" x14ac:dyDescent="0.2">
      <c r="A1294" s="198"/>
      <c r="B1294" s="198"/>
    </row>
    <row r="1295" spans="1:2" x14ac:dyDescent="0.2">
      <c r="A1295" s="198"/>
      <c r="B1295" s="198"/>
    </row>
    <row r="1296" spans="1:2" x14ac:dyDescent="0.2">
      <c r="A1296" s="198"/>
      <c r="B1296" s="198"/>
    </row>
    <row r="1297" spans="1:2" x14ac:dyDescent="0.2">
      <c r="A1297" s="198"/>
      <c r="B1297" s="198"/>
    </row>
    <row r="1298" spans="1:2" x14ac:dyDescent="0.2">
      <c r="A1298" s="198"/>
      <c r="B1298" s="198"/>
    </row>
    <row r="1299" spans="1:2" x14ac:dyDescent="0.2">
      <c r="A1299" s="198"/>
      <c r="B1299" s="198"/>
    </row>
    <row r="1300" spans="1:2" x14ac:dyDescent="0.2">
      <c r="A1300" s="198"/>
      <c r="B1300" s="198"/>
    </row>
    <row r="1301" spans="1:2" x14ac:dyDescent="0.2">
      <c r="A1301" s="198"/>
      <c r="B1301" s="198"/>
    </row>
    <row r="1302" spans="1:2" x14ac:dyDescent="0.2">
      <c r="A1302" s="198"/>
      <c r="B1302" s="198"/>
    </row>
    <row r="1303" spans="1:2" x14ac:dyDescent="0.2">
      <c r="A1303" s="198"/>
      <c r="B1303" s="198"/>
    </row>
    <row r="1304" spans="1:2" x14ac:dyDescent="0.2">
      <c r="A1304" s="198"/>
      <c r="B1304" s="198"/>
    </row>
    <row r="1305" spans="1:2" x14ac:dyDescent="0.2">
      <c r="A1305" s="198"/>
      <c r="B1305" s="198"/>
    </row>
    <row r="1306" spans="1:2" x14ac:dyDescent="0.2">
      <c r="A1306" s="198"/>
      <c r="B1306" s="198"/>
    </row>
    <row r="1307" spans="1:2" x14ac:dyDescent="0.2">
      <c r="A1307" s="198"/>
      <c r="B1307" s="198"/>
    </row>
    <row r="1308" spans="1:2" x14ac:dyDescent="0.2">
      <c r="A1308" s="198"/>
      <c r="B1308" s="198"/>
    </row>
    <row r="1309" spans="1:2" x14ac:dyDescent="0.2">
      <c r="A1309" s="198"/>
      <c r="B1309" s="198"/>
    </row>
    <row r="1310" spans="1:2" x14ac:dyDescent="0.2">
      <c r="A1310" s="198"/>
      <c r="B1310" s="198"/>
    </row>
    <row r="1311" spans="1:2" x14ac:dyDescent="0.2">
      <c r="A1311" s="198"/>
      <c r="B1311" s="198"/>
    </row>
    <row r="1312" spans="1:2" x14ac:dyDescent="0.2">
      <c r="A1312" s="198"/>
      <c r="B1312" s="198"/>
    </row>
    <row r="1313" spans="1:2" x14ac:dyDescent="0.2">
      <c r="A1313" s="198"/>
      <c r="B1313" s="198"/>
    </row>
    <row r="1314" spans="1:2" x14ac:dyDescent="0.2">
      <c r="A1314" s="198"/>
      <c r="B1314" s="198"/>
    </row>
    <row r="1315" spans="1:2" x14ac:dyDescent="0.2">
      <c r="A1315" s="198"/>
      <c r="B1315" s="198"/>
    </row>
    <row r="1316" spans="1:2" x14ac:dyDescent="0.2">
      <c r="A1316" s="198"/>
      <c r="B1316" s="198"/>
    </row>
    <row r="1317" spans="1:2" x14ac:dyDescent="0.2">
      <c r="A1317" s="198"/>
      <c r="B1317" s="198"/>
    </row>
    <row r="1318" spans="1:2" x14ac:dyDescent="0.2">
      <c r="A1318" s="198"/>
      <c r="B1318" s="198"/>
    </row>
    <row r="1319" spans="1:2" x14ac:dyDescent="0.2">
      <c r="A1319" s="198"/>
      <c r="B1319" s="198"/>
    </row>
    <row r="1320" spans="1:2" x14ac:dyDescent="0.2">
      <c r="A1320" s="198"/>
      <c r="B1320" s="198"/>
    </row>
    <row r="1321" spans="1:2" x14ac:dyDescent="0.2">
      <c r="A1321" s="198"/>
      <c r="B1321" s="198"/>
    </row>
    <row r="1322" spans="1:2" x14ac:dyDescent="0.2">
      <c r="A1322" s="198"/>
      <c r="B1322" s="198"/>
    </row>
    <row r="1323" spans="1:2" x14ac:dyDescent="0.2">
      <c r="A1323" s="198"/>
      <c r="B1323" s="198"/>
    </row>
    <row r="1324" spans="1:2" x14ac:dyDescent="0.2">
      <c r="A1324" s="198"/>
      <c r="B1324" s="198"/>
    </row>
    <row r="1325" spans="1:2" x14ac:dyDescent="0.2">
      <c r="A1325" s="198"/>
      <c r="B1325" s="198"/>
    </row>
    <row r="1326" spans="1:2" x14ac:dyDescent="0.2">
      <c r="A1326" s="198"/>
      <c r="B1326" s="198"/>
    </row>
    <row r="1327" spans="1:2" x14ac:dyDescent="0.2">
      <c r="A1327" s="198"/>
      <c r="B1327" s="198"/>
    </row>
    <row r="1328" spans="1:2" x14ac:dyDescent="0.2">
      <c r="A1328" s="198"/>
      <c r="B1328" s="198"/>
    </row>
    <row r="1329" spans="1:2" x14ac:dyDescent="0.2">
      <c r="A1329" s="198"/>
      <c r="B1329" s="198"/>
    </row>
    <row r="1330" spans="1:2" x14ac:dyDescent="0.2">
      <c r="A1330" s="198"/>
      <c r="B1330" s="198"/>
    </row>
    <row r="1331" spans="1:2" x14ac:dyDescent="0.2">
      <c r="A1331" s="198"/>
      <c r="B1331" s="198"/>
    </row>
    <row r="1332" spans="1:2" x14ac:dyDescent="0.2">
      <c r="A1332" s="198"/>
      <c r="B1332" s="198"/>
    </row>
    <row r="1333" spans="1:2" x14ac:dyDescent="0.2">
      <c r="A1333" s="198"/>
      <c r="B1333" s="198"/>
    </row>
    <row r="1334" spans="1:2" x14ac:dyDescent="0.2">
      <c r="A1334" s="198"/>
      <c r="B1334" s="198"/>
    </row>
    <row r="1335" spans="1:2" x14ac:dyDescent="0.2">
      <c r="A1335" s="198"/>
      <c r="B1335" s="198"/>
    </row>
    <row r="1336" spans="1:2" x14ac:dyDescent="0.2">
      <c r="A1336" s="198"/>
      <c r="B1336" s="198"/>
    </row>
    <row r="1337" spans="1:2" x14ac:dyDescent="0.2">
      <c r="A1337" s="198"/>
      <c r="B1337" s="198"/>
    </row>
    <row r="1338" spans="1:2" x14ac:dyDescent="0.2">
      <c r="A1338" s="198"/>
      <c r="B1338" s="198"/>
    </row>
    <row r="1339" spans="1:2" x14ac:dyDescent="0.2">
      <c r="A1339" s="198"/>
      <c r="B1339" s="198"/>
    </row>
    <row r="1340" spans="1:2" x14ac:dyDescent="0.2">
      <c r="A1340" s="198"/>
      <c r="B1340" s="198"/>
    </row>
    <row r="1341" spans="1:2" x14ac:dyDescent="0.2">
      <c r="A1341" s="198"/>
      <c r="B1341" s="198"/>
    </row>
    <row r="1342" spans="1:2" x14ac:dyDescent="0.2">
      <c r="A1342" s="198"/>
      <c r="B1342" s="198"/>
    </row>
    <row r="1343" spans="1:2" x14ac:dyDescent="0.2">
      <c r="A1343" s="198"/>
      <c r="B1343" s="198"/>
    </row>
    <row r="1344" spans="1:2" x14ac:dyDescent="0.2">
      <c r="A1344" s="198"/>
      <c r="B1344" s="198"/>
    </row>
    <row r="1345" spans="1:2" x14ac:dyDescent="0.2">
      <c r="A1345" s="198"/>
      <c r="B1345" s="198"/>
    </row>
    <row r="1346" spans="1:2" x14ac:dyDescent="0.2">
      <c r="A1346" s="198"/>
      <c r="B1346" s="198"/>
    </row>
    <row r="1347" spans="1:2" x14ac:dyDescent="0.2">
      <c r="A1347" s="198"/>
      <c r="B1347" s="198"/>
    </row>
    <row r="1348" spans="1:2" x14ac:dyDescent="0.2">
      <c r="A1348" s="198"/>
      <c r="B1348" s="198"/>
    </row>
    <row r="1349" spans="1:2" x14ac:dyDescent="0.2">
      <c r="A1349" s="198"/>
      <c r="B1349" s="198"/>
    </row>
    <row r="1350" spans="1:2" x14ac:dyDescent="0.2">
      <c r="A1350" s="198"/>
      <c r="B1350" s="198"/>
    </row>
    <row r="1351" spans="1:2" x14ac:dyDescent="0.2">
      <c r="A1351" s="198"/>
      <c r="B1351" s="198"/>
    </row>
    <row r="1352" spans="1:2" x14ac:dyDescent="0.2">
      <c r="A1352" s="198"/>
      <c r="B1352" s="198"/>
    </row>
    <row r="1353" spans="1:2" x14ac:dyDescent="0.2">
      <c r="A1353" s="198"/>
      <c r="B1353" s="198"/>
    </row>
    <row r="1354" spans="1:2" x14ac:dyDescent="0.2">
      <c r="A1354" s="198"/>
      <c r="B1354" s="198"/>
    </row>
    <row r="1355" spans="1:2" x14ac:dyDescent="0.2">
      <c r="A1355" s="198"/>
      <c r="B1355" s="198"/>
    </row>
    <row r="1356" spans="1:2" x14ac:dyDescent="0.2">
      <c r="A1356" s="198"/>
      <c r="B1356" s="198"/>
    </row>
    <row r="1357" spans="1:2" x14ac:dyDescent="0.2">
      <c r="A1357" s="198"/>
      <c r="B1357" s="198"/>
    </row>
    <row r="1358" spans="1:2" x14ac:dyDescent="0.2">
      <c r="A1358" s="198"/>
      <c r="B1358" s="198"/>
    </row>
    <row r="1359" spans="1:2" x14ac:dyDescent="0.2">
      <c r="A1359" s="198"/>
      <c r="B1359" s="198"/>
    </row>
    <row r="1360" spans="1:2" x14ac:dyDescent="0.2">
      <c r="A1360" s="198"/>
      <c r="B1360" s="198"/>
    </row>
    <row r="1361" spans="1:2" x14ac:dyDescent="0.2">
      <c r="A1361" s="198"/>
      <c r="B1361" s="198"/>
    </row>
    <row r="1362" spans="1:2" x14ac:dyDescent="0.2">
      <c r="A1362" s="198"/>
      <c r="B1362" s="198"/>
    </row>
    <row r="1363" spans="1:2" x14ac:dyDescent="0.2">
      <c r="A1363" s="198"/>
      <c r="B1363" s="198"/>
    </row>
    <row r="1364" spans="1:2" x14ac:dyDescent="0.2">
      <c r="A1364" s="198"/>
      <c r="B1364" s="198"/>
    </row>
    <row r="1365" spans="1:2" x14ac:dyDescent="0.2">
      <c r="A1365" s="198"/>
      <c r="B1365" s="198"/>
    </row>
    <row r="1366" spans="1:2" x14ac:dyDescent="0.2">
      <c r="A1366" s="198"/>
      <c r="B1366" s="198"/>
    </row>
    <row r="1367" spans="1:2" x14ac:dyDescent="0.2">
      <c r="A1367" s="198"/>
      <c r="B1367" s="198"/>
    </row>
    <row r="1368" spans="1:2" x14ac:dyDescent="0.2">
      <c r="A1368" s="198"/>
      <c r="B1368" s="198"/>
    </row>
    <row r="1369" spans="1:2" x14ac:dyDescent="0.2">
      <c r="A1369" s="198"/>
      <c r="B1369" s="198"/>
    </row>
    <row r="1370" spans="1:2" x14ac:dyDescent="0.2">
      <c r="A1370" s="198"/>
      <c r="B1370" s="198"/>
    </row>
    <row r="1371" spans="1:2" x14ac:dyDescent="0.2">
      <c r="A1371" s="198"/>
      <c r="B1371" s="198"/>
    </row>
    <row r="1372" spans="1:2" x14ac:dyDescent="0.2">
      <c r="A1372" s="198"/>
      <c r="B1372" s="198"/>
    </row>
    <row r="1373" spans="1:2" x14ac:dyDescent="0.2">
      <c r="A1373" s="198"/>
      <c r="B1373" s="198"/>
    </row>
    <row r="1374" spans="1:2" x14ac:dyDescent="0.2">
      <c r="A1374" s="198"/>
      <c r="B1374" s="198"/>
    </row>
    <row r="1375" spans="1:2" x14ac:dyDescent="0.2">
      <c r="A1375" s="198"/>
      <c r="B1375" s="198"/>
    </row>
    <row r="1376" spans="1:2" x14ac:dyDescent="0.2">
      <c r="A1376" s="198"/>
      <c r="B1376" s="198"/>
    </row>
    <row r="1377" spans="1:2" x14ac:dyDescent="0.2">
      <c r="A1377" s="198"/>
      <c r="B1377" s="198"/>
    </row>
    <row r="1378" spans="1:2" x14ac:dyDescent="0.2">
      <c r="A1378" s="198"/>
      <c r="B1378" s="198"/>
    </row>
    <row r="1379" spans="1:2" x14ac:dyDescent="0.2">
      <c r="A1379" s="198"/>
      <c r="B1379" s="198"/>
    </row>
    <row r="1380" spans="1:2" x14ac:dyDescent="0.2">
      <c r="A1380" s="198"/>
      <c r="B1380" s="198"/>
    </row>
    <row r="1381" spans="1:2" x14ac:dyDescent="0.2">
      <c r="A1381" s="198"/>
      <c r="B1381" s="198"/>
    </row>
    <row r="1382" spans="1:2" x14ac:dyDescent="0.2">
      <c r="A1382" s="198"/>
      <c r="B1382" s="198"/>
    </row>
    <row r="1383" spans="1:2" x14ac:dyDescent="0.2">
      <c r="A1383" s="198"/>
      <c r="B1383" s="198"/>
    </row>
    <row r="1384" spans="1:2" x14ac:dyDescent="0.2">
      <c r="A1384" s="198"/>
      <c r="B1384" s="198"/>
    </row>
    <row r="1385" spans="1:2" x14ac:dyDescent="0.2">
      <c r="A1385" s="198"/>
      <c r="B1385" s="198"/>
    </row>
    <row r="1386" spans="1:2" x14ac:dyDescent="0.2">
      <c r="A1386" s="198"/>
      <c r="B1386" s="198"/>
    </row>
    <row r="1387" spans="1:2" x14ac:dyDescent="0.2">
      <c r="A1387" s="198"/>
      <c r="B1387" s="198"/>
    </row>
    <row r="1388" spans="1:2" x14ac:dyDescent="0.2">
      <c r="A1388" s="198"/>
      <c r="B1388" s="198"/>
    </row>
    <row r="1389" spans="1:2" x14ac:dyDescent="0.2">
      <c r="A1389" s="198"/>
      <c r="B1389" s="198"/>
    </row>
    <row r="1390" spans="1:2" x14ac:dyDescent="0.2">
      <c r="A1390" s="198"/>
      <c r="B1390" s="198"/>
    </row>
    <row r="1391" spans="1:2" x14ac:dyDescent="0.2">
      <c r="A1391" s="198"/>
      <c r="B1391" s="198"/>
    </row>
    <row r="1392" spans="1:2" x14ac:dyDescent="0.2">
      <c r="A1392" s="198"/>
      <c r="B1392" s="198"/>
    </row>
    <row r="1393" spans="1:2" x14ac:dyDescent="0.2">
      <c r="A1393" s="198"/>
      <c r="B1393" s="198"/>
    </row>
    <row r="1394" spans="1:2" x14ac:dyDescent="0.2">
      <c r="A1394" s="198"/>
      <c r="B1394" s="198"/>
    </row>
    <row r="1395" spans="1:2" x14ac:dyDescent="0.2">
      <c r="A1395" s="198"/>
      <c r="B1395" s="198"/>
    </row>
    <row r="1396" spans="1:2" x14ac:dyDescent="0.2">
      <c r="A1396" s="198"/>
      <c r="B1396" s="198"/>
    </row>
    <row r="1397" spans="1:2" x14ac:dyDescent="0.2">
      <c r="A1397" s="198"/>
      <c r="B1397" s="198"/>
    </row>
    <row r="1398" spans="1:2" x14ac:dyDescent="0.2">
      <c r="A1398" s="198"/>
      <c r="B1398" s="198"/>
    </row>
    <row r="1399" spans="1:2" x14ac:dyDescent="0.2">
      <c r="A1399" s="198"/>
      <c r="B1399" s="198"/>
    </row>
    <row r="1400" spans="1:2" x14ac:dyDescent="0.2">
      <c r="A1400" s="198"/>
      <c r="B1400" s="198"/>
    </row>
    <row r="1401" spans="1:2" x14ac:dyDescent="0.2">
      <c r="A1401" s="198"/>
      <c r="B1401" s="198"/>
    </row>
    <row r="1402" spans="1:2" x14ac:dyDescent="0.2">
      <c r="A1402" s="198"/>
      <c r="B1402" s="198"/>
    </row>
    <row r="1403" spans="1:2" x14ac:dyDescent="0.2">
      <c r="A1403" s="198"/>
      <c r="B1403" s="198"/>
    </row>
    <row r="1404" spans="1:2" x14ac:dyDescent="0.2">
      <c r="A1404" s="198"/>
      <c r="B1404" s="198"/>
    </row>
    <row r="1405" spans="1:2" x14ac:dyDescent="0.2">
      <c r="A1405" s="198"/>
      <c r="B1405" s="198"/>
    </row>
    <row r="1406" spans="1:2" x14ac:dyDescent="0.2">
      <c r="A1406" s="198"/>
      <c r="B1406" s="198"/>
    </row>
    <row r="1407" spans="1:2" x14ac:dyDescent="0.2">
      <c r="A1407" s="198"/>
      <c r="B1407" s="198"/>
    </row>
    <row r="1408" spans="1:2" x14ac:dyDescent="0.2">
      <c r="A1408" s="198"/>
      <c r="B1408" s="198"/>
    </row>
    <row r="1409" spans="1:2" x14ac:dyDescent="0.2">
      <c r="A1409" s="198"/>
      <c r="B1409" s="198"/>
    </row>
    <row r="1410" spans="1:2" x14ac:dyDescent="0.2">
      <c r="A1410" s="198"/>
      <c r="B1410" s="198"/>
    </row>
    <row r="1411" spans="1:2" x14ac:dyDescent="0.2">
      <c r="A1411" s="198"/>
      <c r="B1411" s="198"/>
    </row>
    <row r="1412" spans="1:2" x14ac:dyDescent="0.2">
      <c r="A1412" s="198"/>
      <c r="B1412" s="198"/>
    </row>
    <row r="1413" spans="1:2" x14ac:dyDescent="0.2">
      <c r="A1413" s="198"/>
      <c r="B1413" s="198"/>
    </row>
    <row r="1414" spans="1:2" x14ac:dyDescent="0.2">
      <c r="A1414" s="198"/>
      <c r="B1414" s="198"/>
    </row>
    <row r="1415" spans="1:2" x14ac:dyDescent="0.2">
      <c r="A1415" s="198"/>
      <c r="B1415" s="198"/>
    </row>
    <row r="1416" spans="1:2" x14ac:dyDescent="0.2">
      <c r="A1416" s="198"/>
      <c r="B1416" s="198"/>
    </row>
    <row r="1417" spans="1:2" x14ac:dyDescent="0.2">
      <c r="A1417" s="198"/>
      <c r="B1417" s="198"/>
    </row>
    <row r="1418" spans="1:2" x14ac:dyDescent="0.2">
      <c r="A1418" s="198"/>
      <c r="B1418" s="198"/>
    </row>
    <row r="1419" spans="1:2" x14ac:dyDescent="0.2">
      <c r="A1419" s="198"/>
      <c r="B1419" s="198"/>
    </row>
    <row r="1420" spans="1:2" x14ac:dyDescent="0.2">
      <c r="A1420" s="198"/>
      <c r="B1420" s="198"/>
    </row>
    <row r="1421" spans="1:2" x14ac:dyDescent="0.2">
      <c r="A1421" s="198"/>
      <c r="B1421" s="198"/>
    </row>
    <row r="1422" spans="1:2" x14ac:dyDescent="0.2">
      <c r="A1422" s="198"/>
      <c r="B1422" s="198"/>
    </row>
    <row r="1423" spans="1:2" x14ac:dyDescent="0.2">
      <c r="A1423" s="198"/>
      <c r="B1423" s="198"/>
    </row>
    <row r="1424" spans="1:2" x14ac:dyDescent="0.2">
      <c r="A1424" s="198"/>
      <c r="B1424" s="198"/>
    </row>
    <row r="1425" spans="1:2" x14ac:dyDescent="0.2">
      <c r="A1425" s="198"/>
      <c r="B1425" s="198"/>
    </row>
    <row r="1426" spans="1:2" x14ac:dyDescent="0.2">
      <c r="A1426" s="198"/>
      <c r="B1426" s="198"/>
    </row>
    <row r="1427" spans="1:2" x14ac:dyDescent="0.2">
      <c r="A1427" s="198"/>
      <c r="B1427" s="198"/>
    </row>
    <row r="1428" spans="1:2" x14ac:dyDescent="0.2">
      <c r="A1428" s="198"/>
      <c r="B1428" s="198"/>
    </row>
    <row r="1429" spans="1:2" x14ac:dyDescent="0.2">
      <c r="A1429" s="198"/>
      <c r="B1429" s="198"/>
    </row>
    <row r="1430" spans="1:2" x14ac:dyDescent="0.2">
      <c r="A1430" s="198"/>
      <c r="B1430" s="198"/>
    </row>
    <row r="1431" spans="1:2" x14ac:dyDescent="0.2">
      <c r="A1431" s="198"/>
      <c r="B1431" s="198"/>
    </row>
    <row r="1432" spans="1:2" x14ac:dyDescent="0.2">
      <c r="A1432" s="198"/>
      <c r="B1432" s="198"/>
    </row>
    <row r="1433" spans="1:2" x14ac:dyDescent="0.2">
      <c r="A1433" s="198"/>
      <c r="B1433" s="198"/>
    </row>
    <row r="1434" spans="1:2" x14ac:dyDescent="0.2">
      <c r="A1434" s="198"/>
      <c r="B1434" s="198"/>
    </row>
    <row r="1435" spans="1:2" x14ac:dyDescent="0.2">
      <c r="A1435" s="198"/>
      <c r="B1435" s="198"/>
    </row>
    <row r="1436" spans="1:2" x14ac:dyDescent="0.2">
      <c r="A1436" s="198"/>
      <c r="B1436" s="198"/>
    </row>
    <row r="1437" spans="1:2" x14ac:dyDescent="0.2">
      <c r="A1437" s="198"/>
      <c r="B1437" s="198"/>
    </row>
    <row r="1438" spans="1:2" x14ac:dyDescent="0.2">
      <c r="A1438" s="198"/>
      <c r="B1438" s="198"/>
    </row>
    <row r="1439" spans="1:2" x14ac:dyDescent="0.2">
      <c r="A1439" s="198"/>
      <c r="B1439" s="198"/>
    </row>
    <row r="1440" spans="1:2" x14ac:dyDescent="0.2">
      <c r="A1440" s="198"/>
      <c r="B1440" s="198"/>
    </row>
    <row r="1441" spans="1:2" x14ac:dyDescent="0.2">
      <c r="A1441" s="198"/>
      <c r="B1441" s="198"/>
    </row>
    <row r="1442" spans="1:2" x14ac:dyDescent="0.2">
      <c r="A1442" s="198"/>
      <c r="B1442" s="198"/>
    </row>
    <row r="1443" spans="1:2" x14ac:dyDescent="0.2">
      <c r="A1443" s="198"/>
      <c r="B1443" s="198"/>
    </row>
    <row r="1444" spans="1:2" x14ac:dyDescent="0.2">
      <c r="A1444" s="198"/>
      <c r="B1444" s="198"/>
    </row>
    <row r="1445" spans="1:2" x14ac:dyDescent="0.2">
      <c r="A1445" s="198"/>
      <c r="B1445" s="198"/>
    </row>
    <row r="1446" spans="1:2" x14ac:dyDescent="0.2">
      <c r="A1446" s="198"/>
      <c r="B1446" s="198"/>
    </row>
    <row r="1447" spans="1:2" x14ac:dyDescent="0.2">
      <c r="A1447" s="198"/>
      <c r="B1447" s="198"/>
    </row>
    <row r="1448" spans="1:2" x14ac:dyDescent="0.2">
      <c r="A1448" s="198"/>
      <c r="B1448" s="198"/>
    </row>
    <row r="1449" spans="1:2" x14ac:dyDescent="0.2">
      <c r="A1449" s="198"/>
      <c r="B1449" s="198"/>
    </row>
    <row r="1450" spans="1:2" x14ac:dyDescent="0.2">
      <c r="A1450" s="198"/>
      <c r="B1450" s="198"/>
    </row>
    <row r="1451" spans="1:2" x14ac:dyDescent="0.2">
      <c r="A1451" s="198"/>
      <c r="B1451" s="198"/>
    </row>
    <row r="1452" spans="1:2" x14ac:dyDescent="0.2">
      <c r="A1452" s="198"/>
      <c r="B1452" s="198"/>
    </row>
    <row r="1453" spans="1:2" x14ac:dyDescent="0.2">
      <c r="A1453" s="198"/>
      <c r="B1453" s="198"/>
    </row>
    <row r="1454" spans="1:2" x14ac:dyDescent="0.2">
      <c r="A1454" s="198"/>
      <c r="B1454" s="198"/>
    </row>
    <row r="1455" spans="1:2" x14ac:dyDescent="0.2">
      <c r="A1455" s="198"/>
      <c r="B1455" s="198"/>
    </row>
    <row r="1456" spans="1:2" x14ac:dyDescent="0.2">
      <c r="A1456" s="198"/>
      <c r="B1456" s="198"/>
    </row>
    <row r="1457" spans="1:2" x14ac:dyDescent="0.2">
      <c r="A1457" s="198"/>
      <c r="B1457" s="198"/>
    </row>
    <row r="1458" spans="1:2" x14ac:dyDescent="0.2">
      <c r="A1458" s="198"/>
      <c r="B1458" s="198"/>
    </row>
    <row r="1459" spans="1:2" x14ac:dyDescent="0.2">
      <c r="A1459" s="198"/>
      <c r="B1459" s="198"/>
    </row>
    <row r="1460" spans="1:2" x14ac:dyDescent="0.2">
      <c r="A1460" s="198"/>
      <c r="B1460" s="198"/>
    </row>
    <row r="1461" spans="1:2" x14ac:dyDescent="0.2">
      <c r="A1461" s="198"/>
      <c r="B1461" s="198"/>
    </row>
    <row r="1462" spans="1:2" x14ac:dyDescent="0.2">
      <c r="A1462" s="198"/>
      <c r="B1462" s="198"/>
    </row>
    <row r="1463" spans="1:2" x14ac:dyDescent="0.2">
      <c r="A1463" s="198"/>
      <c r="B1463" s="198"/>
    </row>
    <row r="1464" spans="1:2" x14ac:dyDescent="0.2">
      <c r="A1464" s="198"/>
      <c r="B1464" s="198"/>
    </row>
    <row r="1465" spans="1:2" x14ac:dyDescent="0.2">
      <c r="A1465" s="198"/>
      <c r="B1465" s="198"/>
    </row>
    <row r="1466" spans="1:2" x14ac:dyDescent="0.2">
      <c r="A1466" s="198"/>
      <c r="B1466" s="198"/>
    </row>
    <row r="1467" spans="1:2" x14ac:dyDescent="0.2">
      <c r="A1467" s="198"/>
      <c r="B1467" s="198"/>
    </row>
    <row r="1468" spans="1:2" x14ac:dyDescent="0.2">
      <c r="A1468" s="198"/>
      <c r="B1468" s="198"/>
    </row>
    <row r="1469" spans="1:2" x14ac:dyDescent="0.2">
      <c r="A1469" s="198"/>
      <c r="B1469" s="198"/>
    </row>
    <row r="1470" spans="1:2" x14ac:dyDescent="0.2">
      <c r="A1470" s="198"/>
      <c r="B1470" s="198"/>
    </row>
    <row r="1471" spans="1:2" x14ac:dyDescent="0.2">
      <c r="A1471" s="198"/>
      <c r="B1471" s="198"/>
    </row>
    <row r="1472" spans="1:2" x14ac:dyDescent="0.2">
      <c r="A1472" s="198"/>
      <c r="B1472" s="198"/>
    </row>
    <row r="1473" spans="1:2" x14ac:dyDescent="0.2">
      <c r="A1473" s="198"/>
      <c r="B1473" s="198"/>
    </row>
    <row r="1474" spans="1:2" x14ac:dyDescent="0.2">
      <c r="A1474" s="198"/>
      <c r="B1474" s="198"/>
    </row>
    <row r="1475" spans="1:2" x14ac:dyDescent="0.2">
      <c r="A1475" s="198"/>
      <c r="B1475" s="198"/>
    </row>
    <row r="1476" spans="1:2" x14ac:dyDescent="0.2">
      <c r="A1476" s="198"/>
      <c r="B1476" s="198"/>
    </row>
    <row r="1477" spans="1:2" x14ac:dyDescent="0.2">
      <c r="A1477" s="198"/>
      <c r="B1477" s="198"/>
    </row>
    <row r="1478" spans="1:2" x14ac:dyDescent="0.2">
      <c r="A1478" s="198"/>
      <c r="B1478" s="198"/>
    </row>
    <row r="1479" spans="1:2" x14ac:dyDescent="0.2">
      <c r="A1479" s="198"/>
      <c r="B1479" s="198"/>
    </row>
    <row r="1480" spans="1:2" x14ac:dyDescent="0.2">
      <c r="A1480" s="198"/>
      <c r="B1480" s="198"/>
    </row>
    <row r="1481" spans="1:2" x14ac:dyDescent="0.2">
      <c r="A1481" s="198"/>
      <c r="B1481" s="198"/>
    </row>
    <row r="1482" spans="1:2" x14ac:dyDescent="0.2">
      <c r="A1482" s="198"/>
      <c r="B1482" s="198"/>
    </row>
    <row r="1483" spans="1:2" x14ac:dyDescent="0.2">
      <c r="A1483" s="198"/>
      <c r="B1483" s="198"/>
    </row>
    <row r="1484" spans="1:2" x14ac:dyDescent="0.2">
      <c r="A1484" s="198"/>
      <c r="B1484" s="198"/>
    </row>
    <row r="1485" spans="1:2" x14ac:dyDescent="0.2">
      <c r="A1485" s="198"/>
      <c r="B1485" s="198"/>
    </row>
    <row r="1486" spans="1:2" x14ac:dyDescent="0.2">
      <c r="A1486" s="198"/>
      <c r="B1486" s="198"/>
    </row>
    <row r="1487" spans="1:2" x14ac:dyDescent="0.2">
      <c r="A1487" s="198"/>
      <c r="B1487" s="198"/>
    </row>
    <row r="1488" spans="1:2" x14ac:dyDescent="0.2">
      <c r="A1488" s="198"/>
      <c r="B1488" s="198"/>
    </row>
    <row r="1489" spans="1:2" x14ac:dyDescent="0.2">
      <c r="A1489" s="198"/>
      <c r="B1489" s="198"/>
    </row>
    <row r="1490" spans="1:2" x14ac:dyDescent="0.2">
      <c r="A1490" s="198"/>
      <c r="B1490" s="198"/>
    </row>
    <row r="1491" spans="1:2" x14ac:dyDescent="0.2">
      <c r="A1491" s="198"/>
      <c r="B1491" s="198"/>
    </row>
    <row r="1492" spans="1:2" x14ac:dyDescent="0.2">
      <c r="A1492" s="198"/>
      <c r="B1492" s="198"/>
    </row>
    <row r="1493" spans="1:2" x14ac:dyDescent="0.2">
      <c r="A1493" s="198"/>
      <c r="B1493" s="198"/>
    </row>
    <row r="1494" spans="1:2" x14ac:dyDescent="0.2">
      <c r="A1494" s="198"/>
      <c r="B1494" s="198"/>
    </row>
    <row r="1495" spans="1:2" x14ac:dyDescent="0.2">
      <c r="A1495" s="198"/>
      <c r="B1495" s="198"/>
    </row>
    <row r="1496" spans="1:2" x14ac:dyDescent="0.2">
      <c r="A1496" s="198"/>
      <c r="B1496" s="198"/>
    </row>
    <row r="1497" spans="1:2" x14ac:dyDescent="0.2">
      <c r="A1497" s="198"/>
      <c r="B1497" s="198"/>
    </row>
    <row r="1498" spans="1:2" x14ac:dyDescent="0.2">
      <c r="A1498" s="198"/>
      <c r="B1498" s="198"/>
    </row>
    <row r="1499" spans="1:2" x14ac:dyDescent="0.2">
      <c r="A1499" s="198"/>
      <c r="B1499" s="198"/>
    </row>
    <row r="1500" spans="1:2" x14ac:dyDescent="0.2">
      <c r="A1500" s="198"/>
      <c r="B1500" s="198"/>
    </row>
    <row r="1501" spans="1:2" x14ac:dyDescent="0.2">
      <c r="A1501" s="198"/>
      <c r="B1501" s="198"/>
    </row>
    <row r="1502" spans="1:2" x14ac:dyDescent="0.2">
      <c r="A1502" s="198"/>
      <c r="B1502" s="198"/>
    </row>
    <row r="1503" spans="1:2" x14ac:dyDescent="0.2">
      <c r="A1503" s="198"/>
      <c r="B1503" s="198"/>
    </row>
    <row r="1504" spans="1:2" x14ac:dyDescent="0.2">
      <c r="A1504" s="198"/>
      <c r="B1504" s="198"/>
    </row>
    <row r="1505" spans="1:2" x14ac:dyDescent="0.2">
      <c r="A1505" s="198"/>
      <c r="B1505" s="198"/>
    </row>
    <row r="1506" spans="1:2" x14ac:dyDescent="0.2">
      <c r="A1506" s="198"/>
      <c r="B1506" s="198"/>
    </row>
    <row r="1507" spans="1:2" x14ac:dyDescent="0.2">
      <c r="A1507" s="198"/>
      <c r="B1507" s="198"/>
    </row>
    <row r="1508" spans="1:2" x14ac:dyDescent="0.2">
      <c r="A1508" s="198"/>
      <c r="B1508" s="198"/>
    </row>
    <row r="1509" spans="1:2" x14ac:dyDescent="0.2">
      <c r="A1509" s="198"/>
      <c r="B1509" s="198"/>
    </row>
    <row r="1510" spans="1:2" x14ac:dyDescent="0.2">
      <c r="A1510" s="198"/>
      <c r="B1510" s="198"/>
    </row>
    <row r="1511" spans="1:2" x14ac:dyDescent="0.2">
      <c r="A1511" s="198"/>
      <c r="B1511" s="198"/>
    </row>
    <row r="1512" spans="1:2" x14ac:dyDescent="0.2">
      <c r="A1512" s="198"/>
      <c r="B1512" s="198"/>
    </row>
    <row r="1513" spans="1:2" x14ac:dyDescent="0.2">
      <c r="A1513" s="198"/>
      <c r="B1513" s="198"/>
    </row>
    <row r="1514" spans="1:2" x14ac:dyDescent="0.2">
      <c r="A1514" s="198"/>
      <c r="B1514" s="198"/>
    </row>
    <row r="1515" spans="1:2" x14ac:dyDescent="0.2">
      <c r="A1515" s="198"/>
      <c r="B1515" s="198"/>
    </row>
    <row r="1516" spans="1:2" x14ac:dyDescent="0.2">
      <c r="A1516" s="198"/>
      <c r="B1516" s="198"/>
    </row>
    <row r="1517" spans="1:2" x14ac:dyDescent="0.2">
      <c r="A1517" s="198"/>
      <c r="B1517" s="198"/>
    </row>
    <row r="1518" spans="1:2" x14ac:dyDescent="0.2">
      <c r="A1518" s="198"/>
      <c r="B1518" s="198"/>
    </row>
    <row r="1519" spans="1:2" x14ac:dyDescent="0.2">
      <c r="A1519" s="198"/>
      <c r="B1519" s="198"/>
    </row>
    <row r="1520" spans="1:2" x14ac:dyDescent="0.2">
      <c r="A1520" s="198"/>
      <c r="B1520" s="198"/>
    </row>
    <row r="1521" spans="1:2" x14ac:dyDescent="0.2">
      <c r="A1521" s="198"/>
      <c r="B1521" s="198"/>
    </row>
    <row r="1522" spans="1:2" x14ac:dyDescent="0.2">
      <c r="A1522" s="198"/>
      <c r="B1522" s="198"/>
    </row>
    <row r="1523" spans="1:2" x14ac:dyDescent="0.2">
      <c r="A1523" s="198"/>
      <c r="B1523" s="198"/>
    </row>
    <row r="1524" spans="1:2" x14ac:dyDescent="0.2">
      <c r="A1524" s="198"/>
      <c r="B1524" s="198"/>
    </row>
    <row r="1525" spans="1:2" x14ac:dyDescent="0.2">
      <c r="A1525" s="198"/>
      <c r="B1525" s="198"/>
    </row>
    <row r="1526" spans="1:2" x14ac:dyDescent="0.2">
      <c r="A1526" s="198"/>
      <c r="B1526" s="198"/>
    </row>
    <row r="1527" spans="1:2" x14ac:dyDescent="0.2">
      <c r="A1527" s="198"/>
      <c r="B1527" s="198"/>
    </row>
    <row r="1528" spans="1:2" x14ac:dyDescent="0.2">
      <c r="A1528" s="198"/>
      <c r="B1528" s="198"/>
    </row>
    <row r="1529" spans="1:2" x14ac:dyDescent="0.2">
      <c r="A1529" s="198"/>
      <c r="B1529" s="198"/>
    </row>
    <row r="1530" spans="1:2" x14ac:dyDescent="0.2">
      <c r="A1530" s="198"/>
      <c r="B1530" s="198"/>
    </row>
    <row r="1531" spans="1:2" x14ac:dyDescent="0.2">
      <c r="A1531" s="198"/>
      <c r="B1531" s="198"/>
    </row>
    <row r="1532" spans="1:2" x14ac:dyDescent="0.2">
      <c r="A1532" s="198"/>
      <c r="B1532" s="198"/>
    </row>
    <row r="1533" spans="1:2" x14ac:dyDescent="0.2">
      <c r="A1533" s="198"/>
      <c r="B1533" s="198"/>
    </row>
    <row r="1534" spans="1:2" x14ac:dyDescent="0.2">
      <c r="A1534" s="198"/>
      <c r="B1534" s="198"/>
    </row>
    <row r="1535" spans="1:2" x14ac:dyDescent="0.2">
      <c r="A1535" s="198"/>
      <c r="B1535" s="198"/>
    </row>
    <row r="1536" spans="1:2" x14ac:dyDescent="0.2">
      <c r="A1536" s="198"/>
      <c r="B1536" s="198"/>
    </row>
    <row r="1537" spans="1:2" x14ac:dyDescent="0.2">
      <c r="A1537" s="198"/>
      <c r="B1537" s="198"/>
    </row>
    <row r="1538" spans="1:2" x14ac:dyDescent="0.2">
      <c r="A1538" s="198"/>
      <c r="B1538" s="198"/>
    </row>
    <row r="1539" spans="1:2" x14ac:dyDescent="0.2">
      <c r="A1539" s="198"/>
      <c r="B1539" s="198"/>
    </row>
    <row r="1540" spans="1:2" x14ac:dyDescent="0.2">
      <c r="A1540" s="198"/>
      <c r="B1540" s="198"/>
    </row>
    <row r="1541" spans="1:2" x14ac:dyDescent="0.2">
      <c r="A1541" s="198"/>
      <c r="B1541" s="198"/>
    </row>
    <row r="1542" spans="1:2" x14ac:dyDescent="0.2">
      <c r="A1542" s="198"/>
      <c r="B1542" s="198"/>
    </row>
    <row r="1543" spans="1:2" x14ac:dyDescent="0.2">
      <c r="A1543" s="198"/>
      <c r="B1543" s="198"/>
    </row>
    <row r="1544" spans="1:2" x14ac:dyDescent="0.2">
      <c r="A1544" s="198"/>
      <c r="B1544" s="198"/>
    </row>
    <row r="1545" spans="1:2" x14ac:dyDescent="0.2">
      <c r="A1545" s="198"/>
      <c r="B1545" s="198"/>
    </row>
    <row r="1546" spans="1:2" x14ac:dyDescent="0.2">
      <c r="A1546" s="198"/>
      <c r="B1546" s="198"/>
    </row>
    <row r="1547" spans="1:2" x14ac:dyDescent="0.2">
      <c r="A1547" s="198"/>
      <c r="B1547" s="198"/>
    </row>
    <row r="1548" spans="1:2" x14ac:dyDescent="0.2">
      <c r="A1548" s="198"/>
      <c r="B1548" s="198"/>
    </row>
    <row r="1549" spans="1:2" x14ac:dyDescent="0.2">
      <c r="A1549" s="198"/>
      <c r="B1549" s="198"/>
    </row>
    <row r="1550" spans="1:2" x14ac:dyDescent="0.2">
      <c r="A1550" s="198"/>
      <c r="B1550" s="198"/>
    </row>
    <row r="1551" spans="1:2" x14ac:dyDescent="0.2">
      <c r="A1551" s="198"/>
      <c r="B1551" s="198"/>
    </row>
    <row r="1552" spans="1:2" x14ac:dyDescent="0.2">
      <c r="A1552" s="198"/>
      <c r="B1552" s="198"/>
    </row>
    <row r="1553" spans="1:2" x14ac:dyDescent="0.2">
      <c r="A1553" s="198"/>
      <c r="B1553" s="198"/>
    </row>
    <row r="1554" spans="1:2" x14ac:dyDescent="0.2">
      <c r="A1554" s="198"/>
      <c r="B1554" s="198"/>
    </row>
    <row r="1555" spans="1:2" x14ac:dyDescent="0.2">
      <c r="A1555" s="198"/>
      <c r="B1555" s="198"/>
    </row>
    <row r="1556" spans="1:2" x14ac:dyDescent="0.2">
      <c r="A1556" s="198"/>
      <c r="B1556" s="198"/>
    </row>
    <row r="1557" spans="1:2" x14ac:dyDescent="0.2">
      <c r="A1557" s="198"/>
      <c r="B1557" s="198"/>
    </row>
    <row r="1558" spans="1:2" x14ac:dyDescent="0.2">
      <c r="A1558" s="198"/>
      <c r="B1558" s="198"/>
    </row>
    <row r="1559" spans="1:2" x14ac:dyDescent="0.2">
      <c r="A1559" s="198"/>
      <c r="B1559" s="198"/>
    </row>
    <row r="1560" spans="1:2" x14ac:dyDescent="0.2">
      <c r="A1560" s="198"/>
      <c r="B1560" s="198"/>
    </row>
    <row r="1561" spans="1:2" x14ac:dyDescent="0.2">
      <c r="A1561" s="198"/>
      <c r="B1561" s="198"/>
    </row>
    <row r="1562" spans="1:2" x14ac:dyDescent="0.2">
      <c r="A1562" s="198"/>
      <c r="B1562" s="198"/>
    </row>
    <row r="1563" spans="1:2" x14ac:dyDescent="0.2">
      <c r="A1563" s="198"/>
      <c r="B1563" s="198"/>
    </row>
    <row r="1564" spans="1:2" x14ac:dyDescent="0.2">
      <c r="A1564" s="198"/>
      <c r="B1564" s="198"/>
    </row>
    <row r="1565" spans="1:2" x14ac:dyDescent="0.2">
      <c r="A1565" s="198"/>
      <c r="B1565" s="198"/>
    </row>
    <row r="1566" spans="1:2" x14ac:dyDescent="0.2">
      <c r="A1566" s="198"/>
      <c r="B1566" s="198"/>
    </row>
    <row r="1567" spans="1:2" x14ac:dyDescent="0.2">
      <c r="A1567" s="198"/>
      <c r="B1567" s="198"/>
    </row>
    <row r="1568" spans="1:2" x14ac:dyDescent="0.2">
      <c r="A1568" s="198"/>
      <c r="B1568" s="198"/>
    </row>
    <row r="1569" spans="1:2" x14ac:dyDescent="0.2">
      <c r="A1569" s="198"/>
      <c r="B1569" s="198"/>
    </row>
    <row r="1570" spans="1:2" x14ac:dyDescent="0.2">
      <c r="A1570" s="198"/>
      <c r="B1570" s="198"/>
    </row>
    <row r="1571" spans="1:2" x14ac:dyDescent="0.2">
      <c r="A1571" s="198"/>
      <c r="B1571" s="198"/>
    </row>
    <row r="1572" spans="1:2" x14ac:dyDescent="0.2">
      <c r="A1572" s="198"/>
      <c r="B1572" s="198"/>
    </row>
    <row r="1573" spans="1:2" x14ac:dyDescent="0.2">
      <c r="A1573" s="198"/>
      <c r="B1573" s="198"/>
    </row>
    <row r="1574" spans="1:2" x14ac:dyDescent="0.2">
      <c r="A1574" s="198"/>
      <c r="B1574" s="198"/>
    </row>
    <row r="1575" spans="1:2" x14ac:dyDescent="0.2">
      <c r="A1575" s="198"/>
      <c r="B1575" s="198"/>
    </row>
    <row r="1576" spans="1:2" x14ac:dyDescent="0.2">
      <c r="A1576" s="198"/>
      <c r="B1576" s="198"/>
    </row>
    <row r="1577" spans="1:2" x14ac:dyDescent="0.2">
      <c r="A1577" s="198"/>
      <c r="B1577" s="198"/>
    </row>
    <row r="1578" spans="1:2" x14ac:dyDescent="0.2">
      <c r="A1578" s="198"/>
      <c r="B1578" s="198"/>
    </row>
    <row r="1579" spans="1:2" x14ac:dyDescent="0.2">
      <c r="A1579" s="198"/>
      <c r="B1579" s="198"/>
    </row>
    <row r="1580" spans="1:2" x14ac:dyDescent="0.2">
      <c r="A1580" s="198"/>
      <c r="B1580" s="198"/>
    </row>
    <row r="1581" spans="1:2" x14ac:dyDescent="0.2">
      <c r="A1581" s="198"/>
      <c r="B1581" s="198"/>
    </row>
    <row r="1582" spans="1:2" x14ac:dyDescent="0.2">
      <c r="A1582" s="198"/>
      <c r="B1582" s="198"/>
    </row>
    <row r="1583" spans="1:2" x14ac:dyDescent="0.2">
      <c r="A1583" s="198"/>
      <c r="B1583" s="198"/>
    </row>
    <row r="1584" spans="1:2" x14ac:dyDescent="0.2">
      <c r="A1584" s="198"/>
      <c r="B1584" s="198"/>
    </row>
    <row r="1585" spans="1:2" x14ac:dyDescent="0.2">
      <c r="A1585" s="198"/>
      <c r="B1585" s="198"/>
    </row>
    <row r="1586" spans="1:2" x14ac:dyDescent="0.2">
      <c r="A1586" s="198"/>
      <c r="B1586" s="198"/>
    </row>
    <row r="1587" spans="1:2" x14ac:dyDescent="0.2">
      <c r="A1587" s="198"/>
      <c r="B1587" s="198"/>
    </row>
    <row r="1588" spans="1:2" x14ac:dyDescent="0.2">
      <c r="A1588" s="198"/>
      <c r="B1588" s="198"/>
    </row>
    <row r="1589" spans="1:2" x14ac:dyDescent="0.2">
      <c r="A1589" s="198"/>
      <c r="B1589" s="198"/>
    </row>
    <row r="1590" spans="1:2" x14ac:dyDescent="0.2">
      <c r="A1590" s="198"/>
      <c r="B1590" s="198"/>
    </row>
    <row r="1591" spans="1:2" x14ac:dyDescent="0.2">
      <c r="A1591" s="198"/>
      <c r="B1591" s="198"/>
    </row>
    <row r="1592" spans="1:2" x14ac:dyDescent="0.2">
      <c r="A1592" s="198"/>
      <c r="B1592" s="198"/>
    </row>
    <row r="1593" spans="1:2" x14ac:dyDescent="0.2">
      <c r="A1593" s="198"/>
      <c r="B1593" s="198"/>
    </row>
    <row r="1594" spans="1:2" x14ac:dyDescent="0.2">
      <c r="A1594" s="198"/>
      <c r="B1594" s="198"/>
    </row>
    <row r="1595" spans="1:2" x14ac:dyDescent="0.2">
      <c r="A1595" s="198"/>
      <c r="B1595" s="198"/>
    </row>
    <row r="1596" spans="1:2" x14ac:dyDescent="0.2">
      <c r="A1596" s="198"/>
      <c r="B1596" s="198"/>
    </row>
    <row r="1597" spans="1:2" x14ac:dyDescent="0.2">
      <c r="A1597" s="198"/>
      <c r="B1597" s="198"/>
    </row>
    <row r="1598" spans="1:2" x14ac:dyDescent="0.2">
      <c r="A1598" s="198"/>
      <c r="B1598" s="198"/>
    </row>
    <row r="1599" spans="1:2" x14ac:dyDescent="0.2">
      <c r="A1599" s="198"/>
      <c r="B1599" s="198"/>
    </row>
    <row r="1600" spans="1:2" x14ac:dyDescent="0.2">
      <c r="A1600" s="198"/>
      <c r="B1600" s="198"/>
    </row>
    <row r="1601" spans="1:2" x14ac:dyDescent="0.2">
      <c r="A1601" s="198"/>
      <c r="B1601" s="198"/>
    </row>
    <row r="1602" spans="1:2" x14ac:dyDescent="0.2">
      <c r="A1602" s="198"/>
      <c r="B1602" s="198"/>
    </row>
    <row r="1603" spans="1:2" x14ac:dyDescent="0.2">
      <c r="A1603" s="198"/>
      <c r="B1603" s="198"/>
    </row>
    <row r="1604" spans="1:2" x14ac:dyDescent="0.2">
      <c r="A1604" s="198"/>
      <c r="B1604" s="198"/>
    </row>
    <row r="1605" spans="1:2" x14ac:dyDescent="0.2">
      <c r="A1605" s="198"/>
      <c r="B1605" s="198"/>
    </row>
    <row r="1606" spans="1:2" x14ac:dyDescent="0.2">
      <c r="A1606" s="198"/>
      <c r="B1606" s="198"/>
    </row>
    <row r="1607" spans="1:2" x14ac:dyDescent="0.2">
      <c r="A1607" s="198"/>
      <c r="B1607" s="198"/>
    </row>
    <row r="1608" spans="1:2" x14ac:dyDescent="0.2">
      <c r="A1608" s="198"/>
      <c r="B1608" s="198"/>
    </row>
    <row r="1609" spans="1:2" x14ac:dyDescent="0.2">
      <c r="A1609" s="198"/>
      <c r="B1609" s="198"/>
    </row>
    <row r="1610" spans="1:2" x14ac:dyDescent="0.2">
      <c r="A1610" s="198"/>
      <c r="B1610" s="198"/>
    </row>
    <row r="1611" spans="1:2" x14ac:dyDescent="0.2">
      <c r="A1611" s="198"/>
      <c r="B1611" s="198"/>
    </row>
    <row r="1612" spans="1:2" x14ac:dyDescent="0.2">
      <c r="A1612" s="198"/>
      <c r="B1612" s="198"/>
    </row>
    <row r="1613" spans="1:2" x14ac:dyDescent="0.2">
      <c r="A1613" s="198"/>
      <c r="B1613" s="198"/>
    </row>
    <row r="1614" spans="1:2" x14ac:dyDescent="0.2">
      <c r="A1614" s="198"/>
      <c r="B1614" s="198"/>
    </row>
    <row r="1615" spans="1:2" x14ac:dyDescent="0.2">
      <c r="A1615" s="198"/>
      <c r="B1615" s="198"/>
    </row>
    <row r="1616" spans="1:2" x14ac:dyDescent="0.2">
      <c r="A1616" s="198"/>
      <c r="B1616" s="198"/>
    </row>
    <row r="1617" spans="1:2" x14ac:dyDescent="0.2">
      <c r="A1617" s="198"/>
      <c r="B1617" s="198"/>
    </row>
    <row r="1618" spans="1:2" x14ac:dyDescent="0.2">
      <c r="A1618" s="198"/>
      <c r="B1618" s="198"/>
    </row>
    <row r="1619" spans="1:2" x14ac:dyDescent="0.2">
      <c r="A1619" s="198"/>
      <c r="B1619" s="198"/>
    </row>
    <row r="1620" spans="1:2" x14ac:dyDescent="0.2">
      <c r="A1620" s="198"/>
      <c r="B1620" s="198"/>
    </row>
    <row r="1621" spans="1:2" x14ac:dyDescent="0.2">
      <c r="A1621" s="198"/>
      <c r="B1621" s="198"/>
    </row>
    <row r="1622" spans="1:2" x14ac:dyDescent="0.2">
      <c r="A1622" s="198"/>
      <c r="B1622" s="198"/>
    </row>
    <row r="1623" spans="1:2" x14ac:dyDescent="0.2">
      <c r="A1623" s="198"/>
      <c r="B1623" s="198"/>
    </row>
    <row r="1624" spans="1:2" x14ac:dyDescent="0.2">
      <c r="A1624" s="198"/>
      <c r="B1624" s="198"/>
    </row>
    <row r="1625" spans="1:2" x14ac:dyDescent="0.2">
      <c r="A1625" s="198"/>
      <c r="B1625" s="198"/>
    </row>
    <row r="1626" spans="1:2" x14ac:dyDescent="0.2">
      <c r="A1626" s="198"/>
      <c r="B1626" s="198"/>
    </row>
    <row r="1627" spans="1:2" x14ac:dyDescent="0.2">
      <c r="A1627" s="198"/>
      <c r="B1627" s="198"/>
    </row>
    <row r="1628" spans="1:2" x14ac:dyDescent="0.2">
      <c r="A1628" s="198"/>
      <c r="B1628" s="198"/>
    </row>
    <row r="1629" spans="1:2" x14ac:dyDescent="0.2">
      <c r="A1629" s="198"/>
      <c r="B1629" s="198"/>
    </row>
    <row r="1630" spans="1:2" x14ac:dyDescent="0.2">
      <c r="A1630" s="198"/>
      <c r="B1630" s="198"/>
    </row>
    <row r="1631" spans="1:2" x14ac:dyDescent="0.2">
      <c r="A1631" s="198"/>
      <c r="B1631" s="198"/>
    </row>
    <row r="1632" spans="1:2" x14ac:dyDescent="0.2">
      <c r="A1632" s="198"/>
      <c r="B1632" s="198"/>
    </row>
    <row r="1633" spans="1:2" x14ac:dyDescent="0.2">
      <c r="A1633" s="198"/>
      <c r="B1633" s="198"/>
    </row>
    <row r="1634" spans="1:2" x14ac:dyDescent="0.2">
      <c r="A1634" s="198"/>
      <c r="B1634" s="198"/>
    </row>
    <row r="1635" spans="1:2" x14ac:dyDescent="0.2">
      <c r="A1635" s="198"/>
      <c r="B1635" s="198"/>
    </row>
    <row r="1636" spans="1:2" x14ac:dyDescent="0.2">
      <c r="A1636" s="198"/>
      <c r="B1636" s="198"/>
    </row>
    <row r="1637" spans="1:2" x14ac:dyDescent="0.2">
      <c r="A1637" s="198"/>
      <c r="B1637" s="198"/>
    </row>
    <row r="1638" spans="1:2" x14ac:dyDescent="0.2">
      <c r="A1638" s="198"/>
      <c r="B1638" s="198"/>
    </row>
    <row r="1639" spans="1:2" x14ac:dyDescent="0.2">
      <c r="A1639" s="198"/>
      <c r="B1639" s="198"/>
    </row>
    <row r="1640" spans="1:2" x14ac:dyDescent="0.2">
      <c r="A1640" s="198"/>
      <c r="B1640" s="198"/>
    </row>
    <row r="1641" spans="1:2" x14ac:dyDescent="0.2">
      <c r="A1641" s="198"/>
      <c r="B1641" s="198"/>
    </row>
    <row r="1642" spans="1:2" x14ac:dyDescent="0.2">
      <c r="A1642" s="198"/>
      <c r="B1642" s="198"/>
    </row>
    <row r="1643" spans="1:2" x14ac:dyDescent="0.2">
      <c r="A1643" s="198"/>
      <c r="B1643" s="198"/>
    </row>
    <row r="1644" spans="1:2" x14ac:dyDescent="0.2">
      <c r="A1644" s="198"/>
      <c r="B1644" s="198"/>
    </row>
    <row r="1645" spans="1:2" x14ac:dyDescent="0.2">
      <c r="A1645" s="198"/>
      <c r="B1645" s="198"/>
    </row>
    <row r="1646" spans="1:2" x14ac:dyDescent="0.2">
      <c r="A1646" s="198"/>
      <c r="B1646" s="198"/>
    </row>
    <row r="1647" spans="1:2" x14ac:dyDescent="0.2">
      <c r="A1647" s="198"/>
      <c r="B1647" s="198"/>
    </row>
    <row r="1648" spans="1:2" x14ac:dyDescent="0.2">
      <c r="A1648" s="198"/>
      <c r="B1648" s="198"/>
    </row>
    <row r="1649" spans="1:2" x14ac:dyDescent="0.2">
      <c r="A1649" s="198"/>
      <c r="B1649" s="198"/>
    </row>
    <row r="1650" spans="1:2" x14ac:dyDescent="0.2">
      <c r="A1650" s="198"/>
      <c r="B1650" s="198"/>
    </row>
    <row r="1651" spans="1:2" x14ac:dyDescent="0.2">
      <c r="A1651" s="198"/>
      <c r="B1651" s="198"/>
    </row>
    <row r="1652" spans="1:2" x14ac:dyDescent="0.2">
      <c r="A1652" s="198"/>
      <c r="B1652" s="198"/>
    </row>
    <row r="1653" spans="1:2" x14ac:dyDescent="0.2">
      <c r="A1653" s="198"/>
      <c r="B1653" s="198"/>
    </row>
    <row r="1654" spans="1:2" x14ac:dyDescent="0.2">
      <c r="A1654" s="198"/>
      <c r="B1654" s="198"/>
    </row>
    <row r="1655" spans="1:2" x14ac:dyDescent="0.2">
      <c r="A1655" s="198"/>
      <c r="B1655" s="198"/>
    </row>
    <row r="1656" spans="1:2" x14ac:dyDescent="0.2">
      <c r="A1656" s="198"/>
      <c r="B1656" s="198"/>
    </row>
    <row r="1657" spans="1:2" x14ac:dyDescent="0.2">
      <c r="A1657" s="198"/>
      <c r="B1657" s="198"/>
    </row>
    <row r="1658" spans="1:2" x14ac:dyDescent="0.2">
      <c r="A1658" s="198"/>
      <c r="B1658" s="198"/>
    </row>
    <row r="1659" spans="1:2" x14ac:dyDescent="0.2">
      <c r="A1659" s="198"/>
      <c r="B1659" s="198"/>
    </row>
    <row r="1660" spans="1:2" x14ac:dyDescent="0.2">
      <c r="A1660" s="198"/>
      <c r="B1660" s="198"/>
    </row>
    <row r="1661" spans="1:2" x14ac:dyDescent="0.2">
      <c r="A1661" s="198"/>
      <c r="B1661" s="198"/>
    </row>
    <row r="1662" spans="1:2" x14ac:dyDescent="0.2">
      <c r="A1662" s="198"/>
      <c r="B1662" s="198"/>
    </row>
    <row r="1663" spans="1:2" x14ac:dyDescent="0.2">
      <c r="A1663" s="198"/>
      <c r="B1663" s="198"/>
    </row>
    <row r="1664" spans="1:2" x14ac:dyDescent="0.2">
      <c r="A1664" s="198"/>
      <c r="B1664" s="198"/>
    </row>
    <row r="1665" spans="1:2" x14ac:dyDescent="0.2">
      <c r="A1665" s="198"/>
      <c r="B1665" s="198"/>
    </row>
    <row r="1666" spans="1:2" x14ac:dyDescent="0.2">
      <c r="A1666" s="198"/>
      <c r="B1666" s="198"/>
    </row>
    <row r="1667" spans="1:2" x14ac:dyDescent="0.2">
      <c r="A1667" s="198"/>
      <c r="B1667" s="198"/>
    </row>
    <row r="1668" spans="1:2" x14ac:dyDescent="0.2">
      <c r="A1668" s="198"/>
      <c r="B1668" s="198"/>
    </row>
    <row r="1669" spans="1:2" x14ac:dyDescent="0.2">
      <c r="A1669" s="198"/>
      <c r="B1669" s="198"/>
    </row>
    <row r="1670" spans="1:2" x14ac:dyDescent="0.2">
      <c r="A1670" s="198"/>
      <c r="B1670" s="198"/>
    </row>
    <row r="1671" spans="1:2" x14ac:dyDescent="0.2">
      <c r="A1671" s="198"/>
      <c r="B1671" s="198"/>
    </row>
    <row r="1672" spans="1:2" x14ac:dyDescent="0.2">
      <c r="A1672" s="198"/>
      <c r="B1672" s="198"/>
    </row>
    <row r="1673" spans="1:2" x14ac:dyDescent="0.2">
      <c r="A1673" s="198"/>
      <c r="B1673" s="198"/>
    </row>
    <row r="1674" spans="1:2" x14ac:dyDescent="0.2">
      <c r="A1674" s="198"/>
      <c r="B1674" s="198"/>
    </row>
    <row r="1675" spans="1:2" x14ac:dyDescent="0.2">
      <c r="A1675" s="198"/>
      <c r="B1675" s="198"/>
    </row>
    <row r="1676" spans="1:2" x14ac:dyDescent="0.2">
      <c r="A1676" s="198"/>
      <c r="B1676" s="198"/>
    </row>
    <row r="1677" spans="1:2" x14ac:dyDescent="0.2">
      <c r="A1677" s="198"/>
      <c r="B1677" s="198"/>
    </row>
    <row r="1678" spans="1:2" x14ac:dyDescent="0.2">
      <c r="A1678" s="198"/>
      <c r="B1678" s="198"/>
    </row>
    <row r="1679" spans="1:2" x14ac:dyDescent="0.2">
      <c r="A1679" s="198"/>
      <c r="B1679" s="198"/>
    </row>
    <row r="1680" spans="1:2" x14ac:dyDescent="0.2">
      <c r="A1680" s="198"/>
      <c r="B1680" s="198"/>
    </row>
    <row r="1681" spans="1:2" x14ac:dyDescent="0.2">
      <c r="A1681" s="198"/>
      <c r="B1681" s="198"/>
    </row>
    <row r="1682" spans="1:2" x14ac:dyDescent="0.2">
      <c r="A1682" s="198"/>
      <c r="B1682" s="198"/>
    </row>
    <row r="1683" spans="1:2" x14ac:dyDescent="0.2">
      <c r="A1683" s="198"/>
      <c r="B1683" s="198"/>
    </row>
    <row r="1684" spans="1:2" x14ac:dyDescent="0.2">
      <c r="A1684" s="198"/>
      <c r="B1684" s="198"/>
    </row>
    <row r="1685" spans="1:2" x14ac:dyDescent="0.2">
      <c r="A1685" s="198"/>
      <c r="B1685" s="198"/>
    </row>
    <row r="1686" spans="1:2" x14ac:dyDescent="0.2">
      <c r="A1686" s="198"/>
      <c r="B1686" s="198"/>
    </row>
    <row r="1687" spans="1:2" x14ac:dyDescent="0.2">
      <c r="A1687" s="198"/>
      <c r="B1687" s="198"/>
    </row>
    <row r="1688" spans="1:2" x14ac:dyDescent="0.2">
      <c r="A1688" s="198"/>
      <c r="B1688" s="198"/>
    </row>
    <row r="1689" spans="1:2" x14ac:dyDescent="0.2">
      <c r="A1689" s="198"/>
      <c r="B1689" s="198"/>
    </row>
    <row r="1690" spans="1:2" x14ac:dyDescent="0.2">
      <c r="A1690" s="198"/>
      <c r="B1690" s="198"/>
    </row>
    <row r="1691" spans="1:2" x14ac:dyDescent="0.2">
      <c r="A1691" s="198"/>
      <c r="B1691" s="198"/>
    </row>
    <row r="1692" spans="1:2" x14ac:dyDescent="0.2">
      <c r="A1692" s="198"/>
      <c r="B1692" s="198"/>
    </row>
    <row r="1693" spans="1:2" x14ac:dyDescent="0.2">
      <c r="A1693" s="198"/>
      <c r="B1693" s="198"/>
    </row>
    <row r="1694" spans="1:2" x14ac:dyDescent="0.2">
      <c r="A1694" s="198"/>
      <c r="B1694" s="198"/>
    </row>
    <row r="1695" spans="1:2" x14ac:dyDescent="0.2">
      <c r="A1695" s="198"/>
      <c r="B1695" s="198"/>
    </row>
    <row r="1696" spans="1:2" x14ac:dyDescent="0.2">
      <c r="A1696" s="198"/>
      <c r="B1696" s="198"/>
    </row>
    <row r="1697" spans="1:2" x14ac:dyDescent="0.2">
      <c r="A1697" s="198"/>
      <c r="B1697" s="198"/>
    </row>
    <row r="1698" spans="1:2" x14ac:dyDescent="0.2">
      <c r="A1698" s="198"/>
      <c r="B1698" s="198"/>
    </row>
    <row r="1699" spans="1:2" x14ac:dyDescent="0.2">
      <c r="A1699" s="198"/>
      <c r="B1699" s="198"/>
    </row>
    <row r="1700" spans="1:2" x14ac:dyDescent="0.2">
      <c r="A1700" s="198"/>
      <c r="B1700" s="198"/>
    </row>
    <row r="1701" spans="1:2" x14ac:dyDescent="0.2">
      <c r="A1701" s="198"/>
      <c r="B1701" s="198"/>
    </row>
    <row r="1702" spans="1:2" x14ac:dyDescent="0.2">
      <c r="A1702" s="198"/>
      <c r="B1702" s="198"/>
    </row>
    <row r="1703" spans="1:2" x14ac:dyDescent="0.2">
      <c r="A1703" s="198"/>
      <c r="B1703" s="198"/>
    </row>
    <row r="1704" spans="1:2" x14ac:dyDescent="0.2">
      <c r="A1704" s="198"/>
      <c r="B1704" s="198"/>
    </row>
    <row r="1705" spans="1:2" x14ac:dyDescent="0.2">
      <c r="A1705" s="198"/>
      <c r="B1705" s="198"/>
    </row>
    <row r="1706" spans="1:2" x14ac:dyDescent="0.2">
      <c r="A1706" s="198"/>
      <c r="B1706" s="198"/>
    </row>
    <row r="1707" spans="1:2" x14ac:dyDescent="0.2">
      <c r="A1707" s="198"/>
      <c r="B1707" s="198"/>
    </row>
    <row r="1708" spans="1:2" x14ac:dyDescent="0.2">
      <c r="A1708" s="198"/>
      <c r="B1708" s="198"/>
    </row>
    <row r="1709" spans="1:2" x14ac:dyDescent="0.2">
      <c r="A1709" s="198"/>
      <c r="B1709" s="198"/>
    </row>
    <row r="1710" spans="1:2" x14ac:dyDescent="0.2">
      <c r="A1710" s="198"/>
      <c r="B1710" s="198"/>
    </row>
    <row r="1711" spans="1:2" x14ac:dyDescent="0.2">
      <c r="A1711" s="198"/>
      <c r="B1711" s="198"/>
    </row>
    <row r="1712" spans="1:2" x14ac:dyDescent="0.2">
      <c r="A1712" s="198"/>
      <c r="B1712" s="198"/>
    </row>
    <row r="1713" spans="1:2" x14ac:dyDescent="0.2">
      <c r="A1713" s="198"/>
      <c r="B1713" s="198"/>
    </row>
    <row r="1714" spans="1:2" x14ac:dyDescent="0.2">
      <c r="A1714" s="198"/>
      <c r="B1714" s="198"/>
    </row>
    <row r="1715" spans="1:2" x14ac:dyDescent="0.2">
      <c r="A1715" s="198"/>
      <c r="B1715" s="198"/>
    </row>
    <row r="1716" spans="1:2" x14ac:dyDescent="0.2">
      <c r="A1716" s="198"/>
      <c r="B1716" s="198"/>
    </row>
    <row r="1717" spans="1:2" x14ac:dyDescent="0.2">
      <c r="A1717" s="198"/>
      <c r="B1717" s="198"/>
    </row>
    <row r="1718" spans="1:2" x14ac:dyDescent="0.2">
      <c r="A1718" s="198"/>
      <c r="B1718" s="198"/>
    </row>
    <row r="1719" spans="1:2" x14ac:dyDescent="0.2">
      <c r="A1719" s="198"/>
      <c r="B1719" s="198"/>
    </row>
    <row r="1720" spans="1:2" x14ac:dyDescent="0.2">
      <c r="A1720" s="198"/>
      <c r="B1720" s="198"/>
    </row>
    <row r="1721" spans="1:2" x14ac:dyDescent="0.2">
      <c r="A1721" s="198"/>
      <c r="B1721" s="198"/>
    </row>
    <row r="1722" spans="1:2" x14ac:dyDescent="0.2">
      <c r="A1722" s="198"/>
      <c r="B1722" s="198"/>
    </row>
    <row r="1723" spans="1:2" x14ac:dyDescent="0.2">
      <c r="A1723" s="198"/>
      <c r="B1723" s="198"/>
    </row>
    <row r="1724" spans="1:2" x14ac:dyDescent="0.2">
      <c r="A1724" s="198"/>
      <c r="B1724" s="198"/>
    </row>
    <row r="1725" spans="1:2" x14ac:dyDescent="0.2">
      <c r="A1725" s="198"/>
      <c r="B1725" s="198"/>
    </row>
    <row r="1726" spans="1:2" x14ac:dyDescent="0.2">
      <c r="A1726" s="198"/>
      <c r="B1726" s="198"/>
    </row>
    <row r="1727" spans="1:2" x14ac:dyDescent="0.2">
      <c r="A1727" s="198"/>
      <c r="B1727" s="198"/>
    </row>
    <row r="1728" spans="1:2" x14ac:dyDescent="0.2">
      <c r="A1728" s="198"/>
      <c r="B1728" s="198"/>
    </row>
    <row r="1729" spans="1:2" x14ac:dyDescent="0.2">
      <c r="A1729" s="198"/>
      <c r="B1729" s="198"/>
    </row>
    <row r="1730" spans="1:2" x14ac:dyDescent="0.2">
      <c r="A1730" s="198"/>
      <c r="B1730" s="198"/>
    </row>
    <row r="1731" spans="1:2" x14ac:dyDescent="0.2">
      <c r="A1731" s="198"/>
      <c r="B1731" s="198"/>
    </row>
    <row r="1732" spans="1:2" x14ac:dyDescent="0.2">
      <c r="A1732" s="198"/>
      <c r="B1732" s="198"/>
    </row>
    <row r="1733" spans="1:2" x14ac:dyDescent="0.2">
      <c r="A1733" s="198"/>
      <c r="B1733" s="198"/>
    </row>
    <row r="1734" spans="1:2" x14ac:dyDescent="0.2">
      <c r="A1734" s="198"/>
      <c r="B1734" s="198"/>
    </row>
    <row r="1735" spans="1:2" x14ac:dyDescent="0.2">
      <c r="A1735" s="198"/>
      <c r="B1735" s="198"/>
    </row>
    <row r="1736" spans="1:2" x14ac:dyDescent="0.2">
      <c r="A1736" s="198"/>
      <c r="B1736" s="198"/>
    </row>
    <row r="1737" spans="1:2" x14ac:dyDescent="0.2">
      <c r="A1737" s="198"/>
      <c r="B1737" s="198"/>
    </row>
    <row r="1738" spans="1:2" x14ac:dyDescent="0.2">
      <c r="A1738" s="198"/>
      <c r="B1738" s="198"/>
    </row>
    <row r="1739" spans="1:2" x14ac:dyDescent="0.2">
      <c r="A1739" s="198"/>
      <c r="B1739" s="198"/>
    </row>
    <row r="1740" spans="1:2" x14ac:dyDescent="0.2">
      <c r="A1740" s="198"/>
      <c r="B1740" s="198"/>
    </row>
    <row r="1741" spans="1:2" x14ac:dyDescent="0.2">
      <c r="A1741" s="198"/>
      <c r="B1741" s="198"/>
    </row>
    <row r="1742" spans="1:2" x14ac:dyDescent="0.2">
      <c r="A1742" s="198"/>
      <c r="B1742" s="198"/>
    </row>
    <row r="1743" spans="1:2" x14ac:dyDescent="0.2">
      <c r="A1743" s="198"/>
      <c r="B1743" s="198"/>
    </row>
    <row r="1744" spans="1:2" x14ac:dyDescent="0.2">
      <c r="A1744" s="198"/>
      <c r="B1744" s="198"/>
    </row>
    <row r="1745" spans="1:2" x14ac:dyDescent="0.2">
      <c r="A1745" s="198"/>
      <c r="B1745" s="198"/>
    </row>
    <row r="1746" spans="1:2" x14ac:dyDescent="0.2">
      <c r="A1746" s="198"/>
      <c r="B1746" s="198"/>
    </row>
    <row r="1747" spans="1:2" x14ac:dyDescent="0.2">
      <c r="A1747" s="198"/>
      <c r="B1747" s="198"/>
    </row>
    <row r="1748" spans="1:2" x14ac:dyDescent="0.2">
      <c r="A1748" s="198"/>
      <c r="B1748" s="198"/>
    </row>
    <row r="1749" spans="1:2" x14ac:dyDescent="0.2">
      <c r="A1749" s="198"/>
      <c r="B1749" s="198"/>
    </row>
    <row r="1750" spans="1:2" x14ac:dyDescent="0.2">
      <c r="A1750" s="198"/>
      <c r="B1750" s="198"/>
    </row>
    <row r="1751" spans="1:2" x14ac:dyDescent="0.2">
      <c r="A1751" s="198"/>
      <c r="B1751" s="198"/>
    </row>
    <row r="1752" spans="1:2" x14ac:dyDescent="0.2">
      <c r="A1752" s="198"/>
      <c r="B1752" s="198"/>
    </row>
    <row r="1753" spans="1:2" x14ac:dyDescent="0.2">
      <c r="A1753" s="198"/>
      <c r="B1753" s="198"/>
    </row>
    <row r="1754" spans="1:2" x14ac:dyDescent="0.2">
      <c r="A1754" s="198"/>
      <c r="B1754" s="198"/>
    </row>
    <row r="1755" spans="1:2" x14ac:dyDescent="0.2">
      <c r="A1755" s="198"/>
      <c r="B1755" s="198"/>
    </row>
    <row r="1756" spans="1:2" x14ac:dyDescent="0.2">
      <c r="A1756" s="198"/>
      <c r="B1756" s="198"/>
    </row>
    <row r="1757" spans="1:2" x14ac:dyDescent="0.2">
      <c r="A1757" s="198"/>
      <c r="B1757" s="198"/>
    </row>
    <row r="1758" spans="1:2" x14ac:dyDescent="0.2">
      <c r="A1758" s="198"/>
      <c r="B1758" s="198"/>
    </row>
    <row r="1759" spans="1:2" x14ac:dyDescent="0.2">
      <c r="A1759" s="198"/>
      <c r="B1759" s="198"/>
    </row>
    <row r="1760" spans="1:2" x14ac:dyDescent="0.2">
      <c r="A1760" s="198"/>
      <c r="B1760" s="198"/>
    </row>
    <row r="1761" spans="1:2" x14ac:dyDescent="0.2">
      <c r="A1761" s="198"/>
      <c r="B1761" s="198"/>
    </row>
    <row r="1762" spans="1:2" x14ac:dyDescent="0.2">
      <c r="A1762" s="198"/>
      <c r="B1762" s="198"/>
    </row>
    <row r="1763" spans="1:2" x14ac:dyDescent="0.2">
      <c r="A1763" s="198"/>
      <c r="B1763" s="198"/>
    </row>
    <row r="1764" spans="1:2" x14ac:dyDescent="0.2">
      <c r="A1764" s="198"/>
      <c r="B1764" s="198"/>
    </row>
    <row r="1765" spans="1:2" x14ac:dyDescent="0.2">
      <c r="A1765" s="198"/>
      <c r="B1765" s="198"/>
    </row>
    <row r="1766" spans="1:2" x14ac:dyDescent="0.2">
      <c r="A1766" s="198"/>
      <c r="B1766" s="198"/>
    </row>
    <row r="1767" spans="1:2" x14ac:dyDescent="0.2">
      <c r="A1767" s="198"/>
      <c r="B1767" s="198"/>
    </row>
    <row r="1768" spans="1:2" x14ac:dyDescent="0.2">
      <c r="A1768" s="198"/>
      <c r="B1768" s="198"/>
    </row>
    <row r="1769" spans="1:2" x14ac:dyDescent="0.2">
      <c r="A1769" s="198"/>
      <c r="B1769" s="198"/>
    </row>
    <row r="1770" spans="1:2" x14ac:dyDescent="0.2">
      <c r="A1770" s="198"/>
      <c r="B1770" s="198"/>
    </row>
    <row r="1771" spans="1:2" x14ac:dyDescent="0.2">
      <c r="A1771" s="198"/>
      <c r="B1771" s="198"/>
    </row>
    <row r="1772" spans="1:2" x14ac:dyDescent="0.2">
      <c r="A1772" s="198"/>
      <c r="B1772" s="198"/>
    </row>
    <row r="1773" spans="1:2" x14ac:dyDescent="0.2">
      <c r="A1773" s="198"/>
      <c r="B1773" s="198"/>
    </row>
    <row r="1774" spans="1:2" x14ac:dyDescent="0.2">
      <c r="A1774" s="198"/>
      <c r="B1774" s="198"/>
    </row>
    <row r="1775" spans="1:2" x14ac:dyDescent="0.2">
      <c r="A1775" s="198"/>
      <c r="B1775" s="198"/>
    </row>
    <row r="1776" spans="1:2" x14ac:dyDescent="0.2">
      <c r="A1776" s="198"/>
      <c r="B1776" s="198"/>
    </row>
    <row r="1777" spans="1:2" x14ac:dyDescent="0.2">
      <c r="A1777" s="198"/>
      <c r="B1777" s="198"/>
    </row>
    <row r="1778" spans="1:2" x14ac:dyDescent="0.2">
      <c r="A1778" s="198"/>
      <c r="B1778" s="198"/>
    </row>
    <row r="1779" spans="1:2" x14ac:dyDescent="0.2">
      <c r="A1779" s="198"/>
      <c r="B1779" s="198"/>
    </row>
    <row r="1780" spans="1:2" x14ac:dyDescent="0.2">
      <c r="A1780" s="198"/>
      <c r="B1780" s="198"/>
    </row>
    <row r="1781" spans="1:2" x14ac:dyDescent="0.2">
      <c r="A1781" s="198"/>
      <c r="B1781" s="198"/>
    </row>
    <row r="1782" spans="1:2" x14ac:dyDescent="0.2">
      <c r="A1782" s="198"/>
      <c r="B1782" s="198"/>
    </row>
    <row r="1783" spans="1:2" x14ac:dyDescent="0.2">
      <c r="A1783" s="198"/>
      <c r="B1783" s="198"/>
    </row>
    <row r="1784" spans="1:2" x14ac:dyDescent="0.2">
      <c r="A1784" s="198"/>
      <c r="B1784" s="198"/>
    </row>
    <row r="1785" spans="1:2" x14ac:dyDescent="0.2">
      <c r="A1785" s="198"/>
      <c r="B1785" s="198"/>
    </row>
    <row r="1786" spans="1:2" x14ac:dyDescent="0.2">
      <c r="A1786" s="198"/>
      <c r="B1786" s="198"/>
    </row>
    <row r="1787" spans="1:2" x14ac:dyDescent="0.2">
      <c r="A1787" s="198"/>
      <c r="B1787" s="198"/>
    </row>
    <row r="1788" spans="1:2" x14ac:dyDescent="0.2">
      <c r="A1788" s="198"/>
      <c r="B1788" s="198"/>
    </row>
    <row r="1789" spans="1:2" x14ac:dyDescent="0.2">
      <c r="A1789" s="198"/>
      <c r="B1789" s="198"/>
    </row>
    <row r="1790" spans="1:2" x14ac:dyDescent="0.2">
      <c r="A1790" s="198"/>
      <c r="B1790" s="198"/>
    </row>
    <row r="1791" spans="1:2" x14ac:dyDescent="0.2">
      <c r="A1791" s="198"/>
      <c r="B1791" s="198"/>
    </row>
    <row r="1792" spans="1:2" x14ac:dyDescent="0.2">
      <c r="A1792" s="198"/>
      <c r="B1792" s="198"/>
    </row>
    <row r="1793" spans="1:2" x14ac:dyDescent="0.2">
      <c r="A1793" s="198"/>
      <c r="B1793" s="198"/>
    </row>
    <row r="1794" spans="1:2" x14ac:dyDescent="0.2">
      <c r="A1794" s="198"/>
      <c r="B1794" s="198"/>
    </row>
    <row r="1795" spans="1:2" x14ac:dyDescent="0.2">
      <c r="A1795" s="198"/>
      <c r="B1795" s="198"/>
    </row>
    <row r="1796" spans="1:2" x14ac:dyDescent="0.2">
      <c r="A1796" s="198"/>
      <c r="B1796" s="198"/>
    </row>
    <row r="1797" spans="1:2" x14ac:dyDescent="0.2">
      <c r="A1797" s="198"/>
      <c r="B1797" s="198"/>
    </row>
    <row r="1798" spans="1:2" x14ac:dyDescent="0.2">
      <c r="A1798" s="198"/>
      <c r="B1798" s="198"/>
    </row>
    <row r="1799" spans="1:2" x14ac:dyDescent="0.2">
      <c r="A1799" s="198"/>
      <c r="B1799" s="198"/>
    </row>
    <row r="1800" spans="1:2" x14ac:dyDescent="0.2">
      <c r="A1800" s="198"/>
      <c r="B1800" s="198"/>
    </row>
    <row r="1801" spans="1:2" x14ac:dyDescent="0.2">
      <c r="A1801" s="198"/>
      <c r="B1801" s="198"/>
    </row>
    <row r="1802" spans="1:2" x14ac:dyDescent="0.2">
      <c r="A1802" s="198"/>
      <c r="B1802" s="198"/>
    </row>
    <row r="1803" spans="1:2" x14ac:dyDescent="0.2">
      <c r="A1803" s="198"/>
      <c r="B1803" s="198"/>
    </row>
    <row r="1804" spans="1:2" x14ac:dyDescent="0.2">
      <c r="A1804" s="198"/>
      <c r="B1804" s="198"/>
    </row>
    <row r="1805" spans="1:2" x14ac:dyDescent="0.2">
      <c r="A1805" s="198"/>
      <c r="B1805" s="198"/>
    </row>
    <row r="1806" spans="1:2" x14ac:dyDescent="0.2">
      <c r="A1806" s="198"/>
      <c r="B1806" s="198"/>
    </row>
    <row r="1807" spans="1:2" x14ac:dyDescent="0.2">
      <c r="A1807" s="198"/>
      <c r="B1807" s="198"/>
    </row>
    <row r="1808" spans="1:2" x14ac:dyDescent="0.2">
      <c r="A1808" s="198"/>
      <c r="B1808" s="198"/>
    </row>
    <row r="1809" spans="1:2" x14ac:dyDescent="0.2">
      <c r="A1809" s="198"/>
      <c r="B1809" s="198"/>
    </row>
    <row r="1810" spans="1:2" x14ac:dyDescent="0.2">
      <c r="A1810" s="198"/>
      <c r="B1810" s="198"/>
    </row>
    <row r="1811" spans="1:2" x14ac:dyDescent="0.2">
      <c r="A1811" s="198"/>
      <c r="B1811" s="198"/>
    </row>
    <row r="1812" spans="1:2" x14ac:dyDescent="0.2">
      <c r="A1812" s="198"/>
      <c r="B1812" s="198"/>
    </row>
    <row r="1813" spans="1:2" x14ac:dyDescent="0.2">
      <c r="A1813" s="198"/>
      <c r="B1813" s="198"/>
    </row>
    <row r="1814" spans="1:2" x14ac:dyDescent="0.2">
      <c r="A1814" s="198"/>
      <c r="B1814" s="198"/>
    </row>
    <row r="1815" spans="1:2" x14ac:dyDescent="0.2">
      <c r="A1815" s="198"/>
      <c r="B1815" s="198"/>
    </row>
    <row r="1816" spans="1:2" x14ac:dyDescent="0.2">
      <c r="A1816" s="198"/>
      <c r="B1816" s="198"/>
    </row>
    <row r="1817" spans="1:2" x14ac:dyDescent="0.2">
      <c r="A1817" s="198"/>
      <c r="B1817" s="198"/>
    </row>
    <row r="1818" spans="1:2" x14ac:dyDescent="0.2">
      <c r="A1818" s="198"/>
      <c r="B1818" s="198"/>
    </row>
    <row r="1819" spans="1:2" x14ac:dyDescent="0.2">
      <c r="A1819" s="198"/>
      <c r="B1819" s="198"/>
    </row>
    <row r="1820" spans="1:2" x14ac:dyDescent="0.2">
      <c r="A1820" s="198"/>
      <c r="B1820" s="198"/>
    </row>
    <row r="1821" spans="1:2" x14ac:dyDescent="0.2">
      <c r="A1821" s="198"/>
      <c r="B1821" s="198"/>
    </row>
    <row r="1822" spans="1:2" x14ac:dyDescent="0.2">
      <c r="A1822" s="198"/>
      <c r="B1822" s="198"/>
    </row>
    <row r="1823" spans="1:2" x14ac:dyDescent="0.2">
      <c r="A1823" s="198"/>
      <c r="B1823" s="198"/>
    </row>
    <row r="1824" spans="1:2" x14ac:dyDescent="0.2">
      <c r="A1824" s="198"/>
      <c r="B1824" s="198"/>
    </row>
    <row r="1825" spans="1:2" x14ac:dyDescent="0.2">
      <c r="A1825" s="198"/>
      <c r="B1825" s="198"/>
    </row>
    <row r="1826" spans="1:2" x14ac:dyDescent="0.2">
      <c r="A1826" s="198"/>
      <c r="B1826" s="198"/>
    </row>
    <row r="1827" spans="1:2" x14ac:dyDescent="0.2">
      <c r="A1827" s="198"/>
      <c r="B1827" s="198"/>
    </row>
    <row r="1828" spans="1:2" x14ac:dyDescent="0.2">
      <c r="A1828" s="198"/>
      <c r="B1828" s="198"/>
    </row>
    <row r="1829" spans="1:2" x14ac:dyDescent="0.2">
      <c r="A1829" s="198"/>
      <c r="B1829" s="198"/>
    </row>
    <row r="1830" spans="1:2" x14ac:dyDescent="0.2">
      <c r="A1830" s="198"/>
      <c r="B1830" s="198"/>
    </row>
    <row r="1831" spans="1:2" x14ac:dyDescent="0.2">
      <c r="A1831" s="198"/>
      <c r="B1831" s="198"/>
    </row>
    <row r="1832" spans="1:2" x14ac:dyDescent="0.2">
      <c r="A1832" s="198"/>
      <c r="B1832" s="198"/>
    </row>
    <row r="1833" spans="1:2" x14ac:dyDescent="0.2">
      <c r="A1833" s="198"/>
      <c r="B1833" s="198"/>
    </row>
    <row r="1834" spans="1:2" x14ac:dyDescent="0.2">
      <c r="A1834" s="198"/>
      <c r="B1834" s="198"/>
    </row>
    <row r="1835" spans="1:2" x14ac:dyDescent="0.2">
      <c r="A1835" s="198"/>
      <c r="B1835" s="198"/>
    </row>
    <row r="1836" spans="1:2" x14ac:dyDescent="0.2">
      <c r="A1836" s="198"/>
      <c r="B1836" s="198"/>
    </row>
    <row r="1837" spans="1:2" x14ac:dyDescent="0.2">
      <c r="A1837" s="198"/>
      <c r="B1837" s="198"/>
    </row>
    <row r="1838" spans="1:2" x14ac:dyDescent="0.2">
      <c r="A1838" s="198"/>
      <c r="B1838" s="198"/>
    </row>
    <row r="1839" spans="1:2" x14ac:dyDescent="0.2">
      <c r="A1839" s="198"/>
      <c r="B1839" s="198"/>
    </row>
    <row r="1840" spans="1:2" x14ac:dyDescent="0.2">
      <c r="A1840" s="198"/>
      <c r="B1840" s="198"/>
    </row>
    <row r="1841" spans="1:2" x14ac:dyDescent="0.2">
      <c r="A1841" s="198"/>
      <c r="B1841" s="198"/>
    </row>
    <row r="1842" spans="1:2" x14ac:dyDescent="0.2">
      <c r="A1842" s="198"/>
      <c r="B1842" s="198"/>
    </row>
    <row r="1843" spans="1:2" x14ac:dyDescent="0.2">
      <c r="A1843" s="198"/>
      <c r="B1843" s="198"/>
    </row>
    <row r="1844" spans="1:2" x14ac:dyDescent="0.2">
      <c r="A1844" s="198"/>
      <c r="B1844" s="198"/>
    </row>
    <row r="1845" spans="1:2" x14ac:dyDescent="0.2">
      <c r="A1845" s="198"/>
      <c r="B1845" s="198"/>
    </row>
    <row r="1846" spans="1:2" x14ac:dyDescent="0.2">
      <c r="A1846" s="198"/>
      <c r="B1846" s="198"/>
    </row>
    <row r="1847" spans="1:2" x14ac:dyDescent="0.2">
      <c r="A1847" s="198"/>
      <c r="B1847" s="198"/>
    </row>
    <row r="1848" spans="1:2" x14ac:dyDescent="0.2">
      <c r="A1848" s="198"/>
      <c r="B1848" s="198"/>
    </row>
    <row r="1849" spans="1:2" x14ac:dyDescent="0.2">
      <c r="A1849" s="198"/>
      <c r="B1849" s="198"/>
    </row>
    <row r="1850" spans="1:2" x14ac:dyDescent="0.2">
      <c r="A1850" s="198"/>
      <c r="B1850" s="198"/>
    </row>
    <row r="1851" spans="1:2" x14ac:dyDescent="0.2">
      <c r="A1851" s="198"/>
      <c r="B1851" s="198"/>
    </row>
    <row r="1852" spans="1:2" x14ac:dyDescent="0.2">
      <c r="A1852" s="198"/>
      <c r="B1852" s="198"/>
    </row>
    <row r="1853" spans="1:2" x14ac:dyDescent="0.2">
      <c r="A1853" s="198"/>
      <c r="B1853" s="198"/>
    </row>
    <row r="1854" spans="1:2" x14ac:dyDescent="0.2">
      <c r="A1854" s="198"/>
      <c r="B1854" s="198"/>
    </row>
    <row r="1855" spans="1:2" x14ac:dyDescent="0.2">
      <c r="A1855" s="198"/>
      <c r="B1855" s="198"/>
    </row>
    <row r="1856" spans="1:2" x14ac:dyDescent="0.2">
      <c r="A1856" s="198"/>
      <c r="B1856" s="198"/>
    </row>
    <row r="1857" spans="1:2" x14ac:dyDescent="0.2">
      <c r="A1857" s="198"/>
      <c r="B1857" s="198"/>
    </row>
    <row r="1858" spans="1:2" x14ac:dyDescent="0.2">
      <c r="A1858" s="198"/>
      <c r="B1858" s="198"/>
    </row>
    <row r="1859" spans="1:2" x14ac:dyDescent="0.2">
      <c r="A1859" s="198"/>
      <c r="B1859" s="198"/>
    </row>
    <row r="1860" spans="1:2" x14ac:dyDescent="0.2">
      <c r="A1860" s="198"/>
      <c r="B1860" s="198"/>
    </row>
    <row r="1861" spans="1:2" x14ac:dyDescent="0.2">
      <c r="A1861" s="198"/>
      <c r="B1861" s="198"/>
    </row>
    <row r="1862" spans="1:2" x14ac:dyDescent="0.2">
      <c r="A1862" s="198"/>
      <c r="B1862" s="198"/>
    </row>
    <row r="1863" spans="1:2" x14ac:dyDescent="0.2">
      <c r="A1863" s="198"/>
      <c r="B1863" s="198"/>
    </row>
    <row r="1864" spans="1:2" x14ac:dyDescent="0.2">
      <c r="A1864" s="198"/>
      <c r="B1864" s="198"/>
    </row>
    <row r="1865" spans="1:2" x14ac:dyDescent="0.2">
      <c r="A1865" s="198"/>
      <c r="B1865" s="198"/>
    </row>
    <row r="1866" spans="1:2" x14ac:dyDescent="0.2">
      <c r="A1866" s="198"/>
      <c r="B1866" s="198"/>
    </row>
    <row r="1867" spans="1:2" x14ac:dyDescent="0.2">
      <c r="A1867" s="198"/>
      <c r="B1867" s="198"/>
    </row>
    <row r="1868" spans="1:2" x14ac:dyDescent="0.2">
      <c r="A1868" s="198"/>
      <c r="B1868" s="198"/>
    </row>
    <row r="1869" spans="1:2" x14ac:dyDescent="0.2">
      <c r="A1869" s="198"/>
      <c r="B1869" s="198"/>
    </row>
    <row r="1870" spans="1:2" x14ac:dyDescent="0.2">
      <c r="A1870" s="198"/>
      <c r="B1870" s="198"/>
    </row>
    <row r="1871" spans="1:2" x14ac:dyDescent="0.2">
      <c r="A1871" s="198"/>
      <c r="B1871" s="198"/>
    </row>
    <row r="1872" spans="1:2" x14ac:dyDescent="0.2">
      <c r="A1872" s="198"/>
      <c r="B1872" s="198"/>
    </row>
    <row r="1873" spans="1:2" x14ac:dyDescent="0.2">
      <c r="A1873" s="198"/>
      <c r="B1873" s="198"/>
    </row>
    <row r="1874" spans="1:2" x14ac:dyDescent="0.2">
      <c r="A1874" s="198"/>
      <c r="B1874" s="198"/>
    </row>
    <row r="1875" spans="1:2" x14ac:dyDescent="0.2">
      <c r="A1875" s="198"/>
      <c r="B1875" s="198"/>
    </row>
    <row r="1876" spans="1:2" x14ac:dyDescent="0.2">
      <c r="A1876" s="198"/>
      <c r="B1876" s="198"/>
    </row>
    <row r="1877" spans="1:2" x14ac:dyDescent="0.2">
      <c r="A1877" s="198"/>
      <c r="B1877" s="198"/>
    </row>
    <row r="1878" spans="1:2" x14ac:dyDescent="0.2">
      <c r="A1878" s="198"/>
      <c r="B1878" s="198"/>
    </row>
    <row r="1879" spans="1:2" x14ac:dyDescent="0.2">
      <c r="A1879" s="198"/>
      <c r="B1879" s="198"/>
    </row>
    <row r="1880" spans="1:2" x14ac:dyDescent="0.2">
      <c r="A1880" s="198"/>
      <c r="B1880" s="198"/>
    </row>
    <row r="1881" spans="1:2" x14ac:dyDescent="0.2">
      <c r="A1881" s="198"/>
      <c r="B1881" s="198"/>
    </row>
    <row r="1882" spans="1:2" x14ac:dyDescent="0.2">
      <c r="A1882" s="198"/>
      <c r="B1882" s="198"/>
    </row>
    <row r="1883" spans="1:2" x14ac:dyDescent="0.2">
      <c r="A1883" s="198"/>
      <c r="B1883" s="198"/>
    </row>
    <row r="1884" spans="1:2" x14ac:dyDescent="0.2">
      <c r="A1884" s="198"/>
      <c r="B1884" s="198"/>
    </row>
    <row r="1885" spans="1:2" x14ac:dyDescent="0.2">
      <c r="A1885" s="198"/>
      <c r="B1885" s="198"/>
    </row>
    <row r="1886" spans="1:2" x14ac:dyDescent="0.2">
      <c r="A1886" s="198"/>
      <c r="B1886" s="198"/>
    </row>
    <row r="1887" spans="1:2" x14ac:dyDescent="0.2">
      <c r="A1887" s="198"/>
      <c r="B1887" s="198"/>
    </row>
    <row r="1888" spans="1:2" x14ac:dyDescent="0.2">
      <c r="A1888" s="198"/>
      <c r="B1888" s="198"/>
    </row>
    <row r="1889" spans="1:2" x14ac:dyDescent="0.2">
      <c r="A1889" s="198"/>
      <c r="B1889" s="198"/>
    </row>
    <row r="1890" spans="1:2" x14ac:dyDescent="0.2">
      <c r="A1890" s="198"/>
      <c r="B1890" s="198"/>
    </row>
    <row r="1891" spans="1:2" x14ac:dyDescent="0.2">
      <c r="A1891" s="198"/>
      <c r="B1891" s="198"/>
    </row>
    <row r="1892" spans="1:2" x14ac:dyDescent="0.2">
      <c r="A1892" s="198"/>
      <c r="B1892" s="198"/>
    </row>
    <row r="1893" spans="1:2" x14ac:dyDescent="0.2">
      <c r="A1893" s="198"/>
      <c r="B1893" s="198"/>
    </row>
    <row r="1894" spans="1:2" x14ac:dyDescent="0.2">
      <c r="A1894" s="198"/>
      <c r="B1894" s="198"/>
    </row>
    <row r="1895" spans="1:2" x14ac:dyDescent="0.2">
      <c r="A1895" s="198"/>
      <c r="B1895" s="198"/>
    </row>
    <row r="1896" spans="1:2" x14ac:dyDescent="0.2">
      <c r="A1896" s="198"/>
      <c r="B1896" s="198"/>
    </row>
    <row r="1897" spans="1:2" x14ac:dyDescent="0.2">
      <c r="A1897" s="198"/>
      <c r="B1897" s="198"/>
    </row>
    <row r="1898" spans="1:2" x14ac:dyDescent="0.2">
      <c r="A1898" s="198"/>
      <c r="B1898" s="198"/>
    </row>
    <row r="1899" spans="1:2" x14ac:dyDescent="0.2">
      <c r="A1899" s="198"/>
      <c r="B1899" s="198"/>
    </row>
    <row r="1900" spans="1:2" x14ac:dyDescent="0.2">
      <c r="A1900" s="198"/>
      <c r="B1900" s="198"/>
    </row>
    <row r="1901" spans="1:2" x14ac:dyDescent="0.2">
      <c r="A1901" s="198"/>
      <c r="B1901" s="198"/>
    </row>
    <row r="1902" spans="1:2" x14ac:dyDescent="0.2">
      <c r="A1902" s="198"/>
      <c r="B1902" s="198"/>
    </row>
    <row r="1903" spans="1:2" x14ac:dyDescent="0.2">
      <c r="A1903" s="198"/>
      <c r="B1903" s="198"/>
    </row>
    <row r="1904" spans="1:2" x14ac:dyDescent="0.2">
      <c r="A1904" s="198"/>
      <c r="B1904" s="198"/>
    </row>
    <row r="1905" spans="1:2" x14ac:dyDescent="0.2">
      <c r="A1905" s="198"/>
      <c r="B1905" s="198"/>
    </row>
    <row r="1906" spans="1:2" x14ac:dyDescent="0.2">
      <c r="A1906" s="198"/>
      <c r="B1906" s="198"/>
    </row>
    <row r="1907" spans="1:2" x14ac:dyDescent="0.2">
      <c r="A1907" s="198"/>
      <c r="B1907" s="198"/>
    </row>
    <row r="1908" spans="1:2" x14ac:dyDescent="0.2">
      <c r="A1908" s="198"/>
      <c r="B1908" s="198"/>
    </row>
    <row r="1909" spans="1:2" x14ac:dyDescent="0.2">
      <c r="A1909" s="198"/>
      <c r="B1909" s="198"/>
    </row>
    <row r="1910" spans="1:2" x14ac:dyDescent="0.2">
      <c r="A1910" s="198"/>
      <c r="B1910" s="198"/>
    </row>
    <row r="1911" spans="1:2" x14ac:dyDescent="0.2">
      <c r="A1911" s="198"/>
      <c r="B1911" s="198"/>
    </row>
    <row r="1912" spans="1:2" x14ac:dyDescent="0.2">
      <c r="A1912" s="198"/>
      <c r="B1912" s="198"/>
    </row>
    <row r="1913" spans="1:2" x14ac:dyDescent="0.2">
      <c r="A1913" s="198"/>
      <c r="B1913" s="198"/>
    </row>
    <row r="1914" spans="1:2" x14ac:dyDescent="0.2">
      <c r="A1914" s="198"/>
      <c r="B1914" s="198"/>
    </row>
    <row r="1915" spans="1:2" x14ac:dyDescent="0.2">
      <c r="A1915" s="198"/>
      <c r="B1915" s="198"/>
    </row>
    <row r="1916" spans="1:2" x14ac:dyDescent="0.2">
      <c r="A1916" s="198"/>
      <c r="B1916" s="198"/>
    </row>
    <row r="1917" spans="1:2" x14ac:dyDescent="0.2">
      <c r="A1917" s="198"/>
      <c r="B1917" s="198"/>
    </row>
    <row r="1918" spans="1:2" x14ac:dyDescent="0.2">
      <c r="A1918" s="198"/>
      <c r="B1918" s="198"/>
    </row>
    <row r="1919" spans="1:2" x14ac:dyDescent="0.2">
      <c r="A1919" s="198"/>
      <c r="B1919" s="198"/>
    </row>
    <row r="1920" spans="1:2" x14ac:dyDescent="0.2">
      <c r="A1920" s="198"/>
      <c r="B1920" s="198"/>
    </row>
    <row r="1921" spans="1:2" x14ac:dyDescent="0.2">
      <c r="A1921" s="198"/>
      <c r="B1921" s="198"/>
    </row>
    <row r="1922" spans="1:2" x14ac:dyDescent="0.2">
      <c r="A1922" s="198"/>
      <c r="B1922" s="198"/>
    </row>
    <row r="1923" spans="1:2" x14ac:dyDescent="0.2">
      <c r="A1923" s="198"/>
      <c r="B1923" s="198"/>
    </row>
    <row r="1924" spans="1:2" x14ac:dyDescent="0.2">
      <c r="A1924" s="198"/>
      <c r="B1924" s="198"/>
    </row>
    <row r="1925" spans="1:2" x14ac:dyDescent="0.2">
      <c r="A1925" s="198"/>
      <c r="B1925" s="198"/>
    </row>
    <row r="1926" spans="1:2" x14ac:dyDescent="0.2">
      <c r="A1926" s="198"/>
      <c r="B1926" s="198"/>
    </row>
    <row r="1927" spans="1:2" x14ac:dyDescent="0.2">
      <c r="A1927" s="198"/>
      <c r="B1927" s="198"/>
    </row>
    <row r="1928" spans="1:2" x14ac:dyDescent="0.2">
      <c r="A1928" s="198"/>
      <c r="B1928" s="198"/>
    </row>
    <row r="1929" spans="1:2" x14ac:dyDescent="0.2">
      <c r="A1929" s="198"/>
      <c r="B1929" s="198"/>
    </row>
    <row r="1930" spans="1:2" x14ac:dyDescent="0.2">
      <c r="A1930" s="198"/>
      <c r="B1930" s="198"/>
    </row>
    <row r="1931" spans="1:2" x14ac:dyDescent="0.2">
      <c r="A1931" s="198"/>
      <c r="B1931" s="198"/>
    </row>
    <row r="1932" spans="1:2" x14ac:dyDescent="0.2">
      <c r="A1932" s="198"/>
      <c r="B1932" s="198"/>
    </row>
    <row r="1933" spans="1:2" x14ac:dyDescent="0.2">
      <c r="A1933" s="198"/>
      <c r="B1933" s="198"/>
    </row>
    <row r="1934" spans="1:2" x14ac:dyDescent="0.2">
      <c r="A1934" s="198"/>
      <c r="B1934" s="198"/>
    </row>
    <row r="1935" spans="1:2" x14ac:dyDescent="0.2">
      <c r="A1935" s="198"/>
      <c r="B1935" s="198"/>
    </row>
    <row r="1936" spans="1:2" x14ac:dyDescent="0.2">
      <c r="A1936" s="198"/>
      <c r="B1936" s="198"/>
    </row>
    <row r="1937" spans="1:2" x14ac:dyDescent="0.2">
      <c r="A1937" s="198"/>
      <c r="B1937" s="198"/>
    </row>
    <row r="1938" spans="1:2" x14ac:dyDescent="0.2">
      <c r="A1938" s="198"/>
      <c r="B1938" s="198"/>
    </row>
    <row r="1939" spans="1:2" x14ac:dyDescent="0.2">
      <c r="A1939" s="198"/>
      <c r="B1939" s="198"/>
    </row>
    <row r="1940" spans="1:2" x14ac:dyDescent="0.2">
      <c r="A1940" s="198"/>
      <c r="B1940" s="198"/>
    </row>
    <row r="1941" spans="1:2" x14ac:dyDescent="0.2">
      <c r="A1941" s="198"/>
      <c r="B1941" s="198"/>
    </row>
    <row r="1942" spans="1:2" x14ac:dyDescent="0.2">
      <c r="A1942" s="198"/>
      <c r="B1942" s="198"/>
    </row>
    <row r="1943" spans="1:2" x14ac:dyDescent="0.2">
      <c r="A1943" s="198"/>
      <c r="B1943" s="198"/>
    </row>
    <row r="1944" spans="1:2" x14ac:dyDescent="0.2">
      <c r="A1944" s="198"/>
      <c r="B1944" s="198"/>
    </row>
    <row r="1945" spans="1:2" x14ac:dyDescent="0.2">
      <c r="A1945" s="198"/>
      <c r="B1945" s="198"/>
    </row>
    <row r="1946" spans="1:2" x14ac:dyDescent="0.2">
      <c r="A1946" s="198"/>
      <c r="B1946" s="198"/>
    </row>
    <row r="1947" spans="1:2" x14ac:dyDescent="0.2">
      <c r="A1947" s="198"/>
      <c r="B1947" s="198"/>
    </row>
    <row r="1948" spans="1:2" x14ac:dyDescent="0.2">
      <c r="A1948" s="198"/>
      <c r="B1948" s="198"/>
    </row>
    <row r="1949" spans="1:2" x14ac:dyDescent="0.2">
      <c r="A1949" s="198"/>
      <c r="B1949" s="198"/>
    </row>
    <row r="1950" spans="1:2" x14ac:dyDescent="0.2">
      <c r="A1950" s="198"/>
      <c r="B1950" s="198"/>
    </row>
    <row r="1951" spans="1:2" x14ac:dyDescent="0.2">
      <c r="A1951" s="198"/>
      <c r="B1951" s="198"/>
    </row>
    <row r="1952" spans="1:2" x14ac:dyDescent="0.2">
      <c r="A1952" s="198"/>
      <c r="B1952" s="198"/>
    </row>
    <row r="1953" spans="1:2" x14ac:dyDescent="0.2">
      <c r="A1953" s="198"/>
      <c r="B1953" s="198"/>
    </row>
    <row r="1954" spans="1:2" x14ac:dyDescent="0.2">
      <c r="A1954" s="198"/>
      <c r="B1954" s="198"/>
    </row>
    <row r="1955" spans="1:2" x14ac:dyDescent="0.2">
      <c r="A1955" s="198"/>
      <c r="B1955" s="198"/>
    </row>
    <row r="1956" spans="1:2" x14ac:dyDescent="0.2">
      <c r="A1956" s="198"/>
      <c r="B1956" s="198"/>
    </row>
    <row r="1957" spans="1:2" x14ac:dyDescent="0.2">
      <c r="A1957" s="198"/>
      <c r="B1957" s="198"/>
    </row>
    <row r="1958" spans="1:2" x14ac:dyDescent="0.2">
      <c r="A1958" s="198"/>
      <c r="B1958" s="198"/>
    </row>
    <row r="1959" spans="1:2" x14ac:dyDescent="0.2">
      <c r="A1959" s="198"/>
      <c r="B1959" s="198"/>
    </row>
    <row r="1960" spans="1:2" x14ac:dyDescent="0.2">
      <c r="A1960" s="198"/>
      <c r="B1960" s="198"/>
    </row>
    <row r="1961" spans="1:2" x14ac:dyDescent="0.2">
      <c r="A1961" s="198"/>
      <c r="B1961" s="198"/>
    </row>
    <row r="1962" spans="1:2" x14ac:dyDescent="0.2">
      <c r="A1962" s="198"/>
      <c r="B1962" s="198"/>
    </row>
    <row r="1963" spans="1:2" x14ac:dyDescent="0.2">
      <c r="A1963" s="198"/>
      <c r="B1963" s="198"/>
    </row>
    <row r="1964" spans="1:2" x14ac:dyDescent="0.2">
      <c r="A1964" s="198"/>
      <c r="B1964" s="198"/>
    </row>
    <row r="1965" spans="1:2" x14ac:dyDescent="0.2">
      <c r="A1965" s="198"/>
      <c r="B1965" s="198"/>
    </row>
    <row r="1966" spans="1:2" x14ac:dyDescent="0.2">
      <c r="A1966" s="198"/>
      <c r="B1966" s="198"/>
    </row>
    <row r="1967" spans="1:2" x14ac:dyDescent="0.2">
      <c r="A1967" s="198"/>
      <c r="B1967" s="198"/>
    </row>
    <row r="1968" spans="1:2" x14ac:dyDescent="0.2">
      <c r="A1968" s="198"/>
      <c r="B1968" s="198"/>
    </row>
    <row r="1969" spans="1:2" x14ac:dyDescent="0.2">
      <c r="A1969" s="198"/>
      <c r="B1969" s="198"/>
    </row>
    <row r="1970" spans="1:2" x14ac:dyDescent="0.2">
      <c r="A1970" s="198"/>
      <c r="B1970" s="198"/>
    </row>
    <row r="1971" spans="1:2" x14ac:dyDescent="0.2">
      <c r="A1971" s="198"/>
      <c r="B1971" s="198"/>
    </row>
    <row r="1972" spans="1:2" x14ac:dyDescent="0.2">
      <c r="A1972" s="198"/>
      <c r="B1972" s="198"/>
    </row>
    <row r="1973" spans="1:2" x14ac:dyDescent="0.2">
      <c r="A1973" s="198"/>
      <c r="B1973" s="198"/>
    </row>
    <row r="1974" spans="1:2" x14ac:dyDescent="0.2">
      <c r="A1974" s="198"/>
      <c r="B1974" s="198"/>
    </row>
    <row r="1975" spans="1:2" x14ac:dyDescent="0.2">
      <c r="A1975" s="198"/>
      <c r="B1975" s="198"/>
    </row>
    <row r="1976" spans="1:2" x14ac:dyDescent="0.2">
      <c r="A1976" s="198"/>
      <c r="B1976" s="198"/>
    </row>
    <row r="1977" spans="1:2" x14ac:dyDescent="0.2">
      <c r="A1977" s="198"/>
      <c r="B1977" s="198"/>
    </row>
    <row r="1978" spans="1:2" x14ac:dyDescent="0.2">
      <c r="A1978" s="198"/>
      <c r="B1978" s="198"/>
    </row>
    <row r="1979" spans="1:2" x14ac:dyDescent="0.2">
      <c r="A1979" s="198"/>
      <c r="B1979" s="198"/>
    </row>
    <row r="1980" spans="1:2" x14ac:dyDescent="0.2">
      <c r="A1980" s="198"/>
      <c r="B1980" s="198"/>
    </row>
    <row r="1981" spans="1:2" x14ac:dyDescent="0.2">
      <c r="A1981" s="198"/>
      <c r="B1981" s="198"/>
    </row>
    <row r="1982" spans="1:2" x14ac:dyDescent="0.2">
      <c r="A1982" s="198"/>
      <c r="B1982" s="198"/>
    </row>
    <row r="1983" spans="1:2" x14ac:dyDescent="0.2">
      <c r="A1983" s="198"/>
      <c r="B1983" s="198"/>
    </row>
    <row r="1984" spans="1:2" x14ac:dyDescent="0.2">
      <c r="A1984" s="198"/>
      <c r="B1984" s="198"/>
    </row>
    <row r="1985" spans="1:2" x14ac:dyDescent="0.2">
      <c r="A1985" s="198"/>
      <c r="B1985" s="198"/>
    </row>
    <row r="1986" spans="1:2" x14ac:dyDescent="0.2">
      <c r="A1986" s="198"/>
      <c r="B1986" s="198"/>
    </row>
    <row r="1987" spans="1:2" x14ac:dyDescent="0.2">
      <c r="A1987" s="198"/>
      <c r="B1987" s="198"/>
    </row>
    <row r="1988" spans="1:2" x14ac:dyDescent="0.2">
      <c r="A1988" s="198"/>
      <c r="B1988" s="198"/>
    </row>
    <row r="1989" spans="1:2" x14ac:dyDescent="0.2">
      <c r="A1989" s="198"/>
      <c r="B1989" s="198"/>
    </row>
    <row r="1990" spans="1:2" x14ac:dyDescent="0.2">
      <c r="A1990" s="198"/>
      <c r="B1990" s="198"/>
    </row>
    <row r="1991" spans="1:2" x14ac:dyDescent="0.2">
      <c r="A1991" s="198"/>
      <c r="B1991" s="198"/>
    </row>
    <row r="1992" spans="1:2" x14ac:dyDescent="0.2">
      <c r="A1992" s="198"/>
      <c r="B1992" s="198"/>
    </row>
    <row r="1993" spans="1:2" x14ac:dyDescent="0.2">
      <c r="A1993" s="198"/>
      <c r="B1993" s="198"/>
    </row>
    <row r="1994" spans="1:2" x14ac:dyDescent="0.2">
      <c r="A1994" s="198"/>
      <c r="B1994" s="198"/>
    </row>
    <row r="1995" spans="1:2" x14ac:dyDescent="0.2">
      <c r="A1995" s="198"/>
      <c r="B1995" s="198"/>
    </row>
    <row r="1996" spans="1:2" x14ac:dyDescent="0.2">
      <c r="A1996" s="198"/>
      <c r="B1996" s="198"/>
    </row>
    <row r="1997" spans="1:2" x14ac:dyDescent="0.2">
      <c r="A1997" s="198"/>
      <c r="B1997" s="198"/>
    </row>
    <row r="1998" spans="1:2" x14ac:dyDescent="0.2">
      <c r="A1998" s="198"/>
      <c r="B1998" s="198"/>
    </row>
    <row r="1999" spans="1:2" x14ac:dyDescent="0.2">
      <c r="A1999" s="198"/>
      <c r="B1999" s="198"/>
    </row>
    <row r="2000" spans="1:2" x14ac:dyDescent="0.2">
      <c r="A2000" s="198"/>
      <c r="B2000" s="198"/>
    </row>
    <row r="2001" spans="1:2" x14ac:dyDescent="0.2">
      <c r="A2001" s="198"/>
      <c r="B2001" s="198"/>
    </row>
    <row r="2002" spans="1:2" x14ac:dyDescent="0.2">
      <c r="A2002" s="198"/>
      <c r="B2002" s="198"/>
    </row>
    <row r="2003" spans="1:2" x14ac:dyDescent="0.2">
      <c r="A2003" s="198"/>
      <c r="B2003" s="198"/>
    </row>
    <row r="2004" spans="1:2" x14ac:dyDescent="0.2">
      <c r="A2004" s="198"/>
      <c r="B2004" s="198"/>
    </row>
    <row r="2005" spans="1:2" x14ac:dyDescent="0.2">
      <c r="A2005" s="198"/>
      <c r="B2005" s="198"/>
    </row>
    <row r="2006" spans="1:2" x14ac:dyDescent="0.2">
      <c r="A2006" s="198"/>
      <c r="B2006" s="198"/>
    </row>
    <row r="2007" spans="1:2" x14ac:dyDescent="0.2">
      <c r="A2007" s="198"/>
      <c r="B2007" s="198"/>
    </row>
    <row r="2008" spans="1:2" x14ac:dyDescent="0.2">
      <c r="A2008" s="198"/>
      <c r="B2008" s="198"/>
    </row>
    <row r="2009" spans="1:2" x14ac:dyDescent="0.2">
      <c r="A2009" s="198"/>
      <c r="B2009" s="198"/>
    </row>
    <row r="2010" spans="1:2" x14ac:dyDescent="0.2">
      <c r="A2010" s="198"/>
      <c r="B2010" s="198"/>
    </row>
    <row r="2011" spans="1:2" x14ac:dyDescent="0.2">
      <c r="A2011" s="198"/>
      <c r="B2011" s="198"/>
    </row>
    <row r="2012" spans="1:2" x14ac:dyDescent="0.2">
      <c r="A2012" s="198"/>
      <c r="B2012" s="198"/>
    </row>
    <row r="2013" spans="1:2" x14ac:dyDescent="0.2">
      <c r="A2013" s="198"/>
      <c r="B2013" s="198"/>
    </row>
    <row r="2014" spans="1:2" x14ac:dyDescent="0.2">
      <c r="A2014" s="198"/>
      <c r="B2014" s="198"/>
    </row>
    <row r="2015" spans="1:2" x14ac:dyDescent="0.2">
      <c r="A2015" s="198"/>
      <c r="B2015" s="198"/>
    </row>
    <row r="2016" spans="1:2" x14ac:dyDescent="0.2">
      <c r="A2016" s="198"/>
      <c r="B2016" s="198"/>
    </row>
    <row r="2017" spans="1:2" x14ac:dyDescent="0.2">
      <c r="A2017" s="198"/>
      <c r="B2017" s="198"/>
    </row>
    <row r="2018" spans="1:2" x14ac:dyDescent="0.2">
      <c r="A2018" s="198"/>
      <c r="B2018" s="198"/>
    </row>
    <row r="2019" spans="1:2" x14ac:dyDescent="0.2">
      <c r="A2019" s="198"/>
      <c r="B2019" s="198"/>
    </row>
    <row r="2020" spans="1:2" x14ac:dyDescent="0.2">
      <c r="A2020" s="198"/>
      <c r="B2020" s="198"/>
    </row>
    <row r="2021" spans="1:2" x14ac:dyDescent="0.2">
      <c r="A2021" s="198"/>
      <c r="B2021" s="198"/>
    </row>
    <row r="2022" spans="1:2" x14ac:dyDescent="0.2">
      <c r="A2022" s="198"/>
      <c r="B2022" s="198"/>
    </row>
    <row r="2023" spans="1:2" x14ac:dyDescent="0.2">
      <c r="A2023" s="198"/>
      <c r="B2023" s="198"/>
    </row>
    <row r="2024" spans="1:2" x14ac:dyDescent="0.2">
      <c r="A2024" s="198"/>
      <c r="B2024" s="198"/>
    </row>
    <row r="2025" spans="1:2" x14ac:dyDescent="0.2">
      <c r="A2025" s="198"/>
      <c r="B2025" s="198"/>
    </row>
    <row r="2026" spans="1:2" x14ac:dyDescent="0.2">
      <c r="A2026" s="198"/>
      <c r="B2026" s="198"/>
    </row>
    <row r="2027" spans="1:2" x14ac:dyDescent="0.2">
      <c r="A2027" s="198"/>
      <c r="B2027" s="198"/>
    </row>
    <row r="2028" spans="1:2" x14ac:dyDescent="0.2">
      <c r="A2028" s="198"/>
      <c r="B2028" s="198"/>
    </row>
    <row r="2029" spans="1:2" x14ac:dyDescent="0.2">
      <c r="A2029" s="198"/>
      <c r="B2029" s="198"/>
    </row>
    <row r="2030" spans="1:2" x14ac:dyDescent="0.2">
      <c r="A2030" s="198"/>
      <c r="B2030" s="198"/>
    </row>
    <row r="2031" spans="1:2" x14ac:dyDescent="0.2">
      <c r="A2031" s="198"/>
      <c r="B2031" s="198"/>
    </row>
    <row r="2032" spans="1:2" x14ac:dyDescent="0.2">
      <c r="A2032" s="198"/>
      <c r="B2032" s="198"/>
    </row>
    <row r="2033" spans="1:2" x14ac:dyDescent="0.2">
      <c r="A2033" s="198"/>
      <c r="B2033" s="198"/>
    </row>
    <row r="2034" spans="1:2" x14ac:dyDescent="0.2">
      <c r="A2034" s="198"/>
      <c r="B2034" s="198"/>
    </row>
    <row r="2035" spans="1:2" x14ac:dyDescent="0.2">
      <c r="A2035" s="198"/>
      <c r="B2035" s="198"/>
    </row>
    <row r="2036" spans="1:2" x14ac:dyDescent="0.2">
      <c r="A2036" s="198"/>
      <c r="B2036" s="198"/>
    </row>
    <row r="2037" spans="1:2" x14ac:dyDescent="0.2">
      <c r="A2037" s="198"/>
      <c r="B2037" s="198"/>
    </row>
    <row r="2038" spans="1:2" x14ac:dyDescent="0.2">
      <c r="A2038" s="198"/>
      <c r="B2038" s="198"/>
    </row>
    <row r="2039" spans="1:2" x14ac:dyDescent="0.2">
      <c r="A2039" s="198"/>
      <c r="B2039" s="198"/>
    </row>
    <row r="2040" spans="1:2" x14ac:dyDescent="0.2">
      <c r="A2040" s="198"/>
      <c r="B2040" s="198"/>
    </row>
    <row r="2041" spans="1:2" x14ac:dyDescent="0.2">
      <c r="A2041" s="198"/>
      <c r="B2041" s="198"/>
    </row>
    <row r="2042" spans="1:2" x14ac:dyDescent="0.2">
      <c r="A2042" s="198"/>
      <c r="B2042" s="198"/>
    </row>
    <row r="2043" spans="1:2" x14ac:dyDescent="0.2">
      <c r="A2043" s="198"/>
      <c r="B2043" s="198"/>
    </row>
    <row r="2044" spans="1:2" x14ac:dyDescent="0.2">
      <c r="A2044" s="198"/>
      <c r="B2044" s="198"/>
    </row>
    <row r="2045" spans="1:2" x14ac:dyDescent="0.2">
      <c r="A2045" s="198"/>
      <c r="B2045" s="198"/>
    </row>
    <row r="2046" spans="1:2" x14ac:dyDescent="0.2">
      <c r="A2046" s="198"/>
      <c r="B2046" s="198"/>
    </row>
    <row r="2047" spans="1:2" x14ac:dyDescent="0.2">
      <c r="A2047" s="198"/>
      <c r="B2047" s="198"/>
    </row>
    <row r="2048" spans="1:2" x14ac:dyDescent="0.2">
      <c r="A2048" s="198"/>
      <c r="B2048" s="198"/>
    </row>
    <row r="2049" spans="1:2" x14ac:dyDescent="0.2">
      <c r="A2049" s="198"/>
      <c r="B2049" s="198"/>
    </row>
    <row r="2050" spans="1:2" x14ac:dyDescent="0.2">
      <c r="A2050" s="198"/>
      <c r="B2050" s="198"/>
    </row>
    <row r="2051" spans="1:2" x14ac:dyDescent="0.2">
      <c r="A2051" s="198"/>
      <c r="B2051" s="198"/>
    </row>
    <row r="2052" spans="1:2" x14ac:dyDescent="0.2">
      <c r="A2052" s="198"/>
      <c r="B2052" s="198"/>
    </row>
    <row r="2053" spans="1:2" x14ac:dyDescent="0.2">
      <c r="A2053" s="198"/>
      <c r="B2053" s="198"/>
    </row>
    <row r="2054" spans="1:2" x14ac:dyDescent="0.2">
      <c r="A2054" s="198"/>
      <c r="B2054" s="198"/>
    </row>
    <row r="2055" spans="1:2" x14ac:dyDescent="0.2">
      <c r="A2055" s="198"/>
      <c r="B2055" s="198"/>
    </row>
    <row r="2056" spans="1:2" x14ac:dyDescent="0.2">
      <c r="A2056" s="198"/>
      <c r="B2056" s="198"/>
    </row>
    <row r="2057" spans="1:2" x14ac:dyDescent="0.2">
      <c r="A2057" s="198"/>
      <c r="B2057" s="198"/>
    </row>
    <row r="2058" spans="1:2" x14ac:dyDescent="0.2">
      <c r="A2058" s="198"/>
      <c r="B2058" s="198"/>
    </row>
    <row r="2059" spans="1:2" x14ac:dyDescent="0.2">
      <c r="A2059" s="198"/>
      <c r="B2059" s="198"/>
    </row>
    <row r="2060" spans="1:2" x14ac:dyDescent="0.2">
      <c r="A2060" s="198"/>
      <c r="B2060" s="198"/>
    </row>
    <row r="2061" spans="1:2" x14ac:dyDescent="0.2">
      <c r="A2061" s="198"/>
      <c r="B2061" s="198"/>
    </row>
    <row r="2062" spans="1:2" x14ac:dyDescent="0.2">
      <c r="A2062" s="198"/>
      <c r="B2062" s="198"/>
    </row>
    <row r="2063" spans="1:2" x14ac:dyDescent="0.2">
      <c r="A2063" s="198"/>
      <c r="B2063" s="198"/>
    </row>
    <row r="2064" spans="1:2" x14ac:dyDescent="0.2">
      <c r="A2064" s="198"/>
      <c r="B2064" s="198"/>
    </row>
    <row r="2065" spans="1:2" x14ac:dyDescent="0.2">
      <c r="A2065" s="198"/>
      <c r="B2065" s="198"/>
    </row>
    <row r="2066" spans="1:2" x14ac:dyDescent="0.2">
      <c r="A2066" s="198"/>
      <c r="B2066" s="198"/>
    </row>
    <row r="2067" spans="1:2" x14ac:dyDescent="0.2">
      <c r="A2067" s="198"/>
      <c r="B2067" s="198"/>
    </row>
    <row r="2068" spans="1:2" x14ac:dyDescent="0.2">
      <c r="A2068" s="198"/>
      <c r="B2068" s="198"/>
    </row>
    <row r="2069" spans="1:2" x14ac:dyDescent="0.2">
      <c r="A2069" s="198"/>
      <c r="B2069" s="198"/>
    </row>
    <row r="2070" spans="1:2" x14ac:dyDescent="0.2">
      <c r="A2070" s="198"/>
      <c r="B2070" s="198"/>
    </row>
    <row r="2071" spans="1:2" x14ac:dyDescent="0.2">
      <c r="A2071" s="198"/>
      <c r="B2071" s="198"/>
    </row>
    <row r="2072" spans="1:2" x14ac:dyDescent="0.2">
      <c r="A2072" s="198"/>
      <c r="B2072" s="198"/>
    </row>
    <row r="2073" spans="1:2" x14ac:dyDescent="0.2">
      <c r="A2073" s="198"/>
      <c r="B2073" s="198"/>
    </row>
    <row r="2074" spans="1:2" x14ac:dyDescent="0.2">
      <c r="A2074" s="198"/>
      <c r="B2074" s="198"/>
    </row>
    <row r="2075" spans="1:2" x14ac:dyDescent="0.2">
      <c r="A2075" s="198"/>
      <c r="B2075" s="198"/>
    </row>
    <row r="2076" spans="1:2" x14ac:dyDescent="0.2">
      <c r="A2076" s="198"/>
      <c r="B2076" s="198"/>
    </row>
    <row r="2077" spans="1:2" x14ac:dyDescent="0.2">
      <c r="A2077" s="198"/>
      <c r="B2077" s="198"/>
    </row>
    <row r="2078" spans="1:2" x14ac:dyDescent="0.2">
      <c r="A2078" s="198"/>
      <c r="B2078" s="198"/>
    </row>
    <row r="2079" spans="1:2" x14ac:dyDescent="0.2">
      <c r="A2079" s="198"/>
      <c r="B2079" s="198"/>
    </row>
    <row r="2080" spans="1:2" x14ac:dyDescent="0.2">
      <c r="A2080" s="198"/>
      <c r="B2080" s="198"/>
    </row>
    <row r="2081" spans="1:2" x14ac:dyDescent="0.2">
      <c r="A2081" s="198"/>
      <c r="B2081" s="198"/>
    </row>
    <row r="2082" spans="1:2" x14ac:dyDescent="0.2">
      <c r="A2082" s="198"/>
      <c r="B2082" s="198"/>
    </row>
    <row r="2083" spans="1:2" x14ac:dyDescent="0.2">
      <c r="A2083" s="198"/>
      <c r="B2083" s="198"/>
    </row>
    <row r="2084" spans="1:2" x14ac:dyDescent="0.2">
      <c r="A2084" s="198"/>
      <c r="B2084" s="198"/>
    </row>
    <row r="2085" spans="1:2" x14ac:dyDescent="0.2">
      <c r="A2085" s="198"/>
      <c r="B2085" s="198"/>
    </row>
    <row r="2086" spans="1:2" x14ac:dyDescent="0.2">
      <c r="A2086" s="198"/>
      <c r="B2086" s="198"/>
    </row>
    <row r="2087" spans="1:2" x14ac:dyDescent="0.2">
      <c r="A2087" s="198"/>
      <c r="B2087" s="198"/>
    </row>
    <row r="2088" spans="1:2" x14ac:dyDescent="0.2">
      <c r="A2088" s="198"/>
      <c r="B2088" s="198"/>
    </row>
    <row r="2089" spans="1:2" x14ac:dyDescent="0.2">
      <c r="A2089" s="198"/>
      <c r="B2089" s="198"/>
    </row>
    <row r="2090" spans="1:2" x14ac:dyDescent="0.2">
      <c r="A2090" s="198"/>
      <c r="B2090" s="198"/>
    </row>
    <row r="2091" spans="1:2" x14ac:dyDescent="0.2">
      <c r="A2091" s="198"/>
      <c r="B2091" s="198"/>
    </row>
    <row r="2092" spans="1:2" x14ac:dyDescent="0.2">
      <c r="A2092" s="198"/>
      <c r="B2092" s="198"/>
    </row>
    <row r="2093" spans="1:2" x14ac:dyDescent="0.2">
      <c r="A2093" s="198"/>
      <c r="B2093" s="198"/>
    </row>
    <row r="2094" spans="1:2" x14ac:dyDescent="0.2">
      <c r="A2094" s="198"/>
      <c r="B2094" s="198"/>
    </row>
    <row r="2095" spans="1:2" x14ac:dyDescent="0.2">
      <c r="A2095" s="198"/>
      <c r="B2095" s="198"/>
    </row>
    <row r="2096" spans="1:2" x14ac:dyDescent="0.2">
      <c r="A2096" s="198"/>
      <c r="B2096" s="198"/>
    </row>
    <row r="2097" spans="1:2" x14ac:dyDescent="0.2">
      <c r="A2097" s="198"/>
      <c r="B2097" s="198"/>
    </row>
    <row r="2098" spans="1:2" x14ac:dyDescent="0.2">
      <c r="A2098" s="198"/>
      <c r="B2098" s="198"/>
    </row>
    <row r="2099" spans="1:2" x14ac:dyDescent="0.2">
      <c r="A2099" s="198"/>
      <c r="B2099" s="198"/>
    </row>
    <row r="2100" spans="1:2" x14ac:dyDescent="0.2">
      <c r="A2100" s="198"/>
      <c r="B2100" s="198"/>
    </row>
    <row r="2101" spans="1:2" x14ac:dyDescent="0.2">
      <c r="A2101" s="198"/>
      <c r="B2101" s="198"/>
    </row>
    <row r="2102" spans="1:2" x14ac:dyDescent="0.2">
      <c r="A2102" s="198"/>
      <c r="B2102" s="198"/>
    </row>
    <row r="2103" spans="1:2" x14ac:dyDescent="0.2">
      <c r="A2103" s="198"/>
      <c r="B2103" s="198"/>
    </row>
    <row r="2104" spans="1:2" x14ac:dyDescent="0.2">
      <c r="A2104" s="198"/>
      <c r="B2104" s="198"/>
    </row>
    <row r="2105" spans="1:2" x14ac:dyDescent="0.2">
      <c r="A2105" s="198"/>
      <c r="B2105" s="198"/>
    </row>
    <row r="2106" spans="1:2" x14ac:dyDescent="0.2">
      <c r="A2106" s="198"/>
      <c r="B2106" s="198"/>
    </row>
    <row r="2107" spans="1:2" x14ac:dyDescent="0.2">
      <c r="A2107" s="198"/>
      <c r="B2107" s="198"/>
    </row>
    <row r="2108" spans="1:2" x14ac:dyDescent="0.2">
      <c r="A2108" s="198"/>
      <c r="B2108" s="198"/>
    </row>
    <row r="2109" spans="1:2" x14ac:dyDescent="0.2">
      <c r="A2109" s="198"/>
      <c r="B2109" s="198"/>
    </row>
    <row r="2110" spans="1:2" x14ac:dyDescent="0.2">
      <c r="A2110" s="198"/>
      <c r="B2110" s="198"/>
    </row>
    <row r="2111" spans="1:2" x14ac:dyDescent="0.2">
      <c r="A2111" s="198"/>
      <c r="B2111" s="198"/>
    </row>
    <row r="2112" spans="1:2" x14ac:dyDescent="0.2">
      <c r="A2112" s="198"/>
      <c r="B2112" s="198"/>
    </row>
    <row r="2113" spans="1:2" x14ac:dyDescent="0.2">
      <c r="A2113" s="198"/>
      <c r="B2113" s="198"/>
    </row>
    <row r="2114" spans="1:2" x14ac:dyDescent="0.2">
      <c r="A2114" s="198"/>
      <c r="B2114" s="198"/>
    </row>
    <row r="2115" spans="1:2" x14ac:dyDescent="0.2">
      <c r="A2115" s="198"/>
      <c r="B2115" s="198"/>
    </row>
    <row r="2116" spans="1:2" x14ac:dyDescent="0.2">
      <c r="A2116" s="198"/>
      <c r="B2116" s="198"/>
    </row>
    <row r="2117" spans="1:2" x14ac:dyDescent="0.2">
      <c r="A2117" s="198"/>
      <c r="B2117" s="198"/>
    </row>
    <row r="2118" spans="1:2" x14ac:dyDescent="0.2">
      <c r="A2118" s="198"/>
      <c r="B2118" s="198"/>
    </row>
    <row r="2119" spans="1:2" x14ac:dyDescent="0.2">
      <c r="A2119" s="198"/>
      <c r="B2119" s="198"/>
    </row>
    <row r="2120" spans="1:2" x14ac:dyDescent="0.2">
      <c r="A2120" s="198"/>
      <c r="B2120" s="198"/>
    </row>
    <row r="2121" spans="1:2" x14ac:dyDescent="0.2">
      <c r="A2121" s="198"/>
      <c r="B2121" s="198"/>
    </row>
    <row r="2122" spans="1:2" x14ac:dyDescent="0.2">
      <c r="A2122" s="198"/>
      <c r="B2122" s="198"/>
    </row>
    <row r="2123" spans="1:2" x14ac:dyDescent="0.2">
      <c r="A2123" s="198"/>
      <c r="B2123" s="198"/>
    </row>
    <row r="2124" spans="1:2" x14ac:dyDescent="0.2">
      <c r="A2124" s="198"/>
      <c r="B2124" s="198"/>
    </row>
    <row r="2125" spans="1:2" x14ac:dyDescent="0.2">
      <c r="A2125" s="198"/>
      <c r="B2125" s="198"/>
    </row>
    <row r="2126" spans="1:2" x14ac:dyDescent="0.2">
      <c r="A2126" s="198"/>
      <c r="B2126" s="198"/>
    </row>
    <row r="2127" spans="1:2" x14ac:dyDescent="0.2">
      <c r="A2127" s="198"/>
      <c r="B2127" s="198"/>
    </row>
    <row r="2128" spans="1:2" x14ac:dyDescent="0.2">
      <c r="A2128" s="198"/>
      <c r="B2128" s="198"/>
    </row>
    <row r="2129" spans="1:2" x14ac:dyDescent="0.2">
      <c r="A2129" s="198"/>
      <c r="B2129" s="198"/>
    </row>
    <row r="2130" spans="1:2" x14ac:dyDescent="0.2">
      <c r="A2130" s="198"/>
      <c r="B2130" s="198"/>
    </row>
    <row r="2131" spans="1:2" x14ac:dyDescent="0.2">
      <c r="A2131" s="198"/>
      <c r="B2131" s="198"/>
    </row>
    <row r="2132" spans="1:2" x14ac:dyDescent="0.2">
      <c r="A2132" s="198"/>
      <c r="B2132" s="198"/>
    </row>
    <row r="2133" spans="1:2" x14ac:dyDescent="0.2">
      <c r="A2133" s="198"/>
      <c r="B2133" s="198"/>
    </row>
    <row r="2134" spans="1:2" x14ac:dyDescent="0.2">
      <c r="A2134" s="198"/>
      <c r="B2134" s="198"/>
    </row>
    <row r="2135" spans="1:2" x14ac:dyDescent="0.2">
      <c r="A2135" s="198"/>
      <c r="B2135" s="198"/>
    </row>
    <row r="2136" spans="1:2" x14ac:dyDescent="0.2">
      <c r="A2136" s="198"/>
      <c r="B2136" s="198"/>
    </row>
    <row r="2137" spans="1:2" x14ac:dyDescent="0.2">
      <c r="A2137" s="198"/>
      <c r="B2137" s="198"/>
    </row>
    <row r="2138" spans="1:2" x14ac:dyDescent="0.2">
      <c r="A2138" s="198"/>
      <c r="B2138" s="198"/>
    </row>
    <row r="2139" spans="1:2" x14ac:dyDescent="0.2">
      <c r="A2139" s="198"/>
      <c r="B2139" s="198"/>
    </row>
    <row r="2140" spans="1:2" x14ac:dyDescent="0.2">
      <c r="A2140" s="198"/>
      <c r="B2140" s="198"/>
    </row>
    <row r="2141" spans="1:2" x14ac:dyDescent="0.2">
      <c r="A2141" s="198"/>
      <c r="B2141" s="198"/>
    </row>
    <row r="2142" spans="1:2" x14ac:dyDescent="0.2">
      <c r="A2142" s="198"/>
      <c r="B2142" s="198"/>
    </row>
    <row r="2143" spans="1:2" x14ac:dyDescent="0.2">
      <c r="A2143" s="198"/>
      <c r="B2143" s="198"/>
    </row>
    <row r="2144" spans="1:2" x14ac:dyDescent="0.2">
      <c r="A2144" s="198"/>
      <c r="B2144" s="198"/>
    </row>
    <row r="2145" spans="1:2" x14ac:dyDescent="0.2">
      <c r="A2145" s="198"/>
      <c r="B2145" s="198"/>
    </row>
    <row r="2146" spans="1:2" x14ac:dyDescent="0.2">
      <c r="A2146" s="198"/>
      <c r="B2146" s="198"/>
    </row>
    <row r="2147" spans="1:2" x14ac:dyDescent="0.2">
      <c r="A2147" s="198"/>
      <c r="B2147" s="198"/>
    </row>
    <row r="2148" spans="1:2" x14ac:dyDescent="0.2">
      <c r="A2148" s="198"/>
      <c r="B2148" s="198"/>
    </row>
    <row r="2149" spans="1:2" x14ac:dyDescent="0.2">
      <c r="A2149" s="198"/>
      <c r="B2149" s="198"/>
    </row>
    <row r="2150" spans="1:2" x14ac:dyDescent="0.2">
      <c r="A2150" s="198"/>
      <c r="B2150" s="198"/>
    </row>
    <row r="2151" spans="1:2" x14ac:dyDescent="0.2">
      <c r="A2151" s="198"/>
      <c r="B2151" s="198"/>
    </row>
    <row r="2152" spans="1:2" x14ac:dyDescent="0.2">
      <c r="A2152" s="198"/>
      <c r="B2152" s="198"/>
    </row>
    <row r="2153" spans="1:2" x14ac:dyDescent="0.2">
      <c r="A2153" s="198"/>
      <c r="B2153" s="198"/>
    </row>
    <row r="2154" spans="1:2" x14ac:dyDescent="0.2">
      <c r="A2154" s="198"/>
      <c r="B2154" s="198"/>
    </row>
    <row r="2155" spans="1:2" x14ac:dyDescent="0.2">
      <c r="A2155" s="198"/>
      <c r="B2155" s="198"/>
    </row>
    <row r="2156" spans="1:2" x14ac:dyDescent="0.2">
      <c r="A2156" s="198"/>
      <c r="B2156" s="198"/>
    </row>
    <row r="2157" spans="1:2" x14ac:dyDescent="0.2">
      <c r="A2157" s="198"/>
      <c r="B2157" s="198"/>
    </row>
    <row r="2158" spans="1:2" x14ac:dyDescent="0.2">
      <c r="A2158" s="198"/>
      <c r="B2158" s="198"/>
    </row>
    <row r="2159" spans="1:2" x14ac:dyDescent="0.2">
      <c r="A2159" s="198"/>
      <c r="B2159" s="198"/>
    </row>
    <row r="2160" spans="1:2" x14ac:dyDescent="0.2">
      <c r="A2160" s="198"/>
      <c r="B2160" s="198"/>
    </row>
    <row r="2161" spans="1:2" x14ac:dyDescent="0.2">
      <c r="A2161" s="198"/>
      <c r="B2161" s="198"/>
    </row>
    <row r="2162" spans="1:2" x14ac:dyDescent="0.2">
      <c r="A2162" s="198"/>
      <c r="B2162" s="198"/>
    </row>
    <row r="2163" spans="1:2" x14ac:dyDescent="0.2">
      <c r="A2163" s="198"/>
      <c r="B2163" s="198"/>
    </row>
    <row r="2164" spans="1:2" x14ac:dyDescent="0.2">
      <c r="A2164" s="198"/>
      <c r="B2164" s="198"/>
    </row>
    <row r="2165" spans="1:2" x14ac:dyDescent="0.2">
      <c r="A2165" s="198"/>
      <c r="B2165" s="198"/>
    </row>
    <row r="2166" spans="1:2" x14ac:dyDescent="0.2">
      <c r="A2166" s="198"/>
      <c r="B2166" s="198"/>
    </row>
    <row r="2167" spans="1:2" x14ac:dyDescent="0.2">
      <c r="A2167" s="198"/>
      <c r="B2167" s="198"/>
    </row>
    <row r="2168" spans="1:2" x14ac:dyDescent="0.2">
      <c r="A2168" s="198"/>
      <c r="B2168" s="198"/>
    </row>
    <row r="2169" spans="1:2" x14ac:dyDescent="0.2">
      <c r="A2169" s="198"/>
      <c r="B2169" s="198"/>
    </row>
    <row r="2170" spans="1:2" x14ac:dyDescent="0.2">
      <c r="A2170" s="198"/>
      <c r="B2170" s="198"/>
    </row>
    <row r="2171" spans="1:2" x14ac:dyDescent="0.2">
      <c r="A2171" s="198"/>
      <c r="B2171" s="198"/>
    </row>
    <row r="2172" spans="1:2" x14ac:dyDescent="0.2">
      <c r="A2172" s="198"/>
      <c r="B2172" s="198"/>
    </row>
    <row r="2173" spans="1:2" x14ac:dyDescent="0.2">
      <c r="A2173" s="198"/>
      <c r="B2173" s="198"/>
    </row>
    <row r="2174" spans="1:2" x14ac:dyDescent="0.2">
      <c r="A2174" s="198"/>
      <c r="B2174" s="198"/>
    </row>
    <row r="2175" spans="1:2" x14ac:dyDescent="0.2">
      <c r="A2175" s="198"/>
      <c r="B2175" s="198"/>
    </row>
    <row r="2176" spans="1:2" x14ac:dyDescent="0.2">
      <c r="A2176" s="198"/>
      <c r="B2176" s="198"/>
    </row>
    <row r="2177" spans="1:2" x14ac:dyDescent="0.2">
      <c r="A2177" s="198"/>
      <c r="B2177" s="198"/>
    </row>
    <row r="2178" spans="1:2" x14ac:dyDescent="0.2">
      <c r="A2178" s="198"/>
      <c r="B2178" s="198"/>
    </row>
    <row r="2179" spans="1:2" x14ac:dyDescent="0.2">
      <c r="A2179" s="198"/>
      <c r="B2179" s="198"/>
    </row>
    <row r="2180" spans="1:2" x14ac:dyDescent="0.2">
      <c r="A2180" s="198"/>
      <c r="B2180" s="198"/>
    </row>
    <row r="2181" spans="1:2" x14ac:dyDescent="0.2">
      <c r="A2181" s="198"/>
      <c r="B2181" s="198"/>
    </row>
    <row r="2182" spans="1:2" x14ac:dyDescent="0.2">
      <c r="A2182" s="198"/>
      <c r="B2182" s="198"/>
    </row>
    <row r="2183" spans="1:2" x14ac:dyDescent="0.2">
      <c r="A2183" s="198"/>
      <c r="B2183" s="198"/>
    </row>
    <row r="2184" spans="1:2" x14ac:dyDescent="0.2">
      <c r="A2184" s="198"/>
      <c r="B2184" s="198"/>
    </row>
    <row r="2185" spans="1:2" x14ac:dyDescent="0.2">
      <c r="A2185" s="198"/>
      <c r="B2185" s="198"/>
    </row>
    <row r="2186" spans="1:2" x14ac:dyDescent="0.2">
      <c r="A2186" s="198"/>
      <c r="B2186" s="198"/>
    </row>
    <row r="2187" spans="1:2" x14ac:dyDescent="0.2">
      <c r="A2187" s="198"/>
      <c r="B2187" s="198"/>
    </row>
    <row r="2188" spans="1:2" x14ac:dyDescent="0.2">
      <c r="A2188" s="198"/>
      <c r="B2188" s="198"/>
    </row>
    <row r="2189" spans="1:2" x14ac:dyDescent="0.2">
      <c r="A2189" s="198"/>
      <c r="B2189" s="198"/>
    </row>
    <row r="2190" spans="1:2" x14ac:dyDescent="0.2">
      <c r="A2190" s="198"/>
      <c r="B2190" s="198"/>
    </row>
    <row r="2191" spans="1:2" x14ac:dyDescent="0.2">
      <c r="A2191" s="198"/>
      <c r="B2191" s="198"/>
    </row>
    <row r="2192" spans="1:2" x14ac:dyDescent="0.2">
      <c r="A2192" s="198"/>
      <c r="B2192" s="198"/>
    </row>
    <row r="2193" spans="1:2" x14ac:dyDescent="0.2">
      <c r="A2193" s="198"/>
      <c r="B2193" s="198"/>
    </row>
    <row r="2194" spans="1:2" x14ac:dyDescent="0.2">
      <c r="A2194" s="198"/>
      <c r="B2194" s="198"/>
    </row>
    <row r="2195" spans="1:2" x14ac:dyDescent="0.2">
      <c r="A2195" s="198"/>
      <c r="B2195" s="198"/>
    </row>
    <row r="2196" spans="1:2" x14ac:dyDescent="0.2">
      <c r="A2196" s="198"/>
      <c r="B2196" s="198"/>
    </row>
    <row r="2197" spans="1:2" x14ac:dyDescent="0.2">
      <c r="A2197" s="198"/>
      <c r="B2197" s="198"/>
    </row>
    <row r="2198" spans="1:2" x14ac:dyDescent="0.2">
      <c r="A2198" s="198"/>
      <c r="B2198" s="198"/>
    </row>
    <row r="2199" spans="1:2" x14ac:dyDescent="0.2">
      <c r="A2199" s="198"/>
      <c r="B2199" s="198"/>
    </row>
    <row r="2200" spans="1:2" x14ac:dyDescent="0.2">
      <c r="A2200" s="198"/>
      <c r="B2200" s="198"/>
    </row>
    <row r="2201" spans="1:2" x14ac:dyDescent="0.2">
      <c r="A2201" s="198"/>
      <c r="B2201" s="198"/>
    </row>
    <row r="2202" spans="1:2" x14ac:dyDescent="0.2">
      <c r="A2202" s="198"/>
      <c r="B2202" s="198"/>
    </row>
    <row r="2203" spans="1:2" x14ac:dyDescent="0.2">
      <c r="A2203" s="198"/>
      <c r="B2203" s="198"/>
    </row>
    <row r="2204" spans="1:2" x14ac:dyDescent="0.2">
      <c r="A2204" s="198"/>
      <c r="B2204" s="198"/>
    </row>
    <row r="2205" spans="1:2" x14ac:dyDescent="0.2">
      <c r="A2205" s="198"/>
      <c r="B2205" s="198"/>
    </row>
    <row r="2206" spans="1:2" x14ac:dyDescent="0.2">
      <c r="A2206" s="198"/>
      <c r="B2206" s="198"/>
    </row>
    <row r="2207" spans="1:2" x14ac:dyDescent="0.2">
      <c r="A2207" s="198"/>
      <c r="B2207" s="198"/>
    </row>
    <row r="2208" spans="1:2" x14ac:dyDescent="0.2">
      <c r="A2208" s="198"/>
      <c r="B2208" s="198"/>
    </row>
    <row r="2209" spans="1:2" x14ac:dyDescent="0.2">
      <c r="A2209" s="198"/>
      <c r="B2209" s="198"/>
    </row>
    <row r="2210" spans="1:2" x14ac:dyDescent="0.2">
      <c r="A2210" s="198"/>
      <c r="B2210" s="198"/>
    </row>
    <row r="2211" spans="1:2" x14ac:dyDescent="0.2">
      <c r="A2211" s="198"/>
      <c r="B2211" s="198"/>
    </row>
    <row r="2212" spans="1:2" x14ac:dyDescent="0.2">
      <c r="A2212" s="198"/>
      <c r="B2212" s="198"/>
    </row>
    <row r="2213" spans="1:2" x14ac:dyDescent="0.2">
      <c r="A2213" s="198"/>
      <c r="B2213" s="198"/>
    </row>
    <row r="2214" spans="1:2" x14ac:dyDescent="0.2">
      <c r="A2214" s="198"/>
      <c r="B2214" s="198"/>
    </row>
    <row r="2215" spans="1:2" x14ac:dyDescent="0.2">
      <c r="A2215" s="198"/>
      <c r="B2215" s="198"/>
    </row>
    <row r="2216" spans="1:2" x14ac:dyDescent="0.2">
      <c r="A2216" s="198"/>
      <c r="B2216" s="198"/>
    </row>
    <row r="2217" spans="1:2" x14ac:dyDescent="0.2">
      <c r="A2217" s="198"/>
      <c r="B2217" s="198"/>
    </row>
    <row r="2218" spans="1:2" x14ac:dyDescent="0.2">
      <c r="A2218" s="198"/>
      <c r="B2218" s="198"/>
    </row>
    <row r="2219" spans="1:2" x14ac:dyDescent="0.2">
      <c r="A2219" s="198"/>
      <c r="B2219" s="198"/>
    </row>
    <row r="2220" spans="1:2" x14ac:dyDescent="0.2">
      <c r="A2220" s="198"/>
      <c r="B2220" s="198"/>
    </row>
    <row r="2221" spans="1:2" x14ac:dyDescent="0.2">
      <c r="A2221" s="198"/>
      <c r="B2221" s="198"/>
    </row>
    <row r="2222" spans="1:2" x14ac:dyDescent="0.2">
      <c r="A2222" s="198"/>
      <c r="B2222" s="198"/>
    </row>
    <row r="2223" spans="1:2" x14ac:dyDescent="0.2">
      <c r="A2223" s="198"/>
      <c r="B2223" s="198"/>
    </row>
    <row r="2224" spans="1:2" x14ac:dyDescent="0.2">
      <c r="A2224" s="198"/>
      <c r="B2224" s="198"/>
    </row>
    <row r="2225" spans="1:2" x14ac:dyDescent="0.2">
      <c r="A2225" s="198"/>
      <c r="B2225" s="198"/>
    </row>
    <row r="2226" spans="1:2" x14ac:dyDescent="0.2">
      <c r="A2226" s="198"/>
      <c r="B2226" s="198"/>
    </row>
    <row r="2227" spans="1:2" x14ac:dyDescent="0.2">
      <c r="A2227" s="198"/>
      <c r="B2227" s="198"/>
    </row>
    <row r="2228" spans="1:2" x14ac:dyDescent="0.2">
      <c r="A2228" s="198"/>
      <c r="B2228" s="198"/>
    </row>
    <row r="2229" spans="1:2" x14ac:dyDescent="0.2">
      <c r="A2229" s="198"/>
      <c r="B2229" s="198"/>
    </row>
    <row r="2230" spans="1:2" x14ac:dyDescent="0.2">
      <c r="A2230" s="198"/>
      <c r="B2230" s="198"/>
    </row>
    <row r="2231" spans="1:2" x14ac:dyDescent="0.2">
      <c r="A2231" s="198"/>
      <c r="B2231" s="198"/>
    </row>
    <row r="2232" spans="1:2" x14ac:dyDescent="0.2">
      <c r="A2232" s="198"/>
      <c r="B2232" s="198"/>
    </row>
    <row r="2233" spans="1:2" x14ac:dyDescent="0.2">
      <c r="A2233" s="198"/>
      <c r="B2233" s="198"/>
    </row>
    <row r="2234" spans="1:2" x14ac:dyDescent="0.2">
      <c r="A2234" s="198"/>
      <c r="B2234" s="198"/>
    </row>
    <row r="2235" spans="1:2" x14ac:dyDescent="0.2">
      <c r="A2235" s="198"/>
      <c r="B2235" s="198"/>
    </row>
    <row r="2236" spans="1:2" x14ac:dyDescent="0.2">
      <c r="A2236" s="198"/>
      <c r="B2236" s="198"/>
    </row>
    <row r="2237" spans="1:2" x14ac:dyDescent="0.2">
      <c r="A2237" s="198"/>
      <c r="B2237" s="198"/>
    </row>
    <row r="2238" spans="1:2" x14ac:dyDescent="0.2">
      <c r="A2238" s="198"/>
      <c r="B2238" s="198"/>
    </row>
    <row r="2239" spans="1:2" x14ac:dyDescent="0.2">
      <c r="A2239" s="198"/>
      <c r="B2239" s="198"/>
    </row>
    <row r="2240" spans="1:2" x14ac:dyDescent="0.2">
      <c r="A2240" s="198"/>
      <c r="B2240" s="198"/>
    </row>
    <row r="2241" spans="1:2" x14ac:dyDescent="0.2">
      <c r="A2241" s="198"/>
      <c r="B2241" s="198"/>
    </row>
    <row r="2242" spans="1:2" x14ac:dyDescent="0.2">
      <c r="A2242" s="198"/>
      <c r="B2242" s="198"/>
    </row>
    <row r="2243" spans="1:2" x14ac:dyDescent="0.2">
      <c r="A2243" s="198"/>
      <c r="B2243" s="198"/>
    </row>
    <row r="2244" spans="1:2" x14ac:dyDescent="0.2">
      <c r="A2244" s="198"/>
      <c r="B2244" s="198"/>
    </row>
    <row r="2245" spans="1:2" x14ac:dyDescent="0.2">
      <c r="A2245" s="198"/>
      <c r="B2245" s="198"/>
    </row>
    <row r="2246" spans="1:2" x14ac:dyDescent="0.2">
      <c r="A2246" s="198"/>
      <c r="B2246" s="198"/>
    </row>
    <row r="2247" spans="1:2" x14ac:dyDescent="0.2">
      <c r="A2247" s="198"/>
      <c r="B2247" s="198"/>
    </row>
    <row r="2248" spans="1:2" x14ac:dyDescent="0.2">
      <c r="A2248" s="198"/>
      <c r="B2248" s="198"/>
    </row>
    <row r="2249" spans="1:2" x14ac:dyDescent="0.2">
      <c r="A2249" s="198"/>
      <c r="B2249" s="198"/>
    </row>
    <row r="2250" spans="1:2" x14ac:dyDescent="0.2">
      <c r="A2250" s="198"/>
      <c r="B2250" s="198"/>
    </row>
    <row r="2251" spans="1:2" x14ac:dyDescent="0.2">
      <c r="A2251" s="198"/>
      <c r="B2251" s="198"/>
    </row>
    <row r="2252" spans="1:2" x14ac:dyDescent="0.2">
      <c r="A2252" s="198"/>
      <c r="B2252" s="198"/>
    </row>
    <row r="2253" spans="1:2" x14ac:dyDescent="0.2">
      <c r="A2253" s="198"/>
      <c r="B2253" s="198"/>
    </row>
    <row r="2254" spans="1:2" x14ac:dyDescent="0.2">
      <c r="A2254" s="198"/>
      <c r="B2254" s="198"/>
    </row>
    <row r="2255" spans="1:2" x14ac:dyDescent="0.2">
      <c r="A2255" s="198"/>
      <c r="B2255" s="198"/>
    </row>
    <row r="2256" spans="1:2" x14ac:dyDescent="0.2">
      <c r="A2256" s="198"/>
      <c r="B2256" s="198"/>
    </row>
    <row r="2257" spans="1:2" x14ac:dyDescent="0.2">
      <c r="A2257" s="198"/>
      <c r="B2257" s="198"/>
    </row>
    <row r="2258" spans="1:2" x14ac:dyDescent="0.2">
      <c r="A2258" s="198"/>
      <c r="B2258" s="198"/>
    </row>
    <row r="2259" spans="1:2" x14ac:dyDescent="0.2">
      <c r="A2259" s="198"/>
      <c r="B2259" s="198"/>
    </row>
    <row r="2260" spans="1:2" x14ac:dyDescent="0.2">
      <c r="A2260" s="198"/>
      <c r="B2260" s="198"/>
    </row>
    <row r="2261" spans="1:2" x14ac:dyDescent="0.2">
      <c r="A2261" s="198"/>
      <c r="B2261" s="198"/>
    </row>
    <row r="2262" spans="1:2" x14ac:dyDescent="0.2">
      <c r="A2262" s="198"/>
      <c r="B2262" s="198"/>
    </row>
    <row r="2263" spans="1:2" x14ac:dyDescent="0.2">
      <c r="A2263" s="198"/>
      <c r="B2263" s="198"/>
    </row>
    <row r="2264" spans="1:2" x14ac:dyDescent="0.2">
      <c r="A2264" s="198"/>
      <c r="B2264" s="198"/>
    </row>
    <row r="2265" spans="1:2" x14ac:dyDescent="0.2">
      <c r="A2265" s="198"/>
      <c r="B2265" s="198"/>
    </row>
    <row r="2266" spans="1:2" x14ac:dyDescent="0.2">
      <c r="A2266" s="198"/>
      <c r="B2266" s="198"/>
    </row>
    <row r="2267" spans="1:2" x14ac:dyDescent="0.2">
      <c r="A2267" s="198"/>
      <c r="B2267" s="198"/>
    </row>
    <row r="2268" spans="1:2" x14ac:dyDescent="0.2">
      <c r="A2268" s="198"/>
      <c r="B2268" s="198"/>
    </row>
    <row r="2269" spans="1:2" x14ac:dyDescent="0.2">
      <c r="A2269" s="198"/>
      <c r="B2269" s="198"/>
    </row>
    <row r="2270" spans="1:2" x14ac:dyDescent="0.2">
      <c r="A2270" s="198"/>
      <c r="B2270" s="198"/>
    </row>
    <row r="2271" spans="1:2" x14ac:dyDescent="0.2">
      <c r="A2271" s="198"/>
      <c r="B2271" s="198"/>
    </row>
    <row r="2272" spans="1:2" x14ac:dyDescent="0.2">
      <c r="A2272" s="198"/>
      <c r="B2272" s="198"/>
    </row>
    <row r="2273" spans="1:2" x14ac:dyDescent="0.2">
      <c r="A2273" s="198"/>
      <c r="B2273" s="198"/>
    </row>
    <row r="2274" spans="1:2" x14ac:dyDescent="0.2">
      <c r="A2274" s="198"/>
      <c r="B2274" s="198"/>
    </row>
    <row r="2275" spans="1:2" x14ac:dyDescent="0.2">
      <c r="A2275" s="198"/>
      <c r="B2275" s="198"/>
    </row>
    <row r="2276" spans="1:2" x14ac:dyDescent="0.2">
      <c r="A2276" s="198"/>
      <c r="B2276" s="198"/>
    </row>
    <row r="2277" spans="1:2" x14ac:dyDescent="0.2">
      <c r="A2277" s="198"/>
      <c r="B2277" s="198"/>
    </row>
    <row r="2278" spans="1:2" x14ac:dyDescent="0.2">
      <c r="A2278" s="198"/>
      <c r="B2278" s="198"/>
    </row>
    <row r="2279" spans="1:2" x14ac:dyDescent="0.2">
      <c r="A2279" s="198"/>
      <c r="B2279" s="198"/>
    </row>
    <row r="2280" spans="1:2" x14ac:dyDescent="0.2">
      <c r="A2280" s="198"/>
      <c r="B2280" s="198"/>
    </row>
    <row r="2281" spans="1:2" x14ac:dyDescent="0.2">
      <c r="A2281" s="198"/>
      <c r="B2281" s="198"/>
    </row>
    <row r="2282" spans="1:2" x14ac:dyDescent="0.2">
      <c r="A2282" s="198"/>
      <c r="B2282" s="198"/>
    </row>
    <row r="2283" spans="1:2" x14ac:dyDescent="0.2">
      <c r="A2283" s="198"/>
      <c r="B2283" s="198"/>
    </row>
    <row r="2284" spans="1:2" x14ac:dyDescent="0.2">
      <c r="A2284" s="198"/>
      <c r="B2284" s="198"/>
    </row>
    <row r="2285" spans="1:2" x14ac:dyDescent="0.2">
      <c r="A2285" s="198"/>
      <c r="B2285" s="198"/>
    </row>
    <row r="2286" spans="1:2" x14ac:dyDescent="0.2">
      <c r="A2286" s="198"/>
      <c r="B2286" s="198"/>
    </row>
    <row r="2287" spans="1:2" x14ac:dyDescent="0.2">
      <c r="A2287" s="198"/>
      <c r="B2287" s="198"/>
    </row>
    <row r="2288" spans="1:2" x14ac:dyDescent="0.2">
      <c r="A2288" s="198"/>
      <c r="B2288" s="198"/>
    </row>
    <row r="2289" spans="1:2" x14ac:dyDescent="0.2">
      <c r="A2289" s="198"/>
      <c r="B2289" s="198"/>
    </row>
    <row r="2290" spans="1:2" x14ac:dyDescent="0.2">
      <c r="A2290" s="198"/>
      <c r="B2290" s="198"/>
    </row>
    <row r="2291" spans="1:2" x14ac:dyDescent="0.2">
      <c r="A2291" s="198"/>
      <c r="B2291" s="198"/>
    </row>
    <row r="2292" spans="1:2" x14ac:dyDescent="0.2">
      <c r="A2292" s="198"/>
      <c r="B2292" s="198"/>
    </row>
    <row r="2293" spans="1:2" x14ac:dyDescent="0.2">
      <c r="A2293" s="198"/>
      <c r="B2293" s="198"/>
    </row>
    <row r="2294" spans="1:2" x14ac:dyDescent="0.2">
      <c r="A2294" s="198"/>
      <c r="B2294" s="198"/>
    </row>
    <row r="2295" spans="1:2" x14ac:dyDescent="0.2">
      <c r="A2295" s="198"/>
      <c r="B2295" s="198"/>
    </row>
    <row r="2296" spans="1:2" x14ac:dyDescent="0.2">
      <c r="A2296" s="198"/>
      <c r="B2296" s="198"/>
    </row>
    <row r="2297" spans="1:2" x14ac:dyDescent="0.2">
      <c r="A2297" s="198"/>
      <c r="B2297" s="198"/>
    </row>
    <row r="2298" spans="1:2" x14ac:dyDescent="0.2">
      <c r="A2298" s="198"/>
      <c r="B2298" s="198"/>
    </row>
    <row r="2299" spans="1:2" x14ac:dyDescent="0.2">
      <c r="A2299" s="198"/>
      <c r="B2299" s="198"/>
    </row>
    <row r="2300" spans="1:2" x14ac:dyDescent="0.2">
      <c r="A2300" s="198"/>
      <c r="B2300" s="198"/>
    </row>
    <row r="2301" spans="1:2" x14ac:dyDescent="0.2">
      <c r="A2301" s="198"/>
      <c r="B2301" s="198"/>
    </row>
    <row r="2302" spans="1:2" x14ac:dyDescent="0.2">
      <c r="A2302" s="198"/>
      <c r="B2302" s="198"/>
    </row>
    <row r="2303" spans="1:2" x14ac:dyDescent="0.2">
      <c r="A2303" s="198"/>
      <c r="B2303" s="198"/>
    </row>
    <row r="2304" spans="1:2" x14ac:dyDescent="0.2">
      <c r="A2304" s="198"/>
      <c r="B2304" s="198"/>
    </row>
    <row r="2305" spans="1:2" x14ac:dyDescent="0.2">
      <c r="A2305" s="198"/>
      <c r="B2305" s="198"/>
    </row>
    <row r="2306" spans="1:2" x14ac:dyDescent="0.2">
      <c r="A2306" s="198"/>
      <c r="B2306" s="198"/>
    </row>
    <row r="2307" spans="1:2" x14ac:dyDescent="0.2">
      <c r="A2307" s="198"/>
      <c r="B2307" s="198"/>
    </row>
    <row r="2308" spans="1:2" x14ac:dyDescent="0.2">
      <c r="A2308" s="198"/>
      <c r="B2308" s="198"/>
    </row>
    <row r="2309" spans="1:2" x14ac:dyDescent="0.2">
      <c r="A2309" s="198"/>
      <c r="B2309" s="198"/>
    </row>
    <row r="2310" spans="1:2" x14ac:dyDescent="0.2">
      <c r="A2310" s="198"/>
      <c r="B2310" s="198"/>
    </row>
    <row r="2311" spans="1:2" x14ac:dyDescent="0.2">
      <c r="A2311" s="198"/>
      <c r="B2311" s="198"/>
    </row>
    <row r="2312" spans="1:2" x14ac:dyDescent="0.2">
      <c r="A2312" s="198"/>
      <c r="B2312" s="198"/>
    </row>
    <row r="2313" spans="1:2" x14ac:dyDescent="0.2">
      <c r="A2313" s="198"/>
      <c r="B2313" s="198"/>
    </row>
    <row r="2314" spans="1:2" x14ac:dyDescent="0.2">
      <c r="A2314" s="198"/>
      <c r="B2314" s="198"/>
    </row>
    <row r="2315" spans="1:2" x14ac:dyDescent="0.2">
      <c r="A2315" s="198"/>
      <c r="B2315" s="198"/>
    </row>
    <row r="2316" spans="1:2" x14ac:dyDescent="0.2">
      <c r="A2316" s="198"/>
      <c r="B2316" s="198"/>
    </row>
    <row r="2317" spans="1:2" x14ac:dyDescent="0.2">
      <c r="A2317" s="198"/>
      <c r="B2317" s="198"/>
    </row>
    <row r="2318" spans="1:2" x14ac:dyDescent="0.2">
      <c r="A2318" s="198"/>
      <c r="B2318" s="198"/>
    </row>
    <row r="2319" spans="1:2" x14ac:dyDescent="0.2">
      <c r="A2319" s="198"/>
      <c r="B2319" s="198"/>
    </row>
    <row r="2320" spans="1:2" x14ac:dyDescent="0.2">
      <c r="A2320" s="198"/>
      <c r="B2320" s="198"/>
    </row>
    <row r="2321" spans="1:2" x14ac:dyDescent="0.2">
      <c r="A2321" s="198"/>
      <c r="B2321" s="198"/>
    </row>
    <row r="2322" spans="1:2" x14ac:dyDescent="0.2">
      <c r="A2322" s="198"/>
      <c r="B2322" s="198"/>
    </row>
    <row r="2323" spans="1:2" x14ac:dyDescent="0.2">
      <c r="A2323" s="198"/>
      <c r="B2323" s="198"/>
    </row>
    <row r="2324" spans="1:2" x14ac:dyDescent="0.2">
      <c r="A2324" s="198"/>
      <c r="B2324" s="198"/>
    </row>
    <row r="2325" spans="1:2" x14ac:dyDescent="0.2">
      <c r="A2325" s="198"/>
      <c r="B2325" s="198"/>
    </row>
    <row r="2326" spans="1:2" x14ac:dyDescent="0.2">
      <c r="A2326" s="198"/>
      <c r="B2326" s="198"/>
    </row>
    <row r="2327" spans="1:2" x14ac:dyDescent="0.2">
      <c r="A2327" s="198"/>
      <c r="B2327" s="198"/>
    </row>
    <row r="2328" spans="1:2" x14ac:dyDescent="0.2">
      <c r="A2328" s="198"/>
      <c r="B2328" s="198"/>
    </row>
    <row r="2329" spans="1:2" x14ac:dyDescent="0.2">
      <c r="A2329" s="198"/>
      <c r="B2329" s="198"/>
    </row>
    <row r="2330" spans="1:2" x14ac:dyDescent="0.2">
      <c r="A2330" s="198"/>
      <c r="B2330" s="198"/>
    </row>
    <row r="2331" spans="1:2" x14ac:dyDescent="0.2">
      <c r="A2331" s="198"/>
      <c r="B2331" s="198"/>
    </row>
    <row r="2332" spans="1:2" x14ac:dyDescent="0.2">
      <c r="A2332" s="198"/>
      <c r="B2332" s="198"/>
    </row>
    <row r="2333" spans="1:2" x14ac:dyDescent="0.2">
      <c r="A2333" s="198"/>
      <c r="B2333" s="198"/>
    </row>
    <row r="2334" spans="1:2" x14ac:dyDescent="0.2">
      <c r="A2334" s="198"/>
      <c r="B2334" s="198"/>
    </row>
    <row r="2335" spans="1:2" x14ac:dyDescent="0.2">
      <c r="A2335" s="198"/>
      <c r="B2335" s="198"/>
    </row>
    <row r="2336" spans="1:2" x14ac:dyDescent="0.2">
      <c r="A2336" s="198"/>
      <c r="B2336" s="198"/>
    </row>
    <row r="2337" spans="1:2" x14ac:dyDescent="0.2">
      <c r="A2337" s="198"/>
      <c r="B2337" s="198"/>
    </row>
    <row r="2338" spans="1:2" x14ac:dyDescent="0.2">
      <c r="A2338" s="198"/>
      <c r="B2338" s="198"/>
    </row>
    <row r="2339" spans="1:2" x14ac:dyDescent="0.2">
      <c r="A2339" s="198"/>
      <c r="B2339" s="198"/>
    </row>
    <row r="2340" spans="1:2" x14ac:dyDescent="0.2">
      <c r="A2340" s="198"/>
      <c r="B2340" s="198"/>
    </row>
    <row r="2341" spans="1:2" x14ac:dyDescent="0.2">
      <c r="A2341" s="198"/>
      <c r="B2341" s="198"/>
    </row>
    <row r="2342" spans="1:2" x14ac:dyDescent="0.2">
      <c r="A2342" s="198"/>
      <c r="B2342" s="198"/>
    </row>
    <row r="2343" spans="1:2" x14ac:dyDescent="0.2">
      <c r="A2343" s="198"/>
      <c r="B2343" s="198"/>
    </row>
    <row r="2344" spans="1:2" x14ac:dyDescent="0.2">
      <c r="A2344" s="198"/>
      <c r="B2344" s="198"/>
    </row>
    <row r="2345" spans="1:2" x14ac:dyDescent="0.2">
      <c r="A2345" s="198"/>
      <c r="B2345" s="198"/>
    </row>
    <row r="2346" spans="1:2" x14ac:dyDescent="0.2">
      <c r="A2346" s="198"/>
      <c r="B2346" s="198"/>
    </row>
    <row r="2347" spans="1:2" x14ac:dyDescent="0.2">
      <c r="A2347" s="198"/>
      <c r="B2347" s="198"/>
    </row>
    <row r="2348" spans="1:2" x14ac:dyDescent="0.2">
      <c r="A2348" s="198"/>
      <c r="B2348" s="198"/>
    </row>
    <row r="2349" spans="1:2" x14ac:dyDescent="0.2">
      <c r="A2349" s="198"/>
      <c r="B2349" s="198"/>
    </row>
    <row r="2350" spans="1:2" x14ac:dyDescent="0.2">
      <c r="A2350" s="198"/>
      <c r="B2350" s="198"/>
    </row>
    <row r="2351" spans="1:2" x14ac:dyDescent="0.2">
      <c r="A2351" s="198"/>
      <c r="B2351" s="198"/>
    </row>
    <row r="2352" spans="1:2" x14ac:dyDescent="0.2">
      <c r="A2352" s="198"/>
      <c r="B2352" s="198"/>
    </row>
    <row r="2353" spans="1:2" x14ac:dyDescent="0.2">
      <c r="A2353" s="198"/>
      <c r="B2353" s="198"/>
    </row>
    <row r="2354" spans="1:2" x14ac:dyDescent="0.2">
      <c r="A2354" s="198"/>
      <c r="B2354" s="198"/>
    </row>
    <row r="2355" spans="1:2" x14ac:dyDescent="0.2">
      <c r="A2355" s="198"/>
      <c r="B2355" s="198"/>
    </row>
    <row r="2356" spans="1:2" x14ac:dyDescent="0.2">
      <c r="A2356" s="198"/>
      <c r="B2356" s="198"/>
    </row>
    <row r="2357" spans="1:2" x14ac:dyDescent="0.2">
      <c r="A2357" s="198"/>
      <c r="B2357" s="198"/>
    </row>
    <row r="2358" spans="1:2" x14ac:dyDescent="0.2">
      <c r="A2358" s="198"/>
      <c r="B2358" s="198"/>
    </row>
    <row r="2359" spans="1:2" x14ac:dyDescent="0.2">
      <c r="A2359" s="198"/>
      <c r="B2359" s="198"/>
    </row>
    <row r="2360" spans="1:2" x14ac:dyDescent="0.2">
      <c r="A2360" s="198"/>
      <c r="B2360" s="198"/>
    </row>
    <row r="2361" spans="1:2" x14ac:dyDescent="0.2">
      <c r="A2361" s="198"/>
      <c r="B2361" s="198"/>
    </row>
    <row r="2362" spans="1:2" x14ac:dyDescent="0.2">
      <c r="A2362" s="198"/>
      <c r="B2362" s="198"/>
    </row>
    <row r="2363" spans="1:2" x14ac:dyDescent="0.2">
      <c r="A2363" s="198"/>
      <c r="B2363" s="198"/>
    </row>
    <row r="2364" spans="1:2" x14ac:dyDescent="0.2">
      <c r="A2364" s="198"/>
      <c r="B2364" s="198"/>
    </row>
    <row r="2365" spans="1:2" x14ac:dyDescent="0.2">
      <c r="A2365" s="198"/>
      <c r="B2365" s="198"/>
    </row>
    <row r="2366" spans="1:2" x14ac:dyDescent="0.2">
      <c r="A2366" s="198"/>
      <c r="B2366" s="198"/>
    </row>
    <row r="2367" spans="1:2" x14ac:dyDescent="0.2">
      <c r="A2367" s="198"/>
      <c r="B2367" s="198"/>
    </row>
    <row r="2368" spans="1:2" x14ac:dyDescent="0.2">
      <c r="A2368" s="198"/>
      <c r="B2368" s="198"/>
    </row>
    <row r="2369" spans="1:2" x14ac:dyDescent="0.2">
      <c r="A2369" s="198"/>
      <c r="B2369" s="198"/>
    </row>
    <row r="2370" spans="1:2" x14ac:dyDescent="0.2">
      <c r="A2370" s="198"/>
      <c r="B2370" s="198"/>
    </row>
    <row r="2371" spans="1:2" x14ac:dyDescent="0.2">
      <c r="A2371" s="198"/>
      <c r="B2371" s="198"/>
    </row>
    <row r="2372" spans="1:2" x14ac:dyDescent="0.2">
      <c r="A2372" s="198"/>
      <c r="B2372" s="198"/>
    </row>
    <row r="2373" spans="1:2" x14ac:dyDescent="0.2">
      <c r="A2373" s="198"/>
      <c r="B2373" s="198"/>
    </row>
    <row r="2374" spans="1:2" x14ac:dyDescent="0.2">
      <c r="A2374" s="198"/>
      <c r="B2374" s="198"/>
    </row>
    <row r="2375" spans="1:2" x14ac:dyDescent="0.2">
      <c r="A2375" s="198"/>
      <c r="B2375" s="198"/>
    </row>
    <row r="2376" spans="1:2" x14ac:dyDescent="0.2">
      <c r="A2376" s="198"/>
      <c r="B2376" s="198"/>
    </row>
    <row r="2377" spans="1:2" x14ac:dyDescent="0.2">
      <c r="A2377" s="198"/>
      <c r="B2377" s="198"/>
    </row>
    <row r="2378" spans="1:2" x14ac:dyDescent="0.2">
      <c r="A2378" s="198"/>
      <c r="B2378" s="198"/>
    </row>
    <row r="2379" spans="1:2" x14ac:dyDescent="0.2">
      <c r="A2379" s="198"/>
      <c r="B2379" s="198"/>
    </row>
    <row r="2380" spans="1:2" x14ac:dyDescent="0.2">
      <c r="A2380" s="198"/>
      <c r="B2380" s="198"/>
    </row>
    <row r="2381" spans="1:2" x14ac:dyDescent="0.2">
      <c r="A2381" s="198"/>
      <c r="B2381" s="198"/>
    </row>
    <row r="2382" spans="1:2" x14ac:dyDescent="0.2">
      <c r="A2382" s="198"/>
      <c r="B2382" s="198"/>
    </row>
    <row r="2383" spans="1:2" x14ac:dyDescent="0.2">
      <c r="A2383" s="198"/>
      <c r="B2383" s="198"/>
    </row>
    <row r="2384" spans="1:2" x14ac:dyDescent="0.2">
      <c r="A2384" s="198"/>
      <c r="B2384" s="198"/>
    </row>
    <row r="2385" spans="1:2" x14ac:dyDescent="0.2">
      <c r="A2385" s="198"/>
      <c r="B2385" s="198"/>
    </row>
    <row r="2386" spans="1:2" x14ac:dyDescent="0.2">
      <c r="A2386" s="198"/>
      <c r="B2386" s="198"/>
    </row>
    <row r="2387" spans="1:2" x14ac:dyDescent="0.2">
      <c r="A2387" s="198"/>
      <c r="B2387" s="198"/>
    </row>
    <row r="2388" spans="1:2" x14ac:dyDescent="0.2">
      <c r="A2388" s="198"/>
      <c r="B2388" s="198"/>
    </row>
    <row r="2389" spans="1:2" x14ac:dyDescent="0.2">
      <c r="A2389" s="198"/>
      <c r="B2389" s="198"/>
    </row>
    <row r="2390" spans="1:2" x14ac:dyDescent="0.2">
      <c r="A2390" s="198"/>
      <c r="B2390" s="198"/>
    </row>
    <row r="2391" spans="1:2" x14ac:dyDescent="0.2">
      <c r="A2391" s="198"/>
      <c r="B2391" s="198"/>
    </row>
    <row r="2392" spans="1:2" x14ac:dyDescent="0.2">
      <c r="A2392" s="198"/>
      <c r="B2392" s="198"/>
    </row>
    <row r="2393" spans="1:2" x14ac:dyDescent="0.2">
      <c r="A2393" s="198"/>
      <c r="B2393" s="198"/>
    </row>
    <row r="2394" spans="1:2" x14ac:dyDescent="0.2">
      <c r="A2394" s="198"/>
      <c r="B2394" s="198"/>
    </row>
    <row r="2395" spans="1:2" x14ac:dyDescent="0.2">
      <c r="A2395" s="198"/>
      <c r="B2395" s="198"/>
    </row>
    <row r="2396" spans="1:2" x14ac:dyDescent="0.2">
      <c r="A2396" s="198"/>
      <c r="B2396" s="198"/>
    </row>
    <row r="2397" spans="1:2" x14ac:dyDescent="0.2">
      <c r="A2397" s="198"/>
      <c r="B2397" s="198"/>
    </row>
    <row r="2398" spans="1:2" x14ac:dyDescent="0.2">
      <c r="A2398" s="198"/>
      <c r="B2398" s="198"/>
    </row>
    <row r="2399" spans="1:2" x14ac:dyDescent="0.2">
      <c r="A2399" s="198"/>
      <c r="B2399" s="198"/>
    </row>
    <row r="2400" spans="1:2" x14ac:dyDescent="0.2">
      <c r="A2400" s="198"/>
      <c r="B2400" s="198"/>
    </row>
    <row r="2401" spans="1:2" x14ac:dyDescent="0.2">
      <c r="A2401" s="198"/>
      <c r="B2401" s="198"/>
    </row>
    <row r="2402" spans="1:2" x14ac:dyDescent="0.2">
      <c r="A2402" s="198"/>
      <c r="B2402" s="198"/>
    </row>
    <row r="2403" spans="1:2" x14ac:dyDescent="0.2">
      <c r="A2403" s="198"/>
      <c r="B2403" s="198"/>
    </row>
    <row r="2404" spans="1:2" x14ac:dyDescent="0.2">
      <c r="A2404" s="198"/>
      <c r="B2404" s="198"/>
    </row>
    <row r="2405" spans="1:2" x14ac:dyDescent="0.2">
      <c r="A2405" s="198"/>
      <c r="B2405" s="198"/>
    </row>
    <row r="2406" spans="1:2" x14ac:dyDescent="0.2">
      <c r="A2406" s="198"/>
      <c r="B2406" s="198"/>
    </row>
    <row r="2407" spans="1:2" x14ac:dyDescent="0.2">
      <c r="A2407" s="198"/>
      <c r="B2407" s="198"/>
    </row>
    <row r="2408" spans="1:2" x14ac:dyDescent="0.2">
      <c r="A2408" s="198"/>
      <c r="B2408" s="198"/>
    </row>
    <row r="2409" spans="1:2" x14ac:dyDescent="0.2">
      <c r="A2409" s="198"/>
      <c r="B2409" s="198"/>
    </row>
    <row r="2410" spans="1:2" x14ac:dyDescent="0.2">
      <c r="A2410" s="198"/>
      <c r="B2410" s="198"/>
    </row>
    <row r="2411" spans="1:2" x14ac:dyDescent="0.2">
      <c r="A2411" s="198"/>
      <c r="B2411" s="198"/>
    </row>
    <row r="2412" spans="1:2" x14ac:dyDescent="0.2">
      <c r="A2412" s="198"/>
      <c r="B2412" s="198"/>
    </row>
    <row r="2413" spans="1:2" x14ac:dyDescent="0.2">
      <c r="A2413" s="198"/>
      <c r="B2413" s="198"/>
    </row>
    <row r="2414" spans="1:2" x14ac:dyDescent="0.2">
      <c r="A2414" s="198"/>
      <c r="B2414" s="198"/>
    </row>
    <row r="2415" spans="1:2" x14ac:dyDescent="0.2">
      <c r="A2415" s="198"/>
      <c r="B2415" s="198"/>
    </row>
    <row r="2416" spans="1:2" x14ac:dyDescent="0.2">
      <c r="A2416" s="198"/>
      <c r="B2416" s="198"/>
    </row>
    <row r="2417" spans="1:2" x14ac:dyDescent="0.2">
      <c r="A2417" s="198"/>
      <c r="B2417" s="198"/>
    </row>
    <row r="2418" spans="1:2" x14ac:dyDescent="0.2">
      <c r="A2418" s="198"/>
      <c r="B2418" s="198"/>
    </row>
    <row r="2419" spans="1:2" x14ac:dyDescent="0.2">
      <c r="A2419" s="198"/>
      <c r="B2419" s="198"/>
    </row>
    <row r="2420" spans="1:2" x14ac:dyDescent="0.2">
      <c r="A2420" s="198"/>
      <c r="B2420" s="198"/>
    </row>
    <row r="2421" spans="1:2" x14ac:dyDescent="0.2">
      <c r="A2421" s="198"/>
      <c r="B2421" s="198"/>
    </row>
    <row r="2422" spans="1:2" x14ac:dyDescent="0.2">
      <c r="A2422" s="198"/>
      <c r="B2422" s="198"/>
    </row>
    <row r="2423" spans="1:2" x14ac:dyDescent="0.2">
      <c r="A2423" s="198"/>
      <c r="B2423" s="198"/>
    </row>
    <row r="2424" spans="1:2" x14ac:dyDescent="0.2">
      <c r="A2424" s="198"/>
      <c r="B2424" s="198"/>
    </row>
    <row r="2425" spans="1:2" x14ac:dyDescent="0.2">
      <c r="A2425" s="198"/>
      <c r="B2425" s="198"/>
    </row>
    <row r="2426" spans="1:2" x14ac:dyDescent="0.2">
      <c r="A2426" s="198"/>
      <c r="B2426" s="198"/>
    </row>
    <row r="2427" spans="1:2" x14ac:dyDescent="0.2">
      <c r="A2427" s="198"/>
      <c r="B2427" s="198"/>
    </row>
    <row r="2428" spans="1:2" x14ac:dyDescent="0.2">
      <c r="A2428" s="198"/>
      <c r="B2428" s="198"/>
    </row>
    <row r="2429" spans="1:2" x14ac:dyDescent="0.2">
      <c r="A2429" s="198"/>
      <c r="B2429" s="198"/>
    </row>
    <row r="2430" spans="1:2" x14ac:dyDescent="0.2">
      <c r="A2430" s="198"/>
      <c r="B2430" s="198"/>
    </row>
    <row r="2431" spans="1:2" x14ac:dyDescent="0.2">
      <c r="A2431" s="198"/>
      <c r="B2431" s="198"/>
    </row>
    <row r="2432" spans="1:2" x14ac:dyDescent="0.2">
      <c r="A2432" s="198"/>
      <c r="B2432" s="198"/>
    </row>
    <row r="2433" spans="1:2" x14ac:dyDescent="0.2">
      <c r="A2433" s="198"/>
      <c r="B2433" s="198"/>
    </row>
    <row r="2434" spans="1:2" x14ac:dyDescent="0.2">
      <c r="A2434" s="198"/>
      <c r="B2434" s="198"/>
    </row>
    <row r="2435" spans="1:2" x14ac:dyDescent="0.2">
      <c r="A2435" s="198"/>
      <c r="B2435" s="198"/>
    </row>
    <row r="2436" spans="1:2" x14ac:dyDescent="0.2">
      <c r="A2436" s="198"/>
      <c r="B2436" s="198"/>
    </row>
    <row r="2437" spans="1:2" x14ac:dyDescent="0.2">
      <c r="A2437" s="198"/>
      <c r="B2437" s="198"/>
    </row>
    <row r="2438" spans="1:2" x14ac:dyDescent="0.2">
      <c r="A2438" s="198"/>
      <c r="B2438" s="198"/>
    </row>
    <row r="2439" spans="1:2" x14ac:dyDescent="0.2">
      <c r="A2439" s="198"/>
      <c r="B2439" s="198"/>
    </row>
    <row r="2440" spans="1:2" x14ac:dyDescent="0.2">
      <c r="A2440" s="198"/>
      <c r="B2440" s="198"/>
    </row>
    <row r="2441" spans="1:2" x14ac:dyDescent="0.2">
      <c r="A2441" s="198"/>
      <c r="B2441" s="198"/>
    </row>
    <row r="2442" spans="1:2" x14ac:dyDescent="0.2">
      <c r="A2442" s="198"/>
      <c r="B2442" s="198"/>
    </row>
    <row r="2443" spans="1:2" x14ac:dyDescent="0.2">
      <c r="A2443" s="198"/>
      <c r="B2443" s="198"/>
    </row>
    <row r="2444" spans="1:2" x14ac:dyDescent="0.2">
      <c r="A2444" s="198"/>
      <c r="B2444" s="198"/>
    </row>
    <row r="2445" spans="1:2" x14ac:dyDescent="0.2">
      <c r="A2445" s="198"/>
      <c r="B2445" s="198"/>
    </row>
    <row r="2446" spans="1:2" x14ac:dyDescent="0.2">
      <c r="A2446" s="198"/>
      <c r="B2446" s="198"/>
    </row>
    <row r="2447" spans="1:2" x14ac:dyDescent="0.2">
      <c r="A2447" s="198"/>
      <c r="B2447" s="198"/>
    </row>
    <row r="2448" spans="1:2" x14ac:dyDescent="0.2">
      <c r="A2448" s="198"/>
      <c r="B2448" s="198"/>
    </row>
    <row r="2449" spans="1:2" x14ac:dyDescent="0.2">
      <c r="A2449" s="198"/>
      <c r="B2449" s="198"/>
    </row>
    <row r="2450" spans="1:2" x14ac:dyDescent="0.2">
      <c r="A2450" s="198"/>
      <c r="B2450" s="198"/>
    </row>
    <row r="2451" spans="1:2" x14ac:dyDescent="0.2">
      <c r="A2451" s="198"/>
      <c r="B2451" s="198"/>
    </row>
    <row r="2452" spans="1:2" x14ac:dyDescent="0.2">
      <c r="A2452" s="198"/>
      <c r="B2452" s="198"/>
    </row>
    <row r="2453" spans="1:2" x14ac:dyDescent="0.2">
      <c r="A2453" s="198"/>
      <c r="B2453" s="198"/>
    </row>
    <row r="2454" spans="1:2" x14ac:dyDescent="0.2">
      <c r="A2454" s="198"/>
      <c r="B2454" s="198"/>
    </row>
    <row r="2455" spans="1:2" x14ac:dyDescent="0.2">
      <c r="A2455" s="198"/>
      <c r="B2455" s="198"/>
    </row>
    <row r="2456" spans="1:2" x14ac:dyDescent="0.2">
      <c r="A2456" s="198"/>
      <c r="B2456" s="198"/>
    </row>
    <row r="2457" spans="1:2" x14ac:dyDescent="0.2">
      <c r="A2457" s="198"/>
      <c r="B2457" s="198"/>
    </row>
    <row r="2458" spans="1:2" x14ac:dyDescent="0.2">
      <c r="A2458" s="198"/>
      <c r="B2458" s="198"/>
    </row>
    <row r="2459" spans="1:2" x14ac:dyDescent="0.2">
      <c r="A2459" s="198"/>
      <c r="B2459" s="198"/>
    </row>
    <row r="2460" spans="1:2" x14ac:dyDescent="0.2">
      <c r="A2460" s="198"/>
      <c r="B2460" s="198"/>
    </row>
    <row r="2461" spans="1:2" x14ac:dyDescent="0.2">
      <c r="A2461" s="198"/>
      <c r="B2461" s="198"/>
    </row>
    <row r="2462" spans="1:2" x14ac:dyDescent="0.2">
      <c r="A2462" s="198"/>
      <c r="B2462" s="198"/>
    </row>
    <row r="2463" spans="1:2" x14ac:dyDescent="0.2">
      <c r="A2463" s="198"/>
      <c r="B2463" s="198"/>
    </row>
    <row r="2464" spans="1:2" x14ac:dyDescent="0.2">
      <c r="A2464" s="198"/>
      <c r="B2464" s="198"/>
    </row>
    <row r="2465" spans="1:2" x14ac:dyDescent="0.2">
      <c r="A2465" s="198"/>
      <c r="B2465" s="198"/>
    </row>
    <row r="2466" spans="1:2" x14ac:dyDescent="0.2">
      <c r="A2466" s="198"/>
      <c r="B2466" s="198"/>
    </row>
    <row r="2467" spans="1:2" x14ac:dyDescent="0.2">
      <c r="A2467" s="198"/>
      <c r="B2467" s="198"/>
    </row>
    <row r="2468" spans="1:2" x14ac:dyDescent="0.2">
      <c r="A2468" s="198"/>
      <c r="B2468" s="198"/>
    </row>
    <row r="2469" spans="1:2" x14ac:dyDescent="0.2">
      <c r="A2469" s="198"/>
      <c r="B2469" s="198"/>
    </row>
    <row r="2470" spans="1:2" x14ac:dyDescent="0.2">
      <c r="A2470" s="198"/>
      <c r="B2470" s="198"/>
    </row>
    <row r="2471" spans="1:2" x14ac:dyDescent="0.2">
      <c r="A2471" s="198"/>
      <c r="B2471" s="198"/>
    </row>
    <row r="2472" spans="1:2" x14ac:dyDescent="0.2">
      <c r="A2472" s="198"/>
      <c r="B2472" s="198"/>
    </row>
    <row r="2473" spans="1:2" x14ac:dyDescent="0.2">
      <c r="A2473" s="198"/>
      <c r="B2473" s="198"/>
    </row>
    <row r="2474" spans="1:2" x14ac:dyDescent="0.2">
      <c r="A2474" s="198"/>
      <c r="B2474" s="198"/>
    </row>
    <row r="2475" spans="1:2" x14ac:dyDescent="0.2">
      <c r="A2475" s="198"/>
      <c r="B2475" s="198"/>
    </row>
    <row r="2476" spans="1:2" x14ac:dyDescent="0.2">
      <c r="A2476" s="198"/>
      <c r="B2476" s="198"/>
    </row>
    <row r="2477" spans="1:2" x14ac:dyDescent="0.2">
      <c r="A2477" s="198"/>
      <c r="B2477" s="198"/>
    </row>
    <row r="2478" spans="1:2" x14ac:dyDescent="0.2">
      <c r="A2478" s="198"/>
      <c r="B2478" s="198"/>
    </row>
    <row r="2479" spans="1:2" x14ac:dyDescent="0.2">
      <c r="A2479" s="198"/>
      <c r="B2479" s="198"/>
    </row>
    <row r="2480" spans="1:2" x14ac:dyDescent="0.2">
      <c r="A2480" s="198"/>
      <c r="B2480" s="198"/>
    </row>
    <row r="2481" spans="1:2" x14ac:dyDescent="0.2">
      <c r="A2481" s="198"/>
      <c r="B2481" s="198"/>
    </row>
    <row r="2482" spans="1:2" x14ac:dyDescent="0.2">
      <c r="A2482" s="198"/>
      <c r="B2482" s="198"/>
    </row>
    <row r="2483" spans="1:2" x14ac:dyDescent="0.2">
      <c r="A2483" s="198"/>
      <c r="B2483" s="198"/>
    </row>
    <row r="2484" spans="1:2" x14ac:dyDescent="0.2">
      <c r="A2484" s="198"/>
      <c r="B2484" s="198"/>
    </row>
    <row r="2485" spans="1:2" x14ac:dyDescent="0.2">
      <c r="A2485" s="198"/>
      <c r="B2485" s="198"/>
    </row>
    <row r="2486" spans="1:2" x14ac:dyDescent="0.2">
      <c r="A2486" s="198"/>
      <c r="B2486" s="198"/>
    </row>
    <row r="2487" spans="1:2" x14ac:dyDescent="0.2">
      <c r="A2487" s="198"/>
      <c r="B2487" s="198"/>
    </row>
    <row r="2488" spans="1:2" x14ac:dyDescent="0.2">
      <c r="A2488" s="198"/>
      <c r="B2488" s="198"/>
    </row>
    <row r="2489" spans="1:2" x14ac:dyDescent="0.2">
      <c r="A2489" s="198"/>
      <c r="B2489" s="198"/>
    </row>
    <row r="2490" spans="1:2" x14ac:dyDescent="0.2">
      <c r="A2490" s="198"/>
      <c r="B2490" s="198"/>
    </row>
    <row r="2491" spans="1:2" x14ac:dyDescent="0.2">
      <c r="A2491" s="198"/>
      <c r="B2491" s="198"/>
    </row>
    <row r="2492" spans="1:2" x14ac:dyDescent="0.2">
      <c r="A2492" s="198"/>
      <c r="B2492" s="198"/>
    </row>
    <row r="2493" spans="1:2" x14ac:dyDescent="0.2">
      <c r="A2493" s="198"/>
      <c r="B2493" s="198"/>
    </row>
    <row r="2494" spans="1:2" x14ac:dyDescent="0.2">
      <c r="A2494" s="198"/>
      <c r="B2494" s="198"/>
    </row>
    <row r="2495" spans="1:2" x14ac:dyDescent="0.2">
      <c r="A2495" s="198"/>
      <c r="B2495" s="198"/>
    </row>
    <row r="2496" spans="1:2" x14ac:dyDescent="0.2">
      <c r="A2496" s="198"/>
      <c r="B2496" s="198"/>
    </row>
    <row r="2497" spans="1:2" x14ac:dyDescent="0.2">
      <c r="A2497" s="198"/>
      <c r="B2497" s="198"/>
    </row>
    <row r="2498" spans="1:2" x14ac:dyDescent="0.2">
      <c r="A2498" s="198"/>
      <c r="B2498" s="198"/>
    </row>
    <row r="2499" spans="1:2" x14ac:dyDescent="0.2">
      <c r="A2499" s="198"/>
      <c r="B2499" s="198"/>
    </row>
    <row r="2500" spans="1:2" x14ac:dyDescent="0.2">
      <c r="A2500" s="198"/>
      <c r="B2500" s="198"/>
    </row>
    <row r="2501" spans="1:2" x14ac:dyDescent="0.2">
      <c r="A2501" s="198"/>
      <c r="B2501" s="198"/>
    </row>
    <row r="2502" spans="1:2" x14ac:dyDescent="0.2">
      <c r="A2502" s="198"/>
      <c r="B2502" s="198"/>
    </row>
    <row r="2503" spans="1:2" x14ac:dyDescent="0.2">
      <c r="A2503" s="198"/>
      <c r="B2503" s="198"/>
    </row>
    <row r="2504" spans="1:2" x14ac:dyDescent="0.2">
      <c r="A2504" s="198"/>
      <c r="B2504" s="198"/>
    </row>
    <row r="2505" spans="1:2" x14ac:dyDescent="0.2">
      <c r="A2505" s="198"/>
      <c r="B2505" s="198"/>
    </row>
    <row r="2506" spans="1:2" x14ac:dyDescent="0.2">
      <c r="A2506" s="198"/>
      <c r="B2506" s="198"/>
    </row>
    <row r="2507" spans="1:2" x14ac:dyDescent="0.2">
      <c r="A2507" s="198"/>
      <c r="B2507" s="198"/>
    </row>
    <row r="2508" spans="1:2" x14ac:dyDescent="0.2">
      <c r="A2508" s="198"/>
      <c r="B2508" s="198"/>
    </row>
    <row r="2509" spans="1:2" x14ac:dyDescent="0.2">
      <c r="A2509" s="198"/>
      <c r="B2509" s="198"/>
    </row>
    <row r="2510" spans="1:2" x14ac:dyDescent="0.2">
      <c r="A2510" s="198"/>
      <c r="B2510" s="198"/>
    </row>
    <row r="2511" spans="1:2" x14ac:dyDescent="0.2">
      <c r="A2511" s="198"/>
      <c r="B2511" s="198"/>
    </row>
    <row r="2512" spans="1:2" x14ac:dyDescent="0.2">
      <c r="A2512" s="198"/>
      <c r="B2512" s="198"/>
    </row>
    <row r="2513" spans="1:2" x14ac:dyDescent="0.2">
      <c r="A2513" s="198"/>
      <c r="B2513" s="198"/>
    </row>
    <row r="2514" spans="1:2" x14ac:dyDescent="0.2">
      <c r="A2514" s="198"/>
      <c r="B2514" s="198"/>
    </row>
    <row r="2515" spans="1:2" x14ac:dyDescent="0.2">
      <c r="A2515" s="198"/>
      <c r="B2515" s="198"/>
    </row>
    <row r="2516" spans="1:2" x14ac:dyDescent="0.2">
      <c r="A2516" s="198"/>
      <c r="B2516" s="198"/>
    </row>
    <row r="2517" spans="1:2" x14ac:dyDescent="0.2">
      <c r="A2517" s="198"/>
      <c r="B2517" s="198"/>
    </row>
    <row r="2518" spans="1:2" x14ac:dyDescent="0.2">
      <c r="A2518" s="198"/>
      <c r="B2518" s="198"/>
    </row>
    <row r="2519" spans="1:2" x14ac:dyDescent="0.2">
      <c r="A2519" s="198"/>
      <c r="B2519" s="198"/>
    </row>
    <row r="2520" spans="1:2" x14ac:dyDescent="0.2">
      <c r="A2520" s="198"/>
      <c r="B2520" s="198"/>
    </row>
    <row r="2521" spans="1:2" x14ac:dyDescent="0.2">
      <c r="A2521" s="198"/>
      <c r="B2521" s="198"/>
    </row>
    <row r="2522" spans="1:2" x14ac:dyDescent="0.2">
      <c r="A2522" s="198"/>
      <c r="B2522" s="198"/>
    </row>
    <row r="2523" spans="1:2" x14ac:dyDescent="0.2">
      <c r="A2523" s="198"/>
      <c r="B2523" s="198"/>
    </row>
    <row r="2524" spans="1:2" x14ac:dyDescent="0.2">
      <c r="A2524" s="198"/>
      <c r="B2524" s="198"/>
    </row>
    <row r="2525" spans="1:2" x14ac:dyDescent="0.2">
      <c r="A2525" s="198"/>
      <c r="B2525" s="198"/>
    </row>
    <row r="2526" spans="1:2" x14ac:dyDescent="0.2">
      <c r="A2526" s="198"/>
      <c r="B2526" s="198"/>
    </row>
    <row r="2527" spans="1:2" x14ac:dyDescent="0.2">
      <c r="A2527" s="198"/>
      <c r="B2527" s="198"/>
    </row>
    <row r="2528" spans="1:2" x14ac:dyDescent="0.2">
      <c r="A2528" s="198"/>
      <c r="B2528" s="198"/>
    </row>
    <row r="2529" spans="1:2" x14ac:dyDescent="0.2">
      <c r="A2529" s="198"/>
      <c r="B2529" s="198"/>
    </row>
    <row r="2530" spans="1:2" x14ac:dyDescent="0.2">
      <c r="A2530" s="198"/>
      <c r="B2530" s="198"/>
    </row>
    <row r="2531" spans="1:2" x14ac:dyDescent="0.2">
      <c r="A2531" s="198"/>
      <c r="B2531" s="198"/>
    </row>
    <row r="2532" spans="1:2" x14ac:dyDescent="0.2">
      <c r="A2532" s="198"/>
      <c r="B2532" s="198"/>
    </row>
    <row r="2533" spans="1:2" x14ac:dyDescent="0.2">
      <c r="A2533" s="198"/>
      <c r="B2533" s="198"/>
    </row>
    <row r="2534" spans="1:2" x14ac:dyDescent="0.2">
      <c r="A2534" s="198"/>
      <c r="B2534" s="198"/>
    </row>
    <row r="2535" spans="1:2" x14ac:dyDescent="0.2">
      <c r="A2535" s="198"/>
      <c r="B2535" s="198"/>
    </row>
    <row r="2536" spans="1:2" x14ac:dyDescent="0.2">
      <c r="A2536" s="198"/>
      <c r="B2536" s="198"/>
    </row>
    <row r="2537" spans="1:2" x14ac:dyDescent="0.2">
      <c r="A2537" s="198"/>
      <c r="B2537" s="198"/>
    </row>
    <row r="2538" spans="1:2" x14ac:dyDescent="0.2">
      <c r="A2538" s="198"/>
      <c r="B2538" s="198"/>
    </row>
    <row r="2539" spans="1:2" x14ac:dyDescent="0.2">
      <c r="A2539" s="198"/>
      <c r="B2539" s="198"/>
    </row>
    <row r="2540" spans="1:2" x14ac:dyDescent="0.2">
      <c r="A2540" s="198"/>
      <c r="B2540" s="198"/>
    </row>
    <row r="2541" spans="1:2" x14ac:dyDescent="0.2">
      <c r="A2541" s="198"/>
      <c r="B2541" s="198"/>
    </row>
    <row r="2542" spans="1:2" x14ac:dyDescent="0.2">
      <c r="A2542" s="198"/>
      <c r="B2542" s="198"/>
    </row>
    <row r="2543" spans="1:2" x14ac:dyDescent="0.2">
      <c r="A2543" s="198"/>
      <c r="B2543" s="198"/>
    </row>
    <row r="2544" spans="1:2" x14ac:dyDescent="0.2">
      <c r="A2544" s="198"/>
      <c r="B2544" s="198"/>
    </row>
    <row r="2545" spans="1:2" x14ac:dyDescent="0.2">
      <c r="A2545" s="198"/>
      <c r="B2545" s="198"/>
    </row>
    <row r="2546" spans="1:2" x14ac:dyDescent="0.2">
      <c r="A2546" s="198"/>
      <c r="B2546" s="198"/>
    </row>
    <row r="2547" spans="1:2" x14ac:dyDescent="0.2">
      <c r="A2547" s="198"/>
      <c r="B2547" s="198"/>
    </row>
    <row r="2548" spans="1:2" x14ac:dyDescent="0.2">
      <c r="A2548" s="198"/>
      <c r="B2548" s="198"/>
    </row>
    <row r="2549" spans="1:2" x14ac:dyDescent="0.2">
      <c r="A2549" s="198"/>
      <c r="B2549" s="198"/>
    </row>
    <row r="2550" spans="1:2" x14ac:dyDescent="0.2">
      <c r="A2550" s="198"/>
      <c r="B2550" s="198"/>
    </row>
    <row r="2551" spans="1:2" x14ac:dyDescent="0.2">
      <c r="A2551" s="198"/>
      <c r="B2551" s="198"/>
    </row>
    <row r="2552" spans="1:2" x14ac:dyDescent="0.2">
      <c r="A2552" s="198"/>
      <c r="B2552" s="198"/>
    </row>
    <row r="2553" spans="1:2" x14ac:dyDescent="0.2">
      <c r="A2553" s="198"/>
      <c r="B2553" s="198"/>
    </row>
    <row r="2554" spans="1:2" x14ac:dyDescent="0.2">
      <c r="A2554" s="198"/>
      <c r="B2554" s="198"/>
    </row>
    <row r="2555" spans="1:2" x14ac:dyDescent="0.2">
      <c r="A2555" s="198"/>
      <c r="B2555" s="198"/>
    </row>
    <row r="2556" spans="1:2" x14ac:dyDescent="0.2">
      <c r="A2556" s="198"/>
      <c r="B2556" s="198"/>
    </row>
    <row r="2557" spans="1:2" x14ac:dyDescent="0.2">
      <c r="A2557" s="198"/>
      <c r="B2557" s="198"/>
    </row>
    <row r="2558" spans="1:2" x14ac:dyDescent="0.2">
      <c r="A2558" s="198"/>
      <c r="B2558" s="198"/>
    </row>
    <row r="2559" spans="1:2" x14ac:dyDescent="0.2">
      <c r="A2559" s="198"/>
      <c r="B2559" s="198"/>
    </row>
    <row r="2560" spans="1:2" x14ac:dyDescent="0.2">
      <c r="A2560" s="198"/>
      <c r="B2560" s="198"/>
    </row>
    <row r="2561" spans="1:2" x14ac:dyDescent="0.2">
      <c r="A2561" s="198"/>
      <c r="B2561" s="198"/>
    </row>
    <row r="2562" spans="1:2" x14ac:dyDescent="0.2">
      <c r="A2562" s="198"/>
      <c r="B2562" s="198"/>
    </row>
    <row r="2563" spans="1:2" x14ac:dyDescent="0.2">
      <c r="A2563" s="198"/>
      <c r="B2563" s="198"/>
    </row>
    <row r="2564" spans="1:2" x14ac:dyDescent="0.2">
      <c r="A2564" s="198"/>
      <c r="B2564" s="198"/>
    </row>
    <row r="2565" spans="1:2" x14ac:dyDescent="0.2">
      <c r="A2565" s="198"/>
      <c r="B2565" s="198"/>
    </row>
    <row r="2566" spans="1:2" x14ac:dyDescent="0.2">
      <c r="A2566" s="198"/>
      <c r="B2566" s="198"/>
    </row>
    <row r="2567" spans="1:2" x14ac:dyDescent="0.2">
      <c r="A2567" s="198"/>
      <c r="B2567" s="198"/>
    </row>
    <row r="2568" spans="1:2" x14ac:dyDescent="0.2">
      <c r="A2568" s="198"/>
      <c r="B2568" s="198"/>
    </row>
    <row r="2569" spans="1:2" x14ac:dyDescent="0.2">
      <c r="A2569" s="198"/>
      <c r="B2569" s="198"/>
    </row>
    <row r="2570" spans="1:2" x14ac:dyDescent="0.2">
      <c r="A2570" s="198"/>
      <c r="B2570" s="198"/>
    </row>
    <row r="2571" spans="1:2" x14ac:dyDescent="0.2">
      <c r="A2571" s="198"/>
      <c r="B2571" s="198"/>
    </row>
    <row r="2572" spans="1:2" x14ac:dyDescent="0.2">
      <c r="A2572" s="198"/>
      <c r="B2572" s="198"/>
    </row>
    <row r="2573" spans="1:2" x14ac:dyDescent="0.2">
      <c r="A2573" s="198"/>
      <c r="B2573" s="198"/>
    </row>
    <row r="2574" spans="1:2" x14ac:dyDescent="0.2">
      <c r="A2574" s="198"/>
      <c r="B2574" s="198"/>
    </row>
    <row r="2575" spans="1:2" x14ac:dyDescent="0.2">
      <c r="A2575" s="198"/>
      <c r="B2575" s="198"/>
    </row>
    <row r="2576" spans="1:2" x14ac:dyDescent="0.2">
      <c r="A2576" s="198"/>
      <c r="B2576" s="198"/>
    </row>
    <row r="2577" spans="1:2" x14ac:dyDescent="0.2">
      <c r="A2577" s="198"/>
      <c r="B2577" s="198"/>
    </row>
    <row r="2578" spans="1:2" x14ac:dyDescent="0.2">
      <c r="A2578" s="198"/>
      <c r="B2578" s="198"/>
    </row>
    <row r="2579" spans="1:2" x14ac:dyDescent="0.2">
      <c r="A2579" s="198"/>
      <c r="B2579" s="198"/>
    </row>
    <row r="2580" spans="1:2" x14ac:dyDescent="0.2">
      <c r="A2580" s="198"/>
      <c r="B2580" s="198"/>
    </row>
    <row r="2581" spans="1:2" x14ac:dyDescent="0.2">
      <c r="A2581" s="198"/>
      <c r="B2581" s="198"/>
    </row>
    <row r="2582" spans="1:2" x14ac:dyDescent="0.2">
      <c r="A2582" s="198"/>
      <c r="B2582" s="198"/>
    </row>
    <row r="2583" spans="1:2" x14ac:dyDescent="0.2">
      <c r="A2583" s="198"/>
      <c r="B2583" s="198"/>
    </row>
    <row r="2584" spans="1:2" x14ac:dyDescent="0.2">
      <c r="A2584" s="198"/>
      <c r="B2584" s="198"/>
    </row>
    <row r="2585" spans="1:2" x14ac:dyDescent="0.2">
      <c r="A2585" s="198"/>
      <c r="B2585" s="198"/>
    </row>
    <row r="2586" spans="1:2" x14ac:dyDescent="0.2">
      <c r="A2586" s="198"/>
      <c r="B2586" s="198"/>
    </row>
    <row r="2587" spans="1:2" x14ac:dyDescent="0.2">
      <c r="A2587" s="198"/>
      <c r="B2587" s="198"/>
    </row>
    <row r="2588" spans="1:2" x14ac:dyDescent="0.2">
      <c r="A2588" s="198"/>
      <c r="B2588" s="198"/>
    </row>
    <row r="2589" spans="1:2" x14ac:dyDescent="0.2">
      <c r="A2589" s="198"/>
      <c r="B2589" s="198"/>
    </row>
    <row r="2590" spans="1:2" x14ac:dyDescent="0.2">
      <c r="A2590" s="198"/>
      <c r="B2590" s="198"/>
    </row>
    <row r="2591" spans="1:2" x14ac:dyDescent="0.2">
      <c r="A2591" s="198"/>
      <c r="B2591" s="198"/>
    </row>
    <row r="2592" spans="1:2" x14ac:dyDescent="0.2">
      <c r="A2592" s="198"/>
      <c r="B2592" s="198"/>
    </row>
    <row r="2593" spans="1:2" x14ac:dyDescent="0.2">
      <c r="A2593" s="198"/>
      <c r="B2593" s="198"/>
    </row>
    <row r="2594" spans="1:2" x14ac:dyDescent="0.2">
      <c r="A2594" s="198"/>
      <c r="B2594" s="198"/>
    </row>
    <row r="2595" spans="1:2" x14ac:dyDescent="0.2">
      <c r="A2595" s="198"/>
      <c r="B2595" s="198"/>
    </row>
    <row r="2596" spans="1:2" x14ac:dyDescent="0.2">
      <c r="A2596" s="198"/>
      <c r="B2596" s="198"/>
    </row>
    <row r="2597" spans="1:2" x14ac:dyDescent="0.2">
      <c r="A2597" s="198"/>
      <c r="B2597" s="198"/>
    </row>
    <row r="2598" spans="1:2" x14ac:dyDescent="0.2">
      <c r="A2598" s="198"/>
      <c r="B2598" s="198"/>
    </row>
    <row r="2599" spans="1:2" x14ac:dyDescent="0.2">
      <c r="A2599" s="198"/>
      <c r="B2599" s="198"/>
    </row>
    <row r="2600" spans="1:2" x14ac:dyDescent="0.2">
      <c r="A2600" s="198"/>
      <c r="B2600" s="198"/>
    </row>
    <row r="2601" spans="1:2" x14ac:dyDescent="0.2">
      <c r="A2601" s="198"/>
      <c r="B2601" s="198"/>
    </row>
    <row r="2602" spans="1:2" x14ac:dyDescent="0.2">
      <c r="A2602" s="198"/>
      <c r="B2602" s="198"/>
    </row>
    <row r="2603" spans="1:2" x14ac:dyDescent="0.2">
      <c r="A2603" s="198"/>
      <c r="B2603" s="198"/>
    </row>
    <row r="2604" spans="1:2" x14ac:dyDescent="0.2">
      <c r="A2604" s="198"/>
      <c r="B2604" s="198"/>
    </row>
    <row r="2605" spans="1:2" x14ac:dyDescent="0.2">
      <c r="A2605" s="198"/>
      <c r="B2605" s="198"/>
    </row>
    <row r="2606" spans="1:2" x14ac:dyDescent="0.2">
      <c r="A2606" s="198"/>
      <c r="B2606" s="198"/>
    </row>
    <row r="2607" spans="1:2" x14ac:dyDescent="0.2">
      <c r="A2607" s="198"/>
      <c r="B2607" s="198"/>
    </row>
    <row r="2608" spans="1:2" x14ac:dyDescent="0.2">
      <c r="A2608" s="198"/>
      <c r="B2608" s="198"/>
    </row>
    <row r="2609" spans="1:2" x14ac:dyDescent="0.2">
      <c r="A2609" s="198"/>
      <c r="B2609" s="198"/>
    </row>
    <row r="2610" spans="1:2" x14ac:dyDescent="0.2">
      <c r="A2610" s="198"/>
      <c r="B2610" s="198"/>
    </row>
    <row r="2611" spans="1:2" x14ac:dyDescent="0.2">
      <c r="A2611" s="198"/>
      <c r="B2611" s="198"/>
    </row>
    <row r="2612" spans="1:2" x14ac:dyDescent="0.2">
      <c r="A2612" s="198"/>
      <c r="B2612" s="198"/>
    </row>
    <row r="2613" spans="1:2" x14ac:dyDescent="0.2">
      <c r="A2613" s="198"/>
      <c r="B2613" s="198"/>
    </row>
    <row r="2614" spans="1:2" x14ac:dyDescent="0.2">
      <c r="A2614" s="198"/>
      <c r="B2614" s="198"/>
    </row>
    <row r="2615" spans="1:2" x14ac:dyDescent="0.2">
      <c r="A2615" s="198"/>
      <c r="B2615" s="198"/>
    </row>
    <row r="2616" spans="1:2" x14ac:dyDescent="0.2">
      <c r="A2616" s="198"/>
      <c r="B2616" s="198"/>
    </row>
    <row r="2617" spans="1:2" x14ac:dyDescent="0.2">
      <c r="A2617" s="198"/>
      <c r="B2617" s="198"/>
    </row>
    <row r="2618" spans="1:2" x14ac:dyDescent="0.2">
      <c r="A2618" s="198"/>
      <c r="B2618" s="198"/>
    </row>
    <row r="2619" spans="1:2" x14ac:dyDescent="0.2">
      <c r="A2619" s="198"/>
      <c r="B2619" s="198"/>
    </row>
    <row r="2620" spans="1:2" x14ac:dyDescent="0.2">
      <c r="A2620" s="198"/>
      <c r="B2620" s="198"/>
    </row>
    <row r="2621" spans="1:2" x14ac:dyDescent="0.2">
      <c r="A2621" s="198"/>
      <c r="B2621" s="198"/>
    </row>
    <row r="2622" spans="1:2" x14ac:dyDescent="0.2">
      <c r="A2622" s="198"/>
      <c r="B2622" s="198"/>
    </row>
    <row r="2623" spans="1:2" x14ac:dyDescent="0.2">
      <c r="A2623" s="198"/>
      <c r="B2623" s="198"/>
    </row>
    <row r="2624" spans="1:2" x14ac:dyDescent="0.2">
      <c r="A2624" s="198"/>
      <c r="B2624" s="198"/>
    </row>
    <row r="2625" spans="1:2" x14ac:dyDescent="0.2">
      <c r="A2625" s="198"/>
      <c r="B2625" s="198"/>
    </row>
    <row r="2626" spans="1:2" x14ac:dyDescent="0.2">
      <c r="A2626" s="198"/>
      <c r="B2626" s="198"/>
    </row>
    <row r="2627" spans="1:2" x14ac:dyDescent="0.2">
      <c r="A2627" s="198"/>
      <c r="B2627" s="198"/>
    </row>
    <row r="2628" spans="1:2" x14ac:dyDescent="0.2">
      <c r="A2628" s="198"/>
      <c r="B2628" s="198"/>
    </row>
    <row r="2629" spans="1:2" x14ac:dyDescent="0.2">
      <c r="A2629" s="198"/>
      <c r="B2629" s="198"/>
    </row>
    <row r="2630" spans="1:2" x14ac:dyDescent="0.2">
      <c r="A2630" s="198"/>
      <c r="B2630" s="198"/>
    </row>
    <row r="2631" spans="1:2" x14ac:dyDescent="0.2">
      <c r="A2631" s="198"/>
      <c r="B2631" s="198"/>
    </row>
    <row r="2632" spans="1:2" x14ac:dyDescent="0.2">
      <c r="A2632" s="198"/>
      <c r="B2632" s="198"/>
    </row>
    <row r="2633" spans="1:2" x14ac:dyDescent="0.2">
      <c r="A2633" s="198"/>
      <c r="B2633" s="198"/>
    </row>
    <row r="2634" spans="1:2" x14ac:dyDescent="0.2">
      <c r="A2634" s="198"/>
      <c r="B2634" s="198"/>
    </row>
    <row r="2635" spans="1:2" x14ac:dyDescent="0.2">
      <c r="A2635" s="198"/>
      <c r="B2635" s="198"/>
    </row>
    <row r="2636" spans="1:2" x14ac:dyDescent="0.2">
      <c r="A2636" s="198"/>
      <c r="B2636" s="198"/>
    </row>
    <row r="2637" spans="1:2" x14ac:dyDescent="0.2">
      <c r="A2637" s="198"/>
      <c r="B2637" s="198"/>
    </row>
    <row r="2638" spans="1:2" x14ac:dyDescent="0.2">
      <c r="A2638" s="198"/>
      <c r="B2638" s="198"/>
    </row>
    <row r="2639" spans="1:2" x14ac:dyDescent="0.2">
      <c r="A2639" s="198"/>
      <c r="B2639" s="198"/>
    </row>
    <row r="2640" spans="1:2" x14ac:dyDescent="0.2">
      <c r="A2640" s="198"/>
      <c r="B2640" s="198"/>
    </row>
    <row r="2641" spans="1:2" x14ac:dyDescent="0.2">
      <c r="A2641" s="198"/>
      <c r="B2641" s="198"/>
    </row>
    <row r="2642" spans="1:2" x14ac:dyDescent="0.2">
      <c r="A2642" s="198"/>
      <c r="B2642" s="198"/>
    </row>
    <row r="2643" spans="1:2" x14ac:dyDescent="0.2">
      <c r="A2643" s="198"/>
      <c r="B2643" s="198"/>
    </row>
    <row r="2644" spans="1:2" x14ac:dyDescent="0.2">
      <c r="A2644" s="198"/>
      <c r="B2644" s="198"/>
    </row>
    <row r="2645" spans="1:2" x14ac:dyDescent="0.2">
      <c r="A2645" s="198"/>
      <c r="B2645" s="198"/>
    </row>
    <row r="2646" spans="1:2" x14ac:dyDescent="0.2">
      <c r="A2646" s="198"/>
      <c r="B2646" s="198"/>
    </row>
    <row r="2647" spans="1:2" x14ac:dyDescent="0.2">
      <c r="A2647" s="198"/>
      <c r="B2647" s="198"/>
    </row>
    <row r="2648" spans="1:2" x14ac:dyDescent="0.2">
      <c r="A2648" s="198"/>
      <c r="B2648" s="198"/>
    </row>
    <row r="2649" spans="1:2" x14ac:dyDescent="0.2">
      <c r="A2649" s="198"/>
      <c r="B2649" s="198"/>
    </row>
    <row r="2650" spans="1:2" x14ac:dyDescent="0.2">
      <c r="A2650" s="198"/>
      <c r="B2650" s="198"/>
    </row>
    <row r="2651" spans="1:2" x14ac:dyDescent="0.2">
      <c r="A2651" s="198"/>
      <c r="B2651" s="198"/>
    </row>
    <row r="2652" spans="1:2" x14ac:dyDescent="0.2">
      <c r="A2652" s="198"/>
      <c r="B2652" s="198"/>
    </row>
    <row r="2653" spans="1:2" x14ac:dyDescent="0.2">
      <c r="A2653" s="198"/>
      <c r="B2653" s="198"/>
    </row>
    <row r="2654" spans="1:2" x14ac:dyDescent="0.2">
      <c r="A2654" s="198"/>
      <c r="B2654" s="198"/>
    </row>
    <row r="2655" spans="1:2" x14ac:dyDescent="0.2">
      <c r="A2655" s="198"/>
      <c r="B2655" s="198"/>
    </row>
    <row r="2656" spans="1:2" x14ac:dyDescent="0.2">
      <c r="A2656" s="198"/>
      <c r="B2656" s="198"/>
    </row>
    <row r="2657" spans="1:2" x14ac:dyDescent="0.2">
      <c r="A2657" s="198"/>
      <c r="B2657" s="198"/>
    </row>
    <row r="2658" spans="1:2" x14ac:dyDescent="0.2">
      <c r="A2658" s="198"/>
      <c r="B2658" s="198"/>
    </row>
    <row r="2659" spans="1:2" x14ac:dyDescent="0.2">
      <c r="A2659" s="198"/>
      <c r="B2659" s="198"/>
    </row>
    <row r="2660" spans="1:2" x14ac:dyDescent="0.2">
      <c r="A2660" s="198"/>
      <c r="B2660" s="198"/>
    </row>
    <row r="2661" spans="1:2" x14ac:dyDescent="0.2">
      <c r="A2661" s="198"/>
      <c r="B2661" s="198"/>
    </row>
    <row r="2662" spans="1:2" x14ac:dyDescent="0.2">
      <c r="A2662" s="198"/>
      <c r="B2662" s="198"/>
    </row>
    <row r="2663" spans="1:2" x14ac:dyDescent="0.2">
      <c r="A2663" s="198"/>
      <c r="B2663" s="198"/>
    </row>
    <row r="2664" spans="1:2" x14ac:dyDescent="0.2">
      <c r="A2664" s="198"/>
      <c r="B2664" s="198"/>
    </row>
    <row r="2665" spans="1:2" x14ac:dyDescent="0.2">
      <c r="A2665" s="198"/>
      <c r="B2665" s="198"/>
    </row>
    <row r="2666" spans="1:2" x14ac:dyDescent="0.2">
      <c r="A2666" s="198"/>
      <c r="B2666" s="198"/>
    </row>
    <row r="2667" spans="1:2" x14ac:dyDescent="0.2">
      <c r="A2667" s="198"/>
      <c r="B2667" s="198"/>
    </row>
    <row r="2668" spans="1:2" x14ac:dyDescent="0.2">
      <c r="A2668" s="198"/>
      <c r="B2668" s="198"/>
    </row>
    <row r="2669" spans="1:2" x14ac:dyDescent="0.2">
      <c r="A2669" s="198"/>
      <c r="B2669" s="198"/>
    </row>
    <row r="2670" spans="1:2" x14ac:dyDescent="0.2">
      <c r="A2670" s="198"/>
      <c r="B2670" s="198"/>
    </row>
    <row r="2671" spans="1:2" x14ac:dyDescent="0.2">
      <c r="A2671" s="198"/>
      <c r="B2671" s="198"/>
    </row>
    <row r="2672" spans="1:2" x14ac:dyDescent="0.2">
      <c r="A2672" s="198"/>
      <c r="B2672" s="198"/>
    </row>
    <row r="2673" spans="1:2" x14ac:dyDescent="0.2">
      <c r="A2673" s="198"/>
      <c r="B2673" s="198"/>
    </row>
    <row r="2674" spans="1:2" x14ac:dyDescent="0.2">
      <c r="A2674" s="198"/>
      <c r="B2674" s="198"/>
    </row>
    <row r="2675" spans="1:2" x14ac:dyDescent="0.2">
      <c r="A2675" s="198"/>
      <c r="B2675" s="198"/>
    </row>
    <row r="2676" spans="1:2" x14ac:dyDescent="0.2">
      <c r="A2676" s="198"/>
      <c r="B2676" s="198"/>
    </row>
    <row r="2677" spans="1:2" x14ac:dyDescent="0.2">
      <c r="A2677" s="198"/>
      <c r="B2677" s="198"/>
    </row>
    <row r="2678" spans="1:2" x14ac:dyDescent="0.2">
      <c r="A2678" s="198"/>
      <c r="B2678" s="198"/>
    </row>
    <row r="2679" spans="1:2" x14ac:dyDescent="0.2">
      <c r="A2679" s="198"/>
      <c r="B2679" s="198"/>
    </row>
    <row r="2680" spans="1:2" x14ac:dyDescent="0.2">
      <c r="A2680" s="198"/>
      <c r="B2680" s="198"/>
    </row>
    <row r="2681" spans="1:2" x14ac:dyDescent="0.2">
      <c r="A2681" s="198"/>
      <c r="B2681" s="198"/>
    </row>
    <row r="2682" spans="1:2" x14ac:dyDescent="0.2">
      <c r="A2682" s="198"/>
      <c r="B2682" s="198"/>
    </row>
    <row r="2683" spans="1:2" x14ac:dyDescent="0.2">
      <c r="A2683" s="198"/>
      <c r="B2683" s="198"/>
    </row>
    <row r="2684" spans="1:2" x14ac:dyDescent="0.2">
      <c r="A2684" s="198"/>
      <c r="B2684" s="198"/>
    </row>
    <row r="2685" spans="1:2" x14ac:dyDescent="0.2">
      <c r="A2685" s="198"/>
      <c r="B2685" s="198"/>
    </row>
    <row r="2686" spans="1:2" x14ac:dyDescent="0.2">
      <c r="A2686" s="198"/>
      <c r="B2686" s="198"/>
    </row>
    <row r="2687" spans="1:2" x14ac:dyDescent="0.2">
      <c r="A2687" s="198"/>
      <c r="B2687" s="198"/>
    </row>
    <row r="2688" spans="1:2" x14ac:dyDescent="0.2">
      <c r="A2688" s="198"/>
      <c r="B2688" s="198"/>
    </row>
    <row r="2689" spans="1:2" x14ac:dyDescent="0.2">
      <c r="A2689" s="198"/>
      <c r="B2689" s="198"/>
    </row>
    <row r="2690" spans="1:2" x14ac:dyDescent="0.2">
      <c r="A2690" s="198"/>
      <c r="B2690" s="198"/>
    </row>
    <row r="2691" spans="1:2" x14ac:dyDescent="0.2">
      <c r="A2691" s="198"/>
      <c r="B2691" s="198"/>
    </row>
    <row r="2692" spans="1:2" x14ac:dyDescent="0.2">
      <c r="A2692" s="198"/>
      <c r="B2692" s="198"/>
    </row>
    <row r="2693" spans="1:2" x14ac:dyDescent="0.2">
      <c r="A2693" s="198"/>
      <c r="B2693" s="198"/>
    </row>
    <row r="2694" spans="1:2" x14ac:dyDescent="0.2">
      <c r="A2694" s="198"/>
      <c r="B2694" s="198"/>
    </row>
    <row r="2695" spans="1:2" x14ac:dyDescent="0.2">
      <c r="A2695" s="198"/>
      <c r="B2695" s="198"/>
    </row>
    <row r="2696" spans="1:2" x14ac:dyDescent="0.2">
      <c r="A2696" s="198"/>
      <c r="B2696" s="198"/>
    </row>
    <row r="2697" spans="1:2" x14ac:dyDescent="0.2">
      <c r="A2697" s="198"/>
      <c r="B2697" s="198"/>
    </row>
    <row r="2698" spans="1:2" x14ac:dyDescent="0.2">
      <c r="A2698" s="198"/>
      <c r="B2698" s="198"/>
    </row>
    <row r="2699" spans="1:2" x14ac:dyDescent="0.2">
      <c r="A2699" s="198"/>
      <c r="B2699" s="198"/>
    </row>
    <row r="2700" spans="1:2" x14ac:dyDescent="0.2">
      <c r="A2700" s="198"/>
      <c r="B2700" s="198"/>
    </row>
    <row r="2701" spans="1:2" x14ac:dyDescent="0.2">
      <c r="A2701" s="198"/>
      <c r="B2701" s="198"/>
    </row>
    <row r="2702" spans="1:2" x14ac:dyDescent="0.2">
      <c r="A2702" s="198"/>
      <c r="B2702" s="198"/>
    </row>
    <row r="2703" spans="1:2" x14ac:dyDescent="0.2">
      <c r="A2703" s="198"/>
      <c r="B2703" s="198"/>
    </row>
    <row r="2704" spans="1:2" x14ac:dyDescent="0.2">
      <c r="A2704" s="198"/>
      <c r="B2704" s="198"/>
    </row>
    <row r="2705" spans="1:2" x14ac:dyDescent="0.2">
      <c r="A2705" s="198"/>
      <c r="B2705" s="198"/>
    </row>
    <row r="2706" spans="1:2" x14ac:dyDescent="0.2">
      <c r="A2706" s="198"/>
      <c r="B2706" s="198"/>
    </row>
    <row r="2707" spans="1:2" x14ac:dyDescent="0.2">
      <c r="A2707" s="198"/>
      <c r="B2707" s="198"/>
    </row>
    <row r="2708" spans="1:2" x14ac:dyDescent="0.2">
      <c r="A2708" s="198"/>
      <c r="B2708" s="198"/>
    </row>
    <row r="2709" spans="1:2" x14ac:dyDescent="0.2">
      <c r="A2709" s="198"/>
      <c r="B2709" s="198"/>
    </row>
    <row r="2710" spans="1:2" x14ac:dyDescent="0.2">
      <c r="A2710" s="198"/>
      <c r="B2710" s="198"/>
    </row>
    <row r="2711" spans="1:2" x14ac:dyDescent="0.2">
      <c r="A2711" s="198"/>
      <c r="B2711" s="198"/>
    </row>
    <row r="2712" spans="1:2" x14ac:dyDescent="0.2">
      <c r="A2712" s="198"/>
      <c r="B2712" s="198"/>
    </row>
    <row r="2713" spans="1:2" x14ac:dyDescent="0.2">
      <c r="A2713" s="198"/>
      <c r="B2713" s="198"/>
    </row>
    <row r="2714" spans="1:2" x14ac:dyDescent="0.2">
      <c r="A2714" s="198"/>
      <c r="B2714" s="198"/>
    </row>
    <row r="2715" spans="1:2" x14ac:dyDescent="0.2">
      <c r="A2715" s="198"/>
      <c r="B2715" s="198"/>
    </row>
    <row r="2716" spans="1:2" x14ac:dyDescent="0.2">
      <c r="A2716" s="198"/>
      <c r="B2716" s="198"/>
    </row>
    <row r="2717" spans="1:2" x14ac:dyDescent="0.2">
      <c r="A2717" s="198"/>
      <c r="B2717" s="198"/>
    </row>
    <row r="2718" spans="1:2" x14ac:dyDescent="0.2">
      <c r="A2718" s="198"/>
      <c r="B2718" s="198"/>
    </row>
    <row r="2719" spans="1:2" x14ac:dyDescent="0.2">
      <c r="A2719" s="198"/>
      <c r="B2719" s="198"/>
    </row>
    <row r="2720" spans="1:2" x14ac:dyDescent="0.2">
      <c r="A2720" s="198"/>
      <c r="B2720" s="198"/>
    </row>
    <row r="2721" spans="1:2" x14ac:dyDescent="0.2">
      <c r="A2721" s="198"/>
      <c r="B2721" s="198"/>
    </row>
    <row r="2722" spans="1:2" x14ac:dyDescent="0.2">
      <c r="A2722" s="198"/>
      <c r="B2722" s="198"/>
    </row>
    <row r="2723" spans="1:2" x14ac:dyDescent="0.2">
      <c r="A2723" s="198"/>
      <c r="B2723" s="198"/>
    </row>
    <row r="2724" spans="1:2" x14ac:dyDescent="0.2">
      <c r="A2724" s="198"/>
      <c r="B2724" s="198"/>
    </row>
    <row r="2725" spans="1:2" x14ac:dyDescent="0.2">
      <c r="A2725" s="198"/>
      <c r="B2725" s="198"/>
    </row>
    <row r="2726" spans="1:2" x14ac:dyDescent="0.2">
      <c r="A2726" s="198"/>
      <c r="B2726" s="198"/>
    </row>
    <row r="2727" spans="1:2" x14ac:dyDescent="0.2">
      <c r="A2727" s="198"/>
      <c r="B2727" s="198"/>
    </row>
    <row r="2728" spans="1:2" x14ac:dyDescent="0.2">
      <c r="A2728" s="198"/>
      <c r="B2728" s="198"/>
    </row>
    <row r="2729" spans="1:2" x14ac:dyDescent="0.2">
      <c r="A2729" s="198"/>
      <c r="B2729" s="198"/>
    </row>
    <row r="2730" spans="1:2" x14ac:dyDescent="0.2">
      <c r="A2730" s="198"/>
      <c r="B2730" s="198"/>
    </row>
    <row r="2731" spans="1:2" x14ac:dyDescent="0.2">
      <c r="A2731" s="198"/>
      <c r="B2731" s="198"/>
    </row>
    <row r="2732" spans="1:2" x14ac:dyDescent="0.2">
      <c r="A2732" s="198"/>
      <c r="B2732" s="198"/>
    </row>
    <row r="2733" spans="1:2" x14ac:dyDescent="0.2">
      <c r="A2733" s="198"/>
      <c r="B2733" s="198"/>
    </row>
    <row r="2734" spans="1:2" x14ac:dyDescent="0.2">
      <c r="A2734" s="198"/>
      <c r="B2734" s="198"/>
    </row>
    <row r="2735" spans="1:2" x14ac:dyDescent="0.2">
      <c r="A2735" s="198"/>
      <c r="B2735" s="198"/>
    </row>
    <row r="2736" spans="1:2" x14ac:dyDescent="0.2">
      <c r="A2736" s="198"/>
      <c r="B2736" s="198"/>
    </row>
    <row r="2737" spans="1:2" x14ac:dyDescent="0.2">
      <c r="A2737" s="198"/>
      <c r="B2737" s="198"/>
    </row>
    <row r="2738" spans="1:2" x14ac:dyDescent="0.2">
      <c r="A2738" s="198"/>
      <c r="B2738" s="198"/>
    </row>
    <row r="2739" spans="1:2" x14ac:dyDescent="0.2">
      <c r="A2739" s="198"/>
      <c r="B2739" s="198"/>
    </row>
    <row r="2740" spans="1:2" x14ac:dyDescent="0.2">
      <c r="A2740" s="198"/>
      <c r="B2740" s="198"/>
    </row>
    <row r="2741" spans="1:2" x14ac:dyDescent="0.2">
      <c r="A2741" s="198"/>
      <c r="B2741" s="198"/>
    </row>
    <row r="2742" spans="1:2" x14ac:dyDescent="0.2">
      <c r="A2742" s="198"/>
      <c r="B2742" s="198"/>
    </row>
    <row r="2743" spans="1:2" x14ac:dyDescent="0.2">
      <c r="A2743" s="198"/>
      <c r="B2743" s="198"/>
    </row>
    <row r="2744" spans="1:2" x14ac:dyDescent="0.2">
      <c r="A2744" s="198"/>
      <c r="B2744" s="198"/>
    </row>
    <row r="2745" spans="1:2" x14ac:dyDescent="0.2">
      <c r="A2745" s="198"/>
      <c r="B2745" s="198"/>
    </row>
    <row r="2746" spans="1:2" x14ac:dyDescent="0.2">
      <c r="A2746" s="198"/>
      <c r="B2746" s="198"/>
    </row>
    <row r="2747" spans="1:2" x14ac:dyDescent="0.2">
      <c r="A2747" s="198"/>
      <c r="B2747" s="198"/>
    </row>
    <row r="2748" spans="1:2" x14ac:dyDescent="0.2">
      <c r="A2748" s="198"/>
      <c r="B2748" s="198"/>
    </row>
    <row r="2749" spans="1:2" x14ac:dyDescent="0.2">
      <c r="A2749" s="198"/>
      <c r="B2749" s="198"/>
    </row>
    <row r="2750" spans="1:2" x14ac:dyDescent="0.2">
      <c r="A2750" s="198"/>
      <c r="B2750" s="198"/>
    </row>
    <row r="2751" spans="1:2" x14ac:dyDescent="0.2">
      <c r="A2751" s="198"/>
      <c r="B2751" s="198"/>
    </row>
    <row r="2752" spans="1:2" x14ac:dyDescent="0.2">
      <c r="A2752" s="198"/>
      <c r="B2752" s="198"/>
    </row>
    <row r="2753" spans="1:2" x14ac:dyDescent="0.2">
      <c r="A2753" s="198"/>
      <c r="B2753" s="198"/>
    </row>
    <row r="2754" spans="1:2" x14ac:dyDescent="0.2">
      <c r="A2754" s="198"/>
      <c r="B2754" s="198"/>
    </row>
    <row r="2755" spans="1:2" x14ac:dyDescent="0.2">
      <c r="A2755" s="198"/>
      <c r="B2755" s="198"/>
    </row>
    <row r="2756" spans="1:2" x14ac:dyDescent="0.2">
      <c r="A2756" s="198"/>
      <c r="B2756" s="198"/>
    </row>
    <row r="2757" spans="1:2" x14ac:dyDescent="0.2">
      <c r="A2757" s="198"/>
      <c r="B2757" s="198"/>
    </row>
    <row r="2758" spans="1:2" x14ac:dyDescent="0.2">
      <c r="A2758" s="198"/>
      <c r="B2758" s="198"/>
    </row>
    <row r="2759" spans="1:2" x14ac:dyDescent="0.2">
      <c r="A2759" s="198"/>
      <c r="B2759" s="198"/>
    </row>
    <row r="2760" spans="1:2" x14ac:dyDescent="0.2">
      <c r="A2760" s="198"/>
      <c r="B2760" s="198"/>
    </row>
    <row r="2761" spans="1:2" x14ac:dyDescent="0.2">
      <c r="A2761" s="198"/>
      <c r="B2761" s="198"/>
    </row>
    <row r="2762" spans="1:2" x14ac:dyDescent="0.2">
      <c r="A2762" s="198"/>
      <c r="B2762" s="198"/>
    </row>
    <row r="2763" spans="1:2" x14ac:dyDescent="0.2">
      <c r="A2763" s="198"/>
      <c r="B2763" s="198"/>
    </row>
    <row r="2764" spans="1:2" x14ac:dyDescent="0.2">
      <c r="A2764" s="198"/>
      <c r="B2764" s="198"/>
    </row>
    <row r="2765" spans="1:2" x14ac:dyDescent="0.2">
      <c r="A2765" s="198"/>
      <c r="B2765" s="198"/>
    </row>
    <row r="2766" spans="1:2" x14ac:dyDescent="0.2">
      <c r="A2766" s="198"/>
      <c r="B2766" s="198"/>
    </row>
    <row r="2767" spans="1:2" x14ac:dyDescent="0.2">
      <c r="A2767" s="198"/>
      <c r="B2767" s="198"/>
    </row>
    <row r="2768" spans="1:2" x14ac:dyDescent="0.2">
      <c r="A2768" s="198"/>
      <c r="B2768" s="198"/>
    </row>
    <row r="2769" spans="1:2" x14ac:dyDescent="0.2">
      <c r="A2769" s="198"/>
      <c r="B2769" s="198"/>
    </row>
    <row r="2770" spans="1:2" x14ac:dyDescent="0.2">
      <c r="A2770" s="198"/>
      <c r="B2770" s="198"/>
    </row>
    <row r="2771" spans="1:2" x14ac:dyDescent="0.2">
      <c r="A2771" s="198"/>
      <c r="B2771" s="198"/>
    </row>
    <row r="2772" spans="1:2" x14ac:dyDescent="0.2">
      <c r="A2772" s="198"/>
      <c r="B2772" s="198"/>
    </row>
    <row r="2773" spans="1:2" x14ac:dyDescent="0.2">
      <c r="A2773" s="198"/>
      <c r="B2773" s="198"/>
    </row>
    <row r="2774" spans="1:2" x14ac:dyDescent="0.2">
      <c r="A2774" s="198"/>
      <c r="B2774" s="198"/>
    </row>
    <row r="2775" spans="1:2" x14ac:dyDescent="0.2">
      <c r="A2775" s="198"/>
      <c r="B2775" s="198"/>
    </row>
    <row r="2776" spans="1:2" x14ac:dyDescent="0.2">
      <c r="A2776" s="198"/>
      <c r="B2776" s="198"/>
    </row>
    <row r="2777" spans="1:2" x14ac:dyDescent="0.2">
      <c r="A2777" s="198"/>
      <c r="B2777" s="198"/>
    </row>
    <row r="2778" spans="1:2" x14ac:dyDescent="0.2">
      <c r="A2778" s="198"/>
      <c r="B2778" s="198"/>
    </row>
    <row r="2779" spans="1:2" x14ac:dyDescent="0.2">
      <c r="A2779" s="198"/>
      <c r="B2779" s="198"/>
    </row>
    <row r="2780" spans="1:2" x14ac:dyDescent="0.2">
      <c r="A2780" s="198"/>
      <c r="B2780" s="198"/>
    </row>
    <row r="2781" spans="1:2" x14ac:dyDescent="0.2">
      <c r="A2781" s="198"/>
      <c r="B2781" s="198"/>
    </row>
    <row r="2782" spans="1:2" x14ac:dyDescent="0.2">
      <c r="A2782" s="198"/>
      <c r="B2782" s="198"/>
    </row>
    <row r="2783" spans="1:2" x14ac:dyDescent="0.2">
      <c r="A2783" s="198"/>
      <c r="B2783" s="198"/>
    </row>
    <row r="2784" spans="1:2" x14ac:dyDescent="0.2">
      <c r="A2784" s="198"/>
      <c r="B2784" s="198"/>
    </row>
    <row r="2785" spans="1:2" x14ac:dyDescent="0.2">
      <c r="A2785" s="198"/>
      <c r="B2785" s="198"/>
    </row>
    <row r="2786" spans="1:2" x14ac:dyDescent="0.2">
      <c r="A2786" s="198"/>
      <c r="B2786" s="198"/>
    </row>
    <row r="2787" spans="1:2" x14ac:dyDescent="0.2">
      <c r="A2787" s="198"/>
      <c r="B2787" s="198"/>
    </row>
    <row r="2788" spans="1:2" x14ac:dyDescent="0.2">
      <c r="A2788" s="198"/>
      <c r="B2788" s="198"/>
    </row>
    <row r="2789" spans="1:2" x14ac:dyDescent="0.2">
      <c r="A2789" s="198"/>
      <c r="B2789" s="198"/>
    </row>
    <row r="2790" spans="1:2" x14ac:dyDescent="0.2">
      <c r="A2790" s="198"/>
      <c r="B2790" s="198"/>
    </row>
    <row r="2791" spans="1:2" x14ac:dyDescent="0.2">
      <c r="A2791" s="198"/>
      <c r="B2791" s="198"/>
    </row>
    <row r="2792" spans="1:2" x14ac:dyDescent="0.2">
      <c r="A2792" s="198"/>
      <c r="B2792" s="198"/>
    </row>
    <row r="2793" spans="1:2" x14ac:dyDescent="0.2">
      <c r="A2793" s="198"/>
      <c r="B2793" s="198"/>
    </row>
    <row r="2794" spans="1:2" x14ac:dyDescent="0.2">
      <c r="A2794" s="198"/>
      <c r="B2794" s="198"/>
    </row>
    <row r="2795" spans="1:2" x14ac:dyDescent="0.2">
      <c r="A2795" s="198"/>
      <c r="B2795" s="198"/>
    </row>
    <row r="2796" spans="1:2" x14ac:dyDescent="0.2">
      <c r="A2796" s="198"/>
      <c r="B2796" s="198"/>
    </row>
    <row r="2797" spans="1:2" x14ac:dyDescent="0.2">
      <c r="A2797" s="198"/>
      <c r="B2797" s="198"/>
    </row>
    <row r="2798" spans="1:2" x14ac:dyDescent="0.2">
      <c r="A2798" s="198"/>
      <c r="B2798" s="198"/>
    </row>
    <row r="2799" spans="1:2" x14ac:dyDescent="0.2">
      <c r="A2799" s="198"/>
      <c r="B2799" s="198"/>
    </row>
    <row r="2800" spans="1:2" x14ac:dyDescent="0.2">
      <c r="A2800" s="198"/>
      <c r="B2800" s="198"/>
    </row>
    <row r="2801" spans="1:2" x14ac:dyDescent="0.2">
      <c r="A2801" s="198"/>
      <c r="B2801" s="198"/>
    </row>
    <row r="2802" spans="1:2" x14ac:dyDescent="0.2">
      <c r="A2802" s="198"/>
      <c r="B2802" s="198"/>
    </row>
    <row r="2803" spans="1:2" x14ac:dyDescent="0.2">
      <c r="A2803" s="198"/>
      <c r="B2803" s="198"/>
    </row>
    <row r="2804" spans="1:2" x14ac:dyDescent="0.2">
      <c r="A2804" s="198"/>
      <c r="B2804" s="198"/>
    </row>
    <row r="2805" spans="1:2" x14ac:dyDescent="0.2">
      <c r="A2805" s="198"/>
      <c r="B2805" s="198"/>
    </row>
    <row r="2806" spans="1:2" x14ac:dyDescent="0.2">
      <c r="A2806" s="198"/>
      <c r="B2806" s="198"/>
    </row>
    <row r="2807" spans="1:2" x14ac:dyDescent="0.2">
      <c r="A2807" s="198"/>
      <c r="B2807" s="198"/>
    </row>
    <row r="2808" spans="1:2" x14ac:dyDescent="0.2">
      <c r="A2808" s="198"/>
      <c r="B2808" s="198"/>
    </row>
    <row r="2809" spans="1:2" x14ac:dyDescent="0.2">
      <c r="A2809" s="198"/>
      <c r="B2809" s="198"/>
    </row>
    <row r="2810" spans="1:2" x14ac:dyDescent="0.2">
      <c r="A2810" s="198"/>
      <c r="B2810" s="198"/>
    </row>
    <row r="2811" spans="1:2" x14ac:dyDescent="0.2">
      <c r="A2811" s="198"/>
      <c r="B2811" s="198"/>
    </row>
    <row r="2812" spans="1:2" x14ac:dyDescent="0.2">
      <c r="A2812" s="198"/>
      <c r="B2812" s="198"/>
    </row>
    <row r="2813" spans="1:2" x14ac:dyDescent="0.2">
      <c r="A2813" s="198"/>
      <c r="B2813" s="198"/>
    </row>
    <row r="2814" spans="1:2" x14ac:dyDescent="0.2">
      <c r="A2814" s="198"/>
      <c r="B2814" s="198"/>
    </row>
    <row r="2815" spans="1:2" x14ac:dyDescent="0.2">
      <c r="A2815" s="198"/>
      <c r="B2815" s="198"/>
    </row>
    <row r="2816" spans="1:2" x14ac:dyDescent="0.2">
      <c r="A2816" s="198"/>
      <c r="B2816" s="198"/>
    </row>
    <row r="2817" spans="1:2" x14ac:dyDescent="0.2">
      <c r="A2817" s="198"/>
      <c r="B2817" s="198"/>
    </row>
    <row r="2818" spans="1:2" x14ac:dyDescent="0.2">
      <c r="A2818" s="198"/>
      <c r="B2818" s="198"/>
    </row>
    <row r="2819" spans="1:2" x14ac:dyDescent="0.2">
      <c r="A2819" s="198"/>
      <c r="B2819" s="198"/>
    </row>
    <row r="2820" spans="1:2" x14ac:dyDescent="0.2">
      <c r="A2820" s="198"/>
      <c r="B2820" s="198"/>
    </row>
    <row r="2821" spans="1:2" x14ac:dyDescent="0.2">
      <c r="A2821" s="198"/>
      <c r="B2821" s="198"/>
    </row>
    <row r="2822" spans="1:2" x14ac:dyDescent="0.2">
      <c r="A2822" s="198"/>
      <c r="B2822" s="198"/>
    </row>
    <row r="2823" spans="1:2" x14ac:dyDescent="0.2">
      <c r="A2823" s="198"/>
      <c r="B2823" s="198"/>
    </row>
    <row r="2824" spans="1:2" x14ac:dyDescent="0.2">
      <c r="A2824" s="198"/>
      <c r="B2824" s="198"/>
    </row>
    <row r="2825" spans="1:2" x14ac:dyDescent="0.2">
      <c r="A2825" s="198"/>
      <c r="B2825" s="198"/>
    </row>
    <row r="2826" spans="1:2" x14ac:dyDescent="0.2">
      <c r="A2826" s="198"/>
      <c r="B2826" s="198"/>
    </row>
    <row r="2827" spans="1:2" x14ac:dyDescent="0.2">
      <c r="A2827" s="198"/>
      <c r="B2827" s="198"/>
    </row>
    <row r="2828" spans="1:2" x14ac:dyDescent="0.2">
      <c r="A2828" s="198"/>
      <c r="B2828" s="198"/>
    </row>
    <row r="2829" spans="1:2" x14ac:dyDescent="0.2">
      <c r="A2829" s="198"/>
      <c r="B2829" s="198"/>
    </row>
    <row r="2830" spans="1:2" x14ac:dyDescent="0.2">
      <c r="A2830" s="198"/>
      <c r="B2830" s="198"/>
    </row>
    <row r="2831" spans="1:2" x14ac:dyDescent="0.2">
      <c r="A2831" s="198"/>
      <c r="B2831" s="198"/>
    </row>
    <row r="2832" spans="1:2" x14ac:dyDescent="0.2">
      <c r="A2832" s="198"/>
      <c r="B2832" s="198"/>
    </row>
    <row r="2833" spans="1:2" x14ac:dyDescent="0.2">
      <c r="A2833" s="198"/>
      <c r="B2833" s="198"/>
    </row>
    <row r="2834" spans="1:2" x14ac:dyDescent="0.2">
      <c r="A2834" s="198"/>
      <c r="B2834" s="198"/>
    </row>
    <row r="2835" spans="1:2" x14ac:dyDescent="0.2">
      <c r="A2835" s="198"/>
      <c r="B2835" s="198"/>
    </row>
    <row r="2836" spans="1:2" x14ac:dyDescent="0.2">
      <c r="A2836" s="198"/>
      <c r="B2836" s="198"/>
    </row>
    <row r="2837" spans="1:2" x14ac:dyDescent="0.2">
      <c r="A2837" s="198"/>
      <c r="B2837" s="198"/>
    </row>
    <row r="2838" spans="1:2" x14ac:dyDescent="0.2">
      <c r="A2838" s="198"/>
      <c r="B2838" s="198"/>
    </row>
    <row r="2839" spans="1:2" x14ac:dyDescent="0.2">
      <c r="A2839" s="198"/>
      <c r="B2839" s="198"/>
    </row>
    <row r="2840" spans="1:2" x14ac:dyDescent="0.2">
      <c r="A2840" s="198"/>
      <c r="B2840" s="198"/>
    </row>
    <row r="2841" spans="1:2" x14ac:dyDescent="0.2">
      <c r="A2841" s="198"/>
      <c r="B2841" s="198"/>
    </row>
    <row r="2842" spans="1:2" x14ac:dyDescent="0.2">
      <c r="A2842" s="198"/>
      <c r="B2842" s="198"/>
    </row>
    <row r="2843" spans="1:2" x14ac:dyDescent="0.2">
      <c r="A2843" s="198"/>
      <c r="B2843" s="198"/>
    </row>
    <row r="2844" spans="1:2" x14ac:dyDescent="0.2">
      <c r="A2844" s="198"/>
      <c r="B2844" s="198"/>
    </row>
    <row r="2845" spans="1:2" x14ac:dyDescent="0.2">
      <c r="A2845" s="198"/>
      <c r="B2845" s="198"/>
    </row>
    <row r="2846" spans="1:2" x14ac:dyDescent="0.2">
      <c r="A2846" s="198"/>
      <c r="B2846" s="198"/>
    </row>
    <row r="2847" spans="1:2" x14ac:dyDescent="0.2">
      <c r="A2847" s="198"/>
      <c r="B2847" s="198"/>
    </row>
    <row r="2848" spans="1:2" x14ac:dyDescent="0.2">
      <c r="A2848" s="198"/>
      <c r="B2848" s="198"/>
    </row>
    <row r="2849" spans="1:2" x14ac:dyDescent="0.2">
      <c r="A2849" s="198"/>
      <c r="B2849" s="198"/>
    </row>
    <row r="2850" spans="1:2" x14ac:dyDescent="0.2">
      <c r="A2850" s="198"/>
      <c r="B2850" s="198"/>
    </row>
    <row r="2851" spans="1:2" x14ac:dyDescent="0.2">
      <c r="A2851" s="198"/>
      <c r="B2851" s="198"/>
    </row>
    <row r="2852" spans="1:2" x14ac:dyDescent="0.2">
      <c r="A2852" s="198"/>
      <c r="B2852" s="198"/>
    </row>
    <row r="2853" spans="1:2" x14ac:dyDescent="0.2">
      <c r="A2853" s="198"/>
      <c r="B2853" s="198"/>
    </row>
    <row r="2854" spans="1:2" x14ac:dyDescent="0.2">
      <c r="A2854" s="198"/>
      <c r="B2854" s="198"/>
    </row>
    <row r="2855" spans="1:2" x14ac:dyDescent="0.2">
      <c r="A2855" s="198"/>
      <c r="B2855" s="198"/>
    </row>
    <row r="2856" spans="1:2" x14ac:dyDescent="0.2">
      <c r="A2856" s="198"/>
      <c r="B2856" s="198"/>
    </row>
    <row r="2857" spans="1:2" x14ac:dyDescent="0.2">
      <c r="A2857" s="198"/>
      <c r="B2857" s="198"/>
    </row>
    <row r="2858" spans="1:2" x14ac:dyDescent="0.2">
      <c r="A2858" s="198"/>
      <c r="B2858" s="198"/>
    </row>
    <row r="2859" spans="1:2" x14ac:dyDescent="0.2">
      <c r="A2859" s="198"/>
      <c r="B2859" s="198"/>
    </row>
    <row r="2860" spans="1:2" x14ac:dyDescent="0.2">
      <c r="A2860" s="198"/>
      <c r="B2860" s="198"/>
    </row>
    <row r="2861" spans="1:2" x14ac:dyDescent="0.2">
      <c r="A2861" s="198"/>
      <c r="B2861" s="198"/>
    </row>
    <row r="2862" spans="1:2" x14ac:dyDescent="0.2">
      <c r="A2862" s="198"/>
      <c r="B2862" s="198"/>
    </row>
    <row r="2863" spans="1:2" x14ac:dyDescent="0.2">
      <c r="A2863" s="198"/>
      <c r="B2863" s="198"/>
    </row>
    <row r="2864" spans="1:2" x14ac:dyDescent="0.2">
      <c r="A2864" s="198"/>
      <c r="B2864" s="198"/>
    </row>
    <row r="2865" spans="1:2" x14ac:dyDescent="0.2">
      <c r="A2865" s="198"/>
      <c r="B2865" s="198"/>
    </row>
    <row r="2866" spans="1:2" x14ac:dyDescent="0.2">
      <c r="A2866" s="198"/>
      <c r="B2866" s="198"/>
    </row>
    <row r="2867" spans="1:2" x14ac:dyDescent="0.2">
      <c r="A2867" s="198"/>
      <c r="B2867" s="198"/>
    </row>
    <row r="2868" spans="1:2" x14ac:dyDescent="0.2">
      <c r="A2868" s="198"/>
      <c r="B2868" s="198"/>
    </row>
    <row r="2869" spans="1:2" x14ac:dyDescent="0.2">
      <c r="A2869" s="198"/>
      <c r="B2869" s="198"/>
    </row>
    <row r="2870" spans="1:2" x14ac:dyDescent="0.2">
      <c r="A2870" s="198"/>
      <c r="B2870" s="198"/>
    </row>
    <row r="2871" spans="1:2" x14ac:dyDescent="0.2">
      <c r="A2871" s="198"/>
      <c r="B2871" s="198"/>
    </row>
    <row r="2872" spans="1:2" x14ac:dyDescent="0.2">
      <c r="A2872" s="198"/>
      <c r="B2872" s="198"/>
    </row>
    <row r="2873" spans="1:2" x14ac:dyDescent="0.2">
      <c r="A2873" s="198"/>
      <c r="B2873" s="198"/>
    </row>
    <row r="2874" spans="1:2" x14ac:dyDescent="0.2">
      <c r="A2874" s="198"/>
      <c r="B2874" s="198"/>
    </row>
    <row r="2875" spans="1:2" x14ac:dyDescent="0.2">
      <c r="A2875" s="198"/>
      <c r="B2875" s="198"/>
    </row>
    <row r="2876" spans="1:2" x14ac:dyDescent="0.2">
      <c r="A2876" s="198"/>
      <c r="B2876" s="198"/>
    </row>
    <row r="2877" spans="1:2" x14ac:dyDescent="0.2">
      <c r="A2877" s="198"/>
      <c r="B2877" s="198"/>
    </row>
    <row r="2878" spans="1:2" x14ac:dyDescent="0.2">
      <c r="A2878" s="198"/>
      <c r="B2878" s="198"/>
    </row>
    <row r="2879" spans="1:2" x14ac:dyDescent="0.2">
      <c r="A2879" s="198"/>
      <c r="B2879" s="198"/>
    </row>
    <row r="2880" spans="1:2" x14ac:dyDescent="0.2">
      <c r="A2880" s="198"/>
      <c r="B2880" s="198"/>
    </row>
    <row r="2881" spans="1:2" x14ac:dyDescent="0.2">
      <c r="A2881" s="198"/>
      <c r="B2881" s="198"/>
    </row>
    <row r="2882" spans="1:2" x14ac:dyDescent="0.2">
      <c r="A2882" s="198"/>
      <c r="B2882" s="198"/>
    </row>
    <row r="2883" spans="1:2" x14ac:dyDescent="0.2">
      <c r="A2883" s="198"/>
      <c r="B2883" s="198"/>
    </row>
    <row r="2884" spans="1:2" x14ac:dyDescent="0.2">
      <c r="A2884" s="198"/>
      <c r="B2884" s="198"/>
    </row>
    <row r="2885" spans="1:2" x14ac:dyDescent="0.2">
      <c r="A2885" s="198"/>
      <c r="B2885" s="198"/>
    </row>
    <row r="2886" spans="1:2" x14ac:dyDescent="0.2">
      <c r="A2886" s="198"/>
      <c r="B2886" s="198"/>
    </row>
    <row r="2887" spans="1:2" x14ac:dyDescent="0.2">
      <c r="A2887" s="198"/>
      <c r="B2887" s="198"/>
    </row>
    <row r="2888" spans="1:2" x14ac:dyDescent="0.2">
      <c r="A2888" s="198"/>
      <c r="B2888" s="198"/>
    </row>
    <row r="2889" spans="1:2" x14ac:dyDescent="0.2">
      <c r="A2889" s="198"/>
      <c r="B2889" s="198"/>
    </row>
    <row r="2890" spans="1:2" x14ac:dyDescent="0.2">
      <c r="A2890" s="198"/>
      <c r="B2890" s="198"/>
    </row>
    <row r="2891" spans="1:2" x14ac:dyDescent="0.2">
      <c r="A2891" s="198"/>
      <c r="B2891" s="198"/>
    </row>
    <row r="2892" spans="1:2" x14ac:dyDescent="0.2">
      <c r="A2892" s="198"/>
      <c r="B2892" s="198"/>
    </row>
    <row r="2893" spans="1:2" x14ac:dyDescent="0.2">
      <c r="A2893" s="198"/>
      <c r="B2893" s="198"/>
    </row>
    <row r="2894" spans="1:2" x14ac:dyDescent="0.2">
      <c r="A2894" s="198"/>
      <c r="B2894" s="198"/>
    </row>
    <row r="2895" spans="1:2" x14ac:dyDescent="0.2">
      <c r="A2895" s="198"/>
      <c r="B2895" s="198"/>
    </row>
    <row r="2896" spans="1:2" x14ac:dyDescent="0.2">
      <c r="A2896" s="198"/>
      <c r="B2896" s="198"/>
    </row>
    <row r="2897" spans="1:2" x14ac:dyDescent="0.2">
      <c r="A2897" s="198"/>
      <c r="B2897" s="198"/>
    </row>
    <row r="2898" spans="1:2" x14ac:dyDescent="0.2">
      <c r="A2898" s="198"/>
      <c r="B2898" s="198"/>
    </row>
    <row r="2899" spans="1:2" x14ac:dyDescent="0.2">
      <c r="A2899" s="198"/>
      <c r="B2899" s="198"/>
    </row>
    <row r="2900" spans="1:2" x14ac:dyDescent="0.2">
      <c r="A2900" s="198"/>
      <c r="B2900" s="198"/>
    </row>
    <row r="2901" spans="1:2" x14ac:dyDescent="0.2">
      <c r="A2901" s="198"/>
      <c r="B2901" s="198"/>
    </row>
    <row r="2902" spans="1:2" x14ac:dyDescent="0.2">
      <c r="A2902" s="198"/>
      <c r="B2902" s="198"/>
    </row>
    <row r="2903" spans="1:2" x14ac:dyDescent="0.2">
      <c r="A2903" s="198"/>
      <c r="B2903" s="198"/>
    </row>
    <row r="2904" spans="1:2" x14ac:dyDescent="0.2">
      <c r="A2904" s="198"/>
      <c r="B2904" s="198"/>
    </row>
    <row r="2905" spans="1:2" x14ac:dyDescent="0.2">
      <c r="A2905" s="198"/>
      <c r="B2905" s="198"/>
    </row>
    <row r="2906" spans="1:2" x14ac:dyDescent="0.2">
      <c r="A2906" s="198"/>
      <c r="B2906" s="198"/>
    </row>
    <row r="2907" spans="1:2" x14ac:dyDescent="0.2">
      <c r="A2907" s="198"/>
      <c r="B2907" s="198"/>
    </row>
    <row r="2908" spans="1:2" x14ac:dyDescent="0.2">
      <c r="A2908" s="198"/>
      <c r="B2908" s="198"/>
    </row>
    <row r="2909" spans="1:2" x14ac:dyDescent="0.2">
      <c r="A2909" s="198"/>
      <c r="B2909" s="198"/>
    </row>
    <row r="2910" spans="1:2" x14ac:dyDescent="0.2">
      <c r="A2910" s="198"/>
      <c r="B2910" s="198"/>
    </row>
    <row r="2911" spans="1:2" x14ac:dyDescent="0.2">
      <c r="A2911" s="198"/>
      <c r="B2911" s="198"/>
    </row>
    <row r="2912" spans="1:2" x14ac:dyDescent="0.2">
      <c r="A2912" s="198"/>
      <c r="B2912" s="198"/>
    </row>
    <row r="2913" spans="1:2" x14ac:dyDescent="0.2">
      <c r="A2913" s="198"/>
      <c r="B2913" s="198"/>
    </row>
    <row r="2914" spans="1:2" x14ac:dyDescent="0.2">
      <c r="A2914" s="198"/>
      <c r="B2914" s="198"/>
    </row>
    <row r="2915" spans="1:2" x14ac:dyDescent="0.2">
      <c r="A2915" s="198"/>
      <c r="B2915" s="198"/>
    </row>
    <row r="2916" spans="1:2" x14ac:dyDescent="0.2">
      <c r="A2916" s="198"/>
      <c r="B2916" s="198"/>
    </row>
    <row r="2917" spans="1:2" x14ac:dyDescent="0.2">
      <c r="A2917" s="198"/>
      <c r="B2917" s="198"/>
    </row>
    <row r="2918" spans="1:2" x14ac:dyDescent="0.2">
      <c r="A2918" s="198"/>
      <c r="B2918" s="198"/>
    </row>
    <row r="2919" spans="1:2" x14ac:dyDescent="0.2">
      <c r="A2919" s="198"/>
      <c r="B2919" s="198"/>
    </row>
    <row r="2920" spans="1:2" x14ac:dyDescent="0.2">
      <c r="A2920" s="198"/>
      <c r="B2920" s="198"/>
    </row>
    <row r="2921" spans="1:2" x14ac:dyDescent="0.2">
      <c r="A2921" s="198"/>
      <c r="B2921" s="198"/>
    </row>
    <row r="2922" spans="1:2" x14ac:dyDescent="0.2">
      <c r="A2922" s="198"/>
      <c r="B2922" s="198"/>
    </row>
    <row r="2923" spans="1:2" x14ac:dyDescent="0.2">
      <c r="A2923" s="198"/>
      <c r="B2923" s="198"/>
    </row>
    <row r="2924" spans="1:2" x14ac:dyDescent="0.2">
      <c r="A2924" s="198"/>
      <c r="B2924" s="198"/>
    </row>
    <row r="2925" spans="1:2" x14ac:dyDescent="0.2">
      <c r="A2925" s="198"/>
      <c r="B2925" s="198"/>
    </row>
    <row r="2926" spans="1:2" x14ac:dyDescent="0.2">
      <c r="A2926" s="198"/>
      <c r="B2926" s="198"/>
    </row>
    <row r="2927" spans="1:2" x14ac:dyDescent="0.2">
      <c r="A2927" s="198"/>
      <c r="B2927" s="198"/>
    </row>
    <row r="2928" spans="1:2" x14ac:dyDescent="0.2">
      <c r="A2928" s="198"/>
      <c r="B2928" s="198"/>
    </row>
    <row r="2929" spans="1:2" x14ac:dyDescent="0.2">
      <c r="A2929" s="198"/>
      <c r="B2929" s="198"/>
    </row>
    <row r="2930" spans="1:2" x14ac:dyDescent="0.2">
      <c r="A2930" s="198"/>
      <c r="B2930" s="198"/>
    </row>
    <row r="2931" spans="1:2" x14ac:dyDescent="0.2">
      <c r="A2931" s="198"/>
      <c r="B2931" s="198"/>
    </row>
    <row r="2932" spans="1:2" x14ac:dyDescent="0.2">
      <c r="A2932" s="198"/>
      <c r="B2932" s="198"/>
    </row>
    <row r="2933" spans="1:2" x14ac:dyDescent="0.2">
      <c r="A2933" s="198"/>
      <c r="B2933" s="198"/>
    </row>
    <row r="2934" spans="1:2" x14ac:dyDescent="0.2">
      <c r="A2934" s="198"/>
      <c r="B2934" s="198"/>
    </row>
    <row r="2935" spans="1:2" x14ac:dyDescent="0.2">
      <c r="A2935" s="198"/>
      <c r="B2935" s="198"/>
    </row>
    <row r="2936" spans="1:2" x14ac:dyDescent="0.2">
      <c r="A2936" s="198"/>
      <c r="B2936" s="198"/>
    </row>
    <row r="2937" spans="1:2" x14ac:dyDescent="0.2">
      <c r="A2937" s="198"/>
      <c r="B2937" s="198"/>
    </row>
    <row r="2938" spans="1:2" x14ac:dyDescent="0.2">
      <c r="A2938" s="198"/>
      <c r="B2938" s="198"/>
    </row>
    <row r="2939" spans="1:2" x14ac:dyDescent="0.2">
      <c r="A2939" s="198"/>
      <c r="B2939" s="198"/>
    </row>
    <row r="2940" spans="1:2" x14ac:dyDescent="0.2">
      <c r="A2940" s="198"/>
      <c r="B2940" s="198"/>
    </row>
    <row r="2941" spans="1:2" x14ac:dyDescent="0.2">
      <c r="A2941" s="198"/>
      <c r="B2941" s="198"/>
    </row>
    <row r="2942" spans="1:2" x14ac:dyDescent="0.2">
      <c r="A2942" s="198"/>
      <c r="B2942" s="198"/>
    </row>
    <row r="2943" spans="1:2" x14ac:dyDescent="0.2">
      <c r="A2943" s="198"/>
      <c r="B2943" s="198"/>
    </row>
    <row r="2944" spans="1:2" x14ac:dyDescent="0.2">
      <c r="A2944" s="198"/>
      <c r="B2944" s="198"/>
    </row>
    <row r="2945" spans="1:2" x14ac:dyDescent="0.2">
      <c r="A2945" s="198"/>
      <c r="B2945" s="198"/>
    </row>
    <row r="2946" spans="1:2" x14ac:dyDescent="0.2">
      <c r="A2946" s="198"/>
      <c r="B2946" s="198"/>
    </row>
    <row r="2947" spans="1:2" x14ac:dyDescent="0.2">
      <c r="A2947" s="198"/>
      <c r="B2947" s="198"/>
    </row>
    <row r="2948" spans="1:2" x14ac:dyDescent="0.2">
      <c r="A2948" s="198"/>
      <c r="B2948" s="198"/>
    </row>
    <row r="2949" spans="1:2" x14ac:dyDescent="0.2">
      <c r="A2949" s="198"/>
      <c r="B2949" s="198"/>
    </row>
    <row r="2950" spans="1:2" x14ac:dyDescent="0.2">
      <c r="A2950" s="198"/>
      <c r="B2950" s="198"/>
    </row>
    <row r="2951" spans="1:2" x14ac:dyDescent="0.2">
      <c r="A2951" s="198"/>
      <c r="B2951" s="198"/>
    </row>
    <row r="2952" spans="1:2" x14ac:dyDescent="0.2">
      <c r="A2952" s="198"/>
      <c r="B2952" s="198"/>
    </row>
    <row r="2953" spans="1:2" x14ac:dyDescent="0.2">
      <c r="A2953" s="198"/>
      <c r="B2953" s="198"/>
    </row>
    <row r="2954" spans="1:2" x14ac:dyDescent="0.2">
      <c r="A2954" s="198"/>
      <c r="B2954" s="198"/>
    </row>
    <row r="2955" spans="1:2" x14ac:dyDescent="0.2">
      <c r="A2955" s="198"/>
      <c r="B2955" s="198"/>
    </row>
    <row r="2956" spans="1:2" x14ac:dyDescent="0.2">
      <c r="A2956" s="198"/>
      <c r="B2956" s="198"/>
    </row>
    <row r="2957" spans="1:2" x14ac:dyDescent="0.2">
      <c r="A2957" s="198"/>
      <c r="B2957" s="198"/>
    </row>
    <row r="2958" spans="1:2" x14ac:dyDescent="0.2">
      <c r="A2958" s="198"/>
      <c r="B2958" s="198"/>
    </row>
    <row r="2959" spans="1:2" x14ac:dyDescent="0.2">
      <c r="A2959" s="198"/>
      <c r="B2959" s="198"/>
    </row>
    <row r="2960" spans="1:2" x14ac:dyDescent="0.2">
      <c r="A2960" s="198"/>
      <c r="B2960" s="198"/>
    </row>
    <row r="2961" spans="1:2" x14ac:dyDescent="0.2">
      <c r="A2961" s="198"/>
      <c r="B2961" s="198"/>
    </row>
    <row r="2962" spans="1:2" x14ac:dyDescent="0.2">
      <c r="A2962" s="198"/>
      <c r="B2962" s="198"/>
    </row>
    <row r="2963" spans="1:2" x14ac:dyDescent="0.2">
      <c r="A2963" s="198"/>
      <c r="B2963" s="198"/>
    </row>
    <row r="2964" spans="1:2" x14ac:dyDescent="0.2">
      <c r="A2964" s="198"/>
      <c r="B2964" s="198"/>
    </row>
    <row r="2965" spans="1:2" x14ac:dyDescent="0.2">
      <c r="A2965" s="198"/>
      <c r="B2965" s="198"/>
    </row>
    <row r="2966" spans="1:2" x14ac:dyDescent="0.2">
      <c r="A2966" s="198"/>
      <c r="B2966" s="198"/>
    </row>
    <row r="2967" spans="1:2" x14ac:dyDescent="0.2">
      <c r="A2967" s="198"/>
      <c r="B2967" s="198"/>
    </row>
    <row r="2968" spans="1:2" x14ac:dyDescent="0.2">
      <c r="A2968" s="198"/>
      <c r="B2968" s="198"/>
    </row>
    <row r="2969" spans="1:2" x14ac:dyDescent="0.2">
      <c r="A2969" s="198"/>
      <c r="B2969" s="198"/>
    </row>
    <row r="2970" spans="1:2" x14ac:dyDescent="0.2">
      <c r="A2970" s="198"/>
      <c r="B2970" s="198"/>
    </row>
    <row r="2971" spans="1:2" x14ac:dyDescent="0.2">
      <c r="A2971" s="198"/>
      <c r="B2971" s="198"/>
    </row>
    <row r="2972" spans="1:2" x14ac:dyDescent="0.2">
      <c r="A2972" s="198"/>
      <c r="B2972" s="198"/>
    </row>
    <row r="2973" spans="1:2" x14ac:dyDescent="0.2">
      <c r="A2973" s="198"/>
      <c r="B2973" s="198"/>
    </row>
    <row r="2974" spans="1:2" x14ac:dyDescent="0.2">
      <c r="A2974" s="198"/>
      <c r="B2974" s="198"/>
    </row>
    <row r="2975" spans="1:2" x14ac:dyDescent="0.2">
      <c r="A2975" s="198"/>
      <c r="B2975" s="198"/>
    </row>
    <row r="2976" spans="1:2" x14ac:dyDescent="0.2">
      <c r="A2976" s="198"/>
      <c r="B2976" s="198"/>
    </row>
    <row r="2977" spans="1:2" x14ac:dyDescent="0.2">
      <c r="A2977" s="198"/>
      <c r="B2977" s="198"/>
    </row>
    <row r="2978" spans="1:2" x14ac:dyDescent="0.2">
      <c r="A2978" s="198"/>
      <c r="B2978" s="198"/>
    </row>
    <row r="2979" spans="1:2" x14ac:dyDescent="0.2">
      <c r="A2979" s="198"/>
      <c r="B2979" s="198"/>
    </row>
    <row r="2980" spans="1:2" x14ac:dyDescent="0.2">
      <c r="A2980" s="198"/>
      <c r="B2980" s="198"/>
    </row>
    <row r="2981" spans="1:2" x14ac:dyDescent="0.2">
      <c r="A2981" s="198"/>
      <c r="B2981" s="198"/>
    </row>
    <row r="2982" spans="1:2" x14ac:dyDescent="0.2">
      <c r="A2982" s="198"/>
      <c r="B2982" s="198"/>
    </row>
    <row r="2983" spans="1:2" x14ac:dyDescent="0.2">
      <c r="A2983" s="198"/>
      <c r="B2983" s="198"/>
    </row>
    <row r="2984" spans="1:2" x14ac:dyDescent="0.2">
      <c r="A2984" s="198"/>
      <c r="B2984" s="198"/>
    </row>
    <row r="2985" spans="1:2" x14ac:dyDescent="0.2">
      <c r="A2985" s="198"/>
      <c r="B2985" s="198"/>
    </row>
    <row r="2986" spans="1:2" x14ac:dyDescent="0.2">
      <c r="A2986" s="198"/>
      <c r="B2986" s="198"/>
    </row>
    <row r="2987" spans="1:2" x14ac:dyDescent="0.2">
      <c r="A2987" s="198"/>
      <c r="B2987" s="198"/>
    </row>
    <row r="2988" spans="1:2" x14ac:dyDescent="0.2">
      <c r="A2988" s="198"/>
      <c r="B2988" s="198"/>
    </row>
    <row r="2989" spans="1:2" x14ac:dyDescent="0.2">
      <c r="A2989" s="198"/>
      <c r="B2989" s="198"/>
    </row>
    <row r="2990" spans="1:2" x14ac:dyDescent="0.2">
      <c r="A2990" s="198"/>
      <c r="B2990" s="198"/>
    </row>
    <row r="2991" spans="1:2" x14ac:dyDescent="0.2">
      <c r="A2991" s="198"/>
      <c r="B2991" s="198"/>
    </row>
    <row r="2992" spans="1:2" x14ac:dyDescent="0.2">
      <c r="A2992" s="198"/>
      <c r="B2992" s="198"/>
    </row>
    <row r="2993" spans="1:2" x14ac:dyDescent="0.2">
      <c r="A2993" s="198"/>
      <c r="B2993" s="198"/>
    </row>
    <row r="2994" spans="1:2" x14ac:dyDescent="0.2">
      <c r="A2994" s="198"/>
      <c r="B2994" s="198"/>
    </row>
    <row r="2995" spans="1:2" x14ac:dyDescent="0.2">
      <c r="A2995" s="198"/>
      <c r="B2995" s="198"/>
    </row>
    <row r="2996" spans="1:2" x14ac:dyDescent="0.2">
      <c r="A2996" s="198"/>
      <c r="B2996" s="198"/>
    </row>
    <row r="2997" spans="1:2" x14ac:dyDescent="0.2">
      <c r="A2997" s="198"/>
      <c r="B2997" s="198"/>
    </row>
    <row r="2998" spans="1:2" x14ac:dyDescent="0.2">
      <c r="A2998" s="198"/>
      <c r="B2998" s="198"/>
    </row>
    <row r="2999" spans="1:2" x14ac:dyDescent="0.2">
      <c r="A2999" s="198"/>
      <c r="B2999" s="198"/>
    </row>
    <row r="3000" spans="1:2" x14ac:dyDescent="0.2">
      <c r="A3000" s="198"/>
      <c r="B3000" s="198"/>
    </row>
    <row r="3001" spans="1:2" x14ac:dyDescent="0.2">
      <c r="A3001" s="198"/>
      <c r="B3001" s="198"/>
    </row>
    <row r="3002" spans="1:2" x14ac:dyDescent="0.2">
      <c r="A3002" s="198"/>
      <c r="B3002" s="198"/>
    </row>
    <row r="3003" spans="1:2" x14ac:dyDescent="0.2">
      <c r="A3003" s="198"/>
      <c r="B3003" s="198"/>
    </row>
    <row r="3004" spans="1:2" x14ac:dyDescent="0.2">
      <c r="A3004" s="198"/>
      <c r="B3004" s="198"/>
    </row>
    <row r="3005" spans="1:2" x14ac:dyDescent="0.2">
      <c r="A3005" s="198"/>
      <c r="B3005" s="198"/>
    </row>
    <row r="3006" spans="1:2" x14ac:dyDescent="0.2">
      <c r="A3006" s="198"/>
      <c r="B3006" s="198"/>
    </row>
    <row r="3007" spans="1:2" x14ac:dyDescent="0.2">
      <c r="A3007" s="198"/>
      <c r="B3007" s="198"/>
    </row>
    <row r="3008" spans="1:2" x14ac:dyDescent="0.2">
      <c r="A3008" s="198"/>
      <c r="B3008" s="198"/>
    </row>
    <row r="3009" spans="1:2" x14ac:dyDescent="0.2">
      <c r="A3009" s="198"/>
      <c r="B3009" s="198"/>
    </row>
    <row r="3010" spans="1:2" x14ac:dyDescent="0.2">
      <c r="A3010" s="198"/>
      <c r="B3010" s="198"/>
    </row>
    <row r="3011" spans="1:2" x14ac:dyDescent="0.2">
      <c r="A3011" s="198"/>
      <c r="B3011" s="198"/>
    </row>
    <row r="3012" spans="1:2" x14ac:dyDescent="0.2">
      <c r="A3012" s="198"/>
      <c r="B3012" s="198"/>
    </row>
    <row r="3013" spans="1:2" x14ac:dyDescent="0.2">
      <c r="A3013" s="198"/>
      <c r="B3013" s="198"/>
    </row>
    <row r="3014" spans="1:2" x14ac:dyDescent="0.2">
      <c r="A3014" s="198"/>
      <c r="B3014" s="198"/>
    </row>
    <row r="3015" spans="1:2" x14ac:dyDescent="0.2">
      <c r="A3015" s="198"/>
      <c r="B3015" s="198"/>
    </row>
    <row r="3016" spans="1:2" x14ac:dyDescent="0.2">
      <c r="A3016" s="198"/>
      <c r="B3016" s="198"/>
    </row>
    <row r="3017" spans="1:2" x14ac:dyDescent="0.2">
      <c r="A3017" s="198"/>
      <c r="B3017" s="198"/>
    </row>
    <row r="3018" spans="1:2" x14ac:dyDescent="0.2">
      <c r="A3018" s="198"/>
      <c r="B3018" s="198"/>
    </row>
    <row r="3019" spans="1:2" x14ac:dyDescent="0.2">
      <c r="A3019" s="198"/>
      <c r="B3019" s="198"/>
    </row>
    <row r="3020" spans="1:2" x14ac:dyDescent="0.2">
      <c r="A3020" s="198"/>
      <c r="B3020" s="198"/>
    </row>
    <row r="3021" spans="1:2" x14ac:dyDescent="0.2">
      <c r="A3021" s="198"/>
      <c r="B3021" s="198"/>
    </row>
    <row r="3022" spans="1:2" x14ac:dyDescent="0.2">
      <c r="A3022" s="198"/>
      <c r="B3022" s="198"/>
    </row>
    <row r="3023" spans="1:2" x14ac:dyDescent="0.2">
      <c r="A3023" s="198"/>
      <c r="B3023" s="198"/>
    </row>
    <row r="3024" spans="1:2" x14ac:dyDescent="0.2">
      <c r="A3024" s="198"/>
      <c r="B3024" s="198"/>
    </row>
    <row r="3025" spans="1:2" x14ac:dyDescent="0.2">
      <c r="A3025" s="198"/>
      <c r="B3025" s="198"/>
    </row>
    <row r="3026" spans="1:2" x14ac:dyDescent="0.2">
      <c r="A3026" s="198"/>
      <c r="B3026" s="198"/>
    </row>
    <row r="3027" spans="1:2" x14ac:dyDescent="0.2">
      <c r="A3027" s="198"/>
      <c r="B3027" s="198"/>
    </row>
    <row r="3028" spans="1:2" x14ac:dyDescent="0.2">
      <c r="A3028" s="198"/>
      <c r="B3028" s="198"/>
    </row>
    <row r="3029" spans="1:2" x14ac:dyDescent="0.2">
      <c r="A3029" s="198"/>
      <c r="B3029" s="198"/>
    </row>
    <row r="3030" spans="1:2" x14ac:dyDescent="0.2">
      <c r="A3030" s="198"/>
      <c r="B3030" s="198"/>
    </row>
    <row r="3031" spans="1:2" x14ac:dyDescent="0.2">
      <c r="A3031" s="198"/>
      <c r="B3031" s="198"/>
    </row>
    <row r="3032" spans="1:2" x14ac:dyDescent="0.2">
      <c r="A3032" s="198"/>
      <c r="B3032" s="198"/>
    </row>
    <row r="3033" spans="1:2" x14ac:dyDescent="0.2">
      <c r="A3033" s="198"/>
      <c r="B3033" s="198"/>
    </row>
    <row r="3034" spans="1:2" x14ac:dyDescent="0.2">
      <c r="A3034" s="198"/>
      <c r="B3034" s="198"/>
    </row>
    <row r="3035" spans="1:2" x14ac:dyDescent="0.2">
      <c r="A3035" s="198"/>
      <c r="B3035" s="198"/>
    </row>
    <row r="3036" spans="1:2" x14ac:dyDescent="0.2">
      <c r="A3036" s="198"/>
      <c r="B3036" s="198"/>
    </row>
    <row r="3037" spans="1:2" x14ac:dyDescent="0.2">
      <c r="A3037" s="198"/>
      <c r="B3037" s="198"/>
    </row>
    <row r="3038" spans="1:2" x14ac:dyDescent="0.2">
      <c r="A3038" s="198"/>
      <c r="B3038" s="198"/>
    </row>
    <row r="3039" spans="1:2" x14ac:dyDescent="0.2">
      <c r="A3039" s="198"/>
      <c r="B3039" s="198"/>
    </row>
    <row r="3040" spans="1:2" x14ac:dyDescent="0.2">
      <c r="A3040" s="198"/>
      <c r="B3040" s="198"/>
    </row>
    <row r="3041" spans="1:2" x14ac:dyDescent="0.2">
      <c r="A3041" s="198"/>
      <c r="B3041" s="198"/>
    </row>
    <row r="3042" spans="1:2" x14ac:dyDescent="0.2">
      <c r="A3042" s="198"/>
      <c r="B3042" s="198"/>
    </row>
    <row r="3043" spans="1:2" x14ac:dyDescent="0.2">
      <c r="A3043" s="198"/>
      <c r="B3043" s="198"/>
    </row>
    <row r="3044" spans="1:2" x14ac:dyDescent="0.2">
      <c r="A3044" s="198"/>
      <c r="B3044" s="198"/>
    </row>
    <row r="3045" spans="1:2" x14ac:dyDescent="0.2">
      <c r="A3045" s="198"/>
      <c r="B3045" s="198"/>
    </row>
    <row r="3046" spans="1:2" x14ac:dyDescent="0.2">
      <c r="A3046" s="198"/>
      <c r="B3046" s="198"/>
    </row>
    <row r="3047" spans="1:2" x14ac:dyDescent="0.2">
      <c r="A3047" s="198"/>
      <c r="B3047" s="198"/>
    </row>
    <row r="3048" spans="1:2" x14ac:dyDescent="0.2">
      <c r="A3048" s="198"/>
      <c r="B3048" s="198"/>
    </row>
    <row r="3049" spans="1:2" x14ac:dyDescent="0.2">
      <c r="A3049" s="198"/>
      <c r="B3049" s="198"/>
    </row>
    <row r="3050" spans="1:2" x14ac:dyDescent="0.2">
      <c r="A3050" s="198"/>
      <c r="B3050" s="198"/>
    </row>
    <row r="3051" spans="1:2" x14ac:dyDescent="0.2">
      <c r="A3051" s="198"/>
      <c r="B3051" s="198"/>
    </row>
    <row r="3052" spans="1:2" x14ac:dyDescent="0.2">
      <c r="A3052" s="198"/>
      <c r="B3052" s="198"/>
    </row>
    <row r="3053" spans="1:2" x14ac:dyDescent="0.2">
      <c r="A3053" s="198"/>
      <c r="B3053" s="198"/>
    </row>
    <row r="3054" spans="1:2" x14ac:dyDescent="0.2">
      <c r="A3054" s="198"/>
      <c r="B3054" s="198"/>
    </row>
    <row r="3055" spans="1:2" x14ac:dyDescent="0.2">
      <c r="A3055" s="198"/>
      <c r="B3055" s="198"/>
    </row>
    <row r="3056" spans="1:2" x14ac:dyDescent="0.2">
      <c r="A3056" s="198"/>
      <c r="B3056" s="198"/>
    </row>
    <row r="3057" spans="1:2" x14ac:dyDescent="0.2">
      <c r="A3057" s="198"/>
      <c r="B3057" s="198"/>
    </row>
    <row r="3058" spans="1:2" x14ac:dyDescent="0.2">
      <c r="A3058" s="198"/>
      <c r="B3058" s="198"/>
    </row>
    <row r="3059" spans="1:2" x14ac:dyDescent="0.2">
      <c r="A3059" s="198"/>
      <c r="B3059" s="198"/>
    </row>
    <row r="3060" spans="1:2" x14ac:dyDescent="0.2">
      <c r="A3060" s="198"/>
      <c r="B3060" s="198"/>
    </row>
    <row r="3061" spans="1:2" x14ac:dyDescent="0.2">
      <c r="A3061" s="198"/>
      <c r="B3061" s="198"/>
    </row>
    <row r="3062" spans="1:2" x14ac:dyDescent="0.2">
      <c r="A3062" s="198"/>
      <c r="B3062" s="198"/>
    </row>
    <row r="3063" spans="1:2" x14ac:dyDescent="0.2">
      <c r="A3063" s="198"/>
      <c r="B3063" s="198"/>
    </row>
    <row r="3064" spans="1:2" x14ac:dyDescent="0.2">
      <c r="A3064" s="198"/>
      <c r="B3064" s="198"/>
    </row>
    <row r="3065" spans="1:2" x14ac:dyDescent="0.2">
      <c r="A3065" s="198"/>
      <c r="B3065" s="198"/>
    </row>
    <row r="3066" spans="1:2" x14ac:dyDescent="0.2">
      <c r="A3066" s="198"/>
      <c r="B3066" s="198"/>
    </row>
    <row r="3067" spans="1:2" x14ac:dyDescent="0.2">
      <c r="A3067" s="198"/>
      <c r="B3067" s="198"/>
    </row>
    <row r="3068" spans="1:2" x14ac:dyDescent="0.2">
      <c r="A3068" s="198"/>
      <c r="B3068" s="198"/>
    </row>
    <row r="3069" spans="1:2" x14ac:dyDescent="0.2">
      <c r="A3069" s="198"/>
      <c r="B3069" s="198"/>
    </row>
    <row r="3070" spans="1:2" x14ac:dyDescent="0.2">
      <c r="A3070" s="198"/>
      <c r="B3070" s="198"/>
    </row>
    <row r="3071" spans="1:2" x14ac:dyDescent="0.2">
      <c r="A3071" s="198"/>
      <c r="B3071" s="198"/>
    </row>
    <row r="3072" spans="1:2" x14ac:dyDescent="0.2">
      <c r="A3072" s="198"/>
      <c r="B3072" s="198"/>
    </row>
    <row r="3073" spans="1:2" x14ac:dyDescent="0.2">
      <c r="A3073" s="198"/>
      <c r="B3073" s="198"/>
    </row>
    <row r="3074" spans="1:2" x14ac:dyDescent="0.2">
      <c r="A3074" s="198"/>
      <c r="B3074" s="198"/>
    </row>
    <row r="3075" spans="1:2" x14ac:dyDescent="0.2">
      <c r="A3075" s="198"/>
      <c r="B3075" s="198"/>
    </row>
    <row r="3076" spans="1:2" x14ac:dyDescent="0.2">
      <c r="A3076" s="198"/>
      <c r="B3076" s="198"/>
    </row>
    <row r="3077" spans="1:2" x14ac:dyDescent="0.2">
      <c r="A3077" s="198"/>
      <c r="B3077" s="198"/>
    </row>
    <row r="3078" spans="1:2" x14ac:dyDescent="0.2">
      <c r="A3078" s="198"/>
      <c r="B3078" s="198"/>
    </row>
    <row r="3079" spans="1:2" x14ac:dyDescent="0.2">
      <c r="A3079" s="198"/>
      <c r="B3079" s="198"/>
    </row>
    <row r="3080" spans="1:2" x14ac:dyDescent="0.2">
      <c r="A3080" s="198"/>
      <c r="B3080" s="198"/>
    </row>
    <row r="3081" spans="1:2" x14ac:dyDescent="0.2">
      <c r="A3081" s="198"/>
      <c r="B3081" s="198"/>
    </row>
    <row r="3082" spans="1:2" x14ac:dyDescent="0.2">
      <c r="A3082" s="198"/>
      <c r="B3082" s="198"/>
    </row>
    <row r="3083" spans="1:2" x14ac:dyDescent="0.2">
      <c r="A3083" s="198"/>
      <c r="B3083" s="198"/>
    </row>
    <row r="3084" spans="1:2" x14ac:dyDescent="0.2">
      <c r="A3084" s="198"/>
      <c r="B3084" s="198"/>
    </row>
    <row r="3085" spans="1:2" x14ac:dyDescent="0.2">
      <c r="A3085" s="198"/>
      <c r="B3085" s="198"/>
    </row>
    <row r="3086" spans="1:2" x14ac:dyDescent="0.2">
      <c r="A3086" s="198"/>
      <c r="B3086" s="198"/>
    </row>
    <row r="3087" spans="1:2" x14ac:dyDescent="0.2">
      <c r="A3087" s="198"/>
      <c r="B3087" s="198"/>
    </row>
    <row r="3088" spans="1:2" x14ac:dyDescent="0.2">
      <c r="A3088" s="198"/>
      <c r="B3088" s="198"/>
    </row>
    <row r="3089" spans="1:2" x14ac:dyDescent="0.2">
      <c r="A3089" s="198"/>
      <c r="B3089" s="198"/>
    </row>
    <row r="3090" spans="1:2" x14ac:dyDescent="0.2">
      <c r="A3090" s="198"/>
      <c r="B3090" s="198"/>
    </row>
    <row r="3091" spans="1:2" x14ac:dyDescent="0.2">
      <c r="A3091" s="198"/>
      <c r="B3091" s="198"/>
    </row>
    <row r="3092" spans="1:2" x14ac:dyDescent="0.2">
      <c r="A3092" s="198"/>
      <c r="B3092" s="198"/>
    </row>
    <row r="3093" spans="1:2" x14ac:dyDescent="0.2">
      <c r="A3093" s="198"/>
      <c r="B3093" s="198"/>
    </row>
    <row r="3094" spans="1:2" x14ac:dyDescent="0.2">
      <c r="A3094" s="198"/>
      <c r="B3094" s="198"/>
    </row>
    <row r="3095" spans="1:2" x14ac:dyDescent="0.2">
      <c r="A3095" s="198"/>
      <c r="B3095" s="198"/>
    </row>
    <row r="3096" spans="1:2" x14ac:dyDescent="0.2">
      <c r="A3096" s="198"/>
      <c r="B3096" s="198"/>
    </row>
    <row r="3097" spans="1:2" x14ac:dyDescent="0.2">
      <c r="A3097" s="198"/>
      <c r="B3097" s="198"/>
    </row>
    <row r="3098" spans="1:2" x14ac:dyDescent="0.2">
      <c r="A3098" s="198"/>
      <c r="B3098" s="198"/>
    </row>
    <row r="3099" spans="1:2" x14ac:dyDescent="0.2">
      <c r="A3099" s="198"/>
      <c r="B3099" s="198"/>
    </row>
    <row r="3100" spans="1:2" x14ac:dyDescent="0.2">
      <c r="A3100" s="198"/>
      <c r="B3100" s="198"/>
    </row>
    <row r="3101" spans="1:2" x14ac:dyDescent="0.2">
      <c r="A3101" s="198"/>
      <c r="B3101" s="198"/>
    </row>
    <row r="3102" spans="1:2" x14ac:dyDescent="0.2">
      <c r="A3102" s="198"/>
      <c r="B3102" s="198"/>
    </row>
    <row r="3103" spans="1:2" x14ac:dyDescent="0.2">
      <c r="A3103" s="198"/>
      <c r="B3103" s="198"/>
    </row>
    <row r="3104" spans="1:2" x14ac:dyDescent="0.2">
      <c r="A3104" s="198"/>
      <c r="B3104" s="198"/>
    </row>
    <row r="3105" spans="1:2" x14ac:dyDescent="0.2">
      <c r="A3105" s="198"/>
      <c r="B3105" s="198"/>
    </row>
    <row r="3106" spans="1:2" x14ac:dyDescent="0.2">
      <c r="A3106" s="198"/>
      <c r="B3106" s="198"/>
    </row>
    <row r="3107" spans="1:2" x14ac:dyDescent="0.2">
      <c r="A3107" s="198"/>
      <c r="B3107" s="198"/>
    </row>
    <row r="3108" spans="1:2" x14ac:dyDescent="0.2">
      <c r="A3108" s="198"/>
      <c r="B3108" s="198"/>
    </row>
    <row r="3109" spans="1:2" x14ac:dyDescent="0.2">
      <c r="A3109" s="198"/>
      <c r="B3109" s="198"/>
    </row>
    <row r="3110" spans="1:2" x14ac:dyDescent="0.2">
      <c r="A3110" s="198"/>
      <c r="B3110" s="198"/>
    </row>
    <row r="3111" spans="1:2" x14ac:dyDescent="0.2">
      <c r="A3111" s="198"/>
      <c r="B3111" s="198"/>
    </row>
    <row r="3112" spans="1:2" x14ac:dyDescent="0.2">
      <c r="A3112" s="198"/>
      <c r="B3112" s="198"/>
    </row>
    <row r="3113" spans="1:2" x14ac:dyDescent="0.2">
      <c r="A3113" s="198"/>
      <c r="B3113" s="198"/>
    </row>
    <row r="3114" spans="1:2" x14ac:dyDescent="0.2">
      <c r="A3114" s="198"/>
      <c r="B3114" s="198"/>
    </row>
    <row r="3115" spans="1:2" x14ac:dyDescent="0.2">
      <c r="A3115" s="198"/>
      <c r="B3115" s="198"/>
    </row>
    <row r="3116" spans="1:2" x14ac:dyDescent="0.2">
      <c r="A3116" s="198"/>
      <c r="B3116" s="198"/>
    </row>
    <row r="3117" spans="1:2" x14ac:dyDescent="0.2">
      <c r="A3117" s="198"/>
      <c r="B3117" s="198"/>
    </row>
    <row r="3118" spans="1:2" x14ac:dyDescent="0.2">
      <c r="A3118" s="198"/>
      <c r="B3118" s="198"/>
    </row>
    <row r="3119" spans="1:2" x14ac:dyDescent="0.2">
      <c r="A3119" s="198"/>
      <c r="B3119" s="198"/>
    </row>
    <row r="3120" spans="1:2" x14ac:dyDescent="0.2">
      <c r="A3120" s="198"/>
      <c r="B3120" s="198"/>
    </row>
    <row r="3121" spans="1:2" x14ac:dyDescent="0.2">
      <c r="A3121" s="198"/>
      <c r="B3121" s="198"/>
    </row>
    <row r="3122" spans="1:2" x14ac:dyDescent="0.2">
      <c r="A3122" s="198"/>
      <c r="B3122" s="198"/>
    </row>
    <row r="3123" spans="1:2" x14ac:dyDescent="0.2">
      <c r="A3123" s="198"/>
      <c r="B3123" s="198"/>
    </row>
    <row r="3124" spans="1:2" x14ac:dyDescent="0.2">
      <c r="A3124" s="198"/>
      <c r="B3124" s="198"/>
    </row>
    <row r="3125" spans="1:2" x14ac:dyDescent="0.2">
      <c r="A3125" s="198"/>
      <c r="B3125" s="198"/>
    </row>
    <row r="3126" spans="1:2" x14ac:dyDescent="0.2">
      <c r="A3126" s="198"/>
      <c r="B3126" s="198"/>
    </row>
    <row r="3127" spans="1:2" x14ac:dyDescent="0.2">
      <c r="A3127" s="198"/>
      <c r="B3127" s="198"/>
    </row>
    <row r="3128" spans="1:2" x14ac:dyDescent="0.2">
      <c r="A3128" s="198"/>
      <c r="B3128" s="198"/>
    </row>
    <row r="3129" spans="1:2" x14ac:dyDescent="0.2">
      <c r="A3129" s="198"/>
      <c r="B3129" s="198"/>
    </row>
    <row r="3130" spans="1:2" x14ac:dyDescent="0.2">
      <c r="A3130" s="198"/>
      <c r="B3130" s="198"/>
    </row>
    <row r="3131" spans="1:2" x14ac:dyDescent="0.2">
      <c r="A3131" s="198"/>
      <c r="B3131" s="198"/>
    </row>
    <row r="3132" spans="1:2" x14ac:dyDescent="0.2">
      <c r="A3132" s="198"/>
      <c r="B3132" s="198"/>
    </row>
    <row r="3133" spans="1:2" x14ac:dyDescent="0.2">
      <c r="A3133" s="198"/>
      <c r="B3133" s="198"/>
    </row>
    <row r="3134" spans="1:2" x14ac:dyDescent="0.2">
      <c r="A3134" s="198"/>
      <c r="B3134" s="198"/>
    </row>
    <row r="3135" spans="1:2" x14ac:dyDescent="0.2">
      <c r="A3135" s="198"/>
      <c r="B3135" s="198"/>
    </row>
    <row r="3136" spans="1:2" x14ac:dyDescent="0.2">
      <c r="A3136" s="198"/>
      <c r="B3136" s="198"/>
    </row>
    <row r="3137" spans="1:2" x14ac:dyDescent="0.2">
      <c r="A3137" s="198"/>
      <c r="B3137" s="198"/>
    </row>
    <row r="3138" spans="1:2" x14ac:dyDescent="0.2">
      <c r="A3138" s="198"/>
      <c r="B3138" s="198"/>
    </row>
    <row r="3139" spans="1:2" x14ac:dyDescent="0.2">
      <c r="A3139" s="198"/>
      <c r="B3139" s="198"/>
    </row>
    <row r="3140" spans="1:2" x14ac:dyDescent="0.2">
      <c r="A3140" s="198"/>
      <c r="B3140" s="198"/>
    </row>
    <row r="3141" spans="1:2" x14ac:dyDescent="0.2">
      <c r="A3141" s="198"/>
      <c r="B3141" s="198"/>
    </row>
    <row r="3142" spans="1:2" x14ac:dyDescent="0.2">
      <c r="A3142" s="198"/>
      <c r="B3142" s="198"/>
    </row>
    <row r="3143" spans="1:2" x14ac:dyDescent="0.2">
      <c r="A3143" s="198"/>
      <c r="B3143" s="198"/>
    </row>
    <row r="3144" spans="1:2" x14ac:dyDescent="0.2">
      <c r="A3144" s="198"/>
      <c r="B3144" s="198"/>
    </row>
    <row r="3145" spans="1:2" x14ac:dyDescent="0.2">
      <c r="A3145" s="198"/>
      <c r="B3145" s="198"/>
    </row>
    <row r="3146" spans="1:2" x14ac:dyDescent="0.2">
      <c r="A3146" s="198"/>
      <c r="B3146" s="198"/>
    </row>
    <row r="3147" spans="1:2" x14ac:dyDescent="0.2">
      <c r="A3147" s="198"/>
      <c r="B3147" s="198"/>
    </row>
    <row r="3148" spans="1:2" x14ac:dyDescent="0.2">
      <c r="A3148" s="198"/>
      <c r="B3148" s="198"/>
    </row>
    <row r="3149" spans="1:2" x14ac:dyDescent="0.2">
      <c r="A3149" s="198"/>
      <c r="B3149" s="198"/>
    </row>
    <row r="3150" spans="1:2" x14ac:dyDescent="0.2">
      <c r="A3150" s="198"/>
      <c r="B3150" s="198"/>
    </row>
    <row r="3151" spans="1:2" x14ac:dyDescent="0.2">
      <c r="A3151" s="198"/>
      <c r="B3151" s="198"/>
    </row>
    <row r="3152" spans="1:2" x14ac:dyDescent="0.2">
      <c r="A3152" s="198"/>
      <c r="B3152" s="198"/>
    </row>
    <row r="3153" spans="1:2" x14ac:dyDescent="0.2">
      <c r="A3153" s="198"/>
      <c r="B3153" s="198"/>
    </row>
    <row r="3154" spans="1:2" x14ac:dyDescent="0.2">
      <c r="A3154" s="198"/>
      <c r="B3154" s="198"/>
    </row>
    <row r="3155" spans="1:2" x14ac:dyDescent="0.2">
      <c r="A3155" s="198"/>
      <c r="B3155" s="198"/>
    </row>
    <row r="3156" spans="1:2" x14ac:dyDescent="0.2">
      <c r="A3156" s="198"/>
      <c r="B3156" s="198"/>
    </row>
    <row r="3157" spans="1:2" x14ac:dyDescent="0.2">
      <c r="A3157" s="198"/>
      <c r="B3157" s="198"/>
    </row>
    <row r="3158" spans="1:2" x14ac:dyDescent="0.2">
      <c r="A3158" s="198"/>
      <c r="B3158" s="198"/>
    </row>
    <row r="3159" spans="1:2" x14ac:dyDescent="0.2">
      <c r="A3159" s="198"/>
      <c r="B3159" s="198"/>
    </row>
    <row r="3160" spans="1:2" x14ac:dyDescent="0.2">
      <c r="A3160" s="198"/>
      <c r="B3160" s="198"/>
    </row>
    <row r="3161" spans="1:2" x14ac:dyDescent="0.2">
      <c r="A3161" s="198"/>
      <c r="B3161" s="198"/>
    </row>
    <row r="3162" spans="1:2" x14ac:dyDescent="0.2">
      <c r="A3162" s="198"/>
      <c r="B3162" s="198"/>
    </row>
    <row r="3163" spans="1:2" x14ac:dyDescent="0.2">
      <c r="A3163" s="198"/>
      <c r="B3163" s="198"/>
    </row>
    <row r="3164" spans="1:2" x14ac:dyDescent="0.2">
      <c r="A3164" s="198"/>
      <c r="B3164" s="198"/>
    </row>
    <row r="3165" spans="1:2" x14ac:dyDescent="0.2">
      <c r="A3165" s="198"/>
      <c r="B3165" s="198"/>
    </row>
    <row r="3166" spans="1:2" x14ac:dyDescent="0.2">
      <c r="A3166" s="198"/>
      <c r="B3166" s="198"/>
    </row>
    <row r="3167" spans="1:2" x14ac:dyDescent="0.2">
      <c r="A3167" s="198"/>
      <c r="B3167" s="198"/>
    </row>
    <row r="3168" spans="1:2" x14ac:dyDescent="0.2">
      <c r="A3168" s="198"/>
      <c r="B3168" s="198"/>
    </row>
    <row r="3169" spans="1:2" x14ac:dyDescent="0.2">
      <c r="A3169" s="198"/>
      <c r="B3169" s="198"/>
    </row>
    <row r="3170" spans="1:2" x14ac:dyDescent="0.2">
      <c r="A3170" s="198"/>
      <c r="B3170" s="198"/>
    </row>
    <row r="3171" spans="1:2" x14ac:dyDescent="0.2">
      <c r="A3171" s="198"/>
      <c r="B3171" s="198"/>
    </row>
    <row r="3172" spans="1:2" x14ac:dyDescent="0.2">
      <c r="A3172" s="198"/>
      <c r="B3172" s="198"/>
    </row>
    <row r="3173" spans="1:2" x14ac:dyDescent="0.2">
      <c r="A3173" s="198"/>
      <c r="B3173" s="198"/>
    </row>
    <row r="3174" spans="1:2" x14ac:dyDescent="0.2">
      <c r="A3174" s="198"/>
      <c r="B3174" s="198"/>
    </row>
    <row r="3175" spans="1:2" x14ac:dyDescent="0.2">
      <c r="A3175" s="198"/>
      <c r="B3175" s="198"/>
    </row>
    <row r="3176" spans="1:2" x14ac:dyDescent="0.2">
      <c r="A3176" s="198"/>
      <c r="B3176" s="198"/>
    </row>
    <row r="3177" spans="1:2" x14ac:dyDescent="0.2">
      <c r="A3177" s="198"/>
      <c r="B3177" s="198"/>
    </row>
    <row r="3178" spans="1:2" x14ac:dyDescent="0.2">
      <c r="A3178" s="198"/>
      <c r="B3178" s="198"/>
    </row>
    <row r="3179" spans="1:2" x14ac:dyDescent="0.2">
      <c r="A3179" s="198"/>
      <c r="B3179" s="198"/>
    </row>
    <row r="3180" spans="1:2" x14ac:dyDescent="0.2">
      <c r="A3180" s="198"/>
      <c r="B3180" s="198"/>
    </row>
    <row r="3181" spans="1:2" x14ac:dyDescent="0.2">
      <c r="A3181" s="198"/>
      <c r="B3181" s="198"/>
    </row>
    <row r="3182" spans="1:2" x14ac:dyDescent="0.2">
      <c r="A3182" s="198"/>
      <c r="B3182" s="198"/>
    </row>
    <row r="3183" spans="1:2" x14ac:dyDescent="0.2">
      <c r="A3183" s="198"/>
      <c r="B3183" s="198"/>
    </row>
    <row r="3184" spans="1:2" x14ac:dyDescent="0.2">
      <c r="A3184" s="198"/>
      <c r="B3184" s="198"/>
    </row>
    <row r="3185" spans="1:2" x14ac:dyDescent="0.2">
      <c r="A3185" s="198"/>
      <c r="B3185" s="198"/>
    </row>
    <row r="3186" spans="1:2" x14ac:dyDescent="0.2">
      <c r="A3186" s="198"/>
      <c r="B3186" s="198"/>
    </row>
    <row r="3187" spans="1:2" x14ac:dyDescent="0.2">
      <c r="A3187" s="198"/>
      <c r="B3187" s="198"/>
    </row>
    <row r="3188" spans="1:2" x14ac:dyDescent="0.2">
      <c r="A3188" s="198"/>
      <c r="B3188" s="198"/>
    </row>
    <row r="3189" spans="1:2" x14ac:dyDescent="0.2">
      <c r="A3189" s="198"/>
      <c r="B3189" s="198"/>
    </row>
    <row r="3190" spans="1:2" x14ac:dyDescent="0.2">
      <c r="A3190" s="198"/>
      <c r="B3190" s="198"/>
    </row>
    <row r="3191" spans="1:2" x14ac:dyDescent="0.2">
      <c r="A3191" s="198"/>
      <c r="B3191" s="198"/>
    </row>
    <row r="3192" spans="1:2" x14ac:dyDescent="0.2">
      <c r="A3192" s="198"/>
      <c r="B3192" s="198"/>
    </row>
    <row r="3193" spans="1:2" x14ac:dyDescent="0.2">
      <c r="A3193" s="198"/>
      <c r="B3193" s="198"/>
    </row>
    <row r="3194" spans="1:2" x14ac:dyDescent="0.2">
      <c r="A3194" s="198"/>
      <c r="B3194" s="198"/>
    </row>
    <row r="3195" spans="1:2" x14ac:dyDescent="0.2">
      <c r="A3195" s="198"/>
      <c r="B3195" s="198"/>
    </row>
    <row r="3196" spans="1:2" x14ac:dyDescent="0.2">
      <c r="A3196" s="198"/>
      <c r="B3196" s="198"/>
    </row>
    <row r="3197" spans="1:2" x14ac:dyDescent="0.2">
      <c r="A3197" s="198"/>
      <c r="B3197" s="198"/>
    </row>
    <row r="3198" spans="1:2" x14ac:dyDescent="0.2">
      <c r="A3198" s="198"/>
      <c r="B3198" s="198"/>
    </row>
    <row r="3199" spans="1:2" x14ac:dyDescent="0.2">
      <c r="A3199" s="198"/>
      <c r="B3199" s="198"/>
    </row>
    <row r="3200" spans="1:2" x14ac:dyDescent="0.2">
      <c r="A3200" s="198"/>
      <c r="B3200" s="198"/>
    </row>
    <row r="3201" spans="1:2" x14ac:dyDescent="0.2">
      <c r="A3201" s="198"/>
      <c r="B3201" s="198"/>
    </row>
    <row r="3202" spans="1:2" x14ac:dyDescent="0.2">
      <c r="A3202" s="198"/>
      <c r="B3202" s="198"/>
    </row>
    <row r="3203" spans="1:2" x14ac:dyDescent="0.2">
      <c r="A3203" s="198"/>
      <c r="B3203" s="198"/>
    </row>
    <row r="3204" spans="1:2" x14ac:dyDescent="0.2">
      <c r="A3204" s="198"/>
      <c r="B3204" s="198"/>
    </row>
    <row r="3205" spans="1:2" x14ac:dyDescent="0.2">
      <c r="A3205" s="198"/>
      <c r="B3205" s="198"/>
    </row>
    <row r="3206" spans="1:2" x14ac:dyDescent="0.2">
      <c r="A3206" s="198"/>
      <c r="B3206" s="198"/>
    </row>
    <row r="3207" spans="1:2" x14ac:dyDescent="0.2">
      <c r="A3207" s="198"/>
      <c r="B3207" s="198"/>
    </row>
    <row r="3208" spans="1:2" x14ac:dyDescent="0.2">
      <c r="A3208" s="198"/>
      <c r="B3208" s="198"/>
    </row>
    <row r="3209" spans="1:2" x14ac:dyDescent="0.2">
      <c r="A3209" s="198"/>
      <c r="B3209" s="198"/>
    </row>
    <row r="3210" spans="1:2" x14ac:dyDescent="0.2">
      <c r="A3210" s="198"/>
      <c r="B3210" s="198"/>
    </row>
    <row r="3211" spans="1:2" x14ac:dyDescent="0.2">
      <c r="A3211" s="198"/>
      <c r="B3211" s="198"/>
    </row>
    <row r="3212" spans="1:2" x14ac:dyDescent="0.2">
      <c r="A3212" s="198"/>
      <c r="B3212" s="198"/>
    </row>
    <row r="3213" spans="1:2" x14ac:dyDescent="0.2">
      <c r="A3213" s="198"/>
      <c r="B3213" s="198"/>
    </row>
    <row r="3214" spans="1:2" x14ac:dyDescent="0.2">
      <c r="A3214" s="198"/>
      <c r="B3214" s="198"/>
    </row>
    <row r="3215" spans="1:2" x14ac:dyDescent="0.2">
      <c r="A3215" s="198"/>
      <c r="B3215" s="198"/>
    </row>
    <row r="3216" spans="1:2" x14ac:dyDescent="0.2">
      <c r="A3216" s="198"/>
      <c r="B3216" s="198"/>
    </row>
    <row r="3217" spans="1:2" x14ac:dyDescent="0.2">
      <c r="A3217" s="198"/>
      <c r="B3217" s="198"/>
    </row>
    <row r="3218" spans="1:2" x14ac:dyDescent="0.2">
      <c r="A3218" s="198"/>
      <c r="B3218" s="198"/>
    </row>
    <row r="3219" spans="1:2" x14ac:dyDescent="0.2">
      <c r="A3219" s="198"/>
      <c r="B3219" s="198"/>
    </row>
    <row r="3220" spans="1:2" x14ac:dyDescent="0.2">
      <c r="A3220" s="198"/>
      <c r="B3220" s="198"/>
    </row>
    <row r="3221" spans="1:2" x14ac:dyDescent="0.2">
      <c r="A3221" s="198"/>
      <c r="B3221" s="198"/>
    </row>
    <row r="3222" spans="1:2" x14ac:dyDescent="0.2">
      <c r="A3222" s="198"/>
      <c r="B3222" s="198"/>
    </row>
    <row r="3223" spans="1:2" x14ac:dyDescent="0.2">
      <c r="A3223" s="198"/>
      <c r="B3223" s="198"/>
    </row>
    <row r="3224" spans="1:2" x14ac:dyDescent="0.2">
      <c r="A3224" s="198"/>
      <c r="B3224" s="198"/>
    </row>
    <row r="3225" spans="1:2" x14ac:dyDescent="0.2">
      <c r="A3225" s="198"/>
      <c r="B3225" s="198"/>
    </row>
    <row r="3226" spans="1:2" x14ac:dyDescent="0.2">
      <c r="A3226" s="198"/>
      <c r="B3226" s="198"/>
    </row>
    <row r="3227" spans="1:2" x14ac:dyDescent="0.2">
      <c r="A3227" s="198"/>
      <c r="B3227" s="198"/>
    </row>
    <row r="3228" spans="1:2" x14ac:dyDescent="0.2">
      <c r="A3228" s="198"/>
      <c r="B3228" s="198"/>
    </row>
    <row r="3229" spans="1:2" x14ac:dyDescent="0.2">
      <c r="A3229" s="198"/>
      <c r="B3229" s="198"/>
    </row>
    <row r="3230" spans="1:2" x14ac:dyDescent="0.2">
      <c r="A3230" s="198"/>
      <c r="B3230" s="198"/>
    </row>
    <row r="3231" spans="1:2" x14ac:dyDescent="0.2">
      <c r="A3231" s="198"/>
      <c r="B3231" s="198"/>
    </row>
    <row r="3232" spans="1:2" x14ac:dyDescent="0.2">
      <c r="A3232" s="198"/>
      <c r="B3232" s="198"/>
    </row>
    <row r="3233" spans="1:2" x14ac:dyDescent="0.2">
      <c r="A3233" s="198"/>
      <c r="B3233" s="198"/>
    </row>
    <row r="3234" spans="1:2" x14ac:dyDescent="0.2">
      <c r="A3234" s="198"/>
      <c r="B3234" s="198"/>
    </row>
    <row r="3235" spans="1:2" x14ac:dyDescent="0.2">
      <c r="A3235" s="198"/>
      <c r="B3235" s="198"/>
    </row>
    <row r="3236" spans="1:2" x14ac:dyDescent="0.2">
      <c r="A3236" s="198"/>
      <c r="B3236" s="198"/>
    </row>
    <row r="3237" spans="1:2" x14ac:dyDescent="0.2">
      <c r="A3237" s="198"/>
      <c r="B3237" s="198"/>
    </row>
    <row r="3238" spans="1:2" x14ac:dyDescent="0.2">
      <c r="A3238" s="198"/>
      <c r="B3238" s="198"/>
    </row>
    <row r="3239" spans="1:2" x14ac:dyDescent="0.2">
      <c r="A3239" s="198"/>
      <c r="B3239" s="198"/>
    </row>
    <row r="3240" spans="1:2" x14ac:dyDescent="0.2">
      <c r="A3240" s="198"/>
      <c r="B3240" s="198"/>
    </row>
    <row r="3241" spans="1:2" x14ac:dyDescent="0.2">
      <c r="A3241" s="198"/>
      <c r="B3241" s="198"/>
    </row>
    <row r="3242" spans="1:2" x14ac:dyDescent="0.2">
      <c r="A3242" s="198"/>
      <c r="B3242" s="198"/>
    </row>
    <row r="3243" spans="1:2" x14ac:dyDescent="0.2">
      <c r="A3243" s="198"/>
      <c r="B3243" s="198"/>
    </row>
    <row r="3244" spans="1:2" x14ac:dyDescent="0.2">
      <c r="A3244" s="198"/>
      <c r="B3244" s="198"/>
    </row>
    <row r="3245" spans="1:2" x14ac:dyDescent="0.2">
      <c r="A3245" s="198"/>
      <c r="B3245" s="198"/>
    </row>
    <row r="3246" spans="1:2" x14ac:dyDescent="0.2">
      <c r="A3246" s="198"/>
      <c r="B3246" s="198"/>
    </row>
    <row r="3247" spans="1:2" x14ac:dyDescent="0.2">
      <c r="A3247" s="198"/>
      <c r="B3247" s="198"/>
    </row>
    <row r="3248" spans="1:2" x14ac:dyDescent="0.2">
      <c r="A3248" s="198"/>
      <c r="B3248" s="198"/>
    </row>
    <row r="3249" spans="1:2" x14ac:dyDescent="0.2">
      <c r="A3249" s="198"/>
      <c r="B3249" s="198"/>
    </row>
    <row r="3250" spans="1:2" x14ac:dyDescent="0.2">
      <c r="A3250" s="198"/>
      <c r="B3250" s="198"/>
    </row>
    <row r="3251" spans="1:2" x14ac:dyDescent="0.2">
      <c r="A3251" s="198"/>
      <c r="B3251" s="198"/>
    </row>
    <row r="3252" spans="1:2" x14ac:dyDescent="0.2">
      <c r="A3252" s="198"/>
      <c r="B3252" s="198"/>
    </row>
    <row r="3253" spans="1:2" x14ac:dyDescent="0.2">
      <c r="A3253" s="198"/>
      <c r="B3253" s="198"/>
    </row>
    <row r="3254" spans="1:2" x14ac:dyDescent="0.2">
      <c r="A3254" s="198"/>
      <c r="B3254" s="198"/>
    </row>
    <row r="3255" spans="1:2" x14ac:dyDescent="0.2">
      <c r="A3255" s="198"/>
      <c r="B3255" s="198"/>
    </row>
    <row r="3256" spans="1:2" x14ac:dyDescent="0.2">
      <c r="A3256" s="198"/>
      <c r="B3256" s="198"/>
    </row>
    <row r="3257" spans="1:2" x14ac:dyDescent="0.2">
      <c r="A3257" s="198"/>
      <c r="B3257" s="198"/>
    </row>
    <row r="3258" spans="1:2" x14ac:dyDescent="0.2">
      <c r="A3258" s="198"/>
      <c r="B3258" s="198"/>
    </row>
    <row r="3259" spans="1:2" x14ac:dyDescent="0.2">
      <c r="A3259" s="198"/>
      <c r="B3259" s="198"/>
    </row>
    <row r="3260" spans="1:2" x14ac:dyDescent="0.2">
      <c r="A3260" s="198"/>
      <c r="B3260" s="198"/>
    </row>
    <row r="3261" spans="1:2" x14ac:dyDescent="0.2">
      <c r="A3261" s="198"/>
      <c r="B3261" s="198"/>
    </row>
    <row r="3262" spans="1:2" x14ac:dyDescent="0.2">
      <c r="A3262" s="198"/>
      <c r="B3262" s="198"/>
    </row>
    <row r="3263" spans="1:2" x14ac:dyDescent="0.2">
      <c r="A3263" s="198"/>
      <c r="B3263" s="198"/>
    </row>
    <row r="3264" spans="1:2" x14ac:dyDescent="0.2">
      <c r="A3264" s="198"/>
      <c r="B3264" s="198"/>
    </row>
    <row r="3265" spans="1:2" x14ac:dyDescent="0.2">
      <c r="A3265" s="198"/>
      <c r="B3265" s="198"/>
    </row>
    <row r="3266" spans="1:2" x14ac:dyDescent="0.2">
      <c r="A3266" s="198"/>
      <c r="B3266" s="198"/>
    </row>
    <row r="3267" spans="1:2" x14ac:dyDescent="0.2">
      <c r="A3267" s="198"/>
      <c r="B3267" s="198"/>
    </row>
    <row r="3268" spans="1:2" x14ac:dyDescent="0.2">
      <c r="A3268" s="198"/>
      <c r="B3268" s="198"/>
    </row>
    <row r="3269" spans="1:2" x14ac:dyDescent="0.2">
      <c r="A3269" s="198"/>
      <c r="B3269" s="198"/>
    </row>
    <row r="3270" spans="1:2" x14ac:dyDescent="0.2">
      <c r="A3270" s="198"/>
      <c r="B3270" s="198"/>
    </row>
    <row r="3271" spans="1:2" x14ac:dyDescent="0.2">
      <c r="A3271" s="198"/>
      <c r="B3271" s="198"/>
    </row>
    <row r="3272" spans="1:2" x14ac:dyDescent="0.2">
      <c r="A3272" s="198"/>
      <c r="B3272" s="198"/>
    </row>
    <row r="3273" spans="1:2" x14ac:dyDescent="0.2">
      <c r="A3273" s="198"/>
      <c r="B3273" s="198"/>
    </row>
    <row r="3274" spans="1:2" x14ac:dyDescent="0.2">
      <c r="A3274" s="198"/>
      <c r="B3274" s="198"/>
    </row>
    <row r="3275" spans="1:2" x14ac:dyDescent="0.2">
      <c r="A3275" s="198"/>
      <c r="B3275" s="198"/>
    </row>
    <row r="3276" spans="1:2" x14ac:dyDescent="0.2">
      <c r="A3276" s="198"/>
      <c r="B3276" s="198"/>
    </row>
    <row r="3277" spans="1:2" x14ac:dyDescent="0.2">
      <c r="A3277" s="198"/>
      <c r="B3277" s="198"/>
    </row>
    <row r="3278" spans="1:2" x14ac:dyDescent="0.2">
      <c r="A3278" s="198"/>
      <c r="B3278" s="198"/>
    </row>
    <row r="3279" spans="1:2" x14ac:dyDescent="0.2">
      <c r="A3279" s="198"/>
      <c r="B3279" s="198"/>
    </row>
    <row r="3280" spans="1:2" x14ac:dyDescent="0.2">
      <c r="A3280" s="198"/>
      <c r="B3280" s="198"/>
    </row>
    <row r="3281" spans="1:2" x14ac:dyDescent="0.2">
      <c r="A3281" s="198"/>
      <c r="B3281" s="198"/>
    </row>
    <row r="3282" spans="1:2" x14ac:dyDescent="0.2">
      <c r="A3282" s="198"/>
      <c r="B3282" s="198"/>
    </row>
    <row r="3283" spans="1:2" x14ac:dyDescent="0.2">
      <c r="A3283" s="198"/>
      <c r="B3283" s="198"/>
    </row>
    <row r="3284" spans="1:2" x14ac:dyDescent="0.2">
      <c r="A3284" s="198"/>
      <c r="B3284" s="198"/>
    </row>
    <row r="3285" spans="1:2" x14ac:dyDescent="0.2">
      <c r="A3285" s="198"/>
      <c r="B3285" s="198"/>
    </row>
    <row r="3286" spans="1:2" x14ac:dyDescent="0.2">
      <c r="A3286" s="198"/>
      <c r="B3286" s="198"/>
    </row>
    <row r="3287" spans="1:2" x14ac:dyDescent="0.2">
      <c r="A3287" s="198"/>
      <c r="B3287" s="198"/>
    </row>
    <row r="3288" spans="1:2" x14ac:dyDescent="0.2">
      <c r="A3288" s="198"/>
      <c r="B3288" s="198"/>
    </row>
    <row r="3289" spans="1:2" x14ac:dyDescent="0.2">
      <c r="A3289" s="198"/>
      <c r="B3289" s="198"/>
    </row>
    <row r="3290" spans="1:2" x14ac:dyDescent="0.2">
      <c r="A3290" s="198"/>
      <c r="B3290" s="198"/>
    </row>
    <row r="3291" spans="1:2" x14ac:dyDescent="0.2">
      <c r="A3291" s="198"/>
      <c r="B3291" s="198"/>
    </row>
    <row r="3292" spans="1:2" x14ac:dyDescent="0.2">
      <c r="A3292" s="198"/>
      <c r="B3292" s="198"/>
    </row>
    <row r="3293" spans="1:2" x14ac:dyDescent="0.2">
      <c r="A3293" s="198"/>
      <c r="B3293" s="198"/>
    </row>
    <row r="3294" spans="1:2" x14ac:dyDescent="0.2">
      <c r="A3294" s="198"/>
      <c r="B3294" s="198"/>
    </row>
    <row r="3295" spans="1:2" x14ac:dyDescent="0.2">
      <c r="A3295" s="198"/>
      <c r="B3295" s="198"/>
    </row>
    <row r="3296" spans="1:2" x14ac:dyDescent="0.2">
      <c r="A3296" s="198"/>
      <c r="B3296" s="198"/>
    </row>
    <row r="3297" spans="1:2" x14ac:dyDescent="0.2">
      <c r="A3297" s="198"/>
      <c r="B3297" s="198"/>
    </row>
    <row r="3298" spans="1:2" x14ac:dyDescent="0.2">
      <c r="A3298" s="198"/>
      <c r="B3298" s="198"/>
    </row>
    <row r="3299" spans="1:2" x14ac:dyDescent="0.2">
      <c r="A3299" s="198"/>
      <c r="B3299" s="198"/>
    </row>
    <row r="3300" spans="1:2" x14ac:dyDescent="0.2">
      <c r="A3300" s="198"/>
      <c r="B3300" s="198"/>
    </row>
    <row r="3301" spans="1:2" x14ac:dyDescent="0.2">
      <c r="A3301" s="198"/>
      <c r="B3301" s="198"/>
    </row>
    <row r="3302" spans="1:2" x14ac:dyDescent="0.2">
      <c r="A3302" s="198"/>
      <c r="B3302" s="198"/>
    </row>
    <row r="3303" spans="1:2" x14ac:dyDescent="0.2">
      <c r="A3303" s="198"/>
      <c r="B3303" s="198"/>
    </row>
    <row r="3304" spans="1:2" x14ac:dyDescent="0.2">
      <c r="A3304" s="198"/>
      <c r="B3304" s="198"/>
    </row>
    <row r="3305" spans="1:2" x14ac:dyDescent="0.2">
      <c r="A3305" s="198"/>
      <c r="B3305" s="198"/>
    </row>
    <row r="3306" spans="1:2" x14ac:dyDescent="0.2">
      <c r="A3306" s="198"/>
      <c r="B3306" s="198"/>
    </row>
    <row r="3307" spans="1:2" x14ac:dyDescent="0.2">
      <c r="A3307" s="198"/>
      <c r="B3307" s="198"/>
    </row>
    <row r="3308" spans="1:2" x14ac:dyDescent="0.2">
      <c r="A3308" s="198"/>
      <c r="B3308" s="198"/>
    </row>
    <row r="3309" spans="1:2" x14ac:dyDescent="0.2">
      <c r="A3309" s="198"/>
      <c r="B3309" s="198"/>
    </row>
    <row r="3310" spans="1:2" x14ac:dyDescent="0.2">
      <c r="A3310" s="198"/>
      <c r="B3310" s="198"/>
    </row>
    <row r="3311" spans="1:2" x14ac:dyDescent="0.2">
      <c r="A3311" s="198"/>
      <c r="B3311" s="198"/>
    </row>
    <row r="3312" spans="1:2" x14ac:dyDescent="0.2">
      <c r="A3312" s="198"/>
      <c r="B3312" s="198"/>
    </row>
    <row r="3313" spans="1:2" x14ac:dyDescent="0.2">
      <c r="A3313" s="198"/>
      <c r="B3313" s="198"/>
    </row>
    <row r="3314" spans="1:2" x14ac:dyDescent="0.2">
      <c r="A3314" s="198"/>
      <c r="B3314" s="198"/>
    </row>
    <row r="3315" spans="1:2" x14ac:dyDescent="0.2">
      <c r="A3315" s="198"/>
      <c r="B3315" s="198"/>
    </row>
    <row r="3316" spans="1:2" x14ac:dyDescent="0.2">
      <c r="A3316" s="198"/>
      <c r="B3316" s="198"/>
    </row>
    <row r="3317" spans="1:2" x14ac:dyDescent="0.2">
      <c r="A3317" s="198"/>
      <c r="B3317" s="198"/>
    </row>
    <row r="3318" spans="1:2" x14ac:dyDescent="0.2">
      <c r="A3318" s="198"/>
      <c r="B3318" s="198"/>
    </row>
    <row r="3319" spans="1:2" x14ac:dyDescent="0.2">
      <c r="A3319" s="198"/>
      <c r="B3319" s="198"/>
    </row>
    <row r="3320" spans="1:2" x14ac:dyDescent="0.2">
      <c r="A3320" s="198"/>
      <c r="B3320" s="198"/>
    </row>
    <row r="3321" spans="1:2" x14ac:dyDescent="0.2">
      <c r="A3321" s="198"/>
      <c r="B3321" s="198"/>
    </row>
    <row r="3322" spans="1:2" x14ac:dyDescent="0.2">
      <c r="A3322" s="198"/>
      <c r="B3322" s="198"/>
    </row>
    <row r="3323" spans="1:2" x14ac:dyDescent="0.2">
      <c r="A3323" s="198"/>
      <c r="B3323" s="198"/>
    </row>
    <row r="3324" spans="1:2" x14ac:dyDescent="0.2">
      <c r="A3324" s="198"/>
      <c r="B3324" s="198"/>
    </row>
    <row r="3325" spans="1:2" x14ac:dyDescent="0.2">
      <c r="A3325" s="198"/>
      <c r="B3325" s="198"/>
    </row>
    <row r="3326" spans="1:2" x14ac:dyDescent="0.2">
      <c r="A3326" s="198"/>
      <c r="B3326" s="198"/>
    </row>
    <row r="3327" spans="1:2" x14ac:dyDescent="0.2">
      <c r="A3327" s="198"/>
      <c r="B3327" s="198"/>
    </row>
    <row r="3328" spans="1:2" x14ac:dyDescent="0.2">
      <c r="A3328" s="198"/>
      <c r="B3328" s="198"/>
    </row>
    <row r="3329" spans="1:2" x14ac:dyDescent="0.2">
      <c r="A3329" s="198"/>
      <c r="B3329" s="198"/>
    </row>
    <row r="3330" spans="1:2" x14ac:dyDescent="0.2">
      <c r="A3330" s="198"/>
      <c r="B3330" s="198"/>
    </row>
    <row r="3331" spans="1:2" x14ac:dyDescent="0.2">
      <c r="A3331" s="198"/>
      <c r="B3331" s="198"/>
    </row>
    <row r="3332" spans="1:2" x14ac:dyDescent="0.2">
      <c r="A3332" s="198"/>
      <c r="B3332" s="198"/>
    </row>
    <row r="3333" spans="1:2" x14ac:dyDescent="0.2">
      <c r="A3333" s="198"/>
      <c r="B3333" s="198"/>
    </row>
    <row r="3334" spans="1:2" x14ac:dyDescent="0.2">
      <c r="A3334" s="198"/>
      <c r="B3334" s="198"/>
    </row>
    <row r="3335" spans="1:2" x14ac:dyDescent="0.2">
      <c r="A3335" s="198"/>
      <c r="B3335" s="198"/>
    </row>
    <row r="3336" spans="1:2" x14ac:dyDescent="0.2">
      <c r="A3336" s="198"/>
      <c r="B3336" s="198"/>
    </row>
    <row r="3337" spans="1:2" x14ac:dyDescent="0.2">
      <c r="A3337" s="198"/>
      <c r="B3337" s="198"/>
    </row>
    <row r="3338" spans="1:2" x14ac:dyDescent="0.2">
      <c r="A3338" s="198"/>
      <c r="B3338" s="198"/>
    </row>
    <row r="3339" spans="1:2" x14ac:dyDescent="0.2">
      <c r="A3339" s="198"/>
      <c r="B3339" s="198"/>
    </row>
    <row r="3340" spans="1:2" x14ac:dyDescent="0.2">
      <c r="A3340" s="198"/>
      <c r="B3340" s="198"/>
    </row>
    <row r="3341" spans="1:2" x14ac:dyDescent="0.2">
      <c r="A3341" s="198"/>
      <c r="B3341" s="198"/>
    </row>
    <row r="3342" spans="1:2" x14ac:dyDescent="0.2">
      <c r="A3342" s="198"/>
      <c r="B3342" s="198"/>
    </row>
    <row r="3343" spans="1:2" x14ac:dyDescent="0.2">
      <c r="A3343" s="198"/>
      <c r="B3343" s="198"/>
    </row>
    <row r="3344" spans="1:2" x14ac:dyDescent="0.2">
      <c r="A3344" s="198"/>
      <c r="B3344" s="198"/>
    </row>
    <row r="3345" spans="1:2" x14ac:dyDescent="0.2">
      <c r="A3345" s="198"/>
      <c r="B3345" s="198"/>
    </row>
    <row r="3346" spans="1:2" x14ac:dyDescent="0.2">
      <c r="A3346" s="198"/>
      <c r="B3346" s="198"/>
    </row>
    <row r="3347" spans="1:2" x14ac:dyDescent="0.2">
      <c r="A3347" s="198"/>
      <c r="B3347" s="198"/>
    </row>
    <row r="3348" spans="1:2" x14ac:dyDescent="0.2">
      <c r="A3348" s="198"/>
      <c r="B3348" s="198"/>
    </row>
    <row r="3349" spans="1:2" x14ac:dyDescent="0.2">
      <c r="A3349" s="198"/>
      <c r="B3349" s="198"/>
    </row>
    <row r="3350" spans="1:2" x14ac:dyDescent="0.2">
      <c r="A3350" s="198"/>
      <c r="B3350" s="198"/>
    </row>
    <row r="3351" spans="1:2" x14ac:dyDescent="0.2">
      <c r="A3351" s="198"/>
      <c r="B3351" s="198"/>
    </row>
    <row r="3352" spans="1:2" x14ac:dyDescent="0.2">
      <c r="A3352" s="198"/>
      <c r="B3352" s="198"/>
    </row>
    <row r="3353" spans="1:2" x14ac:dyDescent="0.2">
      <c r="A3353" s="198"/>
      <c r="B3353" s="198"/>
    </row>
    <row r="3354" spans="1:2" x14ac:dyDescent="0.2">
      <c r="A3354" s="198"/>
      <c r="B3354" s="198"/>
    </row>
    <row r="3355" spans="1:2" x14ac:dyDescent="0.2">
      <c r="A3355" s="198"/>
      <c r="B3355" s="198"/>
    </row>
    <row r="3356" spans="1:2" x14ac:dyDescent="0.2">
      <c r="A3356" s="198"/>
      <c r="B3356" s="198"/>
    </row>
    <row r="3357" spans="1:2" x14ac:dyDescent="0.2">
      <c r="A3357" s="198"/>
      <c r="B3357" s="198"/>
    </row>
    <row r="3358" spans="1:2" x14ac:dyDescent="0.2">
      <c r="A3358" s="198"/>
      <c r="B3358" s="198"/>
    </row>
    <row r="3359" spans="1:2" x14ac:dyDescent="0.2">
      <c r="A3359" s="198"/>
      <c r="B3359" s="198"/>
    </row>
    <row r="3360" spans="1:2" x14ac:dyDescent="0.2">
      <c r="A3360" s="198"/>
      <c r="B3360" s="198"/>
    </row>
    <row r="3361" spans="1:2" x14ac:dyDescent="0.2">
      <c r="A3361" s="198"/>
      <c r="B3361" s="198"/>
    </row>
    <row r="3362" spans="1:2" x14ac:dyDescent="0.2">
      <c r="A3362" s="198"/>
      <c r="B3362" s="198"/>
    </row>
    <row r="3363" spans="1:2" x14ac:dyDescent="0.2">
      <c r="A3363" s="198"/>
      <c r="B3363" s="198"/>
    </row>
    <row r="3364" spans="1:2" x14ac:dyDescent="0.2">
      <c r="A3364" s="198"/>
      <c r="B3364" s="198"/>
    </row>
    <row r="3365" spans="1:2" x14ac:dyDescent="0.2">
      <c r="A3365" s="198"/>
      <c r="B3365" s="198"/>
    </row>
    <row r="3366" spans="1:2" x14ac:dyDescent="0.2">
      <c r="A3366" s="198"/>
      <c r="B3366" s="198"/>
    </row>
    <row r="3367" spans="1:2" x14ac:dyDescent="0.2">
      <c r="A3367" s="198"/>
      <c r="B3367" s="198"/>
    </row>
    <row r="3368" spans="1:2" x14ac:dyDescent="0.2">
      <c r="A3368" s="198"/>
      <c r="B3368" s="198"/>
    </row>
    <row r="3369" spans="1:2" x14ac:dyDescent="0.2">
      <c r="A3369" s="198"/>
      <c r="B3369" s="198"/>
    </row>
    <row r="3370" spans="1:2" x14ac:dyDescent="0.2">
      <c r="A3370" s="198"/>
      <c r="B3370" s="198"/>
    </row>
    <row r="3371" spans="1:2" x14ac:dyDescent="0.2">
      <c r="A3371" s="198"/>
      <c r="B3371" s="198"/>
    </row>
    <row r="3372" spans="1:2" x14ac:dyDescent="0.2">
      <c r="A3372" s="198"/>
      <c r="B3372" s="198"/>
    </row>
    <row r="3373" spans="1:2" x14ac:dyDescent="0.2">
      <c r="A3373" s="198"/>
      <c r="B3373" s="198"/>
    </row>
    <row r="3374" spans="1:2" x14ac:dyDescent="0.2">
      <c r="A3374" s="198"/>
      <c r="B3374" s="198"/>
    </row>
    <row r="3375" spans="1:2" x14ac:dyDescent="0.2">
      <c r="A3375" s="198"/>
      <c r="B3375" s="198"/>
    </row>
    <row r="3376" spans="1:2" x14ac:dyDescent="0.2">
      <c r="A3376" s="198"/>
      <c r="B3376" s="198"/>
    </row>
    <row r="3377" spans="1:2" x14ac:dyDescent="0.2">
      <c r="A3377" s="198"/>
      <c r="B3377" s="198"/>
    </row>
    <row r="3378" spans="1:2" x14ac:dyDescent="0.2">
      <c r="A3378" s="198"/>
      <c r="B3378" s="198"/>
    </row>
    <row r="3379" spans="1:2" x14ac:dyDescent="0.2">
      <c r="A3379" s="198"/>
      <c r="B3379" s="198"/>
    </row>
    <row r="3380" spans="1:2" x14ac:dyDescent="0.2">
      <c r="A3380" s="198"/>
      <c r="B3380" s="198"/>
    </row>
    <row r="3381" spans="1:2" x14ac:dyDescent="0.2">
      <c r="A3381" s="198"/>
      <c r="B3381" s="198"/>
    </row>
    <row r="3382" spans="1:2" x14ac:dyDescent="0.2">
      <c r="A3382" s="198"/>
      <c r="B3382" s="198"/>
    </row>
    <row r="3383" spans="1:2" x14ac:dyDescent="0.2">
      <c r="A3383" s="198"/>
      <c r="B3383" s="198"/>
    </row>
    <row r="3384" spans="1:2" x14ac:dyDescent="0.2">
      <c r="A3384" s="198"/>
      <c r="B3384" s="198"/>
    </row>
    <row r="3385" spans="1:2" x14ac:dyDescent="0.2">
      <c r="A3385" s="198"/>
      <c r="B3385" s="198"/>
    </row>
    <row r="3386" spans="1:2" x14ac:dyDescent="0.2">
      <c r="A3386" s="198"/>
      <c r="B3386" s="198"/>
    </row>
    <row r="3387" spans="1:2" x14ac:dyDescent="0.2">
      <c r="A3387" s="198"/>
      <c r="B3387" s="198"/>
    </row>
    <row r="3388" spans="1:2" x14ac:dyDescent="0.2">
      <c r="A3388" s="198"/>
      <c r="B3388" s="198"/>
    </row>
    <row r="3389" spans="1:2" x14ac:dyDescent="0.2">
      <c r="A3389" s="198"/>
      <c r="B3389" s="198"/>
    </row>
    <row r="3390" spans="1:2" x14ac:dyDescent="0.2">
      <c r="A3390" s="198"/>
      <c r="B3390" s="198"/>
    </row>
    <row r="3391" spans="1:2" x14ac:dyDescent="0.2">
      <c r="A3391" s="198"/>
      <c r="B3391" s="198"/>
    </row>
    <row r="3392" spans="1:2" x14ac:dyDescent="0.2">
      <c r="A3392" s="198"/>
      <c r="B3392" s="198"/>
    </row>
    <row r="3393" spans="1:2" x14ac:dyDescent="0.2">
      <c r="A3393" s="198"/>
      <c r="B3393" s="198"/>
    </row>
    <row r="3394" spans="1:2" x14ac:dyDescent="0.2">
      <c r="A3394" s="198"/>
      <c r="B3394" s="198"/>
    </row>
    <row r="3395" spans="1:2" x14ac:dyDescent="0.2">
      <c r="A3395" s="198"/>
      <c r="B3395" s="198"/>
    </row>
    <row r="3396" spans="1:2" x14ac:dyDescent="0.2">
      <c r="A3396" s="198"/>
      <c r="B3396" s="198"/>
    </row>
    <row r="3397" spans="1:2" x14ac:dyDescent="0.2">
      <c r="A3397" s="198"/>
      <c r="B3397" s="198"/>
    </row>
    <row r="3398" spans="1:2" x14ac:dyDescent="0.2">
      <c r="A3398" s="198"/>
      <c r="B3398" s="198"/>
    </row>
    <row r="3399" spans="1:2" x14ac:dyDescent="0.2">
      <c r="A3399" s="198"/>
      <c r="B3399" s="198"/>
    </row>
    <row r="3400" spans="1:2" x14ac:dyDescent="0.2">
      <c r="A3400" s="198"/>
      <c r="B3400" s="198"/>
    </row>
    <row r="3401" spans="1:2" x14ac:dyDescent="0.2">
      <c r="A3401" s="198"/>
      <c r="B3401" s="198"/>
    </row>
    <row r="3402" spans="1:2" x14ac:dyDescent="0.2">
      <c r="A3402" s="198"/>
      <c r="B3402" s="198"/>
    </row>
    <row r="3403" spans="1:2" x14ac:dyDescent="0.2">
      <c r="A3403" s="198"/>
      <c r="B3403" s="198"/>
    </row>
    <row r="3404" spans="1:2" x14ac:dyDescent="0.2">
      <c r="A3404" s="198"/>
      <c r="B3404" s="198"/>
    </row>
    <row r="3405" spans="1:2" x14ac:dyDescent="0.2">
      <c r="A3405" s="198"/>
      <c r="B3405" s="198"/>
    </row>
    <row r="3406" spans="1:2" x14ac:dyDescent="0.2">
      <c r="A3406" s="198"/>
      <c r="B3406" s="198"/>
    </row>
    <row r="3407" spans="1:2" x14ac:dyDescent="0.2">
      <c r="A3407" s="198"/>
      <c r="B3407" s="198"/>
    </row>
    <row r="3408" spans="1:2" x14ac:dyDescent="0.2">
      <c r="A3408" s="198"/>
      <c r="B3408" s="198"/>
    </row>
    <row r="3409" spans="1:2" x14ac:dyDescent="0.2">
      <c r="A3409" s="198"/>
      <c r="B3409" s="198"/>
    </row>
    <row r="3410" spans="1:2" x14ac:dyDescent="0.2">
      <c r="A3410" s="198"/>
      <c r="B3410" s="198"/>
    </row>
    <row r="3411" spans="1:2" x14ac:dyDescent="0.2">
      <c r="A3411" s="198"/>
      <c r="B3411" s="198"/>
    </row>
    <row r="3412" spans="1:2" x14ac:dyDescent="0.2">
      <c r="A3412" s="198"/>
      <c r="B3412" s="198"/>
    </row>
    <row r="3413" spans="1:2" x14ac:dyDescent="0.2">
      <c r="A3413" s="198"/>
      <c r="B3413" s="198"/>
    </row>
    <row r="3414" spans="1:2" x14ac:dyDescent="0.2">
      <c r="A3414" s="198"/>
      <c r="B3414" s="198"/>
    </row>
    <row r="3415" spans="1:2" x14ac:dyDescent="0.2">
      <c r="A3415" s="198"/>
      <c r="B3415" s="198"/>
    </row>
    <row r="3416" spans="1:2" x14ac:dyDescent="0.2">
      <c r="A3416" s="198"/>
      <c r="B3416" s="198"/>
    </row>
    <row r="3417" spans="1:2" x14ac:dyDescent="0.2">
      <c r="A3417" s="198"/>
      <c r="B3417" s="198"/>
    </row>
    <row r="3418" spans="1:2" x14ac:dyDescent="0.2">
      <c r="A3418" s="198"/>
      <c r="B3418" s="198"/>
    </row>
    <row r="3419" spans="1:2" x14ac:dyDescent="0.2">
      <c r="A3419" s="198"/>
      <c r="B3419" s="198"/>
    </row>
    <row r="3420" spans="1:2" x14ac:dyDescent="0.2">
      <c r="A3420" s="198"/>
      <c r="B3420" s="198"/>
    </row>
    <row r="3421" spans="1:2" x14ac:dyDescent="0.2">
      <c r="A3421" s="198"/>
      <c r="B3421" s="198"/>
    </row>
    <row r="3422" spans="1:2" x14ac:dyDescent="0.2">
      <c r="A3422" s="198"/>
      <c r="B3422" s="198"/>
    </row>
    <row r="3423" spans="1:2" x14ac:dyDescent="0.2">
      <c r="A3423" s="198"/>
      <c r="B3423" s="198"/>
    </row>
    <row r="3424" spans="1:2" x14ac:dyDescent="0.2">
      <c r="A3424" s="198"/>
      <c r="B3424" s="198"/>
    </row>
    <row r="3425" spans="1:2" x14ac:dyDescent="0.2">
      <c r="A3425" s="198"/>
      <c r="B3425" s="198"/>
    </row>
    <row r="3426" spans="1:2" x14ac:dyDescent="0.2">
      <c r="A3426" s="198"/>
      <c r="B3426" s="198"/>
    </row>
    <row r="3427" spans="1:2" x14ac:dyDescent="0.2">
      <c r="A3427" s="198"/>
      <c r="B3427" s="198"/>
    </row>
    <row r="3428" spans="1:2" x14ac:dyDescent="0.2">
      <c r="A3428" s="198"/>
      <c r="B3428" s="198"/>
    </row>
    <row r="3429" spans="1:2" x14ac:dyDescent="0.2">
      <c r="A3429" s="198"/>
      <c r="B3429" s="198"/>
    </row>
    <row r="3430" spans="1:2" x14ac:dyDescent="0.2">
      <c r="A3430" s="198"/>
      <c r="B3430" s="198"/>
    </row>
    <row r="3431" spans="1:2" x14ac:dyDescent="0.2">
      <c r="A3431" s="198"/>
      <c r="B3431" s="198"/>
    </row>
    <row r="3432" spans="1:2" x14ac:dyDescent="0.2">
      <c r="A3432" s="198"/>
      <c r="B3432" s="198"/>
    </row>
    <row r="3433" spans="1:2" x14ac:dyDescent="0.2">
      <c r="A3433" s="198"/>
      <c r="B3433" s="198"/>
    </row>
    <row r="3434" spans="1:2" x14ac:dyDescent="0.2">
      <c r="A3434" s="198"/>
      <c r="B3434" s="198"/>
    </row>
    <row r="3435" spans="1:2" x14ac:dyDescent="0.2">
      <c r="A3435" s="198"/>
      <c r="B3435" s="198"/>
    </row>
    <row r="3436" spans="1:2" x14ac:dyDescent="0.2">
      <c r="A3436" s="198"/>
      <c r="B3436" s="198"/>
    </row>
    <row r="3437" spans="1:2" x14ac:dyDescent="0.2">
      <c r="A3437" s="198"/>
      <c r="B3437" s="198"/>
    </row>
    <row r="3438" spans="1:2" x14ac:dyDescent="0.2">
      <c r="A3438" s="198"/>
      <c r="B3438" s="198"/>
    </row>
    <row r="3439" spans="1:2" x14ac:dyDescent="0.2">
      <c r="A3439" s="198"/>
      <c r="B3439" s="198"/>
    </row>
    <row r="3440" spans="1:2" x14ac:dyDescent="0.2">
      <c r="A3440" s="198"/>
      <c r="B3440" s="198"/>
    </row>
    <row r="3441" spans="1:2" x14ac:dyDescent="0.2">
      <c r="A3441" s="198"/>
      <c r="B3441" s="198"/>
    </row>
    <row r="3442" spans="1:2" x14ac:dyDescent="0.2">
      <c r="A3442" s="198"/>
      <c r="B3442" s="198"/>
    </row>
    <row r="3443" spans="1:2" x14ac:dyDescent="0.2">
      <c r="A3443" s="198"/>
      <c r="B3443" s="198"/>
    </row>
    <row r="3444" spans="1:2" x14ac:dyDescent="0.2">
      <c r="A3444" s="198"/>
      <c r="B3444" s="198"/>
    </row>
    <row r="3445" spans="1:2" x14ac:dyDescent="0.2">
      <c r="A3445" s="198"/>
      <c r="B3445" s="198"/>
    </row>
    <row r="3446" spans="1:2" x14ac:dyDescent="0.2">
      <c r="A3446" s="198"/>
      <c r="B3446" s="198"/>
    </row>
    <row r="3447" spans="1:2" x14ac:dyDescent="0.2">
      <c r="A3447" s="198"/>
      <c r="B3447" s="198"/>
    </row>
    <row r="3448" spans="1:2" x14ac:dyDescent="0.2">
      <c r="A3448" s="198"/>
      <c r="B3448" s="198"/>
    </row>
    <row r="3449" spans="1:2" x14ac:dyDescent="0.2">
      <c r="A3449" s="198"/>
      <c r="B3449" s="198"/>
    </row>
    <row r="3450" spans="1:2" x14ac:dyDescent="0.2">
      <c r="A3450" s="198"/>
      <c r="B3450" s="198"/>
    </row>
    <row r="3451" spans="1:2" x14ac:dyDescent="0.2">
      <c r="A3451" s="198"/>
      <c r="B3451" s="198"/>
    </row>
    <row r="3452" spans="1:2" x14ac:dyDescent="0.2">
      <c r="A3452" s="198"/>
      <c r="B3452" s="198"/>
    </row>
    <row r="3453" spans="1:2" x14ac:dyDescent="0.2">
      <c r="A3453" s="198"/>
      <c r="B3453" s="198"/>
    </row>
    <row r="3454" spans="1:2" x14ac:dyDescent="0.2">
      <c r="A3454" s="198"/>
      <c r="B3454" s="198"/>
    </row>
    <row r="3455" spans="1:2" x14ac:dyDescent="0.2">
      <c r="A3455" s="198"/>
      <c r="B3455" s="198"/>
    </row>
    <row r="3456" spans="1:2" x14ac:dyDescent="0.2">
      <c r="A3456" s="198"/>
      <c r="B3456" s="198"/>
    </row>
    <row r="3457" spans="1:2" x14ac:dyDescent="0.2">
      <c r="A3457" s="198"/>
      <c r="B3457" s="198"/>
    </row>
    <row r="3458" spans="1:2" x14ac:dyDescent="0.2">
      <c r="A3458" s="198"/>
      <c r="B3458" s="198"/>
    </row>
    <row r="3459" spans="1:2" x14ac:dyDescent="0.2">
      <c r="A3459" s="198"/>
      <c r="B3459" s="198"/>
    </row>
    <row r="3460" spans="1:2" x14ac:dyDescent="0.2">
      <c r="A3460" s="198"/>
      <c r="B3460" s="198"/>
    </row>
    <row r="3461" spans="1:2" x14ac:dyDescent="0.2">
      <c r="A3461" s="198"/>
      <c r="B3461" s="198"/>
    </row>
    <row r="3462" spans="1:2" x14ac:dyDescent="0.2">
      <c r="A3462" s="198"/>
      <c r="B3462" s="198"/>
    </row>
    <row r="3463" spans="1:2" x14ac:dyDescent="0.2">
      <c r="A3463" s="198"/>
      <c r="B3463" s="198"/>
    </row>
    <row r="3464" spans="1:2" x14ac:dyDescent="0.2">
      <c r="A3464" s="198"/>
      <c r="B3464" s="198"/>
    </row>
    <row r="3465" spans="1:2" x14ac:dyDescent="0.2">
      <c r="A3465" s="198"/>
      <c r="B3465" s="198"/>
    </row>
    <row r="3466" spans="1:2" x14ac:dyDescent="0.2">
      <c r="A3466" s="198"/>
      <c r="B3466" s="198"/>
    </row>
    <row r="3467" spans="1:2" x14ac:dyDescent="0.2">
      <c r="A3467" s="198"/>
      <c r="B3467" s="198"/>
    </row>
    <row r="3468" spans="1:2" x14ac:dyDescent="0.2">
      <c r="A3468" s="198"/>
      <c r="B3468" s="198"/>
    </row>
    <row r="3469" spans="1:2" x14ac:dyDescent="0.2">
      <c r="A3469" s="198"/>
      <c r="B3469" s="198"/>
    </row>
    <row r="3470" spans="1:2" x14ac:dyDescent="0.2">
      <c r="A3470" s="198"/>
      <c r="B3470" s="198"/>
    </row>
    <row r="3471" spans="1:2" x14ac:dyDescent="0.2">
      <c r="A3471" s="198"/>
      <c r="B3471" s="198"/>
    </row>
    <row r="3472" spans="1:2" x14ac:dyDescent="0.2">
      <c r="A3472" s="198"/>
      <c r="B3472" s="198"/>
    </row>
    <row r="3473" spans="1:2" x14ac:dyDescent="0.2">
      <c r="A3473" s="198"/>
      <c r="B3473" s="198"/>
    </row>
    <row r="3474" spans="1:2" x14ac:dyDescent="0.2">
      <c r="A3474" s="198"/>
      <c r="B3474" s="198"/>
    </row>
    <row r="3475" spans="1:2" x14ac:dyDescent="0.2">
      <c r="A3475" s="198"/>
      <c r="B3475" s="198"/>
    </row>
    <row r="3476" spans="1:2" x14ac:dyDescent="0.2">
      <c r="A3476" s="198"/>
      <c r="B3476" s="198"/>
    </row>
    <row r="3477" spans="1:2" x14ac:dyDescent="0.2">
      <c r="A3477" s="198"/>
      <c r="B3477" s="198"/>
    </row>
    <row r="3478" spans="1:2" x14ac:dyDescent="0.2">
      <c r="A3478" s="198"/>
      <c r="B3478" s="198"/>
    </row>
    <row r="3479" spans="1:2" x14ac:dyDescent="0.2">
      <c r="A3479" s="198"/>
      <c r="B3479" s="198"/>
    </row>
    <row r="3480" spans="1:2" x14ac:dyDescent="0.2">
      <c r="A3480" s="198"/>
      <c r="B3480" s="198"/>
    </row>
    <row r="3481" spans="1:2" x14ac:dyDescent="0.2">
      <c r="A3481" s="198"/>
      <c r="B3481" s="198"/>
    </row>
    <row r="3482" spans="1:2" x14ac:dyDescent="0.2">
      <c r="A3482" s="198"/>
      <c r="B3482" s="198"/>
    </row>
    <row r="3483" spans="1:2" x14ac:dyDescent="0.2">
      <c r="A3483" s="198"/>
      <c r="B3483" s="198"/>
    </row>
    <row r="3484" spans="1:2" x14ac:dyDescent="0.2">
      <c r="A3484" s="198"/>
      <c r="B3484" s="198"/>
    </row>
    <row r="3485" spans="1:2" x14ac:dyDescent="0.2">
      <c r="A3485" s="198"/>
      <c r="B3485" s="198"/>
    </row>
    <row r="3486" spans="1:2" x14ac:dyDescent="0.2">
      <c r="A3486" s="198"/>
      <c r="B3486" s="198"/>
    </row>
    <row r="3487" spans="1:2" x14ac:dyDescent="0.2">
      <c r="A3487" s="198"/>
      <c r="B3487" s="198"/>
    </row>
    <row r="3488" spans="1:2" x14ac:dyDescent="0.2">
      <c r="A3488" s="198"/>
      <c r="B3488" s="198"/>
    </row>
    <row r="3489" spans="1:2" x14ac:dyDescent="0.2">
      <c r="A3489" s="198"/>
      <c r="B3489" s="198"/>
    </row>
    <row r="3490" spans="1:2" x14ac:dyDescent="0.2">
      <c r="A3490" s="198"/>
      <c r="B3490" s="198"/>
    </row>
    <row r="3491" spans="1:2" x14ac:dyDescent="0.2">
      <c r="A3491" s="198"/>
      <c r="B3491" s="198"/>
    </row>
    <row r="3492" spans="1:2" x14ac:dyDescent="0.2">
      <c r="A3492" s="198"/>
      <c r="B3492" s="198"/>
    </row>
    <row r="3493" spans="1:2" x14ac:dyDescent="0.2">
      <c r="A3493" s="198"/>
      <c r="B3493" s="198"/>
    </row>
    <row r="3494" spans="1:2" x14ac:dyDescent="0.2">
      <c r="A3494" s="198"/>
      <c r="B3494" s="198"/>
    </row>
    <row r="3495" spans="1:2" x14ac:dyDescent="0.2">
      <c r="A3495" s="198"/>
      <c r="B3495" s="198"/>
    </row>
    <row r="3496" spans="1:2" x14ac:dyDescent="0.2">
      <c r="A3496" s="198"/>
      <c r="B3496" s="198"/>
    </row>
    <row r="3497" spans="1:2" x14ac:dyDescent="0.2">
      <c r="A3497" s="198"/>
      <c r="B3497" s="198"/>
    </row>
    <row r="3498" spans="1:2" x14ac:dyDescent="0.2">
      <c r="A3498" s="198"/>
      <c r="B3498" s="198"/>
    </row>
    <row r="3499" spans="1:2" x14ac:dyDescent="0.2">
      <c r="A3499" s="198"/>
      <c r="B3499" s="198"/>
    </row>
    <row r="3500" spans="1:2" x14ac:dyDescent="0.2">
      <c r="A3500" s="198"/>
      <c r="B3500" s="198"/>
    </row>
    <row r="3501" spans="1:2" x14ac:dyDescent="0.2">
      <c r="A3501" s="198"/>
      <c r="B3501" s="198"/>
    </row>
    <row r="3502" spans="1:2" x14ac:dyDescent="0.2">
      <c r="A3502" s="198"/>
      <c r="B3502" s="198"/>
    </row>
    <row r="3503" spans="1:2" x14ac:dyDescent="0.2">
      <c r="A3503" s="198"/>
      <c r="B3503" s="198"/>
    </row>
    <row r="3504" spans="1:2" x14ac:dyDescent="0.2">
      <c r="A3504" s="198"/>
      <c r="B3504" s="198"/>
    </row>
    <row r="3505" spans="1:2" x14ac:dyDescent="0.2">
      <c r="A3505" s="198"/>
      <c r="B3505" s="198"/>
    </row>
    <row r="3506" spans="1:2" x14ac:dyDescent="0.2">
      <c r="A3506" s="198"/>
      <c r="B3506" s="198"/>
    </row>
    <row r="3507" spans="1:2" x14ac:dyDescent="0.2">
      <c r="A3507" s="198"/>
      <c r="B3507" s="198"/>
    </row>
    <row r="3508" spans="1:2" x14ac:dyDescent="0.2">
      <c r="A3508" s="198"/>
      <c r="B3508" s="198"/>
    </row>
    <row r="3509" spans="1:2" x14ac:dyDescent="0.2">
      <c r="A3509" s="198"/>
      <c r="B3509" s="198"/>
    </row>
    <row r="3510" spans="1:2" x14ac:dyDescent="0.2">
      <c r="A3510" s="198"/>
      <c r="B3510" s="198"/>
    </row>
    <row r="3511" spans="1:2" x14ac:dyDescent="0.2">
      <c r="A3511" s="198"/>
      <c r="B3511" s="198"/>
    </row>
    <row r="3512" spans="1:2" x14ac:dyDescent="0.2">
      <c r="A3512" s="198"/>
      <c r="B3512" s="198"/>
    </row>
    <row r="3513" spans="1:2" x14ac:dyDescent="0.2">
      <c r="A3513" s="198"/>
      <c r="B3513" s="198"/>
    </row>
    <row r="3514" spans="1:2" x14ac:dyDescent="0.2">
      <c r="A3514" s="198"/>
      <c r="B3514" s="198"/>
    </row>
    <row r="3515" spans="1:2" x14ac:dyDescent="0.2">
      <c r="A3515" s="198"/>
      <c r="B3515" s="198"/>
    </row>
    <row r="3516" spans="1:2" x14ac:dyDescent="0.2">
      <c r="A3516" s="198"/>
      <c r="B3516" s="198"/>
    </row>
    <row r="3517" spans="1:2" x14ac:dyDescent="0.2">
      <c r="A3517" s="198"/>
      <c r="B3517" s="198"/>
    </row>
    <row r="3518" spans="1:2" x14ac:dyDescent="0.2">
      <c r="A3518" s="198"/>
      <c r="B3518" s="198"/>
    </row>
    <row r="3519" spans="1:2" x14ac:dyDescent="0.2">
      <c r="A3519" s="198"/>
      <c r="B3519" s="198"/>
    </row>
    <row r="3520" spans="1:2" x14ac:dyDescent="0.2">
      <c r="A3520" s="198"/>
      <c r="B3520" s="198"/>
    </row>
    <row r="3521" spans="1:2" x14ac:dyDescent="0.2">
      <c r="A3521" s="198"/>
      <c r="B3521" s="198"/>
    </row>
    <row r="3522" spans="1:2" x14ac:dyDescent="0.2">
      <c r="A3522" s="198"/>
      <c r="B3522" s="198"/>
    </row>
    <row r="3523" spans="1:2" x14ac:dyDescent="0.2">
      <c r="A3523" s="198"/>
      <c r="B3523" s="198"/>
    </row>
    <row r="3524" spans="1:2" x14ac:dyDescent="0.2">
      <c r="A3524" s="198"/>
      <c r="B3524" s="198"/>
    </row>
    <row r="3525" spans="1:2" x14ac:dyDescent="0.2">
      <c r="A3525" s="198"/>
      <c r="B3525" s="198"/>
    </row>
    <row r="3526" spans="1:2" x14ac:dyDescent="0.2">
      <c r="A3526" s="198"/>
      <c r="B3526" s="198"/>
    </row>
    <row r="3527" spans="1:2" x14ac:dyDescent="0.2">
      <c r="A3527" s="198"/>
      <c r="B3527" s="198"/>
    </row>
    <row r="3528" spans="1:2" x14ac:dyDescent="0.2">
      <c r="A3528" s="198"/>
      <c r="B3528" s="198"/>
    </row>
    <row r="3529" spans="1:2" x14ac:dyDescent="0.2">
      <c r="A3529" s="198"/>
      <c r="B3529" s="198"/>
    </row>
    <row r="3530" spans="1:2" x14ac:dyDescent="0.2">
      <c r="A3530" s="198"/>
      <c r="B3530" s="198"/>
    </row>
    <row r="3531" spans="1:2" x14ac:dyDescent="0.2">
      <c r="A3531" s="198"/>
      <c r="B3531" s="198"/>
    </row>
    <row r="3532" spans="1:2" x14ac:dyDescent="0.2">
      <c r="A3532" s="198"/>
      <c r="B3532" s="198"/>
    </row>
    <row r="3533" spans="1:2" x14ac:dyDescent="0.2">
      <c r="A3533" s="198"/>
      <c r="B3533" s="198"/>
    </row>
    <row r="3534" spans="1:2" x14ac:dyDescent="0.2">
      <c r="A3534" s="198"/>
      <c r="B3534" s="198"/>
    </row>
    <row r="3535" spans="1:2" x14ac:dyDescent="0.2">
      <c r="A3535" s="198"/>
      <c r="B3535" s="198"/>
    </row>
    <row r="3536" spans="1:2" x14ac:dyDescent="0.2">
      <c r="A3536" s="198"/>
      <c r="B3536" s="198"/>
    </row>
    <row r="3537" spans="1:2" x14ac:dyDescent="0.2">
      <c r="A3537" s="198"/>
      <c r="B3537" s="198"/>
    </row>
    <row r="3538" spans="1:2" x14ac:dyDescent="0.2">
      <c r="A3538" s="198"/>
      <c r="B3538" s="198"/>
    </row>
    <row r="3539" spans="1:2" x14ac:dyDescent="0.2">
      <c r="A3539" s="198"/>
      <c r="B3539" s="198"/>
    </row>
    <row r="3540" spans="1:2" x14ac:dyDescent="0.2">
      <c r="A3540" s="198"/>
      <c r="B3540" s="198"/>
    </row>
    <row r="3541" spans="1:2" x14ac:dyDescent="0.2">
      <c r="A3541" s="198"/>
      <c r="B3541" s="198"/>
    </row>
    <row r="3542" spans="1:2" x14ac:dyDescent="0.2">
      <c r="A3542" s="198"/>
      <c r="B3542" s="198"/>
    </row>
    <row r="3543" spans="1:2" x14ac:dyDescent="0.2">
      <c r="A3543" s="198"/>
      <c r="B3543" s="198"/>
    </row>
    <row r="3544" spans="1:2" x14ac:dyDescent="0.2">
      <c r="A3544" s="198"/>
      <c r="B3544" s="198"/>
    </row>
    <row r="3545" spans="1:2" x14ac:dyDescent="0.2">
      <c r="A3545" s="198"/>
      <c r="B3545" s="198"/>
    </row>
    <row r="3546" spans="1:2" x14ac:dyDescent="0.2">
      <c r="A3546" s="198"/>
      <c r="B3546" s="198"/>
    </row>
    <row r="3547" spans="1:2" x14ac:dyDescent="0.2">
      <c r="A3547" s="198"/>
      <c r="B3547" s="198"/>
    </row>
    <row r="3548" spans="1:2" x14ac:dyDescent="0.2">
      <c r="A3548" s="198"/>
      <c r="B3548" s="198"/>
    </row>
    <row r="3549" spans="1:2" x14ac:dyDescent="0.2">
      <c r="A3549" s="198"/>
      <c r="B3549" s="198"/>
    </row>
    <row r="3550" spans="1:2" x14ac:dyDescent="0.2">
      <c r="A3550" s="198"/>
      <c r="B3550" s="198"/>
    </row>
    <row r="3551" spans="1:2" x14ac:dyDescent="0.2">
      <c r="A3551" s="198"/>
      <c r="B3551" s="198"/>
    </row>
    <row r="3552" spans="1:2" x14ac:dyDescent="0.2">
      <c r="A3552" s="198"/>
      <c r="B3552" s="198"/>
    </row>
    <row r="3553" spans="1:2" x14ac:dyDescent="0.2">
      <c r="A3553" s="198"/>
      <c r="B3553" s="198"/>
    </row>
    <row r="3554" spans="1:2" x14ac:dyDescent="0.2">
      <c r="A3554" s="198"/>
      <c r="B3554" s="198"/>
    </row>
    <row r="3555" spans="1:2" x14ac:dyDescent="0.2">
      <c r="A3555" s="198"/>
      <c r="B3555" s="198"/>
    </row>
    <row r="3556" spans="1:2" x14ac:dyDescent="0.2">
      <c r="A3556" s="198"/>
      <c r="B3556" s="198"/>
    </row>
    <row r="3557" spans="1:2" x14ac:dyDescent="0.2">
      <c r="A3557" s="198"/>
      <c r="B3557" s="198"/>
    </row>
    <row r="3558" spans="1:2" x14ac:dyDescent="0.2">
      <c r="A3558" s="198"/>
      <c r="B3558" s="198"/>
    </row>
    <row r="3559" spans="1:2" x14ac:dyDescent="0.2">
      <c r="A3559" s="198"/>
      <c r="B3559" s="198"/>
    </row>
    <row r="3560" spans="1:2" x14ac:dyDescent="0.2">
      <c r="A3560" s="198"/>
      <c r="B3560" s="198"/>
    </row>
    <row r="3561" spans="1:2" x14ac:dyDescent="0.2">
      <c r="A3561" s="198"/>
      <c r="B3561" s="198"/>
    </row>
    <row r="3562" spans="1:2" x14ac:dyDescent="0.2">
      <c r="A3562" s="198"/>
      <c r="B3562" s="198"/>
    </row>
    <row r="3563" spans="1:2" x14ac:dyDescent="0.2">
      <c r="A3563" s="198"/>
      <c r="B3563" s="198"/>
    </row>
    <row r="3564" spans="1:2" x14ac:dyDescent="0.2">
      <c r="A3564" s="198"/>
      <c r="B3564" s="198"/>
    </row>
    <row r="3565" spans="1:2" x14ac:dyDescent="0.2">
      <c r="A3565" s="198"/>
      <c r="B3565" s="198"/>
    </row>
    <row r="3566" spans="1:2" x14ac:dyDescent="0.2">
      <c r="A3566" s="198"/>
      <c r="B3566" s="198"/>
    </row>
    <row r="3567" spans="1:2" x14ac:dyDescent="0.2">
      <c r="A3567" s="198"/>
      <c r="B3567" s="198"/>
    </row>
    <row r="3568" spans="1:2" x14ac:dyDescent="0.2">
      <c r="A3568" s="198"/>
      <c r="B3568" s="198"/>
    </row>
    <row r="3569" spans="1:2" x14ac:dyDescent="0.2">
      <c r="A3569" s="198"/>
      <c r="B3569" s="198"/>
    </row>
    <row r="3570" spans="1:2" x14ac:dyDescent="0.2">
      <c r="A3570" s="198"/>
      <c r="B3570" s="198"/>
    </row>
    <row r="3571" spans="1:2" x14ac:dyDescent="0.2">
      <c r="A3571" s="198"/>
      <c r="B3571" s="198"/>
    </row>
    <row r="3572" spans="1:2" x14ac:dyDescent="0.2">
      <c r="A3572" s="198"/>
      <c r="B3572" s="198"/>
    </row>
    <row r="3573" spans="1:2" x14ac:dyDescent="0.2">
      <c r="A3573" s="198"/>
      <c r="B3573" s="198"/>
    </row>
    <row r="3574" spans="1:2" x14ac:dyDescent="0.2">
      <c r="A3574" s="198"/>
      <c r="B3574" s="198"/>
    </row>
    <row r="3575" spans="1:2" x14ac:dyDescent="0.2">
      <c r="A3575" s="198"/>
      <c r="B3575" s="198"/>
    </row>
    <row r="3576" spans="1:2" x14ac:dyDescent="0.2">
      <c r="A3576" s="198"/>
      <c r="B3576" s="198"/>
    </row>
    <row r="3577" spans="1:2" x14ac:dyDescent="0.2">
      <c r="A3577" s="198"/>
      <c r="B3577" s="198"/>
    </row>
    <row r="3578" spans="1:2" x14ac:dyDescent="0.2">
      <c r="A3578" s="198"/>
      <c r="B3578" s="198"/>
    </row>
    <row r="3579" spans="1:2" x14ac:dyDescent="0.2">
      <c r="A3579" s="198"/>
      <c r="B3579" s="198"/>
    </row>
    <row r="3580" spans="1:2" x14ac:dyDescent="0.2">
      <c r="A3580" s="198"/>
      <c r="B3580" s="198"/>
    </row>
    <row r="3581" spans="1:2" x14ac:dyDescent="0.2">
      <c r="A3581" s="198"/>
      <c r="B3581" s="198"/>
    </row>
    <row r="3582" spans="1:2" x14ac:dyDescent="0.2">
      <c r="A3582" s="198"/>
      <c r="B3582" s="198"/>
    </row>
    <row r="3583" spans="1:2" x14ac:dyDescent="0.2">
      <c r="A3583" s="198"/>
      <c r="B3583" s="198"/>
    </row>
    <row r="3584" spans="1:2" x14ac:dyDescent="0.2">
      <c r="A3584" s="198"/>
      <c r="B3584" s="198"/>
    </row>
    <row r="3585" spans="1:2" x14ac:dyDescent="0.2">
      <c r="A3585" s="198"/>
      <c r="B3585" s="198"/>
    </row>
    <row r="3586" spans="1:2" x14ac:dyDescent="0.2">
      <c r="A3586" s="198"/>
      <c r="B3586" s="198"/>
    </row>
    <row r="3587" spans="1:2" x14ac:dyDescent="0.2">
      <c r="A3587" s="198"/>
      <c r="B3587" s="198"/>
    </row>
    <row r="3588" spans="1:2" x14ac:dyDescent="0.2">
      <c r="A3588" s="198"/>
      <c r="B3588" s="198"/>
    </row>
    <row r="3589" spans="1:2" x14ac:dyDescent="0.2">
      <c r="A3589" s="198"/>
      <c r="B3589" s="198"/>
    </row>
    <row r="3590" spans="1:2" x14ac:dyDescent="0.2">
      <c r="A3590" s="198"/>
      <c r="B3590" s="198"/>
    </row>
    <row r="3591" spans="1:2" x14ac:dyDescent="0.2">
      <c r="A3591" s="198"/>
      <c r="B3591" s="198"/>
    </row>
    <row r="3592" spans="1:2" x14ac:dyDescent="0.2">
      <c r="A3592" s="198"/>
      <c r="B3592" s="198"/>
    </row>
    <row r="3593" spans="1:2" x14ac:dyDescent="0.2">
      <c r="A3593" s="198"/>
      <c r="B3593" s="198"/>
    </row>
    <row r="3594" spans="1:2" x14ac:dyDescent="0.2">
      <c r="A3594" s="198"/>
      <c r="B3594" s="198"/>
    </row>
    <row r="3595" spans="1:2" x14ac:dyDescent="0.2">
      <c r="A3595" s="198"/>
      <c r="B3595" s="198"/>
    </row>
    <row r="3596" spans="1:2" x14ac:dyDescent="0.2">
      <c r="A3596" s="198"/>
      <c r="B3596" s="198"/>
    </row>
    <row r="3597" spans="1:2" x14ac:dyDescent="0.2">
      <c r="A3597" s="198"/>
      <c r="B3597" s="198"/>
    </row>
    <row r="3598" spans="1:2" x14ac:dyDescent="0.2">
      <c r="A3598" s="198"/>
      <c r="B3598" s="198"/>
    </row>
    <row r="3599" spans="1:2" x14ac:dyDescent="0.2">
      <c r="A3599" s="198"/>
      <c r="B3599" s="198"/>
    </row>
    <row r="3600" spans="1:2" x14ac:dyDescent="0.2">
      <c r="A3600" s="198"/>
      <c r="B3600" s="198"/>
    </row>
    <row r="3601" spans="1:2" x14ac:dyDescent="0.2">
      <c r="A3601" s="198"/>
      <c r="B3601" s="198"/>
    </row>
    <row r="3602" spans="1:2" x14ac:dyDescent="0.2">
      <c r="A3602" s="198"/>
      <c r="B3602" s="198"/>
    </row>
    <row r="3603" spans="1:2" x14ac:dyDescent="0.2">
      <c r="A3603" s="198"/>
      <c r="B3603" s="198"/>
    </row>
    <row r="3604" spans="1:2" x14ac:dyDescent="0.2">
      <c r="A3604" s="198"/>
      <c r="B3604" s="198"/>
    </row>
    <row r="3605" spans="1:2" x14ac:dyDescent="0.2">
      <c r="A3605" s="198"/>
      <c r="B3605" s="198"/>
    </row>
    <row r="3606" spans="1:2" x14ac:dyDescent="0.2">
      <c r="A3606" s="198"/>
      <c r="B3606" s="198"/>
    </row>
    <row r="3607" spans="1:2" x14ac:dyDescent="0.2">
      <c r="A3607" s="198"/>
      <c r="B3607" s="198"/>
    </row>
    <row r="3608" spans="1:2" x14ac:dyDescent="0.2">
      <c r="A3608" s="198"/>
      <c r="B3608" s="198"/>
    </row>
    <row r="3609" spans="1:2" x14ac:dyDescent="0.2">
      <c r="A3609" s="198"/>
      <c r="B3609" s="198"/>
    </row>
    <row r="3610" spans="1:2" x14ac:dyDescent="0.2">
      <c r="A3610" s="198"/>
      <c r="B3610" s="198"/>
    </row>
    <row r="3611" spans="1:2" x14ac:dyDescent="0.2">
      <c r="A3611" s="198"/>
      <c r="B3611" s="198"/>
    </row>
    <row r="3612" spans="1:2" x14ac:dyDescent="0.2">
      <c r="A3612" s="198"/>
      <c r="B3612" s="198"/>
    </row>
    <row r="3613" spans="1:2" x14ac:dyDescent="0.2">
      <c r="A3613" s="198"/>
      <c r="B3613" s="198"/>
    </row>
    <row r="3614" spans="1:2" x14ac:dyDescent="0.2">
      <c r="A3614" s="198"/>
      <c r="B3614" s="198"/>
    </row>
    <row r="3615" spans="1:2" x14ac:dyDescent="0.2">
      <c r="A3615" s="198"/>
      <c r="B3615" s="198"/>
    </row>
    <row r="3616" spans="1:2" x14ac:dyDescent="0.2">
      <c r="A3616" s="198"/>
      <c r="B3616" s="198"/>
    </row>
    <row r="3617" spans="1:2" x14ac:dyDescent="0.2">
      <c r="A3617" s="198"/>
      <c r="B3617" s="198"/>
    </row>
    <row r="3618" spans="1:2" x14ac:dyDescent="0.2">
      <c r="A3618" s="198"/>
      <c r="B3618" s="198"/>
    </row>
    <row r="3619" spans="1:2" x14ac:dyDescent="0.2">
      <c r="A3619" s="198"/>
      <c r="B3619" s="198"/>
    </row>
    <row r="3620" spans="1:2" x14ac:dyDescent="0.2">
      <c r="A3620" s="198"/>
      <c r="B3620" s="198"/>
    </row>
    <row r="3621" spans="1:2" x14ac:dyDescent="0.2">
      <c r="A3621" s="198"/>
      <c r="B3621" s="198"/>
    </row>
    <row r="3622" spans="1:2" x14ac:dyDescent="0.2">
      <c r="A3622" s="198"/>
      <c r="B3622" s="198"/>
    </row>
    <row r="3623" spans="1:2" x14ac:dyDescent="0.2">
      <c r="A3623" s="198"/>
      <c r="B3623" s="198"/>
    </row>
    <row r="3624" spans="1:2" x14ac:dyDescent="0.2">
      <c r="A3624" s="198"/>
      <c r="B3624" s="198"/>
    </row>
    <row r="3625" spans="1:2" x14ac:dyDescent="0.2">
      <c r="A3625" s="198"/>
      <c r="B3625" s="198"/>
    </row>
    <row r="3626" spans="1:2" x14ac:dyDescent="0.2">
      <c r="A3626" s="198"/>
      <c r="B3626" s="198"/>
    </row>
    <row r="3627" spans="1:2" x14ac:dyDescent="0.2">
      <c r="A3627" s="198"/>
      <c r="B3627" s="198"/>
    </row>
    <row r="3628" spans="1:2" x14ac:dyDescent="0.2">
      <c r="A3628" s="198"/>
      <c r="B3628" s="198"/>
    </row>
    <row r="3629" spans="1:2" x14ac:dyDescent="0.2">
      <c r="A3629" s="198"/>
      <c r="B3629" s="198"/>
    </row>
    <row r="3630" spans="1:2" x14ac:dyDescent="0.2">
      <c r="A3630" s="198"/>
      <c r="B3630" s="198"/>
    </row>
    <row r="3631" spans="1:2" x14ac:dyDescent="0.2">
      <c r="A3631" s="198"/>
      <c r="B3631" s="198"/>
    </row>
    <row r="3632" spans="1:2" x14ac:dyDescent="0.2">
      <c r="A3632" s="198"/>
      <c r="B3632" s="198"/>
    </row>
    <row r="3633" spans="1:2" x14ac:dyDescent="0.2">
      <c r="A3633" s="198"/>
      <c r="B3633" s="198"/>
    </row>
    <row r="3634" spans="1:2" x14ac:dyDescent="0.2">
      <c r="A3634" s="198"/>
      <c r="B3634" s="198"/>
    </row>
    <row r="3635" spans="1:2" x14ac:dyDescent="0.2">
      <c r="A3635" s="198"/>
      <c r="B3635" s="198"/>
    </row>
    <row r="3636" spans="1:2" x14ac:dyDescent="0.2">
      <c r="A3636" s="198"/>
      <c r="B3636" s="198"/>
    </row>
    <row r="3637" spans="1:2" x14ac:dyDescent="0.2">
      <c r="A3637" s="198"/>
      <c r="B3637" s="198"/>
    </row>
    <row r="3638" spans="1:2" x14ac:dyDescent="0.2">
      <c r="A3638" s="198"/>
      <c r="B3638" s="198"/>
    </row>
    <row r="3639" spans="1:2" x14ac:dyDescent="0.2">
      <c r="A3639" s="198"/>
      <c r="B3639" s="198"/>
    </row>
    <row r="3640" spans="1:2" x14ac:dyDescent="0.2">
      <c r="A3640" s="198"/>
      <c r="B3640" s="198"/>
    </row>
    <row r="3641" spans="1:2" x14ac:dyDescent="0.2">
      <c r="A3641" s="198"/>
      <c r="B3641" s="198"/>
    </row>
    <row r="3642" spans="1:2" x14ac:dyDescent="0.2">
      <c r="A3642" s="198"/>
      <c r="B3642" s="198"/>
    </row>
    <row r="3643" spans="1:2" x14ac:dyDescent="0.2">
      <c r="A3643" s="198"/>
      <c r="B3643" s="198"/>
    </row>
    <row r="3644" spans="1:2" x14ac:dyDescent="0.2">
      <c r="A3644" s="198"/>
      <c r="B3644" s="198"/>
    </row>
    <row r="3645" spans="1:2" x14ac:dyDescent="0.2">
      <c r="A3645" s="198"/>
      <c r="B3645" s="198"/>
    </row>
    <row r="3646" spans="1:2" x14ac:dyDescent="0.2">
      <c r="A3646" s="198"/>
      <c r="B3646" s="198"/>
    </row>
    <row r="3647" spans="1:2" x14ac:dyDescent="0.2">
      <c r="A3647" s="198"/>
      <c r="B3647" s="198"/>
    </row>
    <row r="3648" spans="1:2" x14ac:dyDescent="0.2">
      <c r="A3648" s="198"/>
      <c r="B3648" s="198"/>
    </row>
    <row r="3649" spans="1:2" x14ac:dyDescent="0.2">
      <c r="A3649" s="198"/>
      <c r="B3649" s="198"/>
    </row>
    <row r="3650" spans="1:2" x14ac:dyDescent="0.2">
      <c r="A3650" s="198"/>
      <c r="B3650" s="198"/>
    </row>
    <row r="3651" spans="1:2" x14ac:dyDescent="0.2">
      <c r="A3651" s="198"/>
      <c r="B3651" s="198"/>
    </row>
    <row r="3652" spans="1:2" x14ac:dyDescent="0.2">
      <c r="A3652" s="198"/>
      <c r="B3652" s="198"/>
    </row>
    <row r="3653" spans="1:2" x14ac:dyDescent="0.2">
      <c r="A3653" s="198"/>
      <c r="B3653" s="198"/>
    </row>
    <row r="3654" spans="1:2" x14ac:dyDescent="0.2">
      <c r="A3654" s="198"/>
      <c r="B3654" s="198"/>
    </row>
    <row r="3655" spans="1:2" x14ac:dyDescent="0.2">
      <c r="A3655" s="198"/>
      <c r="B3655" s="198"/>
    </row>
    <row r="3656" spans="1:2" x14ac:dyDescent="0.2">
      <c r="A3656" s="198"/>
      <c r="B3656" s="198"/>
    </row>
    <row r="3657" spans="1:2" x14ac:dyDescent="0.2">
      <c r="A3657" s="198"/>
      <c r="B3657" s="198"/>
    </row>
    <row r="3658" spans="1:2" x14ac:dyDescent="0.2">
      <c r="A3658" s="198"/>
      <c r="B3658" s="198"/>
    </row>
    <row r="3659" spans="1:2" x14ac:dyDescent="0.2">
      <c r="A3659" s="198"/>
      <c r="B3659" s="198"/>
    </row>
    <row r="3660" spans="1:2" x14ac:dyDescent="0.2">
      <c r="A3660" s="198"/>
      <c r="B3660" s="198"/>
    </row>
    <row r="3661" spans="1:2" x14ac:dyDescent="0.2">
      <c r="A3661" s="198"/>
      <c r="B3661" s="198"/>
    </row>
    <row r="3662" spans="1:2" x14ac:dyDescent="0.2">
      <c r="A3662" s="198"/>
      <c r="B3662" s="198"/>
    </row>
    <row r="3663" spans="1:2" x14ac:dyDescent="0.2">
      <c r="A3663" s="198"/>
      <c r="B3663" s="198"/>
    </row>
    <row r="3664" spans="1:2" x14ac:dyDescent="0.2">
      <c r="A3664" s="198"/>
      <c r="B3664" s="198"/>
    </row>
    <row r="3665" spans="1:2" x14ac:dyDescent="0.2">
      <c r="A3665" s="198"/>
      <c r="B3665" s="198"/>
    </row>
    <row r="3666" spans="1:2" x14ac:dyDescent="0.2">
      <c r="A3666" s="198"/>
      <c r="B3666" s="198"/>
    </row>
    <row r="3667" spans="1:2" x14ac:dyDescent="0.2">
      <c r="A3667" s="198"/>
      <c r="B3667" s="198"/>
    </row>
    <row r="3668" spans="1:2" x14ac:dyDescent="0.2">
      <c r="A3668" s="198"/>
      <c r="B3668" s="198"/>
    </row>
    <row r="3669" spans="1:2" x14ac:dyDescent="0.2">
      <c r="A3669" s="198"/>
      <c r="B3669" s="198"/>
    </row>
    <row r="3670" spans="1:2" x14ac:dyDescent="0.2">
      <c r="A3670" s="198"/>
      <c r="B3670" s="198"/>
    </row>
    <row r="3671" spans="1:2" x14ac:dyDescent="0.2">
      <c r="A3671" s="198"/>
      <c r="B3671" s="198"/>
    </row>
    <row r="3672" spans="1:2" x14ac:dyDescent="0.2">
      <c r="A3672" s="198"/>
      <c r="B3672" s="198"/>
    </row>
    <row r="3673" spans="1:2" x14ac:dyDescent="0.2">
      <c r="A3673" s="198"/>
      <c r="B3673" s="198"/>
    </row>
    <row r="3674" spans="1:2" x14ac:dyDescent="0.2">
      <c r="A3674" s="198"/>
      <c r="B3674" s="198"/>
    </row>
    <row r="3675" spans="1:2" x14ac:dyDescent="0.2">
      <c r="A3675" s="198"/>
      <c r="B3675" s="198"/>
    </row>
    <row r="3676" spans="1:2" x14ac:dyDescent="0.2">
      <c r="A3676" s="198"/>
      <c r="B3676" s="198"/>
    </row>
    <row r="3677" spans="1:2" x14ac:dyDescent="0.2">
      <c r="A3677" s="198"/>
      <c r="B3677" s="198"/>
    </row>
    <row r="3678" spans="1:2" x14ac:dyDescent="0.2">
      <c r="A3678" s="198"/>
      <c r="B3678" s="198"/>
    </row>
    <row r="3679" spans="1:2" x14ac:dyDescent="0.2">
      <c r="A3679" s="198"/>
      <c r="B3679" s="198"/>
    </row>
    <row r="3680" spans="1:2" x14ac:dyDescent="0.2">
      <c r="A3680" s="198"/>
      <c r="B3680" s="198"/>
    </row>
    <row r="3681" spans="1:2" x14ac:dyDescent="0.2">
      <c r="A3681" s="198"/>
      <c r="B3681" s="198"/>
    </row>
    <row r="3682" spans="1:2" x14ac:dyDescent="0.2">
      <c r="A3682" s="198"/>
      <c r="B3682" s="198"/>
    </row>
    <row r="3683" spans="1:2" x14ac:dyDescent="0.2">
      <c r="A3683" s="198"/>
      <c r="B3683" s="198"/>
    </row>
    <row r="3684" spans="1:2" x14ac:dyDescent="0.2">
      <c r="A3684" s="198"/>
      <c r="B3684" s="198"/>
    </row>
    <row r="3685" spans="1:2" x14ac:dyDescent="0.2">
      <c r="A3685" s="198"/>
      <c r="B3685" s="198"/>
    </row>
    <row r="3686" spans="1:2" x14ac:dyDescent="0.2">
      <c r="A3686" s="198"/>
      <c r="B3686" s="198"/>
    </row>
    <row r="3687" spans="1:2" x14ac:dyDescent="0.2">
      <c r="A3687" s="198"/>
      <c r="B3687" s="198"/>
    </row>
    <row r="3688" spans="1:2" x14ac:dyDescent="0.2">
      <c r="A3688" s="198"/>
      <c r="B3688" s="198"/>
    </row>
    <row r="3689" spans="1:2" x14ac:dyDescent="0.2">
      <c r="A3689" s="198"/>
      <c r="B3689" s="198"/>
    </row>
    <row r="3690" spans="1:2" x14ac:dyDescent="0.2">
      <c r="A3690" s="198"/>
      <c r="B3690" s="198"/>
    </row>
    <row r="3691" spans="1:2" x14ac:dyDescent="0.2">
      <c r="A3691" s="198"/>
      <c r="B3691" s="198"/>
    </row>
    <row r="3692" spans="1:2" x14ac:dyDescent="0.2">
      <c r="A3692" s="198"/>
      <c r="B3692" s="198"/>
    </row>
    <row r="3693" spans="1:2" x14ac:dyDescent="0.2">
      <c r="A3693" s="198"/>
      <c r="B3693" s="198"/>
    </row>
    <row r="3694" spans="1:2" x14ac:dyDescent="0.2">
      <c r="A3694" s="198"/>
      <c r="B3694" s="198"/>
    </row>
    <row r="3695" spans="1:2" x14ac:dyDescent="0.2">
      <c r="A3695" s="198"/>
      <c r="B3695" s="198"/>
    </row>
    <row r="3696" spans="1:2" x14ac:dyDescent="0.2">
      <c r="A3696" s="198"/>
      <c r="B3696" s="198"/>
    </row>
    <row r="3697" spans="1:2" x14ac:dyDescent="0.2">
      <c r="A3697" s="198"/>
      <c r="B3697" s="198"/>
    </row>
    <row r="3698" spans="1:2" x14ac:dyDescent="0.2">
      <c r="A3698" s="198"/>
      <c r="B3698" s="198"/>
    </row>
    <row r="3699" spans="1:2" x14ac:dyDescent="0.2">
      <c r="A3699" s="198"/>
      <c r="B3699" s="198"/>
    </row>
    <row r="3700" spans="1:2" x14ac:dyDescent="0.2">
      <c r="A3700" s="198"/>
      <c r="B3700" s="198"/>
    </row>
    <row r="3701" spans="1:2" x14ac:dyDescent="0.2">
      <c r="A3701" s="198"/>
      <c r="B3701" s="198"/>
    </row>
    <row r="3702" spans="1:2" x14ac:dyDescent="0.2">
      <c r="A3702" s="198"/>
      <c r="B3702" s="198"/>
    </row>
    <row r="3703" spans="1:2" x14ac:dyDescent="0.2">
      <c r="A3703" s="198"/>
      <c r="B3703" s="198"/>
    </row>
    <row r="3704" spans="1:2" x14ac:dyDescent="0.2">
      <c r="A3704" s="198"/>
      <c r="B3704" s="198"/>
    </row>
    <row r="3705" spans="1:2" x14ac:dyDescent="0.2">
      <c r="A3705" s="198"/>
      <c r="B3705" s="198"/>
    </row>
    <row r="3706" spans="1:2" x14ac:dyDescent="0.2">
      <c r="A3706" s="198"/>
      <c r="B3706" s="198"/>
    </row>
    <row r="3707" spans="1:2" x14ac:dyDescent="0.2">
      <c r="A3707" s="198"/>
      <c r="B3707" s="198"/>
    </row>
    <row r="3708" spans="1:2" x14ac:dyDescent="0.2">
      <c r="A3708" s="198"/>
      <c r="B3708" s="198"/>
    </row>
    <row r="3709" spans="1:2" x14ac:dyDescent="0.2">
      <c r="A3709" s="198"/>
      <c r="B3709" s="198"/>
    </row>
    <row r="3710" spans="1:2" x14ac:dyDescent="0.2">
      <c r="A3710" s="198"/>
      <c r="B3710" s="198"/>
    </row>
    <row r="3711" spans="1:2" x14ac:dyDescent="0.2">
      <c r="A3711" s="198"/>
      <c r="B3711" s="198"/>
    </row>
    <row r="3712" spans="1:2" x14ac:dyDescent="0.2">
      <c r="A3712" s="198"/>
      <c r="B3712" s="198"/>
    </row>
    <row r="3713" spans="1:2" x14ac:dyDescent="0.2">
      <c r="A3713" s="198"/>
      <c r="B3713" s="198"/>
    </row>
    <row r="3714" spans="1:2" x14ac:dyDescent="0.2">
      <c r="A3714" s="198"/>
      <c r="B3714" s="198"/>
    </row>
    <row r="3715" spans="1:2" x14ac:dyDescent="0.2">
      <c r="A3715" s="198"/>
      <c r="B3715" s="198"/>
    </row>
    <row r="3716" spans="1:2" x14ac:dyDescent="0.2">
      <c r="A3716" s="198"/>
      <c r="B3716" s="198"/>
    </row>
    <row r="3717" spans="1:2" x14ac:dyDescent="0.2">
      <c r="A3717" s="198"/>
      <c r="B3717" s="198"/>
    </row>
    <row r="3718" spans="1:2" x14ac:dyDescent="0.2">
      <c r="A3718" s="198"/>
      <c r="B3718" s="198"/>
    </row>
    <row r="3719" spans="1:2" x14ac:dyDescent="0.2">
      <c r="A3719" s="198"/>
      <c r="B3719" s="198"/>
    </row>
    <row r="3720" spans="1:2" x14ac:dyDescent="0.2">
      <c r="A3720" s="198"/>
      <c r="B3720" s="198"/>
    </row>
    <row r="3721" spans="1:2" x14ac:dyDescent="0.2">
      <c r="A3721" s="198"/>
      <c r="B3721" s="198"/>
    </row>
    <row r="3722" spans="1:2" x14ac:dyDescent="0.2">
      <c r="A3722" s="198"/>
      <c r="B3722" s="198"/>
    </row>
    <row r="3723" spans="1:2" x14ac:dyDescent="0.2">
      <c r="A3723" s="198"/>
      <c r="B3723" s="198"/>
    </row>
    <row r="3724" spans="1:2" x14ac:dyDescent="0.2">
      <c r="A3724" s="198"/>
      <c r="B3724" s="198"/>
    </row>
    <row r="3725" spans="1:2" x14ac:dyDescent="0.2">
      <c r="A3725" s="198"/>
      <c r="B3725" s="198"/>
    </row>
    <row r="3726" spans="1:2" x14ac:dyDescent="0.2">
      <c r="A3726" s="198"/>
      <c r="B3726" s="198"/>
    </row>
    <row r="3727" spans="1:2" x14ac:dyDescent="0.2">
      <c r="A3727" s="198"/>
      <c r="B3727" s="198"/>
    </row>
    <row r="3728" spans="1:2" x14ac:dyDescent="0.2">
      <c r="A3728" s="198"/>
      <c r="B3728" s="198"/>
    </row>
    <row r="3729" spans="1:2" x14ac:dyDescent="0.2">
      <c r="A3729" s="198"/>
      <c r="B3729" s="198"/>
    </row>
    <row r="3730" spans="1:2" x14ac:dyDescent="0.2">
      <c r="A3730" s="198"/>
      <c r="B3730" s="198"/>
    </row>
    <row r="3731" spans="1:2" x14ac:dyDescent="0.2">
      <c r="A3731" s="198"/>
      <c r="B3731" s="198"/>
    </row>
    <row r="3732" spans="1:2" x14ac:dyDescent="0.2">
      <c r="A3732" s="198"/>
      <c r="B3732" s="198"/>
    </row>
    <row r="3733" spans="1:2" x14ac:dyDescent="0.2">
      <c r="A3733" s="198"/>
      <c r="B3733" s="198"/>
    </row>
    <row r="3734" spans="1:2" x14ac:dyDescent="0.2">
      <c r="A3734" s="198"/>
      <c r="B3734" s="198"/>
    </row>
    <row r="3735" spans="1:2" x14ac:dyDescent="0.2">
      <c r="A3735" s="198"/>
      <c r="B3735" s="198"/>
    </row>
    <row r="3736" spans="1:2" x14ac:dyDescent="0.2">
      <c r="A3736" s="198"/>
      <c r="B3736" s="198"/>
    </row>
    <row r="3737" spans="1:2" x14ac:dyDescent="0.2">
      <c r="A3737" s="198"/>
      <c r="B3737" s="198"/>
    </row>
    <row r="3738" spans="1:2" x14ac:dyDescent="0.2">
      <c r="A3738" s="198"/>
      <c r="B3738" s="198"/>
    </row>
    <row r="3739" spans="1:2" x14ac:dyDescent="0.2">
      <c r="A3739" s="198"/>
      <c r="B3739" s="198"/>
    </row>
    <row r="3740" spans="1:2" x14ac:dyDescent="0.2">
      <c r="A3740" s="198"/>
      <c r="B3740" s="198"/>
    </row>
    <row r="3741" spans="1:2" x14ac:dyDescent="0.2">
      <c r="A3741" s="198"/>
      <c r="B3741" s="198"/>
    </row>
    <row r="3742" spans="1:2" x14ac:dyDescent="0.2">
      <c r="A3742" s="198"/>
      <c r="B3742" s="198"/>
    </row>
    <row r="3743" spans="1:2" x14ac:dyDescent="0.2">
      <c r="A3743" s="198"/>
      <c r="B3743" s="198"/>
    </row>
    <row r="3744" spans="1:2" x14ac:dyDescent="0.2">
      <c r="A3744" s="198"/>
      <c r="B3744" s="198"/>
    </row>
    <row r="3745" spans="1:2" x14ac:dyDescent="0.2">
      <c r="A3745" s="198"/>
      <c r="B3745" s="198"/>
    </row>
    <row r="3746" spans="1:2" x14ac:dyDescent="0.2">
      <c r="A3746" s="198"/>
      <c r="B3746" s="198"/>
    </row>
    <row r="3747" spans="1:2" x14ac:dyDescent="0.2">
      <c r="A3747" s="198"/>
      <c r="B3747" s="198"/>
    </row>
    <row r="3748" spans="1:2" x14ac:dyDescent="0.2">
      <c r="A3748" s="198"/>
      <c r="B3748" s="198"/>
    </row>
    <row r="3749" spans="1:2" x14ac:dyDescent="0.2">
      <c r="A3749" s="198"/>
      <c r="B3749" s="198"/>
    </row>
    <row r="3750" spans="1:2" x14ac:dyDescent="0.2">
      <c r="A3750" s="198"/>
      <c r="B3750" s="198"/>
    </row>
    <row r="3751" spans="1:2" x14ac:dyDescent="0.2">
      <c r="A3751" s="198"/>
      <c r="B3751" s="198"/>
    </row>
    <row r="3752" spans="1:2" x14ac:dyDescent="0.2">
      <c r="A3752" s="198"/>
      <c r="B3752" s="198"/>
    </row>
    <row r="3753" spans="1:2" x14ac:dyDescent="0.2">
      <c r="A3753" s="198"/>
      <c r="B3753" s="198"/>
    </row>
    <row r="3754" spans="1:2" x14ac:dyDescent="0.2">
      <c r="A3754" s="198"/>
      <c r="B3754" s="198"/>
    </row>
    <row r="3755" spans="1:2" x14ac:dyDescent="0.2">
      <c r="A3755" s="198"/>
      <c r="B3755" s="198"/>
    </row>
    <row r="3756" spans="1:2" x14ac:dyDescent="0.2">
      <c r="A3756" s="198"/>
      <c r="B3756" s="198"/>
    </row>
    <row r="3757" spans="1:2" x14ac:dyDescent="0.2">
      <c r="A3757" s="198"/>
      <c r="B3757" s="198"/>
    </row>
    <row r="3758" spans="1:2" x14ac:dyDescent="0.2">
      <c r="A3758" s="198"/>
      <c r="B3758" s="198"/>
    </row>
    <row r="3759" spans="1:2" x14ac:dyDescent="0.2">
      <c r="A3759" s="198"/>
      <c r="B3759" s="198"/>
    </row>
    <row r="3760" spans="1:2" x14ac:dyDescent="0.2">
      <c r="A3760" s="198"/>
      <c r="B3760" s="198"/>
    </row>
    <row r="3761" spans="1:2" x14ac:dyDescent="0.2">
      <c r="A3761" s="198"/>
      <c r="B3761" s="198"/>
    </row>
    <row r="3762" spans="1:2" x14ac:dyDescent="0.2">
      <c r="A3762" s="198"/>
      <c r="B3762" s="198"/>
    </row>
    <row r="3763" spans="1:2" x14ac:dyDescent="0.2">
      <c r="A3763" s="198"/>
      <c r="B3763" s="198"/>
    </row>
    <row r="3764" spans="1:2" x14ac:dyDescent="0.2">
      <c r="A3764" s="198"/>
      <c r="B3764" s="198"/>
    </row>
    <row r="3765" spans="1:2" x14ac:dyDescent="0.2">
      <c r="A3765" s="198"/>
      <c r="B3765" s="198"/>
    </row>
    <row r="3766" spans="1:2" x14ac:dyDescent="0.2">
      <c r="A3766" s="198"/>
      <c r="B3766" s="198"/>
    </row>
    <row r="3767" spans="1:2" x14ac:dyDescent="0.2">
      <c r="A3767" s="198"/>
      <c r="B3767" s="198"/>
    </row>
    <row r="3768" spans="1:2" x14ac:dyDescent="0.2">
      <c r="A3768" s="198"/>
      <c r="B3768" s="198"/>
    </row>
    <row r="3769" spans="1:2" x14ac:dyDescent="0.2">
      <c r="A3769" s="198"/>
      <c r="B3769" s="198"/>
    </row>
    <row r="3770" spans="1:2" x14ac:dyDescent="0.2">
      <c r="A3770" s="198"/>
      <c r="B3770" s="198"/>
    </row>
    <row r="3771" spans="1:2" x14ac:dyDescent="0.2">
      <c r="A3771" s="198"/>
      <c r="B3771" s="198"/>
    </row>
    <row r="3772" spans="1:2" x14ac:dyDescent="0.2">
      <c r="A3772" s="198"/>
      <c r="B3772" s="198"/>
    </row>
    <row r="3773" spans="1:2" x14ac:dyDescent="0.2">
      <c r="A3773" s="198"/>
      <c r="B3773" s="198"/>
    </row>
    <row r="3774" spans="1:2" x14ac:dyDescent="0.2">
      <c r="A3774" s="198"/>
      <c r="B3774" s="198"/>
    </row>
    <row r="3775" spans="1:2" x14ac:dyDescent="0.2">
      <c r="A3775" s="198"/>
      <c r="B3775" s="198"/>
    </row>
    <row r="3776" spans="1:2" x14ac:dyDescent="0.2">
      <c r="A3776" s="198"/>
      <c r="B3776" s="198"/>
    </row>
    <row r="3777" spans="1:2" x14ac:dyDescent="0.2">
      <c r="A3777" s="198"/>
      <c r="B3777" s="198"/>
    </row>
    <row r="3778" spans="1:2" x14ac:dyDescent="0.2">
      <c r="A3778" s="198"/>
      <c r="B3778" s="198"/>
    </row>
    <row r="3779" spans="1:2" x14ac:dyDescent="0.2">
      <c r="A3779" s="198"/>
      <c r="B3779" s="198"/>
    </row>
    <row r="3780" spans="1:2" x14ac:dyDescent="0.2">
      <c r="A3780" s="198"/>
      <c r="B3780" s="198"/>
    </row>
    <row r="3781" spans="1:2" x14ac:dyDescent="0.2">
      <c r="A3781" s="198"/>
      <c r="B3781" s="198"/>
    </row>
    <row r="3782" spans="1:2" x14ac:dyDescent="0.2">
      <c r="A3782" s="198"/>
      <c r="B3782" s="198"/>
    </row>
    <row r="3783" spans="1:2" x14ac:dyDescent="0.2">
      <c r="A3783" s="198"/>
      <c r="B3783" s="198"/>
    </row>
    <row r="3784" spans="1:2" x14ac:dyDescent="0.2">
      <c r="A3784" s="198"/>
      <c r="B3784" s="198"/>
    </row>
    <row r="3785" spans="1:2" x14ac:dyDescent="0.2">
      <c r="A3785" s="198"/>
      <c r="B3785" s="198"/>
    </row>
    <row r="3786" spans="1:2" x14ac:dyDescent="0.2">
      <c r="A3786" s="198"/>
      <c r="B3786" s="198"/>
    </row>
    <row r="3787" spans="1:2" x14ac:dyDescent="0.2">
      <c r="A3787" s="198"/>
      <c r="B3787" s="198"/>
    </row>
    <row r="3788" spans="1:2" x14ac:dyDescent="0.2">
      <c r="A3788" s="198"/>
      <c r="B3788" s="198"/>
    </row>
    <row r="3789" spans="1:2" x14ac:dyDescent="0.2">
      <c r="A3789" s="198"/>
      <c r="B3789" s="198"/>
    </row>
    <row r="3790" spans="1:2" x14ac:dyDescent="0.2">
      <c r="A3790" s="198"/>
      <c r="B3790" s="198"/>
    </row>
    <row r="3791" spans="1:2" x14ac:dyDescent="0.2">
      <c r="A3791" s="198"/>
      <c r="B3791" s="198"/>
    </row>
    <row r="3792" spans="1:2" x14ac:dyDescent="0.2">
      <c r="A3792" s="198"/>
      <c r="B3792" s="198"/>
    </row>
    <row r="3793" spans="1:2" x14ac:dyDescent="0.2">
      <c r="A3793" s="198"/>
      <c r="B3793" s="198"/>
    </row>
    <row r="3794" spans="1:2" x14ac:dyDescent="0.2">
      <c r="A3794" s="198"/>
      <c r="B3794" s="198"/>
    </row>
    <row r="3795" spans="1:2" x14ac:dyDescent="0.2">
      <c r="A3795" s="198"/>
      <c r="B3795" s="198"/>
    </row>
    <row r="3796" spans="1:2" x14ac:dyDescent="0.2">
      <c r="A3796" s="198"/>
      <c r="B3796" s="198"/>
    </row>
    <row r="3797" spans="1:2" x14ac:dyDescent="0.2">
      <c r="A3797" s="198"/>
      <c r="B3797" s="198"/>
    </row>
    <row r="3798" spans="1:2" x14ac:dyDescent="0.2">
      <c r="A3798" s="198"/>
      <c r="B3798" s="198"/>
    </row>
    <row r="3799" spans="1:2" x14ac:dyDescent="0.2">
      <c r="A3799" s="198"/>
      <c r="B3799" s="198"/>
    </row>
    <row r="3800" spans="1:2" x14ac:dyDescent="0.2">
      <c r="A3800" s="198"/>
      <c r="B3800" s="198"/>
    </row>
    <row r="3801" spans="1:2" x14ac:dyDescent="0.2">
      <c r="A3801" s="198"/>
      <c r="B3801" s="198"/>
    </row>
    <row r="3802" spans="1:2" x14ac:dyDescent="0.2">
      <c r="A3802" s="198"/>
      <c r="B3802" s="198"/>
    </row>
    <row r="3803" spans="1:2" x14ac:dyDescent="0.2">
      <c r="A3803" s="198"/>
      <c r="B3803" s="198"/>
    </row>
    <row r="3804" spans="1:2" x14ac:dyDescent="0.2">
      <c r="A3804" s="198"/>
      <c r="B3804" s="198"/>
    </row>
    <row r="3805" spans="1:2" x14ac:dyDescent="0.2">
      <c r="A3805" s="198"/>
      <c r="B3805" s="198"/>
    </row>
    <row r="3806" spans="1:2" x14ac:dyDescent="0.2">
      <c r="A3806" s="198"/>
      <c r="B3806" s="198"/>
    </row>
    <row r="3807" spans="1:2" x14ac:dyDescent="0.2">
      <c r="A3807" s="198"/>
      <c r="B3807" s="198"/>
    </row>
    <row r="3808" spans="1:2" x14ac:dyDescent="0.2">
      <c r="A3808" s="198"/>
      <c r="B3808" s="198"/>
    </row>
    <row r="3809" spans="1:2" x14ac:dyDescent="0.2">
      <c r="A3809" s="198"/>
      <c r="B3809" s="198"/>
    </row>
    <row r="3810" spans="1:2" x14ac:dyDescent="0.2">
      <c r="A3810" s="198"/>
      <c r="B3810" s="198"/>
    </row>
    <row r="3811" spans="1:2" x14ac:dyDescent="0.2">
      <c r="A3811" s="198"/>
      <c r="B3811" s="198"/>
    </row>
    <row r="3812" spans="1:2" x14ac:dyDescent="0.2">
      <c r="A3812" s="198"/>
      <c r="B3812" s="198"/>
    </row>
    <row r="3813" spans="1:2" x14ac:dyDescent="0.2">
      <c r="A3813" s="198"/>
      <c r="B3813" s="198"/>
    </row>
    <row r="3814" spans="1:2" x14ac:dyDescent="0.2">
      <c r="A3814" s="198"/>
      <c r="B3814" s="198"/>
    </row>
    <row r="3815" spans="1:2" x14ac:dyDescent="0.2">
      <c r="A3815" s="198"/>
      <c r="B3815" s="198"/>
    </row>
    <row r="3816" spans="1:2" x14ac:dyDescent="0.2">
      <c r="A3816" s="198"/>
      <c r="B3816" s="198"/>
    </row>
    <row r="3817" spans="1:2" x14ac:dyDescent="0.2">
      <c r="A3817" s="198"/>
      <c r="B3817" s="198"/>
    </row>
    <row r="3818" spans="1:2" x14ac:dyDescent="0.2">
      <c r="A3818" s="198"/>
      <c r="B3818" s="198"/>
    </row>
    <row r="3819" spans="1:2" x14ac:dyDescent="0.2">
      <c r="A3819" s="198"/>
      <c r="B3819" s="198"/>
    </row>
    <row r="3820" spans="1:2" x14ac:dyDescent="0.2">
      <c r="A3820" s="198"/>
      <c r="B3820" s="198"/>
    </row>
    <row r="3821" spans="1:2" x14ac:dyDescent="0.2">
      <c r="A3821" s="198"/>
      <c r="B3821" s="198"/>
    </row>
    <row r="3822" spans="1:2" x14ac:dyDescent="0.2">
      <c r="A3822" s="198"/>
      <c r="B3822" s="198"/>
    </row>
    <row r="3823" spans="1:2" x14ac:dyDescent="0.2">
      <c r="A3823" s="198"/>
      <c r="B3823" s="198"/>
    </row>
    <row r="3824" spans="1:2" x14ac:dyDescent="0.2">
      <c r="A3824" s="198"/>
      <c r="B3824" s="198"/>
    </row>
    <row r="3825" spans="1:2" x14ac:dyDescent="0.2">
      <c r="A3825" s="198"/>
      <c r="B3825" s="198"/>
    </row>
    <row r="3826" spans="1:2" x14ac:dyDescent="0.2">
      <c r="A3826" s="198"/>
      <c r="B3826" s="198"/>
    </row>
    <row r="3827" spans="1:2" x14ac:dyDescent="0.2">
      <c r="A3827" s="198"/>
      <c r="B3827" s="198"/>
    </row>
    <row r="3828" spans="1:2" x14ac:dyDescent="0.2">
      <c r="A3828" s="198"/>
      <c r="B3828" s="198"/>
    </row>
    <row r="3829" spans="1:2" x14ac:dyDescent="0.2">
      <c r="A3829" s="198"/>
      <c r="B3829" s="198"/>
    </row>
    <row r="3830" spans="1:2" x14ac:dyDescent="0.2">
      <c r="A3830" s="198"/>
      <c r="B3830" s="198"/>
    </row>
    <row r="3831" spans="1:2" x14ac:dyDescent="0.2">
      <c r="A3831" s="198"/>
      <c r="B3831" s="198"/>
    </row>
    <row r="3832" spans="1:2" x14ac:dyDescent="0.2">
      <c r="A3832" s="198"/>
      <c r="B3832" s="198"/>
    </row>
    <row r="3833" spans="1:2" x14ac:dyDescent="0.2">
      <c r="A3833" s="198"/>
      <c r="B3833" s="198"/>
    </row>
    <row r="3834" spans="1:2" x14ac:dyDescent="0.2">
      <c r="A3834" s="198"/>
      <c r="B3834" s="198"/>
    </row>
    <row r="3835" spans="1:2" x14ac:dyDescent="0.2">
      <c r="A3835" s="198"/>
      <c r="B3835" s="198"/>
    </row>
    <row r="3836" spans="1:2" x14ac:dyDescent="0.2">
      <c r="A3836" s="198"/>
      <c r="B3836" s="198"/>
    </row>
    <row r="3837" spans="1:2" x14ac:dyDescent="0.2">
      <c r="A3837" s="198"/>
      <c r="B3837" s="198"/>
    </row>
    <row r="3838" spans="1:2" x14ac:dyDescent="0.2">
      <c r="A3838" s="198"/>
      <c r="B3838" s="198"/>
    </row>
    <row r="3839" spans="1:2" x14ac:dyDescent="0.2">
      <c r="A3839" s="198"/>
      <c r="B3839" s="198"/>
    </row>
    <row r="3840" spans="1:2" x14ac:dyDescent="0.2">
      <c r="A3840" s="198"/>
      <c r="B3840" s="198"/>
    </row>
    <row r="3841" spans="1:2" x14ac:dyDescent="0.2">
      <c r="A3841" s="198"/>
      <c r="B3841" s="198"/>
    </row>
    <row r="3842" spans="1:2" x14ac:dyDescent="0.2">
      <c r="A3842" s="198"/>
      <c r="B3842" s="198"/>
    </row>
    <row r="3843" spans="1:2" x14ac:dyDescent="0.2">
      <c r="A3843" s="198"/>
      <c r="B3843" s="198"/>
    </row>
    <row r="3844" spans="1:2" x14ac:dyDescent="0.2">
      <c r="A3844" s="198"/>
      <c r="B3844" s="198"/>
    </row>
    <row r="3845" spans="1:2" x14ac:dyDescent="0.2">
      <c r="A3845" s="198"/>
      <c r="B3845" s="198"/>
    </row>
    <row r="3846" spans="1:2" x14ac:dyDescent="0.2">
      <c r="A3846" s="198"/>
      <c r="B3846" s="198"/>
    </row>
    <row r="3847" spans="1:2" x14ac:dyDescent="0.2">
      <c r="A3847" s="198"/>
      <c r="B3847" s="198"/>
    </row>
    <row r="3848" spans="1:2" x14ac:dyDescent="0.2">
      <c r="A3848" s="198"/>
      <c r="B3848" s="198"/>
    </row>
    <row r="3849" spans="1:2" x14ac:dyDescent="0.2">
      <c r="A3849" s="198"/>
      <c r="B3849" s="198"/>
    </row>
    <row r="3850" spans="1:2" x14ac:dyDescent="0.2">
      <c r="A3850" s="198"/>
      <c r="B3850" s="198"/>
    </row>
    <row r="3851" spans="1:2" x14ac:dyDescent="0.2">
      <c r="A3851" s="198"/>
      <c r="B3851" s="198"/>
    </row>
    <row r="3852" spans="1:2" x14ac:dyDescent="0.2">
      <c r="A3852" s="198"/>
      <c r="B3852" s="198"/>
    </row>
    <row r="3853" spans="1:2" x14ac:dyDescent="0.2">
      <c r="A3853" s="198"/>
      <c r="B3853" s="198"/>
    </row>
    <row r="3854" spans="1:2" x14ac:dyDescent="0.2">
      <c r="A3854" s="198"/>
      <c r="B3854" s="198"/>
    </row>
    <row r="3855" spans="1:2" x14ac:dyDescent="0.2">
      <c r="A3855" s="198"/>
      <c r="B3855" s="198"/>
    </row>
    <row r="3856" spans="1:2" x14ac:dyDescent="0.2">
      <c r="A3856" s="198"/>
      <c r="B3856" s="198"/>
    </row>
    <row r="3857" spans="1:2" x14ac:dyDescent="0.2">
      <c r="A3857" s="198"/>
      <c r="B3857" s="198"/>
    </row>
    <row r="3858" spans="1:2" x14ac:dyDescent="0.2">
      <c r="A3858" s="198"/>
      <c r="B3858" s="198"/>
    </row>
    <row r="3859" spans="1:2" x14ac:dyDescent="0.2">
      <c r="A3859" s="198"/>
      <c r="B3859" s="198"/>
    </row>
    <row r="3860" spans="1:2" x14ac:dyDescent="0.2">
      <c r="A3860" s="198"/>
      <c r="B3860" s="198"/>
    </row>
    <row r="3861" spans="1:2" x14ac:dyDescent="0.2">
      <c r="A3861" s="198"/>
      <c r="B3861" s="198"/>
    </row>
    <row r="3862" spans="1:2" x14ac:dyDescent="0.2">
      <c r="A3862" s="198"/>
      <c r="B3862" s="198"/>
    </row>
    <row r="3863" spans="1:2" x14ac:dyDescent="0.2">
      <c r="A3863" s="198"/>
      <c r="B3863" s="198"/>
    </row>
    <row r="3864" spans="1:2" x14ac:dyDescent="0.2">
      <c r="A3864" s="198"/>
      <c r="B3864" s="198"/>
    </row>
    <row r="3865" spans="1:2" x14ac:dyDescent="0.2">
      <c r="A3865" s="198"/>
      <c r="B3865" s="198"/>
    </row>
    <row r="3866" spans="1:2" x14ac:dyDescent="0.2">
      <c r="A3866" s="198"/>
      <c r="B3866" s="198"/>
    </row>
    <row r="3867" spans="1:2" x14ac:dyDescent="0.2">
      <c r="A3867" s="198"/>
      <c r="B3867" s="198"/>
    </row>
    <row r="3868" spans="1:2" x14ac:dyDescent="0.2">
      <c r="A3868" s="198"/>
      <c r="B3868" s="198"/>
    </row>
    <row r="3869" spans="1:2" x14ac:dyDescent="0.2">
      <c r="A3869" s="198"/>
      <c r="B3869" s="198"/>
    </row>
    <row r="3870" spans="1:2" x14ac:dyDescent="0.2">
      <c r="A3870" s="198"/>
      <c r="B3870" s="198"/>
    </row>
    <row r="3871" spans="1:2" x14ac:dyDescent="0.2">
      <c r="A3871" s="198"/>
      <c r="B3871" s="198"/>
    </row>
    <row r="3872" spans="1:2" x14ac:dyDescent="0.2">
      <c r="A3872" s="198"/>
      <c r="B3872" s="198"/>
    </row>
    <row r="3873" spans="1:2" x14ac:dyDescent="0.2">
      <c r="A3873" s="198"/>
      <c r="B3873" s="198"/>
    </row>
    <row r="3874" spans="1:2" x14ac:dyDescent="0.2">
      <c r="A3874" s="198"/>
      <c r="B3874" s="198"/>
    </row>
    <row r="3875" spans="1:2" x14ac:dyDescent="0.2">
      <c r="A3875" s="198"/>
      <c r="B3875" s="198"/>
    </row>
    <row r="3876" spans="1:2" x14ac:dyDescent="0.2">
      <c r="A3876" s="198"/>
      <c r="B3876" s="198"/>
    </row>
    <row r="3877" spans="1:2" x14ac:dyDescent="0.2">
      <c r="A3877" s="198"/>
      <c r="B3877" s="198"/>
    </row>
    <row r="3878" spans="1:2" x14ac:dyDescent="0.2">
      <c r="A3878" s="198"/>
      <c r="B3878" s="198"/>
    </row>
    <row r="3879" spans="1:2" x14ac:dyDescent="0.2">
      <c r="A3879" s="198"/>
      <c r="B3879" s="198"/>
    </row>
    <row r="3880" spans="1:2" x14ac:dyDescent="0.2">
      <c r="A3880" s="198"/>
      <c r="B3880" s="198"/>
    </row>
    <row r="3881" spans="1:2" x14ac:dyDescent="0.2">
      <c r="A3881" s="198"/>
      <c r="B3881" s="198"/>
    </row>
    <row r="3882" spans="1:2" x14ac:dyDescent="0.2">
      <c r="A3882" s="198"/>
      <c r="B3882" s="198"/>
    </row>
    <row r="3883" spans="1:2" x14ac:dyDescent="0.2">
      <c r="A3883" s="198"/>
      <c r="B3883" s="198"/>
    </row>
    <row r="3884" spans="1:2" x14ac:dyDescent="0.2">
      <c r="A3884" s="198"/>
      <c r="B3884" s="198"/>
    </row>
    <row r="3885" spans="1:2" x14ac:dyDescent="0.2">
      <c r="A3885" s="198"/>
      <c r="B3885" s="198"/>
    </row>
    <row r="3886" spans="1:2" x14ac:dyDescent="0.2">
      <c r="A3886" s="198"/>
      <c r="B3886" s="198"/>
    </row>
    <row r="3887" spans="1:2" x14ac:dyDescent="0.2">
      <c r="A3887" s="198"/>
      <c r="B3887" s="198"/>
    </row>
    <row r="3888" spans="1:2" x14ac:dyDescent="0.2">
      <c r="A3888" s="198"/>
      <c r="B3888" s="198"/>
    </row>
    <row r="3889" spans="1:2" x14ac:dyDescent="0.2">
      <c r="A3889" s="198"/>
      <c r="B3889" s="198"/>
    </row>
    <row r="3890" spans="1:2" x14ac:dyDescent="0.2">
      <c r="A3890" s="198"/>
      <c r="B3890" s="198"/>
    </row>
    <row r="3891" spans="1:2" x14ac:dyDescent="0.2">
      <c r="A3891" s="198"/>
      <c r="B3891" s="198"/>
    </row>
    <row r="3892" spans="1:2" x14ac:dyDescent="0.2">
      <c r="A3892" s="198"/>
      <c r="B3892" s="198"/>
    </row>
    <row r="3893" spans="1:2" x14ac:dyDescent="0.2">
      <c r="A3893" s="198"/>
      <c r="B3893" s="198"/>
    </row>
    <row r="3894" spans="1:2" x14ac:dyDescent="0.2">
      <c r="A3894" s="198"/>
      <c r="B3894" s="198"/>
    </row>
    <row r="3895" spans="1:2" x14ac:dyDescent="0.2">
      <c r="A3895" s="198"/>
      <c r="B3895" s="198"/>
    </row>
    <row r="3896" spans="1:2" x14ac:dyDescent="0.2">
      <c r="A3896" s="198"/>
      <c r="B3896" s="198"/>
    </row>
    <row r="3897" spans="1:2" x14ac:dyDescent="0.2">
      <c r="A3897" s="198"/>
      <c r="B3897" s="198"/>
    </row>
    <row r="3898" spans="1:2" x14ac:dyDescent="0.2">
      <c r="A3898" s="198"/>
      <c r="B3898" s="198"/>
    </row>
    <row r="3899" spans="1:2" x14ac:dyDescent="0.2">
      <c r="A3899" s="198"/>
      <c r="B3899" s="198"/>
    </row>
    <row r="3900" spans="1:2" x14ac:dyDescent="0.2">
      <c r="A3900" s="198"/>
      <c r="B3900" s="198"/>
    </row>
    <row r="3901" spans="1:2" x14ac:dyDescent="0.2">
      <c r="A3901" s="198"/>
      <c r="B3901" s="198"/>
    </row>
    <row r="3902" spans="1:2" x14ac:dyDescent="0.2">
      <c r="A3902" s="198"/>
      <c r="B3902" s="198"/>
    </row>
    <row r="3903" spans="1:2" x14ac:dyDescent="0.2">
      <c r="A3903" s="198"/>
      <c r="B3903" s="198"/>
    </row>
    <row r="3904" spans="1:2" x14ac:dyDescent="0.2">
      <c r="A3904" s="198"/>
      <c r="B3904" s="198"/>
    </row>
    <row r="3905" spans="1:2" x14ac:dyDescent="0.2">
      <c r="A3905" s="198"/>
      <c r="B3905" s="198"/>
    </row>
    <row r="3906" spans="1:2" x14ac:dyDescent="0.2">
      <c r="A3906" s="198"/>
      <c r="B3906" s="198"/>
    </row>
    <row r="3907" spans="1:2" x14ac:dyDescent="0.2">
      <c r="A3907" s="198"/>
      <c r="B3907" s="198"/>
    </row>
    <row r="3908" spans="1:2" x14ac:dyDescent="0.2">
      <c r="A3908" s="198"/>
      <c r="B3908" s="198"/>
    </row>
    <row r="3909" spans="1:2" x14ac:dyDescent="0.2">
      <c r="A3909" s="198"/>
      <c r="B3909" s="198"/>
    </row>
    <row r="3910" spans="1:2" x14ac:dyDescent="0.2">
      <c r="A3910" s="198"/>
      <c r="B3910" s="198"/>
    </row>
    <row r="3911" spans="1:2" x14ac:dyDescent="0.2">
      <c r="A3911" s="198"/>
      <c r="B3911" s="198"/>
    </row>
    <row r="3912" spans="1:2" x14ac:dyDescent="0.2">
      <c r="A3912" s="198"/>
      <c r="B3912" s="198"/>
    </row>
    <row r="3913" spans="1:2" x14ac:dyDescent="0.2">
      <c r="A3913" s="198"/>
      <c r="B3913" s="198"/>
    </row>
    <row r="3914" spans="1:2" x14ac:dyDescent="0.2">
      <c r="A3914" s="198"/>
      <c r="B3914" s="198"/>
    </row>
    <row r="3915" spans="1:2" x14ac:dyDescent="0.2">
      <c r="A3915" s="198"/>
      <c r="B3915" s="198"/>
    </row>
    <row r="3916" spans="1:2" x14ac:dyDescent="0.2">
      <c r="A3916" s="198"/>
      <c r="B3916" s="198"/>
    </row>
    <row r="3917" spans="1:2" x14ac:dyDescent="0.2">
      <c r="A3917" s="198"/>
      <c r="B3917" s="198"/>
    </row>
    <row r="3918" spans="1:2" x14ac:dyDescent="0.2">
      <c r="A3918" s="198"/>
      <c r="B3918" s="198"/>
    </row>
    <row r="3919" spans="1:2" x14ac:dyDescent="0.2">
      <c r="A3919" s="198"/>
      <c r="B3919" s="198"/>
    </row>
    <row r="3920" spans="1:2" x14ac:dyDescent="0.2">
      <c r="A3920" s="198"/>
      <c r="B3920" s="198"/>
    </row>
    <row r="3921" spans="1:2" x14ac:dyDescent="0.2">
      <c r="A3921" s="198"/>
      <c r="B3921" s="198"/>
    </row>
    <row r="3922" spans="1:2" x14ac:dyDescent="0.2">
      <c r="A3922" s="198"/>
      <c r="B3922" s="198"/>
    </row>
    <row r="3923" spans="1:2" x14ac:dyDescent="0.2">
      <c r="A3923" s="198"/>
      <c r="B3923" s="198"/>
    </row>
    <row r="3924" spans="1:2" x14ac:dyDescent="0.2">
      <c r="A3924" s="198"/>
      <c r="B3924" s="198"/>
    </row>
    <row r="3925" spans="1:2" x14ac:dyDescent="0.2">
      <c r="A3925" s="198"/>
      <c r="B3925" s="198"/>
    </row>
    <row r="3926" spans="1:2" x14ac:dyDescent="0.2">
      <c r="A3926" s="198"/>
      <c r="B3926" s="198"/>
    </row>
    <row r="3927" spans="1:2" x14ac:dyDescent="0.2">
      <c r="A3927" s="198"/>
      <c r="B3927" s="198"/>
    </row>
    <row r="3928" spans="1:2" x14ac:dyDescent="0.2">
      <c r="A3928" s="198"/>
      <c r="B3928" s="198"/>
    </row>
    <row r="3929" spans="1:2" x14ac:dyDescent="0.2">
      <c r="A3929" s="198"/>
      <c r="B3929" s="198"/>
    </row>
    <row r="3930" spans="1:2" x14ac:dyDescent="0.2">
      <c r="A3930" s="198"/>
      <c r="B3930" s="198"/>
    </row>
    <row r="3931" spans="1:2" x14ac:dyDescent="0.2">
      <c r="A3931" s="198"/>
      <c r="B3931" s="198"/>
    </row>
    <row r="3932" spans="1:2" x14ac:dyDescent="0.2">
      <c r="A3932" s="198"/>
      <c r="B3932" s="198"/>
    </row>
    <row r="3933" spans="1:2" x14ac:dyDescent="0.2">
      <c r="A3933" s="198"/>
      <c r="B3933" s="198"/>
    </row>
    <row r="3934" spans="1:2" x14ac:dyDescent="0.2">
      <c r="A3934" s="198"/>
      <c r="B3934" s="198"/>
    </row>
    <row r="3935" spans="1:2" x14ac:dyDescent="0.2">
      <c r="A3935" s="198"/>
      <c r="B3935" s="198"/>
    </row>
    <row r="3936" spans="1:2" x14ac:dyDescent="0.2">
      <c r="A3936" s="198"/>
      <c r="B3936" s="198"/>
    </row>
    <row r="3937" spans="1:2" x14ac:dyDescent="0.2">
      <c r="A3937" s="198"/>
      <c r="B3937" s="198"/>
    </row>
    <row r="3938" spans="1:2" x14ac:dyDescent="0.2">
      <c r="A3938" s="198"/>
      <c r="B3938" s="198"/>
    </row>
    <row r="3939" spans="1:2" x14ac:dyDescent="0.2">
      <c r="A3939" s="198"/>
      <c r="B3939" s="198"/>
    </row>
    <row r="3940" spans="1:2" x14ac:dyDescent="0.2">
      <c r="A3940" s="198"/>
      <c r="B3940" s="198"/>
    </row>
    <row r="3941" spans="1:2" x14ac:dyDescent="0.2">
      <c r="A3941" s="198"/>
      <c r="B3941" s="198"/>
    </row>
    <row r="3942" spans="1:2" x14ac:dyDescent="0.2">
      <c r="A3942" s="198"/>
      <c r="B3942" s="198"/>
    </row>
    <row r="3943" spans="1:2" x14ac:dyDescent="0.2">
      <c r="A3943" s="198"/>
      <c r="B3943" s="198"/>
    </row>
    <row r="3944" spans="1:2" x14ac:dyDescent="0.2">
      <c r="A3944" s="198"/>
      <c r="B3944" s="198"/>
    </row>
    <row r="3945" spans="1:2" x14ac:dyDescent="0.2">
      <c r="A3945" s="198"/>
      <c r="B3945" s="198"/>
    </row>
    <row r="3946" spans="1:2" x14ac:dyDescent="0.2">
      <c r="A3946" s="198"/>
      <c r="B3946" s="198"/>
    </row>
    <row r="3947" spans="1:2" x14ac:dyDescent="0.2">
      <c r="A3947" s="198"/>
      <c r="B3947" s="198"/>
    </row>
    <row r="3948" spans="1:2" x14ac:dyDescent="0.2">
      <c r="A3948" s="198"/>
      <c r="B3948" s="198"/>
    </row>
  </sheetData>
  <mergeCells count="1">
    <mergeCell ref="C48:I48"/>
  </mergeCells>
  <conditionalFormatting sqref="R48">
    <cfRule type="cellIs" dxfId="0" priority="1" operator="notEqual">
      <formula>0</formula>
    </cfRule>
  </conditionalFormatting>
  <pageMargins left="0.7" right="0.7" top="0.75" bottom="0.75" header="0.3" footer="0.3"/>
  <pageSetup scale="4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Y282"/>
  <sheetViews>
    <sheetView zoomScaleNormal="100" workbookViewId="0">
      <pane ySplit="14" topLeftCell="A15" activePane="bottomLeft" state="frozen"/>
      <selection pane="bottomLeft" activeCell="D250" sqref="D250"/>
    </sheetView>
  </sheetViews>
  <sheetFormatPr defaultColWidth="8.85546875" defaultRowHeight="12.75" outlineLevelRow="1" x14ac:dyDescent="0.2"/>
  <cols>
    <col min="1" max="1" width="5.28515625" style="64" customWidth="1"/>
    <col min="2" max="2" width="8.85546875" style="64" customWidth="1"/>
    <col min="3" max="3" width="16.42578125" style="64" customWidth="1"/>
    <col min="4" max="4" width="16" style="64" customWidth="1"/>
    <col min="5" max="5" width="3" style="64" customWidth="1"/>
    <col min="6" max="6" width="15.28515625" style="64" customWidth="1"/>
    <col min="7" max="8" width="14.7109375" style="64" bestFit="1" customWidth="1"/>
    <col min="9" max="9" width="10.7109375" style="64" bestFit="1" customWidth="1"/>
    <col min="10" max="11" width="14.7109375" style="64" bestFit="1" customWidth="1"/>
    <col min="12" max="12" width="4.5703125" style="64" customWidth="1"/>
    <col min="13" max="13" width="16.5703125" style="64" customWidth="1"/>
    <col min="14" max="14" width="18" style="64" bestFit="1" customWidth="1"/>
    <col min="15" max="15" width="25.85546875" style="64" bestFit="1" customWidth="1"/>
    <col min="16" max="16" width="14.5703125" style="64" bestFit="1" customWidth="1"/>
    <col min="17" max="17" width="8" style="64" bestFit="1" customWidth="1"/>
    <col min="18" max="18" width="0.28515625" style="64" customWidth="1"/>
    <col min="19" max="19" width="14.42578125" style="64" customWidth="1"/>
    <col min="20" max="20" width="14.7109375" style="64" bestFit="1" customWidth="1"/>
    <col min="21" max="21" width="13.140625" style="64" bestFit="1" customWidth="1"/>
    <col min="22" max="22" width="12.28515625" style="64" hidden="1" customWidth="1"/>
    <col min="23" max="23" width="13.42578125" style="64" hidden="1" customWidth="1"/>
    <col min="24" max="26" width="12.85546875" style="64" hidden="1" customWidth="1"/>
    <col min="27" max="27" width="14.5703125" style="64" customWidth="1"/>
    <col min="28" max="28" width="10.7109375" style="64" customWidth="1"/>
    <col min="29" max="29" width="15.7109375" style="64" customWidth="1"/>
    <col min="30" max="30" width="9.140625" style="64" customWidth="1"/>
    <col min="31" max="31" width="15.7109375" style="64" customWidth="1"/>
    <col min="32" max="32" width="14.5703125" style="64" customWidth="1"/>
    <col min="33" max="16384" width="8.85546875" style="64"/>
  </cols>
  <sheetData>
    <row r="1" spans="1:33" x14ac:dyDescent="0.2">
      <c r="A1" s="199" t="s">
        <v>257</v>
      </c>
      <c r="Q1" s="200" t="s">
        <v>321</v>
      </c>
    </row>
    <row r="2" spans="1:33" ht="15.75" x14ac:dyDescent="0.25">
      <c r="A2" s="136" t="s">
        <v>158</v>
      </c>
    </row>
    <row r="3" spans="1:33" ht="15.75" x14ac:dyDescent="0.25">
      <c r="A3" s="136" t="s">
        <v>159</v>
      </c>
    </row>
    <row r="4" spans="1:33" ht="15.75" x14ac:dyDescent="0.25">
      <c r="A4" s="136" t="s">
        <v>160</v>
      </c>
      <c r="G4" s="201"/>
      <c r="H4" s="201"/>
      <c r="I4" s="201"/>
    </row>
    <row r="5" spans="1:33" ht="15" customHeight="1" x14ac:dyDescent="0.25">
      <c r="A5" s="136" t="s">
        <v>161</v>
      </c>
      <c r="B5" s="68"/>
      <c r="D5" s="68"/>
      <c r="G5" s="68"/>
      <c r="H5" s="68"/>
      <c r="I5" s="68"/>
      <c r="J5" s="68"/>
    </row>
    <row r="6" spans="1:33" ht="12.75" customHeight="1" x14ac:dyDescent="0.25">
      <c r="A6" s="136"/>
      <c r="B6" s="68"/>
      <c r="D6" s="68"/>
      <c r="G6" s="68"/>
      <c r="H6" s="68"/>
      <c r="I6" s="68"/>
      <c r="J6" s="68"/>
    </row>
    <row r="7" spans="1:33" ht="18" customHeight="1" x14ac:dyDescent="0.25">
      <c r="D7" s="124"/>
      <c r="E7" s="124"/>
      <c r="F7" s="202" t="s">
        <v>162</v>
      </c>
      <c r="G7" s="203"/>
      <c r="H7" s="203"/>
      <c r="I7" s="203"/>
      <c r="J7" s="203"/>
      <c r="K7" s="203"/>
      <c r="L7" s="203"/>
      <c r="M7" s="204"/>
      <c r="N7" s="204"/>
      <c r="O7" s="204"/>
      <c r="P7" s="204"/>
      <c r="Q7" s="204"/>
      <c r="R7" s="124"/>
      <c r="S7" s="202" t="s">
        <v>36</v>
      </c>
      <c r="T7" s="203"/>
      <c r="U7" s="203"/>
      <c r="V7" s="203"/>
      <c r="W7" s="203"/>
      <c r="X7" s="203"/>
      <c r="Y7" s="203"/>
      <c r="Z7" s="203"/>
      <c r="AA7" s="203"/>
      <c r="AB7" s="203"/>
      <c r="AC7" s="203"/>
      <c r="AD7" s="203"/>
      <c r="AE7" s="203"/>
      <c r="AF7" s="203"/>
    </row>
    <row r="8" spans="1:33" ht="51.6" customHeight="1" x14ac:dyDescent="0.2">
      <c r="A8" s="205" t="s">
        <v>163</v>
      </c>
      <c r="B8" s="139" t="s">
        <v>164</v>
      </c>
      <c r="C8" s="139" t="s">
        <v>165</v>
      </c>
      <c r="D8" s="205" t="s">
        <v>166</v>
      </c>
      <c r="E8" s="206"/>
      <c r="F8" s="207" t="s">
        <v>167</v>
      </c>
      <c r="G8" s="207" t="s">
        <v>168</v>
      </c>
      <c r="H8" s="207" t="s">
        <v>169</v>
      </c>
      <c r="I8" s="207" t="s">
        <v>170</v>
      </c>
      <c r="J8" s="207" t="s">
        <v>171</v>
      </c>
      <c r="K8" s="207" t="s">
        <v>172</v>
      </c>
      <c r="L8" s="207" t="s">
        <v>173</v>
      </c>
      <c r="M8" s="207" t="s">
        <v>174</v>
      </c>
      <c r="N8" s="207" t="s">
        <v>175</v>
      </c>
      <c r="O8" s="207" t="s">
        <v>176</v>
      </c>
      <c r="P8" s="207" t="s">
        <v>177</v>
      </c>
      <c r="Q8" s="207" t="s">
        <v>178</v>
      </c>
      <c r="R8" s="206" t="s">
        <v>179</v>
      </c>
      <c r="S8" s="207" t="s">
        <v>180</v>
      </c>
      <c r="T8" s="207" t="s">
        <v>171</v>
      </c>
      <c r="U8" s="207" t="s">
        <v>172</v>
      </c>
      <c r="V8" s="207" t="s">
        <v>173</v>
      </c>
      <c r="W8" s="207"/>
      <c r="X8" s="207"/>
      <c r="Y8" s="207"/>
      <c r="Z8" s="207"/>
      <c r="AA8" s="207" t="s">
        <v>181</v>
      </c>
      <c r="AB8" s="207" t="s">
        <v>182</v>
      </c>
      <c r="AC8" s="207" t="s">
        <v>183</v>
      </c>
      <c r="AD8" s="207" t="s">
        <v>184</v>
      </c>
      <c r="AE8" s="207" t="s">
        <v>185</v>
      </c>
      <c r="AF8" s="207" t="s">
        <v>186</v>
      </c>
      <c r="AG8" s="206"/>
    </row>
    <row r="9" spans="1:33" x14ac:dyDescent="0.2">
      <c r="F9" s="208">
        <v>20000000</v>
      </c>
      <c r="G9" s="208">
        <v>20000000</v>
      </c>
      <c r="H9" s="208">
        <v>80000000</v>
      </c>
      <c r="I9" s="209">
        <v>120000000</v>
      </c>
      <c r="J9" s="210"/>
      <c r="K9" s="210"/>
      <c r="L9" s="210"/>
      <c r="M9" s="204"/>
      <c r="N9" s="204" t="s">
        <v>187</v>
      </c>
      <c r="O9" s="204"/>
      <c r="P9" s="204"/>
      <c r="Q9" s="204"/>
      <c r="S9" s="208">
        <v>20000000</v>
      </c>
      <c r="T9" s="208">
        <v>20000000</v>
      </c>
      <c r="U9" s="208">
        <v>80000000</v>
      </c>
      <c r="V9" s="208">
        <v>120000000</v>
      </c>
      <c r="W9" s="204"/>
      <c r="X9" s="204"/>
      <c r="Y9" s="204"/>
      <c r="Z9" s="204"/>
      <c r="AA9" s="204"/>
      <c r="AB9" s="204"/>
      <c r="AC9" s="204"/>
      <c r="AD9" s="204"/>
      <c r="AE9" s="204"/>
      <c r="AF9" s="204"/>
    </row>
    <row r="10" spans="1:33" x14ac:dyDescent="0.2">
      <c r="F10" s="208">
        <v>10000000</v>
      </c>
      <c r="G10" s="208">
        <v>10000000</v>
      </c>
      <c r="H10" s="208">
        <v>40000000</v>
      </c>
      <c r="I10" s="209">
        <v>60000000</v>
      </c>
      <c r="J10" s="210"/>
      <c r="K10" s="210"/>
      <c r="L10" s="210"/>
      <c r="M10" s="204"/>
      <c r="N10" s="204"/>
      <c r="O10" s="204"/>
      <c r="P10" s="204"/>
      <c r="Q10" s="204"/>
      <c r="S10" s="208">
        <v>10000000</v>
      </c>
      <c r="T10" s="208">
        <v>10000000</v>
      </c>
      <c r="U10" s="208">
        <v>40000000</v>
      </c>
      <c r="V10" s="208">
        <v>60000000</v>
      </c>
      <c r="W10" s="204"/>
      <c r="X10" s="204"/>
      <c r="Y10" s="204"/>
      <c r="Z10" s="204"/>
      <c r="AA10" s="204"/>
      <c r="AB10" s="204"/>
      <c r="AC10" s="204"/>
      <c r="AD10" s="204"/>
      <c r="AE10" s="204"/>
      <c r="AF10" s="204"/>
    </row>
    <row r="11" spans="1:33" x14ac:dyDescent="0.2">
      <c r="F11" s="208"/>
      <c r="G11" s="208"/>
      <c r="H11" s="208"/>
      <c r="I11" s="208"/>
      <c r="J11" s="210"/>
      <c r="K11" s="210"/>
      <c r="L11" s="210"/>
      <c r="M11" s="204"/>
      <c r="N11" s="204"/>
      <c r="O11" s="204"/>
      <c r="P11" s="204"/>
      <c r="Q11" s="204"/>
      <c r="S11" s="208"/>
      <c r="T11" s="208"/>
      <c r="U11" s="208"/>
      <c r="V11" s="208"/>
      <c r="W11" s="204"/>
      <c r="X11" s="204"/>
      <c r="Y11" s="204"/>
      <c r="Z11" s="204"/>
      <c r="AA11" s="204"/>
      <c r="AB11" s="204"/>
      <c r="AC11" s="204"/>
      <c r="AD11" s="204"/>
      <c r="AE11" s="204"/>
      <c r="AF11" s="204"/>
    </row>
    <row r="12" spans="1:33" x14ac:dyDescent="0.2">
      <c r="D12" s="211" t="s">
        <v>188</v>
      </c>
      <c r="F12" s="208">
        <v>17000000</v>
      </c>
      <c r="G12" s="208">
        <v>23000000</v>
      </c>
      <c r="H12" s="208">
        <v>40000000</v>
      </c>
      <c r="I12" s="208" t="s">
        <v>189</v>
      </c>
      <c r="J12" s="210"/>
      <c r="K12" s="210"/>
      <c r="L12" s="210"/>
      <c r="M12" s="204"/>
      <c r="N12" s="204"/>
      <c r="O12" s="204"/>
      <c r="P12" s="204"/>
      <c r="Q12" s="204"/>
      <c r="S12" s="208">
        <v>17000000</v>
      </c>
      <c r="T12" s="208">
        <v>23000000</v>
      </c>
      <c r="U12" s="208">
        <v>40000000</v>
      </c>
      <c r="V12" s="208" t="s">
        <v>189</v>
      </c>
      <c r="W12" s="204"/>
      <c r="X12" s="204"/>
      <c r="Y12" s="204"/>
      <c r="Z12" s="204"/>
      <c r="AA12" s="204"/>
      <c r="AB12" s="204"/>
      <c r="AC12" s="204"/>
      <c r="AD12" s="204"/>
      <c r="AE12" s="204"/>
      <c r="AF12" s="204"/>
    </row>
    <row r="13" spans="1:33" x14ac:dyDescent="0.2">
      <c r="F13" s="208"/>
      <c r="G13" s="208"/>
      <c r="H13" s="208"/>
      <c r="I13" s="208"/>
      <c r="J13" s="210"/>
      <c r="K13" s="210"/>
      <c r="L13" s="210"/>
      <c r="M13" s="204"/>
      <c r="N13" s="204"/>
      <c r="O13" s="204"/>
      <c r="P13" s="204"/>
      <c r="Q13" s="204"/>
      <c r="S13" s="208"/>
      <c r="T13" s="208"/>
      <c r="U13" s="208"/>
      <c r="V13" s="208"/>
      <c r="W13" s="204"/>
      <c r="X13" s="204"/>
      <c r="Y13" s="204"/>
      <c r="Z13" s="204"/>
      <c r="AA13" s="204"/>
      <c r="AB13" s="204"/>
      <c r="AC13" s="204"/>
      <c r="AD13" s="204"/>
      <c r="AE13" s="204"/>
      <c r="AF13" s="204"/>
    </row>
    <row r="14" spans="1:33" ht="9" customHeight="1" x14ac:dyDescent="0.2">
      <c r="F14" s="212"/>
      <c r="G14" s="212"/>
      <c r="H14" s="213"/>
      <c r="I14" s="213"/>
      <c r="J14" s="214"/>
      <c r="K14" s="214"/>
      <c r="L14" s="214"/>
      <c r="M14" s="203"/>
      <c r="N14" s="203"/>
      <c r="O14" s="203"/>
      <c r="P14" s="203"/>
      <c r="Q14" s="203"/>
      <c r="S14" s="203"/>
      <c r="T14" s="203"/>
      <c r="U14" s="208"/>
      <c r="V14" s="208"/>
      <c r="W14" s="203"/>
      <c r="X14" s="203"/>
      <c r="Y14" s="203"/>
      <c r="Z14" s="203"/>
      <c r="AA14" s="203"/>
      <c r="AB14" s="203"/>
      <c r="AC14" s="203"/>
      <c r="AD14" s="203"/>
      <c r="AE14" s="203"/>
      <c r="AF14" s="203"/>
    </row>
    <row r="15" spans="1:33" hidden="1" outlineLevel="1" x14ac:dyDescent="0.2">
      <c r="A15" s="124">
        <v>1</v>
      </c>
      <c r="B15" s="64" t="s">
        <v>190</v>
      </c>
      <c r="C15" s="201">
        <v>-3572898.5503520002</v>
      </c>
      <c r="D15" s="201">
        <f>+C15</f>
        <v>-3572898.5503520002</v>
      </c>
      <c r="E15" s="201"/>
      <c r="F15" s="201">
        <f t="shared" ref="F15:F26" si="0">IF(ABS(D15)&gt;+$F$9,IF(D15&lt;0,-$F$9,+$F$9),+D15)</f>
        <v>-3572898.5503520002</v>
      </c>
      <c r="G15" s="201">
        <f t="shared" ref="G15:G26" si="1">IF(ABS(D15)-ABS(F15)&gt;=$G$9,IF(D15&lt;=0,-$G$9,+$G$9),+D15-F15)</f>
        <v>0</v>
      </c>
      <c r="H15" s="201">
        <f t="shared" ref="H15:H26" si="2">IF(ABS(+D15)-ABS(SUM(F15:G15))&gt;=$H$9,IF(D15&lt;=0,-$H$9,+$H$9),+D15-SUM(F15:G15))</f>
        <v>0</v>
      </c>
      <c r="I15" s="201">
        <f t="shared" ref="I15:I26" si="3">IF(ABS(+D15)-ABS(SUM(F15:H15))&gt;=$I$9,IF(D15&lt;=0,$D15-SUM($F15:$H15),$D15-SUM($F15:$H15)),D15-SUM(F15:H15))</f>
        <v>0</v>
      </c>
      <c r="J15" s="201">
        <f t="shared" ref="J15:J26" si="4">+G15*$C$260</f>
        <v>0</v>
      </c>
      <c r="K15" s="201">
        <f t="shared" ref="K15:K26" si="5">+H15*$C$261</f>
        <v>0</v>
      </c>
      <c r="L15" s="201">
        <f t="shared" ref="L15:L26" si="6">+I15*$C$262</f>
        <v>0</v>
      </c>
      <c r="M15" s="201">
        <f t="shared" ref="M15:M26" si="7">SUM(J15:L15)</f>
        <v>0</v>
      </c>
      <c r="N15" s="201">
        <f t="shared" ref="N15:N26" si="8">AB15*$C$264</f>
        <v>0</v>
      </c>
      <c r="O15" s="201">
        <f t="shared" ref="O15:O26" si="9">M15+N15</f>
        <v>0</v>
      </c>
      <c r="P15" s="201">
        <f>O15</f>
        <v>0</v>
      </c>
      <c r="Q15" s="130"/>
      <c r="R15" s="201">
        <v>0</v>
      </c>
      <c r="S15" s="201">
        <f t="shared" ref="S15:S26" si="10">+F15</f>
        <v>-3572898.5503520002</v>
      </c>
      <c r="T15" s="201">
        <f t="shared" ref="T15:V26" si="11">+G15-J15</f>
        <v>0</v>
      </c>
      <c r="U15" s="201">
        <f t="shared" si="11"/>
        <v>0</v>
      </c>
      <c r="V15" s="201">
        <f t="shared" si="11"/>
        <v>0</v>
      </c>
      <c r="W15" s="201"/>
      <c r="X15" s="201"/>
      <c r="Y15" s="201"/>
      <c r="Z15" s="201"/>
      <c r="AA15" s="201">
        <f t="shared" ref="AA15:AA26" si="12">SUM(S15:V15)</f>
        <v>-3572898.5503520002</v>
      </c>
      <c r="AB15" s="201">
        <f t="shared" ref="AB15:AB26" si="13">IF(AA15&gt;40000000,AA15-40000000,0)</f>
        <v>0</v>
      </c>
      <c r="AC15" s="201">
        <f t="shared" ref="AC15:AC26" si="14">AA15-AB15</f>
        <v>-3572898.5503520002</v>
      </c>
      <c r="AD15" s="201">
        <f t="shared" ref="AD15:AD26" si="15">AB15*$D$264</f>
        <v>0</v>
      </c>
      <c r="AE15" s="201">
        <f t="shared" ref="AE15:AE26" si="16">AA15-AB15+AD15</f>
        <v>-3572898.5503520002</v>
      </c>
      <c r="AF15" s="201">
        <f>AE15</f>
        <v>-3572898.5503520002</v>
      </c>
    </row>
    <row r="16" spans="1:33" hidden="1" outlineLevel="1" x14ac:dyDescent="0.2">
      <c r="A16" s="124">
        <v>1</v>
      </c>
      <c r="B16" s="64" t="s">
        <v>191</v>
      </c>
      <c r="C16" s="201">
        <v>-1350321.288468</v>
      </c>
      <c r="D16" s="201">
        <f>SUM($C$15:C16)</f>
        <v>-4923219.8388200002</v>
      </c>
      <c r="E16" s="201"/>
      <c r="F16" s="201">
        <f t="shared" si="0"/>
        <v>-4923219.8388200002</v>
      </c>
      <c r="G16" s="201">
        <f t="shared" si="1"/>
        <v>0</v>
      </c>
      <c r="H16" s="201">
        <f t="shared" si="2"/>
        <v>0</v>
      </c>
      <c r="I16" s="201">
        <f t="shared" si="3"/>
        <v>0</v>
      </c>
      <c r="J16" s="201">
        <f t="shared" si="4"/>
        <v>0</v>
      </c>
      <c r="K16" s="201">
        <f t="shared" si="5"/>
        <v>0</v>
      </c>
      <c r="L16" s="201">
        <f t="shared" si="6"/>
        <v>0</v>
      </c>
      <c r="M16" s="201">
        <f t="shared" si="7"/>
        <v>0</v>
      </c>
      <c r="N16" s="201">
        <f t="shared" si="8"/>
        <v>0</v>
      </c>
      <c r="O16" s="201">
        <f t="shared" si="9"/>
        <v>0</v>
      </c>
      <c r="P16" s="201">
        <f t="shared" ref="P16:P26" si="17">O16-O15</f>
        <v>0</v>
      </c>
      <c r="Q16" s="201"/>
      <c r="R16" s="201">
        <v>0</v>
      </c>
      <c r="S16" s="201">
        <f t="shared" si="10"/>
        <v>-4923219.8388200002</v>
      </c>
      <c r="T16" s="201">
        <f t="shared" si="11"/>
        <v>0</v>
      </c>
      <c r="U16" s="201">
        <f t="shared" si="11"/>
        <v>0</v>
      </c>
      <c r="V16" s="201">
        <f t="shared" si="11"/>
        <v>0</v>
      </c>
      <c r="W16" s="201"/>
      <c r="X16" s="201"/>
      <c r="Y16" s="201"/>
      <c r="Z16" s="201"/>
      <c r="AA16" s="201">
        <f t="shared" si="12"/>
        <v>-4923219.8388200002</v>
      </c>
      <c r="AB16" s="201">
        <f t="shared" si="13"/>
        <v>0</v>
      </c>
      <c r="AC16" s="201">
        <f t="shared" si="14"/>
        <v>-4923219.8388200002</v>
      </c>
      <c r="AD16" s="201">
        <f t="shared" si="15"/>
        <v>0</v>
      </c>
      <c r="AE16" s="201">
        <f t="shared" si="16"/>
        <v>-4923219.8388200002</v>
      </c>
      <c r="AF16" s="201">
        <f t="shared" ref="AF16:AF26" si="18">AE16-AE15</f>
        <v>-1350321.288468</v>
      </c>
    </row>
    <row r="17" spans="1:103" hidden="1" outlineLevel="1" x14ac:dyDescent="0.2">
      <c r="A17" s="124">
        <v>1</v>
      </c>
      <c r="B17" s="64" t="s">
        <v>192</v>
      </c>
      <c r="C17" s="201">
        <v>6858670.8690839997</v>
      </c>
      <c r="D17" s="201">
        <f>SUM($C$15:C17)</f>
        <v>1935451.0302639995</v>
      </c>
      <c r="E17" s="201"/>
      <c r="F17" s="201">
        <f t="shared" si="0"/>
        <v>1935451.0302639995</v>
      </c>
      <c r="G17" s="201">
        <f t="shared" si="1"/>
        <v>0</v>
      </c>
      <c r="H17" s="201">
        <f t="shared" si="2"/>
        <v>0</v>
      </c>
      <c r="I17" s="201">
        <f t="shared" si="3"/>
        <v>0</v>
      </c>
      <c r="J17" s="201">
        <f t="shared" si="4"/>
        <v>0</v>
      </c>
      <c r="K17" s="201">
        <f t="shared" si="5"/>
        <v>0</v>
      </c>
      <c r="L17" s="201">
        <f t="shared" si="6"/>
        <v>0</v>
      </c>
      <c r="M17" s="201">
        <f t="shared" si="7"/>
        <v>0</v>
      </c>
      <c r="N17" s="201">
        <f t="shared" si="8"/>
        <v>0</v>
      </c>
      <c r="O17" s="201">
        <f t="shared" si="9"/>
        <v>0</v>
      </c>
      <c r="P17" s="201">
        <f t="shared" si="17"/>
        <v>0</v>
      </c>
      <c r="Q17" s="201"/>
      <c r="R17" s="201">
        <v>0</v>
      </c>
      <c r="S17" s="201">
        <f t="shared" si="10"/>
        <v>1935451.0302639995</v>
      </c>
      <c r="T17" s="201">
        <f t="shared" si="11"/>
        <v>0</v>
      </c>
      <c r="U17" s="201">
        <f t="shared" si="11"/>
        <v>0</v>
      </c>
      <c r="V17" s="201">
        <f t="shared" si="11"/>
        <v>0</v>
      </c>
      <c r="W17" s="201"/>
      <c r="X17" s="201"/>
      <c r="Y17" s="201"/>
      <c r="Z17" s="201"/>
      <c r="AA17" s="201">
        <f t="shared" si="12"/>
        <v>1935451.0302639995</v>
      </c>
      <c r="AB17" s="201">
        <f t="shared" si="13"/>
        <v>0</v>
      </c>
      <c r="AC17" s="201">
        <f t="shared" si="14"/>
        <v>1935451.0302639995</v>
      </c>
      <c r="AD17" s="201">
        <f t="shared" si="15"/>
        <v>0</v>
      </c>
      <c r="AE17" s="201">
        <f t="shared" si="16"/>
        <v>1935451.0302639995</v>
      </c>
      <c r="AF17" s="201">
        <f t="shared" si="18"/>
        <v>6858670.8690839997</v>
      </c>
    </row>
    <row r="18" spans="1:103" hidden="1" outlineLevel="1" x14ac:dyDescent="0.2">
      <c r="A18" s="124">
        <v>1</v>
      </c>
      <c r="B18" s="64" t="s">
        <v>193</v>
      </c>
      <c r="C18" s="201">
        <v>3449128.7154040001</v>
      </c>
      <c r="D18" s="201">
        <f>SUM($C$15:C18)</f>
        <v>5384579.7456679996</v>
      </c>
      <c r="E18" s="201"/>
      <c r="F18" s="201">
        <f t="shared" si="0"/>
        <v>5384579.7456679996</v>
      </c>
      <c r="G18" s="201">
        <f t="shared" si="1"/>
        <v>0</v>
      </c>
      <c r="H18" s="201">
        <f t="shared" si="2"/>
        <v>0</v>
      </c>
      <c r="I18" s="201">
        <f t="shared" si="3"/>
        <v>0</v>
      </c>
      <c r="J18" s="201">
        <f t="shared" si="4"/>
        <v>0</v>
      </c>
      <c r="K18" s="201">
        <f t="shared" si="5"/>
        <v>0</v>
      </c>
      <c r="L18" s="201">
        <f t="shared" si="6"/>
        <v>0</v>
      </c>
      <c r="M18" s="201">
        <f t="shared" si="7"/>
        <v>0</v>
      </c>
      <c r="N18" s="201">
        <f t="shared" si="8"/>
        <v>0</v>
      </c>
      <c r="O18" s="201">
        <f t="shared" si="9"/>
        <v>0</v>
      </c>
      <c r="P18" s="201">
        <f t="shared" si="17"/>
        <v>0</v>
      </c>
      <c r="Q18" s="201"/>
      <c r="R18" s="201">
        <v>0</v>
      </c>
      <c r="S18" s="201">
        <f t="shared" si="10"/>
        <v>5384579.7456679996</v>
      </c>
      <c r="T18" s="201">
        <f t="shared" si="11"/>
        <v>0</v>
      </c>
      <c r="U18" s="201">
        <f t="shared" si="11"/>
        <v>0</v>
      </c>
      <c r="V18" s="201">
        <f t="shared" si="11"/>
        <v>0</v>
      </c>
      <c r="W18" s="201"/>
      <c r="X18" s="201"/>
      <c r="Y18" s="201"/>
      <c r="Z18" s="201"/>
      <c r="AA18" s="201">
        <f t="shared" si="12"/>
        <v>5384579.7456679996</v>
      </c>
      <c r="AB18" s="201">
        <f t="shared" si="13"/>
        <v>0</v>
      </c>
      <c r="AC18" s="201">
        <f t="shared" si="14"/>
        <v>5384579.7456679996</v>
      </c>
      <c r="AD18" s="201">
        <f t="shared" si="15"/>
        <v>0</v>
      </c>
      <c r="AE18" s="201">
        <f t="shared" si="16"/>
        <v>5384579.7456679996</v>
      </c>
      <c r="AF18" s="201">
        <f t="shared" si="18"/>
        <v>3449128.7154040001</v>
      </c>
    </row>
    <row r="19" spans="1:103" hidden="1" outlineLevel="1" x14ac:dyDescent="0.2">
      <c r="A19" s="124">
        <v>1</v>
      </c>
      <c r="B19" s="64" t="s">
        <v>194</v>
      </c>
      <c r="C19" s="201">
        <v>-2438803.8268479998</v>
      </c>
      <c r="D19" s="201">
        <f>SUM($C$15:C19)</f>
        <v>2945775.9188199998</v>
      </c>
      <c r="E19" s="201"/>
      <c r="F19" s="201">
        <f t="shared" si="0"/>
        <v>2945775.9188199998</v>
      </c>
      <c r="G19" s="201">
        <f t="shared" si="1"/>
        <v>0</v>
      </c>
      <c r="H19" s="201">
        <f t="shared" si="2"/>
        <v>0</v>
      </c>
      <c r="I19" s="201">
        <f t="shared" si="3"/>
        <v>0</v>
      </c>
      <c r="J19" s="201">
        <f t="shared" si="4"/>
        <v>0</v>
      </c>
      <c r="K19" s="201">
        <f t="shared" si="5"/>
        <v>0</v>
      </c>
      <c r="L19" s="201">
        <f t="shared" si="6"/>
        <v>0</v>
      </c>
      <c r="M19" s="201">
        <f t="shared" si="7"/>
        <v>0</v>
      </c>
      <c r="N19" s="201">
        <f t="shared" si="8"/>
        <v>0</v>
      </c>
      <c r="O19" s="201">
        <f t="shared" si="9"/>
        <v>0</v>
      </c>
      <c r="P19" s="201">
        <f t="shared" si="17"/>
        <v>0</v>
      </c>
      <c r="Q19" s="201"/>
      <c r="R19" s="201">
        <v>0</v>
      </c>
      <c r="S19" s="201">
        <f t="shared" si="10"/>
        <v>2945775.9188199998</v>
      </c>
      <c r="T19" s="201">
        <f t="shared" si="11"/>
        <v>0</v>
      </c>
      <c r="U19" s="201">
        <f t="shared" si="11"/>
        <v>0</v>
      </c>
      <c r="V19" s="201">
        <f t="shared" si="11"/>
        <v>0</v>
      </c>
      <c r="W19" s="201"/>
      <c r="X19" s="201"/>
      <c r="Y19" s="201"/>
      <c r="Z19" s="201"/>
      <c r="AA19" s="201">
        <f t="shared" si="12"/>
        <v>2945775.9188199998</v>
      </c>
      <c r="AB19" s="201">
        <f t="shared" si="13"/>
        <v>0</v>
      </c>
      <c r="AC19" s="201">
        <f t="shared" si="14"/>
        <v>2945775.9188199998</v>
      </c>
      <c r="AD19" s="201">
        <f t="shared" si="15"/>
        <v>0</v>
      </c>
      <c r="AE19" s="201">
        <f t="shared" si="16"/>
        <v>2945775.9188199998</v>
      </c>
      <c r="AF19" s="201">
        <f t="shared" si="18"/>
        <v>-2438803.8268479998</v>
      </c>
    </row>
    <row r="20" spans="1:103" hidden="1" outlineLevel="1" x14ac:dyDescent="0.2">
      <c r="A20" s="124">
        <v>1</v>
      </c>
      <c r="B20" s="64" t="s">
        <v>195</v>
      </c>
      <c r="C20" s="201">
        <v>2177046.7884359998</v>
      </c>
      <c r="D20" s="201">
        <f>SUM($C$15:C20)</f>
        <v>5122822.7072559996</v>
      </c>
      <c r="E20" s="201"/>
      <c r="F20" s="201">
        <f t="shared" si="0"/>
        <v>5122822.7072559996</v>
      </c>
      <c r="G20" s="201">
        <f t="shared" si="1"/>
        <v>0</v>
      </c>
      <c r="H20" s="201">
        <f t="shared" si="2"/>
        <v>0</v>
      </c>
      <c r="I20" s="201">
        <f t="shared" si="3"/>
        <v>0</v>
      </c>
      <c r="J20" s="201">
        <f t="shared" si="4"/>
        <v>0</v>
      </c>
      <c r="K20" s="201">
        <f t="shared" si="5"/>
        <v>0</v>
      </c>
      <c r="L20" s="201">
        <f t="shared" si="6"/>
        <v>0</v>
      </c>
      <c r="M20" s="201">
        <f t="shared" si="7"/>
        <v>0</v>
      </c>
      <c r="N20" s="201">
        <f t="shared" si="8"/>
        <v>0</v>
      </c>
      <c r="O20" s="201">
        <f t="shared" si="9"/>
        <v>0</v>
      </c>
      <c r="P20" s="201">
        <f t="shared" si="17"/>
        <v>0</v>
      </c>
      <c r="Q20" s="201"/>
      <c r="R20" s="201">
        <v>0</v>
      </c>
      <c r="S20" s="201">
        <f t="shared" si="10"/>
        <v>5122822.7072559996</v>
      </c>
      <c r="T20" s="201">
        <f t="shared" si="11"/>
        <v>0</v>
      </c>
      <c r="U20" s="201">
        <f t="shared" si="11"/>
        <v>0</v>
      </c>
      <c r="V20" s="201">
        <f t="shared" si="11"/>
        <v>0</v>
      </c>
      <c r="W20" s="201"/>
      <c r="X20" s="201"/>
      <c r="Y20" s="201"/>
      <c r="Z20" s="201"/>
      <c r="AA20" s="201">
        <f t="shared" si="12"/>
        <v>5122822.7072559996</v>
      </c>
      <c r="AB20" s="201">
        <f t="shared" si="13"/>
        <v>0</v>
      </c>
      <c r="AC20" s="201">
        <f t="shared" si="14"/>
        <v>5122822.7072559996</v>
      </c>
      <c r="AD20" s="201">
        <f t="shared" si="15"/>
        <v>0</v>
      </c>
      <c r="AE20" s="201">
        <f t="shared" si="16"/>
        <v>5122822.7072559996</v>
      </c>
      <c r="AF20" s="201">
        <f t="shared" si="18"/>
        <v>2177046.7884359998</v>
      </c>
    </row>
    <row r="21" spans="1:103" hidden="1" outlineLevel="1" x14ac:dyDescent="0.2">
      <c r="A21" s="124">
        <v>1</v>
      </c>
      <c r="B21" s="64" t="s">
        <v>196</v>
      </c>
      <c r="C21" s="201">
        <v>-1379687.0227959999</v>
      </c>
      <c r="D21" s="201">
        <f>SUM($C$15:C21)</f>
        <v>3743135.6844599997</v>
      </c>
      <c r="E21" s="201"/>
      <c r="F21" s="201">
        <f t="shared" si="0"/>
        <v>3743135.6844599997</v>
      </c>
      <c r="G21" s="201">
        <f t="shared" si="1"/>
        <v>0</v>
      </c>
      <c r="H21" s="201">
        <f t="shared" si="2"/>
        <v>0</v>
      </c>
      <c r="I21" s="201">
        <f t="shared" si="3"/>
        <v>0</v>
      </c>
      <c r="J21" s="201">
        <f t="shared" si="4"/>
        <v>0</v>
      </c>
      <c r="K21" s="201">
        <f t="shared" si="5"/>
        <v>0</v>
      </c>
      <c r="L21" s="201">
        <f t="shared" si="6"/>
        <v>0</v>
      </c>
      <c r="M21" s="201">
        <f t="shared" si="7"/>
        <v>0</v>
      </c>
      <c r="N21" s="201">
        <f t="shared" si="8"/>
        <v>0</v>
      </c>
      <c r="O21" s="201">
        <f t="shared" si="9"/>
        <v>0</v>
      </c>
      <c r="P21" s="201">
        <f t="shared" si="17"/>
        <v>0</v>
      </c>
      <c r="Q21" s="201"/>
      <c r="R21" s="201">
        <v>0</v>
      </c>
      <c r="S21" s="201">
        <f t="shared" si="10"/>
        <v>3743135.6844599997</v>
      </c>
      <c r="T21" s="201">
        <f t="shared" si="11"/>
        <v>0</v>
      </c>
      <c r="U21" s="201">
        <f t="shared" si="11"/>
        <v>0</v>
      </c>
      <c r="V21" s="201">
        <f t="shared" si="11"/>
        <v>0</v>
      </c>
      <c r="W21" s="201"/>
      <c r="X21" s="201"/>
      <c r="Y21" s="201"/>
      <c r="Z21" s="201"/>
      <c r="AA21" s="201">
        <f t="shared" si="12"/>
        <v>3743135.6844599997</v>
      </c>
      <c r="AB21" s="201">
        <f t="shared" si="13"/>
        <v>0</v>
      </c>
      <c r="AC21" s="201">
        <f t="shared" si="14"/>
        <v>3743135.6844599997</v>
      </c>
      <c r="AD21" s="201">
        <f t="shared" si="15"/>
        <v>0</v>
      </c>
      <c r="AE21" s="201">
        <f t="shared" si="16"/>
        <v>3743135.6844599997</v>
      </c>
      <c r="AF21" s="201">
        <f t="shared" si="18"/>
        <v>-1379687.0227959999</v>
      </c>
    </row>
    <row r="22" spans="1:103" hidden="1" outlineLevel="1" x14ac:dyDescent="0.2">
      <c r="A22" s="124">
        <v>1</v>
      </c>
      <c r="B22" s="64" t="s">
        <v>197</v>
      </c>
      <c r="C22" s="201">
        <v>5410150.868636</v>
      </c>
      <c r="D22" s="201">
        <f>SUM($C$15:C22)</f>
        <v>9153286.5530960001</v>
      </c>
      <c r="E22" s="201"/>
      <c r="F22" s="201">
        <f t="shared" si="0"/>
        <v>9153286.5530960001</v>
      </c>
      <c r="G22" s="201">
        <f t="shared" si="1"/>
        <v>0</v>
      </c>
      <c r="H22" s="201">
        <f t="shared" si="2"/>
        <v>0</v>
      </c>
      <c r="I22" s="201">
        <f t="shared" si="3"/>
        <v>0</v>
      </c>
      <c r="J22" s="201">
        <f t="shared" si="4"/>
        <v>0</v>
      </c>
      <c r="K22" s="201">
        <f t="shared" si="5"/>
        <v>0</v>
      </c>
      <c r="L22" s="201">
        <f t="shared" si="6"/>
        <v>0</v>
      </c>
      <c r="M22" s="201">
        <f t="shared" si="7"/>
        <v>0</v>
      </c>
      <c r="N22" s="201">
        <f t="shared" si="8"/>
        <v>0</v>
      </c>
      <c r="O22" s="201">
        <f t="shared" si="9"/>
        <v>0</v>
      </c>
      <c r="P22" s="201">
        <f t="shared" si="17"/>
        <v>0</v>
      </c>
      <c r="Q22" s="201"/>
      <c r="R22" s="201">
        <v>0</v>
      </c>
      <c r="S22" s="201">
        <f t="shared" si="10"/>
        <v>9153286.5530960001</v>
      </c>
      <c r="T22" s="201">
        <f t="shared" si="11"/>
        <v>0</v>
      </c>
      <c r="U22" s="201">
        <f t="shared" si="11"/>
        <v>0</v>
      </c>
      <c r="V22" s="201">
        <f t="shared" si="11"/>
        <v>0</v>
      </c>
      <c r="W22" s="201"/>
      <c r="X22" s="201"/>
      <c r="Y22" s="201"/>
      <c r="Z22" s="201"/>
      <c r="AA22" s="201">
        <f t="shared" si="12"/>
        <v>9153286.5530960001</v>
      </c>
      <c r="AB22" s="201">
        <f t="shared" si="13"/>
        <v>0</v>
      </c>
      <c r="AC22" s="201">
        <f t="shared" si="14"/>
        <v>9153286.5530960001</v>
      </c>
      <c r="AD22" s="201">
        <f t="shared" si="15"/>
        <v>0</v>
      </c>
      <c r="AE22" s="201">
        <f t="shared" si="16"/>
        <v>9153286.5530960001</v>
      </c>
      <c r="AF22" s="201">
        <f t="shared" si="18"/>
        <v>5410150.8686360009</v>
      </c>
    </row>
    <row r="23" spans="1:103" hidden="1" outlineLevel="1" x14ac:dyDescent="0.2">
      <c r="A23" s="124">
        <v>1</v>
      </c>
      <c r="B23" s="64" t="s">
        <v>198</v>
      </c>
      <c r="C23" s="201">
        <v>7371202.1948520001</v>
      </c>
      <c r="D23" s="201">
        <f>SUM($C$15:C23)</f>
        <v>16524488.747948</v>
      </c>
      <c r="E23" s="201"/>
      <c r="F23" s="201">
        <f t="shared" si="0"/>
        <v>16524488.747948</v>
      </c>
      <c r="G23" s="201">
        <f t="shared" si="1"/>
        <v>0</v>
      </c>
      <c r="H23" s="201">
        <f t="shared" si="2"/>
        <v>0</v>
      </c>
      <c r="I23" s="201">
        <f t="shared" si="3"/>
        <v>0</v>
      </c>
      <c r="J23" s="201">
        <f t="shared" si="4"/>
        <v>0</v>
      </c>
      <c r="K23" s="201">
        <f t="shared" si="5"/>
        <v>0</v>
      </c>
      <c r="L23" s="201">
        <f t="shared" si="6"/>
        <v>0</v>
      </c>
      <c r="M23" s="201">
        <f t="shared" si="7"/>
        <v>0</v>
      </c>
      <c r="N23" s="201">
        <f t="shared" si="8"/>
        <v>0</v>
      </c>
      <c r="O23" s="201">
        <f t="shared" si="9"/>
        <v>0</v>
      </c>
      <c r="P23" s="201">
        <f t="shared" si="17"/>
        <v>0</v>
      </c>
      <c r="Q23" s="201"/>
      <c r="R23" s="201">
        <v>0</v>
      </c>
      <c r="S23" s="201">
        <f t="shared" si="10"/>
        <v>16524488.747948</v>
      </c>
      <c r="T23" s="201">
        <f t="shared" si="11"/>
        <v>0</v>
      </c>
      <c r="U23" s="201">
        <f t="shared" si="11"/>
        <v>0</v>
      </c>
      <c r="V23" s="201">
        <f t="shared" si="11"/>
        <v>0</v>
      </c>
      <c r="W23" s="201"/>
      <c r="X23" s="201"/>
      <c r="Y23" s="201"/>
      <c r="Z23" s="201"/>
      <c r="AA23" s="201">
        <f t="shared" si="12"/>
        <v>16524488.747948</v>
      </c>
      <c r="AB23" s="201">
        <f t="shared" si="13"/>
        <v>0</v>
      </c>
      <c r="AC23" s="201">
        <f t="shared" si="14"/>
        <v>16524488.747948</v>
      </c>
      <c r="AD23" s="201">
        <f t="shared" si="15"/>
        <v>0</v>
      </c>
      <c r="AE23" s="201">
        <f t="shared" si="16"/>
        <v>16524488.747948</v>
      </c>
      <c r="AF23" s="201">
        <f t="shared" si="18"/>
        <v>7371202.1948520001</v>
      </c>
    </row>
    <row r="24" spans="1:103" hidden="1" outlineLevel="1" x14ac:dyDescent="0.2">
      <c r="A24" s="124">
        <v>1</v>
      </c>
      <c r="B24" s="64" t="s">
        <v>199</v>
      </c>
      <c r="C24" s="201">
        <v>-1629966.3063080001</v>
      </c>
      <c r="D24" s="201">
        <f>SUM($C$15:C24)</f>
        <v>14894522.441640001</v>
      </c>
      <c r="E24" s="201"/>
      <c r="F24" s="201">
        <f t="shared" si="0"/>
        <v>14894522.441640001</v>
      </c>
      <c r="G24" s="201">
        <f t="shared" si="1"/>
        <v>0</v>
      </c>
      <c r="H24" s="201">
        <f t="shared" si="2"/>
        <v>0</v>
      </c>
      <c r="I24" s="201">
        <f t="shared" si="3"/>
        <v>0</v>
      </c>
      <c r="J24" s="201">
        <f t="shared" si="4"/>
        <v>0</v>
      </c>
      <c r="K24" s="201">
        <f t="shared" si="5"/>
        <v>0</v>
      </c>
      <c r="L24" s="201">
        <f t="shared" si="6"/>
        <v>0</v>
      </c>
      <c r="M24" s="201">
        <f t="shared" si="7"/>
        <v>0</v>
      </c>
      <c r="N24" s="201">
        <f t="shared" si="8"/>
        <v>0</v>
      </c>
      <c r="O24" s="201">
        <f t="shared" si="9"/>
        <v>0</v>
      </c>
      <c r="P24" s="201">
        <f t="shared" si="17"/>
        <v>0</v>
      </c>
      <c r="Q24" s="201"/>
      <c r="R24" s="201">
        <v>0</v>
      </c>
      <c r="S24" s="201">
        <f t="shared" si="10"/>
        <v>14894522.441640001</v>
      </c>
      <c r="T24" s="201">
        <f t="shared" si="11"/>
        <v>0</v>
      </c>
      <c r="U24" s="201">
        <f t="shared" si="11"/>
        <v>0</v>
      </c>
      <c r="V24" s="201">
        <f t="shared" si="11"/>
        <v>0</v>
      </c>
      <c r="W24" s="201"/>
      <c r="X24" s="201"/>
      <c r="Y24" s="201"/>
      <c r="Z24" s="201"/>
      <c r="AA24" s="201">
        <f t="shared" si="12"/>
        <v>14894522.441640001</v>
      </c>
      <c r="AB24" s="201">
        <f t="shared" si="13"/>
        <v>0</v>
      </c>
      <c r="AC24" s="201">
        <f t="shared" si="14"/>
        <v>14894522.441640001</v>
      </c>
      <c r="AD24" s="201">
        <f t="shared" si="15"/>
        <v>0</v>
      </c>
      <c r="AE24" s="201">
        <f t="shared" si="16"/>
        <v>14894522.441640001</v>
      </c>
      <c r="AF24" s="201">
        <f t="shared" si="18"/>
        <v>-1629966.3063079994</v>
      </c>
    </row>
    <row r="25" spans="1:103" hidden="1" outlineLevel="1" x14ac:dyDescent="0.2">
      <c r="A25" s="124">
        <v>1</v>
      </c>
      <c r="B25" s="64" t="s">
        <v>200</v>
      </c>
      <c r="C25" s="201">
        <v>-2271770.6493159998</v>
      </c>
      <c r="D25" s="201">
        <f>SUM($C$15:C25)</f>
        <v>12622751.792324001</v>
      </c>
      <c r="E25" s="201"/>
      <c r="F25" s="201">
        <f t="shared" si="0"/>
        <v>12622751.792324001</v>
      </c>
      <c r="G25" s="201">
        <f t="shared" si="1"/>
        <v>0</v>
      </c>
      <c r="H25" s="201">
        <f t="shared" si="2"/>
        <v>0</v>
      </c>
      <c r="I25" s="201">
        <f t="shared" si="3"/>
        <v>0</v>
      </c>
      <c r="J25" s="201">
        <f t="shared" si="4"/>
        <v>0</v>
      </c>
      <c r="K25" s="201">
        <f t="shared" si="5"/>
        <v>0</v>
      </c>
      <c r="L25" s="201">
        <f t="shared" si="6"/>
        <v>0</v>
      </c>
      <c r="M25" s="201">
        <f t="shared" si="7"/>
        <v>0</v>
      </c>
      <c r="N25" s="201">
        <f t="shared" si="8"/>
        <v>0</v>
      </c>
      <c r="O25" s="201">
        <f t="shared" si="9"/>
        <v>0</v>
      </c>
      <c r="P25" s="201">
        <f t="shared" si="17"/>
        <v>0</v>
      </c>
      <c r="Q25" s="201"/>
      <c r="R25" s="201">
        <v>0</v>
      </c>
      <c r="S25" s="201">
        <f t="shared" si="10"/>
        <v>12622751.792324001</v>
      </c>
      <c r="T25" s="201">
        <f t="shared" si="11"/>
        <v>0</v>
      </c>
      <c r="U25" s="201">
        <f t="shared" si="11"/>
        <v>0</v>
      </c>
      <c r="V25" s="201">
        <f t="shared" si="11"/>
        <v>0</v>
      </c>
      <c r="W25" s="201"/>
      <c r="X25" s="201"/>
      <c r="Y25" s="201"/>
      <c r="Z25" s="201"/>
      <c r="AA25" s="201">
        <f t="shared" si="12"/>
        <v>12622751.792324001</v>
      </c>
      <c r="AB25" s="201">
        <f t="shared" si="13"/>
        <v>0</v>
      </c>
      <c r="AC25" s="201">
        <f t="shared" si="14"/>
        <v>12622751.792324001</v>
      </c>
      <c r="AD25" s="201">
        <f t="shared" si="15"/>
        <v>0</v>
      </c>
      <c r="AE25" s="201">
        <f t="shared" si="16"/>
        <v>12622751.792324001</v>
      </c>
      <c r="AF25" s="201">
        <f t="shared" si="18"/>
        <v>-2271770.6493159998</v>
      </c>
    </row>
    <row r="26" spans="1:103" hidden="1" outlineLevel="1" x14ac:dyDescent="0.2">
      <c r="A26" s="73">
        <v>1</v>
      </c>
      <c r="B26" s="68" t="s">
        <v>201</v>
      </c>
      <c r="C26" s="201">
        <v>-10794453.650140001</v>
      </c>
      <c r="D26" s="201">
        <f>SUM($C$15:C26)</f>
        <v>1828298.1421840005</v>
      </c>
      <c r="E26" s="201"/>
      <c r="F26" s="201">
        <f t="shared" si="0"/>
        <v>1828298.1421840005</v>
      </c>
      <c r="G26" s="201">
        <f t="shared" si="1"/>
        <v>0</v>
      </c>
      <c r="H26" s="201">
        <f t="shared" si="2"/>
        <v>0</v>
      </c>
      <c r="I26" s="201">
        <f t="shared" si="3"/>
        <v>0</v>
      </c>
      <c r="J26" s="201">
        <f t="shared" si="4"/>
        <v>0</v>
      </c>
      <c r="K26" s="201">
        <f t="shared" si="5"/>
        <v>0</v>
      </c>
      <c r="L26" s="201">
        <f t="shared" si="6"/>
        <v>0</v>
      </c>
      <c r="M26" s="201">
        <f t="shared" si="7"/>
        <v>0</v>
      </c>
      <c r="N26" s="201">
        <f t="shared" si="8"/>
        <v>0</v>
      </c>
      <c r="O26" s="201">
        <f t="shared" si="9"/>
        <v>0</v>
      </c>
      <c r="P26" s="201">
        <f t="shared" si="17"/>
        <v>0</v>
      </c>
      <c r="Q26" s="201"/>
      <c r="R26" s="215">
        <v>0</v>
      </c>
      <c r="S26" s="201">
        <f t="shared" si="10"/>
        <v>1828298.1421840005</v>
      </c>
      <c r="T26" s="201">
        <f t="shared" si="11"/>
        <v>0</v>
      </c>
      <c r="U26" s="201">
        <f t="shared" si="11"/>
        <v>0</v>
      </c>
      <c r="V26" s="201">
        <f t="shared" si="11"/>
        <v>0</v>
      </c>
      <c r="W26" s="201"/>
      <c r="X26" s="201"/>
      <c r="Y26" s="201"/>
      <c r="Z26" s="201"/>
      <c r="AA26" s="201">
        <f t="shared" si="12"/>
        <v>1828298.1421840005</v>
      </c>
      <c r="AB26" s="201">
        <f t="shared" si="13"/>
        <v>0</v>
      </c>
      <c r="AC26" s="201">
        <f t="shared" si="14"/>
        <v>1828298.1421840005</v>
      </c>
      <c r="AD26" s="201">
        <f t="shared" si="15"/>
        <v>0</v>
      </c>
      <c r="AE26" s="201">
        <f t="shared" si="16"/>
        <v>1828298.1421840005</v>
      </c>
      <c r="AF26" s="201">
        <f t="shared" si="18"/>
        <v>-10794453.650140001</v>
      </c>
    </row>
    <row r="27" spans="1:103" s="217" customFormat="1" hidden="1" outlineLevel="1" x14ac:dyDescent="0.2">
      <c r="A27" s="216"/>
      <c r="C27" s="218"/>
      <c r="D27" s="201"/>
      <c r="E27" s="201"/>
      <c r="F27" s="201"/>
      <c r="G27" s="201"/>
      <c r="H27" s="201"/>
      <c r="I27" s="201"/>
      <c r="J27" s="201"/>
      <c r="K27" s="201"/>
      <c r="L27" s="201"/>
      <c r="M27" s="201"/>
      <c r="N27" s="201"/>
      <c r="O27" s="201"/>
      <c r="P27" s="201"/>
      <c r="Q27" s="201"/>
      <c r="R27" s="215"/>
      <c r="S27" s="201"/>
      <c r="T27" s="201"/>
      <c r="U27" s="201"/>
      <c r="V27" s="201"/>
      <c r="W27" s="201"/>
      <c r="X27" s="201"/>
      <c r="Y27" s="201"/>
      <c r="Z27" s="201"/>
      <c r="AA27" s="201"/>
      <c r="AB27" s="201"/>
      <c r="AC27" s="201"/>
      <c r="AD27" s="201"/>
      <c r="AE27" s="201"/>
      <c r="AF27" s="201"/>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row>
    <row r="28" spans="1:103" s="217" customFormat="1" hidden="1" outlineLevel="1" x14ac:dyDescent="0.2">
      <c r="A28" s="124">
        <v>2</v>
      </c>
      <c r="B28" s="64" t="s">
        <v>190</v>
      </c>
      <c r="C28" s="201">
        <v>553555.29666674999</v>
      </c>
      <c r="D28" s="201">
        <f>SUM($C$28)</f>
        <v>553555.29666674999</v>
      </c>
      <c r="E28" s="201"/>
      <c r="F28" s="201">
        <f t="shared" ref="F28:F39" si="19">IF(ABS(D28)&gt;+$F$9,IF(D28&lt;0,-$F$9,+$F$9),+D28)</f>
        <v>553555.29666674999</v>
      </c>
      <c r="G28" s="201">
        <f t="shared" ref="G28:G39" si="20">IF(ABS(D28)-ABS(F28)&gt;=$G$9,IF(D28&lt;=0,-$G$9,+$G$9),+D28-F28)</f>
        <v>0</v>
      </c>
      <c r="H28" s="201">
        <f t="shared" ref="H28:H39" si="21">IF(ABS(+D28)-ABS(SUM(F28:G28))&gt;=$H$9,IF(D28&lt;=0,-$H$9,+$H$9),+D28-SUM(F28:G28))</f>
        <v>0</v>
      </c>
      <c r="I28" s="201">
        <f t="shared" ref="I28:I39" si="22">IF(ABS(+D28)-ABS(SUM(F28:H28))&gt;=$I$9,IF(D28&lt;=0,$D28-SUM($F28:$H28),$D28-SUM($F28:$H28)),D28-SUM(F28:H28))</f>
        <v>0</v>
      </c>
      <c r="J28" s="201">
        <f t="shared" ref="J28:J39" si="23">+G28*$C$260</f>
        <v>0</v>
      </c>
      <c r="K28" s="201">
        <f t="shared" ref="K28:K39" si="24">+H28*$C$261</f>
        <v>0</v>
      </c>
      <c r="L28" s="201">
        <f t="shared" ref="L28:L39" si="25">+I28*$C$262</f>
        <v>0</v>
      </c>
      <c r="M28" s="201">
        <f t="shared" ref="M28:M39" si="26">SUM(J28:L28)+$M$26</f>
        <v>0</v>
      </c>
      <c r="N28" s="201">
        <f t="shared" ref="N28:N39" si="27">AB28*$C$264</f>
        <v>0</v>
      </c>
      <c r="O28" s="201">
        <f t="shared" ref="O28:O39" si="28">M28+N28</f>
        <v>0</v>
      </c>
      <c r="P28" s="201">
        <f>O28-O26</f>
        <v>0</v>
      </c>
      <c r="Q28" s="130"/>
      <c r="R28" s="201">
        <v>0</v>
      </c>
      <c r="S28" s="201">
        <f t="shared" ref="S28:S39" si="29">+F28</f>
        <v>553555.29666674999</v>
      </c>
      <c r="T28" s="201">
        <f t="shared" ref="T28:V39" si="30">+G28-J28</f>
        <v>0</v>
      </c>
      <c r="U28" s="201">
        <f t="shared" si="30"/>
        <v>0</v>
      </c>
      <c r="V28" s="201">
        <f t="shared" si="30"/>
        <v>0</v>
      </c>
      <c r="W28" s="201"/>
      <c r="X28" s="201"/>
      <c r="Y28" s="201"/>
      <c r="Z28" s="201"/>
      <c r="AA28" s="201">
        <f t="shared" ref="AA28:AA39" si="31">SUM(S28:V28)+$AA$26</f>
        <v>2381853.4388507502</v>
      </c>
      <c r="AB28" s="201">
        <f t="shared" ref="AB28:AB39" si="32">IF(AA28&gt;40000000,AA28-40000000,0)</f>
        <v>0</v>
      </c>
      <c r="AC28" s="201">
        <f t="shared" ref="AC28:AC39" si="33">AA28-AB28</f>
        <v>2381853.4388507502</v>
      </c>
      <c r="AD28" s="201">
        <f t="shared" ref="AD28:AD39" si="34">AB28*$D$264</f>
        <v>0</v>
      </c>
      <c r="AE28" s="201">
        <f t="shared" ref="AE28:AE39" si="35">AA28-AB28+AD28</f>
        <v>2381853.4388507502</v>
      </c>
      <c r="AF28" s="201">
        <f>AE28-AE26</f>
        <v>553555.29666674975</v>
      </c>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row>
    <row r="29" spans="1:103" s="217" customFormat="1" hidden="1" outlineLevel="1" x14ac:dyDescent="0.2">
      <c r="A29" s="124">
        <v>2</v>
      </c>
      <c r="B29" s="64" t="s">
        <v>191</v>
      </c>
      <c r="C29" s="201">
        <v>1563206.7823995384</v>
      </c>
      <c r="D29" s="201">
        <f>SUM($C$28:C29)</f>
        <v>2116762.0790662887</v>
      </c>
      <c r="E29" s="201"/>
      <c r="F29" s="201">
        <f t="shared" si="19"/>
        <v>2116762.0790662887</v>
      </c>
      <c r="G29" s="201">
        <f t="shared" si="20"/>
        <v>0</v>
      </c>
      <c r="H29" s="201">
        <f t="shared" si="21"/>
        <v>0</v>
      </c>
      <c r="I29" s="201">
        <f t="shared" si="22"/>
        <v>0</v>
      </c>
      <c r="J29" s="201">
        <f t="shared" si="23"/>
        <v>0</v>
      </c>
      <c r="K29" s="201">
        <f t="shared" si="24"/>
        <v>0</v>
      </c>
      <c r="L29" s="201">
        <f t="shared" si="25"/>
        <v>0</v>
      </c>
      <c r="M29" s="201">
        <f t="shared" si="26"/>
        <v>0</v>
      </c>
      <c r="N29" s="201">
        <f t="shared" si="27"/>
        <v>0</v>
      </c>
      <c r="O29" s="201">
        <f t="shared" si="28"/>
        <v>0</v>
      </c>
      <c r="P29" s="201">
        <f t="shared" ref="P29:P39" si="36">O29-O28</f>
        <v>0</v>
      </c>
      <c r="Q29" s="201"/>
      <c r="R29" s="201">
        <v>0</v>
      </c>
      <c r="S29" s="201">
        <f t="shared" si="29"/>
        <v>2116762.0790662887</v>
      </c>
      <c r="T29" s="201">
        <f t="shared" si="30"/>
        <v>0</v>
      </c>
      <c r="U29" s="201">
        <f t="shared" si="30"/>
        <v>0</v>
      </c>
      <c r="V29" s="201">
        <f t="shared" si="30"/>
        <v>0</v>
      </c>
      <c r="W29" s="201"/>
      <c r="X29" s="201"/>
      <c r="Y29" s="201"/>
      <c r="Z29" s="201"/>
      <c r="AA29" s="201">
        <f t="shared" si="31"/>
        <v>3945060.2212502891</v>
      </c>
      <c r="AB29" s="201">
        <f t="shared" si="32"/>
        <v>0</v>
      </c>
      <c r="AC29" s="201">
        <f t="shared" si="33"/>
        <v>3945060.2212502891</v>
      </c>
      <c r="AD29" s="201">
        <f t="shared" si="34"/>
        <v>0</v>
      </c>
      <c r="AE29" s="201">
        <f t="shared" si="35"/>
        <v>3945060.2212502891</v>
      </c>
      <c r="AF29" s="201">
        <f t="shared" ref="AF29:AF39" si="37">AE29-AE28</f>
        <v>1563206.7823995389</v>
      </c>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row>
    <row r="30" spans="1:103" s="217" customFormat="1" hidden="1" outlineLevel="1" x14ac:dyDescent="0.2">
      <c r="A30" s="124">
        <v>2</v>
      </c>
      <c r="B30" s="64" t="s">
        <v>192</v>
      </c>
      <c r="C30" s="201">
        <v>4286450.4896373283</v>
      </c>
      <c r="D30" s="201">
        <f>SUM($C$28:C30)</f>
        <v>6403212.568703617</v>
      </c>
      <c r="E30" s="201"/>
      <c r="F30" s="201">
        <f t="shared" si="19"/>
        <v>6403212.568703617</v>
      </c>
      <c r="G30" s="201">
        <f t="shared" si="20"/>
        <v>0</v>
      </c>
      <c r="H30" s="201">
        <f t="shared" si="21"/>
        <v>0</v>
      </c>
      <c r="I30" s="201">
        <f t="shared" si="22"/>
        <v>0</v>
      </c>
      <c r="J30" s="201">
        <f t="shared" si="23"/>
        <v>0</v>
      </c>
      <c r="K30" s="201">
        <f t="shared" si="24"/>
        <v>0</v>
      </c>
      <c r="L30" s="201">
        <f t="shared" si="25"/>
        <v>0</v>
      </c>
      <c r="M30" s="201">
        <f t="shared" si="26"/>
        <v>0</v>
      </c>
      <c r="N30" s="201">
        <f t="shared" si="27"/>
        <v>0</v>
      </c>
      <c r="O30" s="201">
        <f t="shared" si="28"/>
        <v>0</v>
      </c>
      <c r="P30" s="201">
        <f t="shared" si="36"/>
        <v>0</v>
      </c>
      <c r="Q30" s="201"/>
      <c r="R30" s="201">
        <v>0</v>
      </c>
      <c r="S30" s="201">
        <f t="shared" si="29"/>
        <v>6403212.568703617</v>
      </c>
      <c r="T30" s="201">
        <f t="shared" si="30"/>
        <v>0</v>
      </c>
      <c r="U30" s="201">
        <f t="shared" si="30"/>
        <v>0</v>
      </c>
      <c r="V30" s="201">
        <f t="shared" si="30"/>
        <v>0</v>
      </c>
      <c r="W30" s="201"/>
      <c r="X30" s="201"/>
      <c r="Y30" s="201"/>
      <c r="Z30" s="201"/>
      <c r="AA30" s="201">
        <f t="shared" si="31"/>
        <v>8231510.7108876174</v>
      </c>
      <c r="AB30" s="201">
        <f t="shared" si="32"/>
        <v>0</v>
      </c>
      <c r="AC30" s="201">
        <f t="shared" si="33"/>
        <v>8231510.7108876174</v>
      </c>
      <c r="AD30" s="201">
        <f t="shared" si="34"/>
        <v>0</v>
      </c>
      <c r="AE30" s="201">
        <f t="shared" si="35"/>
        <v>8231510.7108876174</v>
      </c>
      <c r="AF30" s="201">
        <f t="shared" si="37"/>
        <v>4286450.4896373283</v>
      </c>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row>
    <row r="31" spans="1:103" s="217" customFormat="1" hidden="1" outlineLevel="1" x14ac:dyDescent="0.2">
      <c r="A31" s="124">
        <v>2</v>
      </c>
      <c r="B31" s="64" t="s">
        <v>193</v>
      </c>
      <c r="C31" s="201">
        <v>5975563.4745287374</v>
      </c>
      <c r="D31" s="201">
        <f>SUM($C$28:C31)</f>
        <v>12378776.043232355</v>
      </c>
      <c r="E31" s="201"/>
      <c r="F31" s="201">
        <f t="shared" si="19"/>
        <v>12378776.043232355</v>
      </c>
      <c r="G31" s="201">
        <f t="shared" si="20"/>
        <v>0</v>
      </c>
      <c r="H31" s="201">
        <f t="shared" si="21"/>
        <v>0</v>
      </c>
      <c r="I31" s="201">
        <f t="shared" si="22"/>
        <v>0</v>
      </c>
      <c r="J31" s="201">
        <f t="shared" si="23"/>
        <v>0</v>
      </c>
      <c r="K31" s="201">
        <f t="shared" si="24"/>
        <v>0</v>
      </c>
      <c r="L31" s="201">
        <f t="shared" si="25"/>
        <v>0</v>
      </c>
      <c r="M31" s="201">
        <f t="shared" si="26"/>
        <v>0</v>
      </c>
      <c r="N31" s="201">
        <f t="shared" si="27"/>
        <v>0</v>
      </c>
      <c r="O31" s="201">
        <f t="shared" si="28"/>
        <v>0</v>
      </c>
      <c r="P31" s="201">
        <f t="shared" si="36"/>
        <v>0</v>
      </c>
      <c r="Q31" s="201"/>
      <c r="R31" s="201">
        <v>0</v>
      </c>
      <c r="S31" s="201">
        <f t="shared" si="29"/>
        <v>12378776.043232355</v>
      </c>
      <c r="T31" s="201">
        <f t="shared" si="30"/>
        <v>0</v>
      </c>
      <c r="U31" s="201">
        <f t="shared" si="30"/>
        <v>0</v>
      </c>
      <c r="V31" s="201">
        <f t="shared" si="30"/>
        <v>0</v>
      </c>
      <c r="W31" s="201"/>
      <c r="X31" s="201"/>
      <c r="Y31" s="201"/>
      <c r="Z31" s="201"/>
      <c r="AA31" s="201">
        <f t="shared" si="31"/>
        <v>14207074.185416356</v>
      </c>
      <c r="AB31" s="201">
        <f t="shared" si="32"/>
        <v>0</v>
      </c>
      <c r="AC31" s="201">
        <f t="shared" si="33"/>
        <v>14207074.185416356</v>
      </c>
      <c r="AD31" s="201">
        <f t="shared" si="34"/>
        <v>0</v>
      </c>
      <c r="AE31" s="201">
        <f t="shared" si="35"/>
        <v>14207074.185416356</v>
      </c>
      <c r="AF31" s="201">
        <f t="shared" si="37"/>
        <v>5975563.4745287383</v>
      </c>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row>
    <row r="32" spans="1:103" s="217" customFormat="1" hidden="1" outlineLevel="1" x14ac:dyDescent="0.2">
      <c r="A32" s="124">
        <v>2</v>
      </c>
      <c r="B32" s="64" t="s">
        <v>194</v>
      </c>
      <c r="C32" s="201">
        <v>2921160.2050545742</v>
      </c>
      <c r="D32" s="201">
        <f>SUM($C$28:C32)</f>
        <v>15299936.248286929</v>
      </c>
      <c r="E32" s="201"/>
      <c r="F32" s="201">
        <f t="shared" si="19"/>
        <v>15299936.248286929</v>
      </c>
      <c r="G32" s="201">
        <f t="shared" si="20"/>
        <v>0</v>
      </c>
      <c r="H32" s="201">
        <f t="shared" si="21"/>
        <v>0</v>
      </c>
      <c r="I32" s="201">
        <f t="shared" si="22"/>
        <v>0</v>
      </c>
      <c r="J32" s="201">
        <f t="shared" si="23"/>
        <v>0</v>
      </c>
      <c r="K32" s="201">
        <f t="shared" si="24"/>
        <v>0</v>
      </c>
      <c r="L32" s="201">
        <f t="shared" si="25"/>
        <v>0</v>
      </c>
      <c r="M32" s="201">
        <f t="shared" si="26"/>
        <v>0</v>
      </c>
      <c r="N32" s="201">
        <f t="shared" si="27"/>
        <v>0</v>
      </c>
      <c r="O32" s="201">
        <f t="shared" si="28"/>
        <v>0</v>
      </c>
      <c r="P32" s="201">
        <f t="shared" si="36"/>
        <v>0</v>
      </c>
      <c r="Q32" s="201"/>
      <c r="R32" s="201">
        <v>0</v>
      </c>
      <c r="S32" s="201">
        <f t="shared" si="29"/>
        <v>15299936.248286929</v>
      </c>
      <c r="T32" s="201">
        <f t="shared" si="30"/>
        <v>0</v>
      </c>
      <c r="U32" s="201">
        <f t="shared" si="30"/>
        <v>0</v>
      </c>
      <c r="V32" s="201">
        <f t="shared" si="30"/>
        <v>0</v>
      </c>
      <c r="W32" s="201"/>
      <c r="X32" s="201"/>
      <c r="Y32" s="201"/>
      <c r="Z32" s="201"/>
      <c r="AA32" s="201">
        <f t="shared" si="31"/>
        <v>17128234.390470929</v>
      </c>
      <c r="AB32" s="201">
        <f t="shared" si="32"/>
        <v>0</v>
      </c>
      <c r="AC32" s="201">
        <f t="shared" si="33"/>
        <v>17128234.390470929</v>
      </c>
      <c r="AD32" s="201">
        <f t="shared" si="34"/>
        <v>0</v>
      </c>
      <c r="AE32" s="201">
        <f t="shared" si="35"/>
        <v>17128234.390470929</v>
      </c>
      <c r="AF32" s="201">
        <f t="shared" si="37"/>
        <v>2921160.2050545737</v>
      </c>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row>
    <row r="33" spans="1:103" s="217" customFormat="1" hidden="1" outlineLevel="1" x14ac:dyDescent="0.2">
      <c r="A33" s="124">
        <v>2</v>
      </c>
      <c r="B33" s="64" t="s">
        <v>195</v>
      </c>
      <c r="C33" s="201">
        <v>3375349.0901841279</v>
      </c>
      <c r="D33" s="201">
        <f>SUM($C$28:C33)</f>
        <v>18675285.338471055</v>
      </c>
      <c r="E33" s="201"/>
      <c r="F33" s="201">
        <f t="shared" si="19"/>
        <v>18675285.338471055</v>
      </c>
      <c r="G33" s="201">
        <f t="shared" si="20"/>
        <v>0</v>
      </c>
      <c r="H33" s="201">
        <f t="shared" si="21"/>
        <v>0</v>
      </c>
      <c r="I33" s="201">
        <f t="shared" si="22"/>
        <v>0</v>
      </c>
      <c r="J33" s="201">
        <f t="shared" si="23"/>
        <v>0</v>
      </c>
      <c r="K33" s="201">
        <f t="shared" si="24"/>
        <v>0</v>
      </c>
      <c r="L33" s="201">
        <f t="shared" si="25"/>
        <v>0</v>
      </c>
      <c r="M33" s="201">
        <f t="shared" si="26"/>
        <v>0</v>
      </c>
      <c r="N33" s="201">
        <f t="shared" si="27"/>
        <v>0</v>
      </c>
      <c r="O33" s="201">
        <f t="shared" si="28"/>
        <v>0</v>
      </c>
      <c r="P33" s="201">
        <f t="shared" si="36"/>
        <v>0</v>
      </c>
      <c r="Q33" s="201"/>
      <c r="R33" s="201">
        <v>0</v>
      </c>
      <c r="S33" s="201">
        <f t="shared" si="29"/>
        <v>18675285.338471055</v>
      </c>
      <c r="T33" s="201">
        <f t="shared" si="30"/>
        <v>0</v>
      </c>
      <c r="U33" s="201">
        <f t="shared" si="30"/>
        <v>0</v>
      </c>
      <c r="V33" s="201">
        <f t="shared" si="30"/>
        <v>0</v>
      </c>
      <c r="W33" s="201"/>
      <c r="X33" s="201"/>
      <c r="Y33" s="201"/>
      <c r="Z33" s="201"/>
      <c r="AA33" s="201">
        <f t="shared" si="31"/>
        <v>20503583.480655055</v>
      </c>
      <c r="AB33" s="201">
        <f t="shared" si="32"/>
        <v>0</v>
      </c>
      <c r="AC33" s="201">
        <f t="shared" si="33"/>
        <v>20503583.480655055</v>
      </c>
      <c r="AD33" s="201">
        <f t="shared" si="34"/>
        <v>0</v>
      </c>
      <c r="AE33" s="201">
        <f t="shared" si="35"/>
        <v>20503583.480655055</v>
      </c>
      <c r="AF33" s="201">
        <f t="shared" si="37"/>
        <v>3375349.090184126</v>
      </c>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row>
    <row r="34" spans="1:103" s="217" customFormat="1" hidden="1" outlineLevel="1" x14ac:dyDescent="0.2">
      <c r="A34" s="124">
        <v>2</v>
      </c>
      <c r="B34" s="64" t="s">
        <v>196</v>
      </c>
      <c r="C34" s="201">
        <v>548855.20570934727</v>
      </c>
      <c r="D34" s="201">
        <f>SUM($C$28:C34)</f>
        <v>19224140.544180401</v>
      </c>
      <c r="E34" s="201"/>
      <c r="F34" s="201">
        <f t="shared" si="19"/>
        <v>19224140.544180401</v>
      </c>
      <c r="G34" s="201">
        <f t="shared" si="20"/>
        <v>0</v>
      </c>
      <c r="H34" s="201">
        <f t="shared" si="21"/>
        <v>0</v>
      </c>
      <c r="I34" s="201">
        <f t="shared" si="22"/>
        <v>0</v>
      </c>
      <c r="J34" s="201">
        <f t="shared" si="23"/>
        <v>0</v>
      </c>
      <c r="K34" s="201">
        <f t="shared" si="24"/>
        <v>0</v>
      </c>
      <c r="L34" s="201">
        <f t="shared" si="25"/>
        <v>0</v>
      </c>
      <c r="M34" s="201">
        <f t="shared" si="26"/>
        <v>0</v>
      </c>
      <c r="N34" s="201">
        <f t="shared" si="27"/>
        <v>0</v>
      </c>
      <c r="O34" s="201">
        <f t="shared" si="28"/>
        <v>0</v>
      </c>
      <c r="P34" s="201">
        <f t="shared" si="36"/>
        <v>0</v>
      </c>
      <c r="Q34" s="201"/>
      <c r="R34" s="201">
        <v>0</v>
      </c>
      <c r="S34" s="201">
        <f t="shared" si="29"/>
        <v>19224140.544180401</v>
      </c>
      <c r="T34" s="201">
        <f t="shared" si="30"/>
        <v>0</v>
      </c>
      <c r="U34" s="201">
        <f t="shared" si="30"/>
        <v>0</v>
      </c>
      <c r="V34" s="201">
        <f t="shared" si="30"/>
        <v>0</v>
      </c>
      <c r="W34" s="201"/>
      <c r="X34" s="201"/>
      <c r="Y34" s="201"/>
      <c r="Z34" s="201"/>
      <c r="AA34" s="201">
        <f t="shared" si="31"/>
        <v>21052438.686364401</v>
      </c>
      <c r="AB34" s="201">
        <f t="shared" si="32"/>
        <v>0</v>
      </c>
      <c r="AC34" s="201">
        <f t="shared" si="33"/>
        <v>21052438.686364401</v>
      </c>
      <c r="AD34" s="201">
        <f t="shared" si="34"/>
        <v>0</v>
      </c>
      <c r="AE34" s="201">
        <f t="shared" si="35"/>
        <v>21052438.686364401</v>
      </c>
      <c r="AF34" s="201">
        <f t="shared" si="37"/>
        <v>548855.20570934564</v>
      </c>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row>
    <row r="35" spans="1:103" s="217" customFormat="1" hidden="1" outlineLevel="1" x14ac:dyDescent="0.2">
      <c r="A35" s="124">
        <v>2</v>
      </c>
      <c r="B35" s="64" t="s">
        <v>197</v>
      </c>
      <c r="C35" s="201">
        <v>6568296.4036993841</v>
      </c>
      <c r="D35" s="201">
        <f>SUM($C$28:C35)</f>
        <v>25792436.947879784</v>
      </c>
      <c r="E35" s="201"/>
      <c r="F35" s="201">
        <f t="shared" si="19"/>
        <v>20000000</v>
      </c>
      <c r="G35" s="201">
        <f t="shared" si="20"/>
        <v>5792436.9478797838</v>
      </c>
      <c r="H35" s="201">
        <f t="shared" si="21"/>
        <v>0</v>
      </c>
      <c r="I35" s="201">
        <f t="shared" si="22"/>
        <v>0</v>
      </c>
      <c r="J35" s="201">
        <f t="shared" si="23"/>
        <v>2896218.4739398919</v>
      </c>
      <c r="K35" s="201">
        <f t="shared" si="24"/>
        <v>0</v>
      </c>
      <c r="L35" s="201">
        <f t="shared" si="25"/>
        <v>0</v>
      </c>
      <c r="M35" s="201">
        <f t="shared" si="26"/>
        <v>2896218.4739398919</v>
      </c>
      <c r="N35" s="201">
        <f t="shared" si="27"/>
        <v>0</v>
      </c>
      <c r="O35" s="201">
        <f t="shared" si="28"/>
        <v>2896218.4739398919</v>
      </c>
      <c r="P35" s="201">
        <f t="shared" si="36"/>
        <v>2896218.4739398919</v>
      </c>
      <c r="Q35" s="201"/>
      <c r="R35" s="201">
        <v>0</v>
      </c>
      <c r="S35" s="201">
        <f t="shared" si="29"/>
        <v>20000000</v>
      </c>
      <c r="T35" s="201">
        <f t="shared" si="30"/>
        <v>2896218.4739398919</v>
      </c>
      <c r="U35" s="201">
        <f t="shared" si="30"/>
        <v>0</v>
      </c>
      <c r="V35" s="201">
        <f t="shared" si="30"/>
        <v>0</v>
      </c>
      <c r="W35" s="201"/>
      <c r="X35" s="201"/>
      <c r="Y35" s="201"/>
      <c r="Z35" s="201"/>
      <c r="AA35" s="201">
        <f t="shared" si="31"/>
        <v>24724516.616123892</v>
      </c>
      <c r="AB35" s="201">
        <f t="shared" si="32"/>
        <v>0</v>
      </c>
      <c r="AC35" s="201">
        <f t="shared" si="33"/>
        <v>24724516.616123892</v>
      </c>
      <c r="AD35" s="201">
        <f t="shared" si="34"/>
        <v>0</v>
      </c>
      <c r="AE35" s="201">
        <f t="shared" si="35"/>
        <v>24724516.616123892</v>
      </c>
      <c r="AF35" s="201">
        <f t="shared" si="37"/>
        <v>3672077.9297594912</v>
      </c>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row>
    <row r="36" spans="1:103" s="217" customFormat="1" hidden="1" outlineLevel="1" x14ac:dyDescent="0.2">
      <c r="A36" s="124">
        <v>2</v>
      </c>
      <c r="B36" s="64" t="s">
        <v>198</v>
      </c>
      <c r="C36" s="201">
        <v>4108919.8459156379</v>
      </c>
      <c r="D36" s="201">
        <f>SUM($C$28:C36)</f>
        <v>29901356.793795422</v>
      </c>
      <c r="E36" s="201"/>
      <c r="F36" s="201">
        <f t="shared" si="19"/>
        <v>20000000</v>
      </c>
      <c r="G36" s="201">
        <f t="shared" si="20"/>
        <v>9901356.7937954217</v>
      </c>
      <c r="H36" s="201">
        <f t="shared" si="21"/>
        <v>0</v>
      </c>
      <c r="I36" s="201">
        <f t="shared" si="22"/>
        <v>0</v>
      </c>
      <c r="J36" s="201">
        <f t="shared" si="23"/>
        <v>4950678.3968977109</v>
      </c>
      <c r="K36" s="201">
        <f t="shared" si="24"/>
        <v>0</v>
      </c>
      <c r="L36" s="201">
        <f t="shared" si="25"/>
        <v>0</v>
      </c>
      <c r="M36" s="201">
        <f t="shared" si="26"/>
        <v>4950678.3968977109</v>
      </c>
      <c r="N36" s="201">
        <f t="shared" si="27"/>
        <v>0</v>
      </c>
      <c r="O36" s="201">
        <f t="shared" si="28"/>
        <v>4950678.3968977109</v>
      </c>
      <c r="P36" s="201">
        <f t="shared" si="36"/>
        <v>2054459.922957819</v>
      </c>
      <c r="Q36" s="201"/>
      <c r="R36" s="201">
        <v>0</v>
      </c>
      <c r="S36" s="201">
        <f t="shared" si="29"/>
        <v>20000000</v>
      </c>
      <c r="T36" s="201">
        <f t="shared" si="30"/>
        <v>4950678.3968977109</v>
      </c>
      <c r="U36" s="201">
        <f t="shared" si="30"/>
        <v>0</v>
      </c>
      <c r="V36" s="201">
        <f t="shared" si="30"/>
        <v>0</v>
      </c>
      <c r="W36" s="201"/>
      <c r="X36" s="201"/>
      <c r="Y36" s="201"/>
      <c r="Z36" s="201"/>
      <c r="AA36" s="201">
        <f t="shared" si="31"/>
        <v>26778976.539081711</v>
      </c>
      <c r="AB36" s="201">
        <f t="shared" si="32"/>
        <v>0</v>
      </c>
      <c r="AC36" s="201">
        <f t="shared" si="33"/>
        <v>26778976.539081711</v>
      </c>
      <c r="AD36" s="201">
        <f t="shared" si="34"/>
        <v>0</v>
      </c>
      <c r="AE36" s="201">
        <f t="shared" si="35"/>
        <v>26778976.539081711</v>
      </c>
      <c r="AF36" s="201">
        <f t="shared" si="37"/>
        <v>2054459.922957819</v>
      </c>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row>
    <row r="37" spans="1:103" s="217" customFormat="1" hidden="1" outlineLevel="1" x14ac:dyDescent="0.2">
      <c r="A37" s="124">
        <v>2</v>
      </c>
      <c r="B37" s="64" t="s">
        <v>199</v>
      </c>
      <c r="C37" s="201">
        <v>2768077.2235904834</v>
      </c>
      <c r="D37" s="201">
        <f>SUM($C$28:C37)</f>
        <v>32669434.017385904</v>
      </c>
      <c r="E37" s="201"/>
      <c r="F37" s="201">
        <f t="shared" si="19"/>
        <v>20000000</v>
      </c>
      <c r="G37" s="201">
        <f t="shared" si="20"/>
        <v>12669434.017385904</v>
      </c>
      <c r="H37" s="201">
        <f t="shared" si="21"/>
        <v>0</v>
      </c>
      <c r="I37" s="201">
        <f t="shared" si="22"/>
        <v>0</v>
      </c>
      <c r="J37" s="201">
        <f t="shared" si="23"/>
        <v>6334717.0086929519</v>
      </c>
      <c r="K37" s="201">
        <f t="shared" si="24"/>
        <v>0</v>
      </c>
      <c r="L37" s="201">
        <f t="shared" si="25"/>
        <v>0</v>
      </c>
      <c r="M37" s="201">
        <f t="shared" si="26"/>
        <v>6334717.0086929519</v>
      </c>
      <c r="N37" s="201">
        <f t="shared" si="27"/>
        <v>0</v>
      </c>
      <c r="O37" s="201">
        <f t="shared" si="28"/>
        <v>6334717.0086929519</v>
      </c>
      <c r="P37" s="201">
        <f t="shared" si="36"/>
        <v>1384038.611795241</v>
      </c>
      <c r="Q37" s="201"/>
      <c r="R37" s="201">
        <v>0</v>
      </c>
      <c r="S37" s="201">
        <f t="shared" si="29"/>
        <v>20000000</v>
      </c>
      <c r="T37" s="201">
        <f t="shared" si="30"/>
        <v>6334717.0086929519</v>
      </c>
      <c r="U37" s="201">
        <f t="shared" si="30"/>
        <v>0</v>
      </c>
      <c r="V37" s="201">
        <f t="shared" si="30"/>
        <v>0</v>
      </c>
      <c r="W37" s="201"/>
      <c r="X37" s="201"/>
      <c r="Y37" s="201"/>
      <c r="Z37" s="201"/>
      <c r="AA37" s="201">
        <f t="shared" si="31"/>
        <v>28163015.15087695</v>
      </c>
      <c r="AB37" s="201">
        <f t="shared" si="32"/>
        <v>0</v>
      </c>
      <c r="AC37" s="201">
        <f t="shared" si="33"/>
        <v>28163015.15087695</v>
      </c>
      <c r="AD37" s="201">
        <f t="shared" si="34"/>
        <v>0</v>
      </c>
      <c r="AE37" s="201">
        <f t="shared" si="35"/>
        <v>28163015.15087695</v>
      </c>
      <c r="AF37" s="201">
        <f t="shared" si="37"/>
        <v>1384038.6117952392</v>
      </c>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row>
    <row r="38" spans="1:103" s="217" customFormat="1" hidden="1" outlineLevel="1" x14ac:dyDescent="0.2">
      <c r="A38" s="219">
        <v>2</v>
      </c>
      <c r="B38" s="72" t="s">
        <v>200</v>
      </c>
      <c r="C38" s="201">
        <v>-6106173.5915870275</v>
      </c>
      <c r="D38" s="201">
        <f>SUM($C$28:C38)</f>
        <v>26563260.425798878</v>
      </c>
      <c r="E38" s="201"/>
      <c r="F38" s="201">
        <f t="shared" si="19"/>
        <v>20000000</v>
      </c>
      <c r="G38" s="201">
        <f t="shared" si="20"/>
        <v>6563260.4257988781</v>
      </c>
      <c r="H38" s="201">
        <f t="shared" si="21"/>
        <v>0</v>
      </c>
      <c r="I38" s="201">
        <f t="shared" si="22"/>
        <v>0</v>
      </c>
      <c r="J38" s="201">
        <f t="shared" si="23"/>
        <v>3281630.212899439</v>
      </c>
      <c r="K38" s="201">
        <f t="shared" si="24"/>
        <v>0</v>
      </c>
      <c r="L38" s="201">
        <f t="shared" si="25"/>
        <v>0</v>
      </c>
      <c r="M38" s="201">
        <f t="shared" si="26"/>
        <v>3281630.212899439</v>
      </c>
      <c r="N38" s="201">
        <f t="shared" si="27"/>
        <v>0</v>
      </c>
      <c r="O38" s="201">
        <f t="shared" si="28"/>
        <v>3281630.212899439</v>
      </c>
      <c r="P38" s="201">
        <f t="shared" si="36"/>
        <v>-3053086.7957935128</v>
      </c>
      <c r="Q38" s="201"/>
      <c r="R38" s="201">
        <v>0</v>
      </c>
      <c r="S38" s="201">
        <f t="shared" si="29"/>
        <v>20000000</v>
      </c>
      <c r="T38" s="201">
        <f t="shared" si="30"/>
        <v>3281630.212899439</v>
      </c>
      <c r="U38" s="201">
        <f t="shared" si="30"/>
        <v>0</v>
      </c>
      <c r="V38" s="201">
        <f t="shared" si="30"/>
        <v>0</v>
      </c>
      <c r="W38" s="201"/>
      <c r="X38" s="201"/>
      <c r="Y38" s="201"/>
      <c r="Z38" s="201"/>
      <c r="AA38" s="201">
        <f t="shared" si="31"/>
        <v>25109928.355083439</v>
      </c>
      <c r="AB38" s="201">
        <f t="shared" si="32"/>
        <v>0</v>
      </c>
      <c r="AC38" s="201">
        <f t="shared" si="33"/>
        <v>25109928.355083439</v>
      </c>
      <c r="AD38" s="201">
        <f t="shared" si="34"/>
        <v>0</v>
      </c>
      <c r="AE38" s="201">
        <f t="shared" si="35"/>
        <v>25109928.355083439</v>
      </c>
      <c r="AF38" s="201">
        <f t="shared" si="37"/>
        <v>-3053086.795793511</v>
      </c>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row>
    <row r="39" spans="1:103" s="217" customFormat="1" hidden="1" outlineLevel="1" x14ac:dyDescent="0.2">
      <c r="A39" s="124">
        <v>2</v>
      </c>
      <c r="B39" s="64" t="s">
        <v>201</v>
      </c>
      <c r="C39" s="201">
        <v>2988063.3860555193</v>
      </c>
      <c r="D39" s="201">
        <f>SUM($C$28:C39)</f>
        <v>29551323.811854396</v>
      </c>
      <c r="E39" s="201"/>
      <c r="F39" s="201">
        <f t="shared" si="19"/>
        <v>20000000</v>
      </c>
      <c r="G39" s="201">
        <f t="shared" si="20"/>
        <v>9551323.811854396</v>
      </c>
      <c r="H39" s="201">
        <f t="shared" si="21"/>
        <v>0</v>
      </c>
      <c r="I39" s="201">
        <f t="shared" si="22"/>
        <v>0</v>
      </c>
      <c r="J39" s="201">
        <f t="shared" si="23"/>
        <v>4775661.905927198</v>
      </c>
      <c r="K39" s="201">
        <f t="shared" si="24"/>
        <v>0</v>
      </c>
      <c r="L39" s="201">
        <f t="shared" si="25"/>
        <v>0</v>
      </c>
      <c r="M39" s="201">
        <f t="shared" si="26"/>
        <v>4775661.905927198</v>
      </c>
      <c r="N39" s="201">
        <f t="shared" si="27"/>
        <v>0</v>
      </c>
      <c r="O39" s="201">
        <f t="shared" si="28"/>
        <v>4775661.905927198</v>
      </c>
      <c r="P39" s="201">
        <f t="shared" si="36"/>
        <v>1494031.693027759</v>
      </c>
      <c r="Q39" s="201"/>
      <c r="R39" s="215">
        <v>0</v>
      </c>
      <c r="S39" s="201">
        <f t="shared" si="29"/>
        <v>20000000</v>
      </c>
      <c r="T39" s="201">
        <f t="shared" si="30"/>
        <v>4775661.905927198</v>
      </c>
      <c r="U39" s="201">
        <f t="shared" si="30"/>
        <v>0</v>
      </c>
      <c r="V39" s="201">
        <f t="shared" si="30"/>
        <v>0</v>
      </c>
      <c r="W39" s="201"/>
      <c r="X39" s="201"/>
      <c r="Y39" s="201"/>
      <c r="Z39" s="201"/>
      <c r="AA39" s="201">
        <f t="shared" si="31"/>
        <v>26603960.048111197</v>
      </c>
      <c r="AB39" s="201">
        <f t="shared" si="32"/>
        <v>0</v>
      </c>
      <c r="AC39" s="201">
        <f t="shared" si="33"/>
        <v>26603960.048111197</v>
      </c>
      <c r="AD39" s="201">
        <f t="shared" si="34"/>
        <v>0</v>
      </c>
      <c r="AE39" s="201">
        <f t="shared" si="35"/>
        <v>26603960.048111197</v>
      </c>
      <c r="AF39" s="201">
        <f t="shared" si="37"/>
        <v>1494031.6930277571</v>
      </c>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row>
    <row r="40" spans="1:103" s="217" customFormat="1" hidden="1" outlineLevel="1" x14ac:dyDescent="0.2">
      <c r="A40" s="216"/>
      <c r="C40" s="218"/>
      <c r="D40" s="201"/>
      <c r="E40" s="201"/>
      <c r="F40" s="201"/>
      <c r="G40" s="201"/>
      <c r="H40" s="201"/>
      <c r="I40" s="201"/>
      <c r="J40" s="201"/>
      <c r="K40" s="201"/>
      <c r="L40" s="201"/>
      <c r="M40" s="201"/>
      <c r="N40" s="201"/>
      <c r="O40" s="201"/>
      <c r="P40" s="201"/>
      <c r="Q40" s="201"/>
      <c r="R40" s="215"/>
      <c r="S40" s="201"/>
      <c r="T40" s="201"/>
      <c r="U40" s="201"/>
      <c r="V40" s="201"/>
      <c r="W40" s="201"/>
      <c r="X40" s="201"/>
      <c r="Y40" s="201"/>
      <c r="Z40" s="201"/>
      <c r="AA40" s="201"/>
      <c r="AB40" s="201"/>
      <c r="AC40" s="201"/>
      <c r="AD40" s="201"/>
      <c r="AE40" s="201"/>
      <c r="AF40" s="201"/>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row>
    <row r="41" spans="1:103" hidden="1" outlineLevel="1" x14ac:dyDescent="0.2">
      <c r="A41" s="124">
        <v>3</v>
      </c>
      <c r="B41" s="64" t="s">
        <v>190</v>
      </c>
      <c r="C41" s="201">
        <v>2708484.1832444821</v>
      </c>
      <c r="D41" s="201">
        <f>C41</f>
        <v>2708484.1832444821</v>
      </c>
      <c r="E41" s="201"/>
      <c r="F41" s="201">
        <f t="shared" ref="F41:F52" si="38">IF(ABS(D41)&gt;+$F$9,IF(D41&lt;0,-$F$9,+$F$9),+D41)</f>
        <v>2708484.1832444821</v>
      </c>
      <c r="G41" s="201">
        <f t="shared" ref="G41:G52" si="39">IF(ABS(D41)-ABS(F41)&gt;=$G$9,IF(D41&lt;=0,-$G$9,+$G$9),+D41-F41)</f>
        <v>0</v>
      </c>
      <c r="H41" s="201">
        <f t="shared" ref="H41:H52" si="40">IF(ABS(+D41)-ABS(SUM(F41:G41))&gt;=$H$9,IF(D41&lt;=0,-$H$9,+$H$9),+D41-SUM(F41:G41))</f>
        <v>0</v>
      </c>
      <c r="I41" s="201">
        <f t="shared" ref="I41:I52" si="41">IF(ABS(+D41)-ABS(SUM(F41:H41))&gt;=$I$9,IF(D41&lt;=0,$D41-SUM($F41:$H41),$D41-SUM($F41:$H41)),D41-SUM(F41:H41))</f>
        <v>0</v>
      </c>
      <c r="J41" s="201">
        <f t="shared" ref="J41:J52" si="42">+G41*$C$260</f>
        <v>0</v>
      </c>
      <c r="K41" s="201">
        <f t="shared" ref="K41:K52" si="43">+H41*$C$261</f>
        <v>0</v>
      </c>
      <c r="L41" s="201">
        <f t="shared" ref="L41:L52" si="44">+I41*$C$262</f>
        <v>0</v>
      </c>
      <c r="M41" s="201">
        <f t="shared" ref="M41:M52" si="45">SUM(J41:L41)+$M$39</f>
        <v>4775661.905927198</v>
      </c>
      <c r="N41" s="201">
        <f t="shared" ref="N41:N52" si="46">AB41*$C$264</f>
        <v>0</v>
      </c>
      <c r="O41" s="201">
        <f t="shared" ref="O41:O52" si="47">M41+N41</f>
        <v>4775661.905927198</v>
      </c>
      <c r="P41" s="201">
        <f>O41-O39</f>
        <v>0</v>
      </c>
      <c r="Q41" s="130"/>
      <c r="R41" s="201">
        <v>0</v>
      </c>
      <c r="S41" s="201">
        <f t="shared" ref="S41:S52" si="48">+F41</f>
        <v>2708484.1832444821</v>
      </c>
      <c r="T41" s="201">
        <f t="shared" ref="T41:V52" si="49">+G41-J41</f>
        <v>0</v>
      </c>
      <c r="U41" s="201">
        <f t="shared" si="49"/>
        <v>0</v>
      </c>
      <c r="V41" s="201">
        <f t="shared" si="49"/>
        <v>0</v>
      </c>
      <c r="W41" s="201"/>
      <c r="X41" s="201"/>
      <c r="Y41" s="201"/>
      <c r="Z41" s="201"/>
      <c r="AA41" s="201">
        <f t="shared" ref="AA41:AA52" si="50">SUM(S41:V41)+$AA$39</f>
        <v>29312444.231355678</v>
      </c>
      <c r="AB41" s="201">
        <f t="shared" ref="AB41:AB52" si="51">IF(AA41&gt;40000000,AA41-40000000,0)</f>
        <v>0</v>
      </c>
      <c r="AC41" s="201">
        <f t="shared" ref="AC41:AC52" si="52">AA41-AB41</f>
        <v>29312444.231355678</v>
      </c>
      <c r="AD41" s="201">
        <f t="shared" ref="AD41:AD52" si="53">AB41*$D$264</f>
        <v>0</v>
      </c>
      <c r="AE41" s="201">
        <f t="shared" ref="AE41:AE52" si="54">AA41-AB41+AD41</f>
        <v>29312444.231355678</v>
      </c>
      <c r="AF41" s="201">
        <f>AE41-AE39</f>
        <v>2708484.1832444817</v>
      </c>
    </row>
    <row r="42" spans="1:103" hidden="1" outlineLevel="1" x14ac:dyDescent="0.2">
      <c r="A42" s="124">
        <v>3</v>
      </c>
      <c r="B42" s="64" t="s">
        <v>191</v>
      </c>
      <c r="C42" s="201">
        <v>-1027759.6405214515</v>
      </c>
      <c r="D42" s="201">
        <f>SUM($C$41:C42)</f>
        <v>1680724.5427230308</v>
      </c>
      <c r="E42" s="201"/>
      <c r="F42" s="201">
        <f t="shared" si="38"/>
        <v>1680724.5427230308</v>
      </c>
      <c r="G42" s="201">
        <f t="shared" si="39"/>
        <v>0</v>
      </c>
      <c r="H42" s="201">
        <f t="shared" si="40"/>
        <v>0</v>
      </c>
      <c r="I42" s="201">
        <f t="shared" si="41"/>
        <v>0</v>
      </c>
      <c r="J42" s="201">
        <f t="shared" si="42"/>
        <v>0</v>
      </c>
      <c r="K42" s="201">
        <f t="shared" si="43"/>
        <v>0</v>
      </c>
      <c r="L42" s="201">
        <f t="shared" si="44"/>
        <v>0</v>
      </c>
      <c r="M42" s="201">
        <f t="shared" si="45"/>
        <v>4775661.905927198</v>
      </c>
      <c r="N42" s="201">
        <f t="shared" si="46"/>
        <v>0</v>
      </c>
      <c r="O42" s="201">
        <f t="shared" si="47"/>
        <v>4775661.905927198</v>
      </c>
      <c r="P42" s="201">
        <f t="shared" ref="P42:P52" si="55">O42-O41</f>
        <v>0</v>
      </c>
      <c r="Q42" s="201"/>
      <c r="R42" s="201">
        <v>0</v>
      </c>
      <c r="S42" s="201">
        <f t="shared" si="48"/>
        <v>1680724.5427230308</v>
      </c>
      <c r="T42" s="201">
        <f t="shared" si="49"/>
        <v>0</v>
      </c>
      <c r="U42" s="201">
        <f t="shared" si="49"/>
        <v>0</v>
      </c>
      <c r="V42" s="201">
        <f t="shared" si="49"/>
        <v>0</v>
      </c>
      <c r="W42" s="201"/>
      <c r="X42" s="201"/>
      <c r="Y42" s="201"/>
      <c r="Z42" s="201"/>
      <c r="AA42" s="201">
        <f t="shared" si="50"/>
        <v>28284684.590834226</v>
      </c>
      <c r="AB42" s="201">
        <f t="shared" si="51"/>
        <v>0</v>
      </c>
      <c r="AC42" s="201">
        <f t="shared" si="52"/>
        <v>28284684.590834226</v>
      </c>
      <c r="AD42" s="201">
        <f t="shared" si="53"/>
        <v>0</v>
      </c>
      <c r="AE42" s="201">
        <f t="shared" si="54"/>
        <v>28284684.590834226</v>
      </c>
      <c r="AF42" s="201">
        <f t="shared" ref="AF42:AF52" si="56">AE42-AE41</f>
        <v>-1027759.6405214518</v>
      </c>
    </row>
    <row r="43" spans="1:103" hidden="1" outlineLevel="1" x14ac:dyDescent="0.2">
      <c r="A43" s="124">
        <v>3</v>
      </c>
      <c r="B43" s="64" t="s">
        <v>192</v>
      </c>
      <c r="C43" s="201">
        <v>291436.92235272226</v>
      </c>
      <c r="D43" s="201">
        <f>SUM($C$41:C43)</f>
        <v>1972161.4650757532</v>
      </c>
      <c r="E43" s="201"/>
      <c r="F43" s="201">
        <f t="shared" si="38"/>
        <v>1972161.4650757532</v>
      </c>
      <c r="G43" s="201">
        <f t="shared" si="39"/>
        <v>0</v>
      </c>
      <c r="H43" s="201">
        <f t="shared" si="40"/>
        <v>0</v>
      </c>
      <c r="I43" s="201">
        <f t="shared" si="41"/>
        <v>0</v>
      </c>
      <c r="J43" s="201">
        <f t="shared" si="42"/>
        <v>0</v>
      </c>
      <c r="K43" s="201">
        <f t="shared" si="43"/>
        <v>0</v>
      </c>
      <c r="L43" s="201">
        <f t="shared" si="44"/>
        <v>0</v>
      </c>
      <c r="M43" s="201">
        <f t="shared" si="45"/>
        <v>4775661.905927198</v>
      </c>
      <c r="N43" s="201">
        <f t="shared" si="46"/>
        <v>0</v>
      </c>
      <c r="O43" s="201">
        <f t="shared" si="47"/>
        <v>4775661.905927198</v>
      </c>
      <c r="P43" s="201">
        <f t="shared" si="55"/>
        <v>0</v>
      </c>
      <c r="Q43" s="201"/>
      <c r="R43" s="201">
        <v>0</v>
      </c>
      <c r="S43" s="201">
        <f t="shared" si="48"/>
        <v>1972161.4650757532</v>
      </c>
      <c r="T43" s="201">
        <f t="shared" si="49"/>
        <v>0</v>
      </c>
      <c r="U43" s="201">
        <f t="shared" si="49"/>
        <v>0</v>
      </c>
      <c r="V43" s="201">
        <f t="shared" si="49"/>
        <v>0</v>
      </c>
      <c r="W43" s="201"/>
      <c r="X43" s="201"/>
      <c r="Y43" s="201"/>
      <c r="Z43" s="201"/>
      <c r="AA43" s="201">
        <f t="shared" si="50"/>
        <v>28576121.51318695</v>
      </c>
      <c r="AB43" s="201">
        <f t="shared" si="51"/>
        <v>0</v>
      </c>
      <c r="AC43" s="201">
        <f t="shared" si="52"/>
        <v>28576121.51318695</v>
      </c>
      <c r="AD43" s="201">
        <f t="shared" si="53"/>
        <v>0</v>
      </c>
      <c r="AE43" s="201">
        <f t="shared" si="54"/>
        <v>28576121.51318695</v>
      </c>
      <c r="AF43" s="201">
        <f t="shared" si="56"/>
        <v>291436.92235272378</v>
      </c>
    </row>
    <row r="44" spans="1:103" hidden="1" outlineLevel="1" x14ac:dyDescent="0.2">
      <c r="A44" s="124">
        <v>3</v>
      </c>
      <c r="B44" s="64" t="s">
        <v>193</v>
      </c>
      <c r="C44" s="201">
        <v>4606562.9052692913</v>
      </c>
      <c r="D44" s="201">
        <f>SUM($C$41:C44)</f>
        <v>6578724.3703450449</v>
      </c>
      <c r="E44" s="201"/>
      <c r="F44" s="201">
        <f t="shared" si="38"/>
        <v>6578724.3703450449</v>
      </c>
      <c r="G44" s="201">
        <f t="shared" si="39"/>
        <v>0</v>
      </c>
      <c r="H44" s="201">
        <f t="shared" si="40"/>
        <v>0</v>
      </c>
      <c r="I44" s="201">
        <f t="shared" si="41"/>
        <v>0</v>
      </c>
      <c r="J44" s="201">
        <f t="shared" si="42"/>
        <v>0</v>
      </c>
      <c r="K44" s="201">
        <f t="shared" si="43"/>
        <v>0</v>
      </c>
      <c r="L44" s="201">
        <f t="shared" si="44"/>
        <v>0</v>
      </c>
      <c r="M44" s="201">
        <f t="shared" si="45"/>
        <v>4775661.905927198</v>
      </c>
      <c r="N44" s="201">
        <f t="shared" si="46"/>
        <v>0</v>
      </c>
      <c r="O44" s="201">
        <f t="shared" si="47"/>
        <v>4775661.905927198</v>
      </c>
      <c r="P44" s="201">
        <f t="shared" si="55"/>
        <v>0</v>
      </c>
      <c r="Q44" s="201"/>
      <c r="R44" s="201">
        <v>0</v>
      </c>
      <c r="S44" s="201">
        <f t="shared" si="48"/>
        <v>6578724.3703450449</v>
      </c>
      <c r="T44" s="201">
        <f t="shared" si="49"/>
        <v>0</v>
      </c>
      <c r="U44" s="201">
        <f t="shared" si="49"/>
        <v>0</v>
      </c>
      <c r="V44" s="201">
        <f t="shared" si="49"/>
        <v>0</v>
      </c>
      <c r="W44" s="201"/>
      <c r="X44" s="201"/>
      <c r="Y44" s="201"/>
      <c r="Z44" s="201"/>
      <c r="AA44" s="201">
        <f t="shared" si="50"/>
        <v>33182684.418456241</v>
      </c>
      <c r="AB44" s="201">
        <f t="shared" si="51"/>
        <v>0</v>
      </c>
      <c r="AC44" s="201">
        <f t="shared" si="52"/>
        <v>33182684.418456241</v>
      </c>
      <c r="AD44" s="201">
        <f t="shared" si="53"/>
        <v>0</v>
      </c>
      <c r="AE44" s="201">
        <f t="shared" si="54"/>
        <v>33182684.418456241</v>
      </c>
      <c r="AF44" s="201">
        <f t="shared" si="56"/>
        <v>4606562.9052692913</v>
      </c>
    </row>
    <row r="45" spans="1:103" hidden="1" outlineLevel="1" x14ac:dyDescent="0.2">
      <c r="A45" s="124">
        <v>3</v>
      </c>
      <c r="B45" s="64" t="s">
        <v>194</v>
      </c>
      <c r="C45" s="201">
        <v>1935807.5931226127</v>
      </c>
      <c r="D45" s="201">
        <f>SUM($C$41:C45)</f>
        <v>8514531.9634676576</v>
      </c>
      <c r="E45" s="201"/>
      <c r="F45" s="201">
        <f t="shared" si="38"/>
        <v>8514531.9634676576</v>
      </c>
      <c r="G45" s="201">
        <f t="shared" si="39"/>
        <v>0</v>
      </c>
      <c r="H45" s="201">
        <f t="shared" si="40"/>
        <v>0</v>
      </c>
      <c r="I45" s="201">
        <f t="shared" si="41"/>
        <v>0</v>
      </c>
      <c r="J45" s="201">
        <f t="shared" si="42"/>
        <v>0</v>
      </c>
      <c r="K45" s="201">
        <f t="shared" si="43"/>
        <v>0</v>
      </c>
      <c r="L45" s="201">
        <f t="shared" si="44"/>
        <v>0</v>
      </c>
      <c r="M45" s="201">
        <f t="shared" si="45"/>
        <v>4775661.905927198</v>
      </c>
      <c r="N45" s="201">
        <f t="shared" si="46"/>
        <v>0</v>
      </c>
      <c r="O45" s="201">
        <f t="shared" si="47"/>
        <v>4775661.905927198</v>
      </c>
      <c r="P45" s="201">
        <f t="shared" si="55"/>
        <v>0</v>
      </c>
      <c r="Q45" s="201"/>
      <c r="R45" s="201">
        <v>0</v>
      </c>
      <c r="S45" s="201">
        <f t="shared" si="48"/>
        <v>8514531.9634676576</v>
      </c>
      <c r="T45" s="201">
        <f t="shared" si="49"/>
        <v>0</v>
      </c>
      <c r="U45" s="201">
        <f t="shared" si="49"/>
        <v>0</v>
      </c>
      <c r="V45" s="201">
        <f t="shared" si="49"/>
        <v>0</v>
      </c>
      <c r="W45" s="201"/>
      <c r="X45" s="201"/>
      <c r="Y45" s="201"/>
      <c r="Z45" s="201"/>
      <c r="AA45" s="201">
        <f t="shared" si="50"/>
        <v>35118492.011578858</v>
      </c>
      <c r="AB45" s="201">
        <f t="shared" si="51"/>
        <v>0</v>
      </c>
      <c r="AC45" s="201">
        <f t="shared" si="52"/>
        <v>35118492.011578858</v>
      </c>
      <c r="AD45" s="201">
        <f t="shared" si="53"/>
        <v>0</v>
      </c>
      <c r="AE45" s="201">
        <f t="shared" si="54"/>
        <v>35118492.011578858</v>
      </c>
      <c r="AF45" s="201">
        <f t="shared" si="56"/>
        <v>1935807.5931226164</v>
      </c>
    </row>
    <row r="46" spans="1:103" hidden="1" outlineLevel="1" x14ac:dyDescent="0.2">
      <c r="A46" s="124">
        <v>3</v>
      </c>
      <c r="B46" s="64" t="s">
        <v>195</v>
      </c>
      <c r="C46" s="201">
        <v>2014635.2162598781</v>
      </c>
      <c r="D46" s="201">
        <f>SUM($C$41:C46)</f>
        <v>10529167.179727536</v>
      </c>
      <c r="E46" s="201"/>
      <c r="F46" s="201">
        <f t="shared" si="38"/>
        <v>10529167.179727536</v>
      </c>
      <c r="G46" s="201">
        <f t="shared" si="39"/>
        <v>0</v>
      </c>
      <c r="H46" s="201">
        <f t="shared" si="40"/>
        <v>0</v>
      </c>
      <c r="I46" s="201">
        <f t="shared" si="41"/>
        <v>0</v>
      </c>
      <c r="J46" s="201">
        <f t="shared" si="42"/>
        <v>0</v>
      </c>
      <c r="K46" s="201">
        <f t="shared" si="43"/>
        <v>0</v>
      </c>
      <c r="L46" s="201">
        <f t="shared" si="44"/>
        <v>0</v>
      </c>
      <c r="M46" s="201">
        <f t="shared" si="45"/>
        <v>4775661.905927198</v>
      </c>
      <c r="N46" s="201">
        <f t="shared" si="46"/>
        <v>0</v>
      </c>
      <c r="O46" s="201">
        <f t="shared" si="47"/>
        <v>4775661.905927198</v>
      </c>
      <c r="P46" s="201">
        <f t="shared" si="55"/>
        <v>0</v>
      </c>
      <c r="Q46" s="201"/>
      <c r="R46" s="201">
        <v>0</v>
      </c>
      <c r="S46" s="201">
        <f t="shared" si="48"/>
        <v>10529167.179727536</v>
      </c>
      <c r="T46" s="201">
        <f t="shared" si="49"/>
        <v>0</v>
      </c>
      <c r="U46" s="201">
        <f t="shared" si="49"/>
        <v>0</v>
      </c>
      <c r="V46" s="201">
        <f t="shared" si="49"/>
        <v>0</v>
      </c>
      <c r="W46" s="201"/>
      <c r="X46" s="201"/>
      <c r="Y46" s="201"/>
      <c r="Z46" s="201"/>
      <c r="AA46" s="201">
        <f t="shared" si="50"/>
        <v>37133127.227838732</v>
      </c>
      <c r="AB46" s="201">
        <f t="shared" si="51"/>
        <v>0</v>
      </c>
      <c r="AC46" s="201">
        <f t="shared" si="52"/>
        <v>37133127.227838732</v>
      </c>
      <c r="AD46" s="201">
        <f t="shared" si="53"/>
        <v>0</v>
      </c>
      <c r="AE46" s="201">
        <f t="shared" si="54"/>
        <v>37133127.227838732</v>
      </c>
      <c r="AF46" s="201">
        <f t="shared" si="56"/>
        <v>2014635.2162598744</v>
      </c>
    </row>
    <row r="47" spans="1:103" hidden="1" outlineLevel="1" x14ac:dyDescent="0.2">
      <c r="A47" s="124">
        <v>3</v>
      </c>
      <c r="B47" s="64" t="s">
        <v>196</v>
      </c>
      <c r="C47" s="201">
        <v>3088732.0221586456</v>
      </c>
      <c r="D47" s="201">
        <f>SUM($C$41:C47)</f>
        <v>13617899.201886181</v>
      </c>
      <c r="E47" s="201"/>
      <c r="F47" s="201">
        <f t="shared" si="38"/>
        <v>13617899.201886181</v>
      </c>
      <c r="G47" s="201">
        <f t="shared" si="39"/>
        <v>0</v>
      </c>
      <c r="H47" s="201">
        <f t="shared" si="40"/>
        <v>0</v>
      </c>
      <c r="I47" s="201">
        <f t="shared" si="41"/>
        <v>0</v>
      </c>
      <c r="J47" s="201">
        <f t="shared" si="42"/>
        <v>0</v>
      </c>
      <c r="K47" s="201">
        <f t="shared" si="43"/>
        <v>0</v>
      </c>
      <c r="L47" s="201">
        <f t="shared" si="44"/>
        <v>0</v>
      </c>
      <c r="M47" s="201">
        <f t="shared" si="45"/>
        <v>4775661.905927198</v>
      </c>
      <c r="N47" s="201">
        <f t="shared" si="46"/>
        <v>219640.65749740362</v>
      </c>
      <c r="O47" s="201">
        <f t="shared" si="47"/>
        <v>4995302.5634246012</v>
      </c>
      <c r="P47" s="201">
        <f t="shared" si="55"/>
        <v>219640.65749740321</v>
      </c>
      <c r="Q47" s="201"/>
      <c r="R47" s="201">
        <v>0</v>
      </c>
      <c r="S47" s="201">
        <f t="shared" si="48"/>
        <v>13617899.201886181</v>
      </c>
      <c r="T47" s="201">
        <f t="shared" si="49"/>
        <v>0</v>
      </c>
      <c r="U47" s="201">
        <f t="shared" si="49"/>
        <v>0</v>
      </c>
      <c r="V47" s="201">
        <f t="shared" si="49"/>
        <v>0</v>
      </c>
      <c r="W47" s="201"/>
      <c r="X47" s="201"/>
      <c r="Y47" s="201"/>
      <c r="Z47" s="201"/>
      <c r="AA47" s="201">
        <f t="shared" si="50"/>
        <v>40221859.249997377</v>
      </c>
      <c r="AB47" s="201">
        <f t="shared" si="51"/>
        <v>221859.2499973774</v>
      </c>
      <c r="AC47" s="201">
        <f t="shared" si="52"/>
        <v>40000000</v>
      </c>
      <c r="AD47" s="201">
        <f t="shared" si="53"/>
        <v>2218.592499973774</v>
      </c>
      <c r="AE47" s="201">
        <f t="shared" si="54"/>
        <v>40002218.592499971</v>
      </c>
      <c r="AF47" s="201">
        <f t="shared" si="56"/>
        <v>2869091.3646612391</v>
      </c>
    </row>
    <row r="48" spans="1:103" hidden="1" outlineLevel="1" x14ac:dyDescent="0.2">
      <c r="A48" s="124">
        <v>3</v>
      </c>
      <c r="B48" s="64" t="s">
        <v>197</v>
      </c>
      <c r="C48" s="201">
        <v>5124333.8313205205</v>
      </c>
      <c r="D48" s="201">
        <f>SUM($C$41:C48)</f>
        <v>18742233.033206701</v>
      </c>
      <c r="E48" s="201"/>
      <c r="F48" s="201">
        <f t="shared" si="38"/>
        <v>18742233.033206701</v>
      </c>
      <c r="G48" s="201">
        <f t="shared" si="39"/>
        <v>0</v>
      </c>
      <c r="H48" s="201">
        <f t="shared" si="40"/>
        <v>0</v>
      </c>
      <c r="I48" s="201">
        <f t="shared" si="41"/>
        <v>0</v>
      </c>
      <c r="J48" s="201">
        <f t="shared" si="42"/>
        <v>0</v>
      </c>
      <c r="K48" s="201">
        <f t="shared" si="43"/>
        <v>0</v>
      </c>
      <c r="L48" s="201">
        <f t="shared" si="44"/>
        <v>0</v>
      </c>
      <c r="M48" s="201">
        <f t="shared" si="45"/>
        <v>4775661.905927198</v>
      </c>
      <c r="N48" s="201">
        <f t="shared" si="46"/>
        <v>5292731.1505047223</v>
      </c>
      <c r="O48" s="201">
        <f t="shared" si="47"/>
        <v>10068393.056431919</v>
      </c>
      <c r="P48" s="201">
        <f t="shared" si="55"/>
        <v>5073090.4930073181</v>
      </c>
      <c r="Q48" s="201"/>
      <c r="R48" s="201">
        <v>0</v>
      </c>
      <c r="S48" s="201">
        <f t="shared" si="48"/>
        <v>18742233.033206701</v>
      </c>
      <c r="T48" s="201">
        <f t="shared" si="49"/>
        <v>0</v>
      </c>
      <c r="U48" s="201">
        <f t="shared" si="49"/>
        <v>0</v>
      </c>
      <c r="V48" s="201">
        <f t="shared" si="49"/>
        <v>0</v>
      </c>
      <c r="W48" s="201"/>
      <c r="X48" s="201"/>
      <c r="Y48" s="201"/>
      <c r="Z48" s="201"/>
      <c r="AA48" s="201">
        <f t="shared" si="50"/>
        <v>45346193.081317902</v>
      </c>
      <c r="AB48" s="201">
        <f t="shared" si="51"/>
        <v>5346193.0813179016</v>
      </c>
      <c r="AC48" s="201">
        <f t="shared" si="52"/>
        <v>40000000</v>
      </c>
      <c r="AD48" s="201">
        <f t="shared" si="53"/>
        <v>53461.930813179017</v>
      </c>
      <c r="AE48" s="201">
        <f t="shared" si="54"/>
        <v>40053461.930813178</v>
      </c>
      <c r="AF48" s="201">
        <f t="shared" si="56"/>
        <v>51243.33831320703</v>
      </c>
    </row>
    <row r="49" spans="1:103" hidden="1" outlineLevel="1" x14ac:dyDescent="0.2">
      <c r="A49" s="124">
        <v>3</v>
      </c>
      <c r="B49" s="64" t="s">
        <v>198</v>
      </c>
      <c r="C49" s="201">
        <v>3039462.6711870255</v>
      </c>
      <c r="D49" s="201">
        <f>SUM($C$41:C49)</f>
        <v>21781695.704393726</v>
      </c>
      <c r="E49" s="201"/>
      <c r="F49" s="201">
        <f t="shared" si="38"/>
        <v>20000000</v>
      </c>
      <c r="G49" s="201">
        <f t="shared" si="39"/>
        <v>1781695.7043937258</v>
      </c>
      <c r="H49" s="201">
        <f t="shared" si="40"/>
        <v>0</v>
      </c>
      <c r="I49" s="201">
        <f t="shared" si="41"/>
        <v>0</v>
      </c>
      <c r="J49" s="201">
        <f t="shared" si="42"/>
        <v>890847.85219686292</v>
      </c>
      <c r="K49" s="201">
        <f t="shared" si="43"/>
        <v>0</v>
      </c>
      <c r="L49" s="201">
        <f t="shared" si="44"/>
        <v>0</v>
      </c>
      <c r="M49" s="201">
        <f t="shared" si="45"/>
        <v>5666509.7581240609</v>
      </c>
      <c r="N49" s="201">
        <f t="shared" si="46"/>
        <v>7419859.8213049769</v>
      </c>
      <c r="O49" s="201">
        <f t="shared" si="47"/>
        <v>13086369.579429038</v>
      </c>
      <c r="P49" s="201">
        <f t="shared" si="55"/>
        <v>3017976.5229971185</v>
      </c>
      <c r="Q49" s="201"/>
      <c r="R49" s="201">
        <v>0</v>
      </c>
      <c r="S49" s="201">
        <f t="shared" si="48"/>
        <v>20000000</v>
      </c>
      <c r="T49" s="201">
        <f t="shared" si="49"/>
        <v>890847.85219686292</v>
      </c>
      <c r="U49" s="201">
        <f t="shared" si="49"/>
        <v>0</v>
      </c>
      <c r="V49" s="201">
        <f t="shared" si="49"/>
        <v>0</v>
      </c>
      <c r="W49" s="201"/>
      <c r="X49" s="201"/>
      <c r="Y49" s="201"/>
      <c r="Z49" s="201"/>
      <c r="AA49" s="201">
        <f t="shared" si="50"/>
        <v>47494807.900308058</v>
      </c>
      <c r="AB49" s="201">
        <f t="shared" si="51"/>
        <v>7494807.9003080577</v>
      </c>
      <c r="AC49" s="201">
        <f t="shared" si="52"/>
        <v>40000000</v>
      </c>
      <c r="AD49" s="201">
        <f t="shared" si="53"/>
        <v>74948.07900308058</v>
      </c>
      <c r="AE49" s="201">
        <f t="shared" si="54"/>
        <v>40074948.079003081</v>
      </c>
      <c r="AF49" s="201">
        <f t="shared" si="56"/>
        <v>21486.148189902306</v>
      </c>
    </row>
    <row r="50" spans="1:103" hidden="1" outlineLevel="1" x14ac:dyDescent="0.2">
      <c r="A50" s="124">
        <v>3</v>
      </c>
      <c r="B50" s="64" t="s">
        <v>199</v>
      </c>
      <c r="C50" s="201">
        <v>532418.53234764596</v>
      </c>
      <c r="D50" s="201">
        <f>SUM($C$41:C50)</f>
        <v>22314114.236741371</v>
      </c>
      <c r="E50" s="201"/>
      <c r="F50" s="201">
        <f t="shared" si="38"/>
        <v>20000000</v>
      </c>
      <c r="G50" s="201">
        <f t="shared" si="39"/>
        <v>2314114.2367413715</v>
      </c>
      <c r="H50" s="201">
        <f t="shared" si="40"/>
        <v>0</v>
      </c>
      <c r="I50" s="201">
        <f t="shared" si="41"/>
        <v>0</v>
      </c>
      <c r="J50" s="201">
        <f t="shared" si="42"/>
        <v>1157057.1183706857</v>
      </c>
      <c r="K50" s="201">
        <f t="shared" si="43"/>
        <v>0</v>
      </c>
      <c r="L50" s="201">
        <f t="shared" si="44"/>
        <v>0</v>
      </c>
      <c r="M50" s="201">
        <f t="shared" si="45"/>
        <v>5932719.0242978837</v>
      </c>
      <c r="N50" s="201">
        <f t="shared" si="46"/>
        <v>7683406.9948170632</v>
      </c>
      <c r="O50" s="201">
        <f t="shared" si="47"/>
        <v>13616126.019114947</v>
      </c>
      <c r="P50" s="201">
        <f t="shared" si="55"/>
        <v>529756.43968590908</v>
      </c>
      <c r="Q50" s="201"/>
      <c r="R50" s="201">
        <v>0</v>
      </c>
      <c r="S50" s="201">
        <f t="shared" si="48"/>
        <v>20000000</v>
      </c>
      <c r="T50" s="201">
        <f t="shared" si="49"/>
        <v>1157057.1183706857</v>
      </c>
      <c r="U50" s="201">
        <f t="shared" si="49"/>
        <v>0</v>
      </c>
      <c r="V50" s="201">
        <f t="shared" si="49"/>
        <v>0</v>
      </c>
      <c r="W50" s="201"/>
      <c r="X50" s="201"/>
      <c r="Y50" s="201"/>
      <c r="Z50" s="201"/>
      <c r="AA50" s="201">
        <f t="shared" si="50"/>
        <v>47761017.166481882</v>
      </c>
      <c r="AB50" s="201">
        <f t="shared" si="51"/>
        <v>7761017.1664818823</v>
      </c>
      <c r="AC50" s="201">
        <f t="shared" si="52"/>
        <v>40000000</v>
      </c>
      <c r="AD50" s="201">
        <f t="shared" si="53"/>
        <v>77610.17166481883</v>
      </c>
      <c r="AE50" s="201">
        <f t="shared" si="54"/>
        <v>40077610.171664819</v>
      </c>
      <c r="AF50" s="201">
        <f t="shared" si="56"/>
        <v>2662.0926617383957</v>
      </c>
    </row>
    <row r="51" spans="1:103" s="72" customFormat="1" hidden="1" outlineLevel="1" x14ac:dyDescent="0.2">
      <c r="A51" s="219">
        <v>3</v>
      </c>
      <c r="B51" s="72" t="s">
        <v>200</v>
      </c>
      <c r="C51" s="201">
        <v>-13174394.520265171</v>
      </c>
      <c r="D51" s="201">
        <f>SUM($C$41:C51)</f>
        <v>9139719.7164762001</v>
      </c>
      <c r="E51" s="201"/>
      <c r="F51" s="201">
        <f t="shared" si="38"/>
        <v>9139719.7164762001</v>
      </c>
      <c r="G51" s="201">
        <f t="shared" si="39"/>
        <v>0</v>
      </c>
      <c r="H51" s="201">
        <f t="shared" si="40"/>
        <v>0</v>
      </c>
      <c r="I51" s="201">
        <f t="shared" si="41"/>
        <v>0</v>
      </c>
      <c r="J51" s="201">
        <f t="shared" si="42"/>
        <v>0</v>
      </c>
      <c r="K51" s="201">
        <f t="shared" si="43"/>
        <v>0</v>
      </c>
      <c r="L51" s="201">
        <f t="shared" si="44"/>
        <v>0</v>
      </c>
      <c r="M51" s="201">
        <f t="shared" si="45"/>
        <v>4775661.905927198</v>
      </c>
      <c r="N51" s="201">
        <f t="shared" si="46"/>
        <v>0</v>
      </c>
      <c r="O51" s="201">
        <f t="shared" si="47"/>
        <v>4775661.905927198</v>
      </c>
      <c r="P51" s="201">
        <f t="shared" si="55"/>
        <v>-8840464.1131877489</v>
      </c>
      <c r="Q51" s="201"/>
      <c r="R51" s="201">
        <v>0</v>
      </c>
      <c r="S51" s="201">
        <f t="shared" si="48"/>
        <v>9139719.7164762001</v>
      </c>
      <c r="T51" s="201">
        <f t="shared" si="49"/>
        <v>0</v>
      </c>
      <c r="U51" s="201">
        <f t="shared" si="49"/>
        <v>0</v>
      </c>
      <c r="V51" s="201">
        <f t="shared" si="49"/>
        <v>0</v>
      </c>
      <c r="W51" s="201"/>
      <c r="X51" s="201"/>
      <c r="Y51" s="201"/>
      <c r="Z51" s="201"/>
      <c r="AA51" s="201">
        <f t="shared" si="50"/>
        <v>35743679.764587395</v>
      </c>
      <c r="AB51" s="201">
        <f t="shared" si="51"/>
        <v>0</v>
      </c>
      <c r="AC51" s="201">
        <f t="shared" si="52"/>
        <v>35743679.764587395</v>
      </c>
      <c r="AD51" s="201">
        <f t="shared" si="53"/>
        <v>0</v>
      </c>
      <c r="AE51" s="201">
        <f t="shared" si="54"/>
        <v>35743679.764587395</v>
      </c>
      <c r="AF51" s="201">
        <f t="shared" si="56"/>
        <v>-4333930.4070774242</v>
      </c>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row>
    <row r="52" spans="1:103" hidden="1" outlineLevel="1" x14ac:dyDescent="0.2">
      <c r="A52" s="124">
        <v>3</v>
      </c>
      <c r="B52" s="64" t="s">
        <v>201</v>
      </c>
      <c r="C52" s="201">
        <v>817840.89653750486</v>
      </c>
      <c r="D52" s="201">
        <f>SUM($C$41:C52)</f>
        <v>9957560.6130137052</v>
      </c>
      <c r="E52" s="201"/>
      <c r="F52" s="201">
        <f t="shared" si="38"/>
        <v>9957560.6130137052</v>
      </c>
      <c r="G52" s="201">
        <f t="shared" si="39"/>
        <v>0</v>
      </c>
      <c r="H52" s="201">
        <f t="shared" si="40"/>
        <v>0</v>
      </c>
      <c r="I52" s="201">
        <f t="shared" si="41"/>
        <v>0</v>
      </c>
      <c r="J52" s="201">
        <f t="shared" si="42"/>
        <v>0</v>
      </c>
      <c r="K52" s="201">
        <f t="shared" si="43"/>
        <v>0</v>
      </c>
      <c r="L52" s="201">
        <f t="shared" si="44"/>
        <v>0</v>
      </c>
      <c r="M52" s="201">
        <f t="shared" si="45"/>
        <v>4775661.905927198</v>
      </c>
      <c r="N52" s="201">
        <f t="shared" si="46"/>
        <v>0</v>
      </c>
      <c r="O52" s="201">
        <f t="shared" si="47"/>
        <v>4775661.905927198</v>
      </c>
      <c r="P52" s="201">
        <f t="shared" si="55"/>
        <v>0</v>
      </c>
      <c r="Q52" s="201"/>
      <c r="R52" s="215">
        <v>0</v>
      </c>
      <c r="S52" s="201">
        <f t="shared" si="48"/>
        <v>9957560.6130137052</v>
      </c>
      <c r="T52" s="201">
        <f t="shared" si="49"/>
        <v>0</v>
      </c>
      <c r="U52" s="201">
        <f t="shared" si="49"/>
        <v>0</v>
      </c>
      <c r="V52" s="201">
        <f t="shared" si="49"/>
        <v>0</v>
      </c>
      <c r="W52" s="201"/>
      <c r="X52" s="201"/>
      <c r="Y52" s="201"/>
      <c r="Z52" s="201"/>
      <c r="AA52" s="201">
        <f t="shared" si="50"/>
        <v>36561520.6611249</v>
      </c>
      <c r="AB52" s="201">
        <f t="shared" si="51"/>
        <v>0</v>
      </c>
      <c r="AC52" s="201">
        <f t="shared" si="52"/>
        <v>36561520.6611249</v>
      </c>
      <c r="AD52" s="201">
        <f t="shared" si="53"/>
        <v>0</v>
      </c>
      <c r="AE52" s="201">
        <f t="shared" si="54"/>
        <v>36561520.6611249</v>
      </c>
      <c r="AF52" s="201">
        <f t="shared" si="56"/>
        <v>817840.89653750509</v>
      </c>
    </row>
    <row r="53" spans="1:103" hidden="1" outlineLevel="1" x14ac:dyDescent="0.2">
      <c r="C53" s="201"/>
      <c r="AE53" s="201"/>
      <c r="AF53" s="201"/>
    </row>
    <row r="54" spans="1:103" hidden="1" outlineLevel="1" x14ac:dyDescent="0.2">
      <c r="A54" s="124">
        <v>4</v>
      </c>
      <c r="B54" s="64" t="s">
        <v>190</v>
      </c>
      <c r="C54" s="201">
        <v>-5656190.5310666747</v>
      </c>
      <c r="D54" s="201">
        <f>C54</f>
        <v>-5656190.5310666747</v>
      </c>
      <c r="E54" s="201"/>
      <c r="F54" s="201">
        <f t="shared" ref="F54:F65" si="57">IF(ABS(D54)&gt;+$F$9,IF(D54&lt;0,-$F$9,+$F$9),+D54)</f>
        <v>-5656190.5310666747</v>
      </c>
      <c r="G54" s="201">
        <f t="shared" ref="G54:G65" si="58">IF(ABS(D54)-ABS(F54)&gt;=$G$9,IF(D54&lt;=0,-$G$9,+$G$9),+D54-F54)</f>
        <v>0</v>
      </c>
      <c r="H54" s="201">
        <f t="shared" ref="H54:H65" si="59">IF(ABS(+D54)-ABS(SUM(F54:G54))&gt;=$H$9,IF(D54&lt;=0,-$H$9,+$H$9),+D54-SUM(F54:G54))</f>
        <v>0</v>
      </c>
      <c r="I54" s="201">
        <f t="shared" ref="I54:I65" si="60">IF(ABS(+D54)-ABS(SUM(F54:H54))&gt;=$I$9,IF(D54&lt;=0,$D54-SUM($F54:$H54),$D54-SUM($F54:$H54)),D54-SUM(F54:H54))</f>
        <v>0</v>
      </c>
      <c r="J54" s="201">
        <f t="shared" ref="J54:J65" si="61">+G54*$C$260</f>
        <v>0</v>
      </c>
      <c r="K54" s="201">
        <f t="shared" ref="K54:K65" si="62">+H54*$C$261</f>
        <v>0</v>
      </c>
      <c r="L54" s="201">
        <f t="shared" ref="L54:L65" si="63">+I54*$C$262</f>
        <v>0</v>
      </c>
      <c r="M54" s="201">
        <f t="shared" ref="M54:M65" si="64">SUM(J54:L54)+$M$52</f>
        <v>4775661.905927198</v>
      </c>
      <c r="N54" s="201">
        <f t="shared" ref="N54:N65" si="65">AB54*$C$264</f>
        <v>0</v>
      </c>
      <c r="O54" s="201">
        <f t="shared" ref="O54:O65" si="66">M54+N54</f>
        <v>4775661.905927198</v>
      </c>
      <c r="P54" s="201">
        <f>O54-O52</f>
        <v>0</v>
      </c>
      <c r="Q54" s="130"/>
      <c r="R54" s="201">
        <v>0</v>
      </c>
      <c r="S54" s="201">
        <f t="shared" ref="S54:S65" si="67">+F54</f>
        <v>-5656190.5310666747</v>
      </c>
      <c r="T54" s="201">
        <f t="shared" ref="T54:V65" si="68">+G54-J54</f>
        <v>0</v>
      </c>
      <c r="U54" s="201">
        <f t="shared" si="68"/>
        <v>0</v>
      </c>
      <c r="V54" s="201">
        <f t="shared" si="68"/>
        <v>0</v>
      </c>
      <c r="W54" s="201"/>
      <c r="X54" s="201"/>
      <c r="Y54" s="201"/>
      <c r="Z54" s="201"/>
      <c r="AA54" s="201">
        <f t="shared" ref="AA54:AA65" si="69">SUM(S54:V54)+$AA$52</f>
        <v>30905330.130058225</v>
      </c>
      <c r="AB54" s="201">
        <f t="shared" ref="AB54:AB65" si="70">IF(AA54&gt;40000000,AA54-40000000,0)</f>
        <v>0</v>
      </c>
      <c r="AC54" s="201">
        <f t="shared" ref="AC54:AC65" si="71">AA54-AB54</f>
        <v>30905330.130058225</v>
      </c>
      <c r="AD54" s="201">
        <f t="shared" ref="AD54:AD65" si="72">AB54*$D$264</f>
        <v>0</v>
      </c>
      <c r="AE54" s="201">
        <f t="shared" ref="AE54:AE65" si="73">AA54-AB54+AD54</f>
        <v>30905330.130058225</v>
      </c>
      <c r="AF54" s="201">
        <f>AE54-AE52</f>
        <v>-5656190.5310666747</v>
      </c>
    </row>
    <row r="55" spans="1:103" hidden="1" outlineLevel="1" x14ac:dyDescent="0.2">
      <c r="A55" s="124">
        <v>4</v>
      </c>
      <c r="B55" s="64" t="s">
        <v>191</v>
      </c>
      <c r="C55" s="201">
        <v>-778804.94292375247</v>
      </c>
      <c r="D55" s="201">
        <f>SUM($C$54:C55)</f>
        <v>-6434995.4739904273</v>
      </c>
      <c r="E55" s="201"/>
      <c r="F55" s="201">
        <f t="shared" si="57"/>
        <v>-6434995.4739904273</v>
      </c>
      <c r="G55" s="201">
        <f t="shared" si="58"/>
        <v>0</v>
      </c>
      <c r="H55" s="201">
        <f t="shared" si="59"/>
        <v>0</v>
      </c>
      <c r="I55" s="201">
        <f t="shared" si="60"/>
        <v>0</v>
      </c>
      <c r="J55" s="201">
        <f t="shared" si="61"/>
        <v>0</v>
      </c>
      <c r="K55" s="201">
        <f t="shared" si="62"/>
        <v>0</v>
      </c>
      <c r="L55" s="201">
        <f t="shared" si="63"/>
        <v>0</v>
      </c>
      <c r="M55" s="201">
        <f t="shared" si="64"/>
        <v>4775661.905927198</v>
      </c>
      <c r="N55" s="201">
        <f t="shared" si="65"/>
        <v>0</v>
      </c>
      <c r="O55" s="201">
        <f t="shared" si="66"/>
        <v>4775661.905927198</v>
      </c>
      <c r="P55" s="201">
        <f t="shared" ref="P55:P65" si="74">O55-O54</f>
        <v>0</v>
      </c>
      <c r="Q55" s="201"/>
      <c r="R55" s="201">
        <v>0</v>
      </c>
      <c r="S55" s="201">
        <f t="shared" si="67"/>
        <v>-6434995.4739904273</v>
      </c>
      <c r="T55" s="201">
        <f t="shared" si="68"/>
        <v>0</v>
      </c>
      <c r="U55" s="201">
        <f t="shared" si="68"/>
        <v>0</v>
      </c>
      <c r="V55" s="201">
        <f t="shared" si="68"/>
        <v>0</v>
      </c>
      <c r="W55" s="201"/>
      <c r="X55" s="201"/>
      <c r="Y55" s="201"/>
      <c r="Z55" s="201"/>
      <c r="AA55" s="201">
        <f t="shared" si="69"/>
        <v>30126525.187134475</v>
      </c>
      <c r="AB55" s="201">
        <f t="shared" si="70"/>
        <v>0</v>
      </c>
      <c r="AC55" s="201">
        <f t="shared" si="71"/>
        <v>30126525.187134475</v>
      </c>
      <c r="AD55" s="201">
        <f t="shared" si="72"/>
        <v>0</v>
      </c>
      <c r="AE55" s="201">
        <f t="shared" si="73"/>
        <v>30126525.187134475</v>
      </c>
      <c r="AF55" s="201">
        <f t="shared" ref="AF55:AF65" si="75">AE55-AE54</f>
        <v>-778804.94292375073</v>
      </c>
    </row>
    <row r="56" spans="1:103" hidden="1" outlineLevel="1" x14ac:dyDescent="0.2">
      <c r="A56" s="124">
        <v>4</v>
      </c>
      <c r="B56" s="64" t="s">
        <v>192</v>
      </c>
      <c r="C56" s="201">
        <v>5337270.9880430838</v>
      </c>
      <c r="D56" s="201">
        <f>SUM($C$54:C56)</f>
        <v>-1097724.4859473435</v>
      </c>
      <c r="E56" s="201"/>
      <c r="F56" s="201">
        <f t="shared" si="57"/>
        <v>-1097724.4859473435</v>
      </c>
      <c r="G56" s="201">
        <f t="shared" si="58"/>
        <v>0</v>
      </c>
      <c r="H56" s="201">
        <f t="shared" si="59"/>
        <v>0</v>
      </c>
      <c r="I56" s="201">
        <f t="shared" si="60"/>
        <v>0</v>
      </c>
      <c r="J56" s="201">
        <f t="shared" si="61"/>
        <v>0</v>
      </c>
      <c r="K56" s="201">
        <f t="shared" si="62"/>
        <v>0</v>
      </c>
      <c r="L56" s="201">
        <f t="shared" si="63"/>
        <v>0</v>
      </c>
      <c r="M56" s="201">
        <f t="shared" si="64"/>
        <v>4775661.905927198</v>
      </c>
      <c r="N56" s="201">
        <f t="shared" si="65"/>
        <v>0</v>
      </c>
      <c r="O56" s="201">
        <f t="shared" si="66"/>
        <v>4775661.905927198</v>
      </c>
      <c r="P56" s="201">
        <f t="shared" si="74"/>
        <v>0</v>
      </c>
      <c r="Q56" s="201"/>
      <c r="R56" s="201">
        <v>0</v>
      </c>
      <c r="S56" s="201">
        <f t="shared" si="67"/>
        <v>-1097724.4859473435</v>
      </c>
      <c r="T56" s="201">
        <f t="shared" si="68"/>
        <v>0</v>
      </c>
      <c r="U56" s="201">
        <f t="shared" si="68"/>
        <v>0</v>
      </c>
      <c r="V56" s="201">
        <f t="shared" si="68"/>
        <v>0</v>
      </c>
      <c r="W56" s="201"/>
      <c r="X56" s="201"/>
      <c r="Y56" s="201"/>
      <c r="Z56" s="201"/>
      <c r="AA56" s="201">
        <f t="shared" si="69"/>
        <v>35463796.175177559</v>
      </c>
      <c r="AB56" s="201">
        <f t="shared" si="70"/>
        <v>0</v>
      </c>
      <c r="AC56" s="201">
        <f t="shared" si="71"/>
        <v>35463796.175177559</v>
      </c>
      <c r="AD56" s="201">
        <f t="shared" si="72"/>
        <v>0</v>
      </c>
      <c r="AE56" s="201">
        <f t="shared" si="73"/>
        <v>35463796.175177559</v>
      </c>
      <c r="AF56" s="201">
        <f t="shared" si="75"/>
        <v>5337270.9880430847</v>
      </c>
    </row>
    <row r="57" spans="1:103" hidden="1" outlineLevel="1" x14ac:dyDescent="0.2">
      <c r="A57" s="124">
        <v>4</v>
      </c>
      <c r="B57" s="64" t="s">
        <v>193</v>
      </c>
      <c r="C57" s="201">
        <v>5581770.5660699019</v>
      </c>
      <c r="D57" s="201">
        <f>SUM($C$54:C57)</f>
        <v>4484046.0801225584</v>
      </c>
      <c r="E57" s="201"/>
      <c r="F57" s="201">
        <f t="shared" si="57"/>
        <v>4484046.0801225584</v>
      </c>
      <c r="G57" s="201">
        <f t="shared" si="58"/>
        <v>0</v>
      </c>
      <c r="H57" s="201">
        <f t="shared" si="59"/>
        <v>0</v>
      </c>
      <c r="I57" s="201">
        <f t="shared" si="60"/>
        <v>0</v>
      </c>
      <c r="J57" s="201">
        <f t="shared" si="61"/>
        <v>0</v>
      </c>
      <c r="K57" s="201">
        <f t="shared" si="62"/>
        <v>0</v>
      </c>
      <c r="L57" s="201">
        <f t="shared" si="63"/>
        <v>0</v>
      </c>
      <c r="M57" s="201">
        <f t="shared" si="64"/>
        <v>4775661.905927198</v>
      </c>
      <c r="N57" s="201">
        <f t="shared" si="65"/>
        <v>1035111.0738349856</v>
      </c>
      <c r="O57" s="201">
        <f t="shared" si="66"/>
        <v>5810772.9797621835</v>
      </c>
      <c r="P57" s="201">
        <f t="shared" si="74"/>
        <v>1035111.0738349855</v>
      </c>
      <c r="Q57" s="201"/>
      <c r="R57" s="201">
        <v>0</v>
      </c>
      <c r="S57" s="201">
        <f t="shared" si="67"/>
        <v>4484046.0801225584</v>
      </c>
      <c r="T57" s="201">
        <f t="shared" si="68"/>
        <v>0</v>
      </c>
      <c r="U57" s="201">
        <f t="shared" si="68"/>
        <v>0</v>
      </c>
      <c r="V57" s="201">
        <f t="shared" si="68"/>
        <v>0</v>
      </c>
      <c r="W57" s="201"/>
      <c r="X57" s="201"/>
      <c r="Y57" s="201"/>
      <c r="Z57" s="201"/>
      <c r="AA57" s="201">
        <f t="shared" si="69"/>
        <v>41045566.74124746</v>
      </c>
      <c r="AB57" s="201">
        <f t="shared" si="70"/>
        <v>1045566.7412474602</v>
      </c>
      <c r="AC57" s="201">
        <f t="shared" si="71"/>
        <v>40000000</v>
      </c>
      <c r="AD57" s="201">
        <f t="shared" si="72"/>
        <v>10455.667412474602</v>
      </c>
      <c r="AE57" s="201">
        <f t="shared" si="73"/>
        <v>40010455.667412475</v>
      </c>
      <c r="AF57" s="201">
        <f t="shared" si="75"/>
        <v>4546659.4922349155</v>
      </c>
    </row>
    <row r="58" spans="1:103" hidden="1" outlineLevel="1" x14ac:dyDescent="0.2">
      <c r="A58" s="124">
        <v>4</v>
      </c>
      <c r="B58" s="64" t="s">
        <v>194</v>
      </c>
      <c r="C58" s="201">
        <v>-490502.43228308752</v>
      </c>
      <c r="D58" s="201">
        <f>SUM($C$54:C58)</f>
        <v>3993543.6478394708</v>
      </c>
      <c r="E58" s="201"/>
      <c r="F58" s="201">
        <f t="shared" si="57"/>
        <v>3993543.6478394708</v>
      </c>
      <c r="G58" s="201">
        <f t="shared" si="58"/>
        <v>0</v>
      </c>
      <c r="H58" s="201">
        <f t="shared" si="59"/>
        <v>0</v>
      </c>
      <c r="I58" s="201">
        <f t="shared" si="60"/>
        <v>0</v>
      </c>
      <c r="J58" s="201">
        <f t="shared" si="61"/>
        <v>0</v>
      </c>
      <c r="K58" s="201">
        <f t="shared" si="62"/>
        <v>0</v>
      </c>
      <c r="L58" s="201">
        <f t="shared" si="63"/>
        <v>0</v>
      </c>
      <c r="M58" s="201">
        <f t="shared" si="64"/>
        <v>4775661.905927198</v>
      </c>
      <c r="N58" s="201">
        <f t="shared" si="65"/>
        <v>549513.665874728</v>
      </c>
      <c r="O58" s="201">
        <f t="shared" si="66"/>
        <v>5325175.571801926</v>
      </c>
      <c r="P58" s="201">
        <f t="shared" si="74"/>
        <v>-485597.40796025749</v>
      </c>
      <c r="Q58" s="201"/>
      <c r="R58" s="201">
        <v>0</v>
      </c>
      <c r="S58" s="201">
        <f t="shared" si="67"/>
        <v>3993543.6478394708</v>
      </c>
      <c r="T58" s="201">
        <f t="shared" si="68"/>
        <v>0</v>
      </c>
      <c r="U58" s="201">
        <f t="shared" si="68"/>
        <v>0</v>
      </c>
      <c r="V58" s="201">
        <f t="shared" si="68"/>
        <v>0</v>
      </c>
      <c r="W58" s="201"/>
      <c r="X58" s="201"/>
      <c r="Y58" s="201"/>
      <c r="Z58" s="201"/>
      <c r="AA58" s="201">
        <f t="shared" si="69"/>
        <v>40555064.308964372</v>
      </c>
      <c r="AB58" s="201">
        <f t="shared" si="70"/>
        <v>555064.30896437168</v>
      </c>
      <c r="AC58" s="201">
        <f t="shared" si="71"/>
        <v>40000000</v>
      </c>
      <c r="AD58" s="201">
        <f t="shared" si="72"/>
        <v>5550.6430896437168</v>
      </c>
      <c r="AE58" s="201">
        <f t="shared" si="73"/>
        <v>40005550.643089645</v>
      </c>
      <c r="AF58" s="201">
        <f t="shared" si="75"/>
        <v>-4905.0243228301406</v>
      </c>
    </row>
    <row r="59" spans="1:103" hidden="1" outlineLevel="1" x14ac:dyDescent="0.2">
      <c r="A59" s="124">
        <v>4</v>
      </c>
      <c r="B59" s="64" t="s">
        <v>195</v>
      </c>
      <c r="C59" s="201">
        <v>10426247.006528493</v>
      </c>
      <c r="D59" s="201">
        <f>SUM($C$54:C59)</f>
        <v>14419790.654367965</v>
      </c>
      <c r="E59" s="201"/>
      <c r="F59" s="201">
        <f t="shared" si="57"/>
        <v>14419790.654367965</v>
      </c>
      <c r="G59" s="201">
        <f t="shared" si="58"/>
        <v>0</v>
      </c>
      <c r="H59" s="201">
        <f t="shared" si="59"/>
        <v>0</v>
      </c>
      <c r="I59" s="201">
        <f t="shared" si="60"/>
        <v>0</v>
      </c>
      <c r="J59" s="201">
        <f t="shared" si="61"/>
        <v>0</v>
      </c>
      <c r="K59" s="201">
        <f t="shared" si="62"/>
        <v>0</v>
      </c>
      <c r="L59" s="201">
        <f t="shared" si="63"/>
        <v>0</v>
      </c>
      <c r="M59" s="201">
        <f t="shared" si="64"/>
        <v>4775661.905927198</v>
      </c>
      <c r="N59" s="201">
        <f t="shared" si="65"/>
        <v>10871498.202337939</v>
      </c>
      <c r="O59" s="201">
        <f t="shared" si="66"/>
        <v>15647160.108265137</v>
      </c>
      <c r="P59" s="201">
        <f t="shared" si="74"/>
        <v>10321984.536463212</v>
      </c>
      <c r="Q59" s="201"/>
      <c r="R59" s="201">
        <v>0</v>
      </c>
      <c r="S59" s="201">
        <f t="shared" si="67"/>
        <v>14419790.654367965</v>
      </c>
      <c r="T59" s="201">
        <f t="shared" si="68"/>
        <v>0</v>
      </c>
      <c r="U59" s="201">
        <f t="shared" si="68"/>
        <v>0</v>
      </c>
      <c r="V59" s="201">
        <f t="shared" si="68"/>
        <v>0</v>
      </c>
      <c r="W59" s="201"/>
      <c r="X59" s="201"/>
      <c r="Y59" s="201"/>
      <c r="Z59" s="201"/>
      <c r="AA59" s="201">
        <f t="shared" si="69"/>
        <v>50981311.315492868</v>
      </c>
      <c r="AB59" s="201">
        <f t="shared" si="70"/>
        <v>10981311.315492868</v>
      </c>
      <c r="AC59" s="201">
        <f t="shared" si="71"/>
        <v>40000000</v>
      </c>
      <c r="AD59" s="201">
        <f t="shared" si="72"/>
        <v>109813.11315492868</v>
      </c>
      <c r="AE59" s="201">
        <f t="shared" si="73"/>
        <v>40109813.113154925</v>
      </c>
      <c r="AF59" s="201">
        <f t="shared" si="75"/>
        <v>104262.4700652808</v>
      </c>
    </row>
    <row r="60" spans="1:103" hidden="1" outlineLevel="1" x14ac:dyDescent="0.2">
      <c r="A60" s="124">
        <v>4</v>
      </c>
      <c r="B60" s="64" t="s">
        <v>196</v>
      </c>
      <c r="C60" s="201">
        <v>-2659903.0297946916</v>
      </c>
      <c r="D60" s="201">
        <f>SUM($C$54:C60)</f>
        <v>11759887.624573274</v>
      </c>
      <c r="E60" s="201"/>
      <c r="F60" s="201">
        <f t="shared" si="57"/>
        <v>11759887.624573274</v>
      </c>
      <c r="G60" s="201">
        <f t="shared" si="58"/>
        <v>0</v>
      </c>
      <c r="H60" s="201">
        <f t="shared" si="59"/>
        <v>0</v>
      </c>
      <c r="I60" s="201">
        <f t="shared" si="60"/>
        <v>0</v>
      </c>
      <c r="J60" s="201">
        <f t="shared" si="61"/>
        <v>0</v>
      </c>
      <c r="K60" s="201">
        <f t="shared" si="62"/>
        <v>0</v>
      </c>
      <c r="L60" s="201">
        <f t="shared" si="63"/>
        <v>0</v>
      </c>
      <c r="M60" s="201">
        <f t="shared" si="64"/>
        <v>4775661.905927198</v>
      </c>
      <c r="N60" s="201">
        <f t="shared" si="65"/>
        <v>8238194.2028411934</v>
      </c>
      <c r="O60" s="201">
        <f t="shared" si="66"/>
        <v>13013856.108768392</v>
      </c>
      <c r="P60" s="201">
        <f t="shared" si="74"/>
        <v>-2633303.9994967449</v>
      </c>
      <c r="Q60" s="201"/>
      <c r="R60" s="201">
        <v>0</v>
      </c>
      <c r="S60" s="201">
        <f t="shared" si="67"/>
        <v>11759887.624573274</v>
      </c>
      <c r="T60" s="201">
        <f t="shared" si="68"/>
        <v>0</v>
      </c>
      <c r="U60" s="201">
        <f t="shared" si="68"/>
        <v>0</v>
      </c>
      <c r="V60" s="201">
        <f t="shared" si="68"/>
        <v>0</v>
      </c>
      <c r="W60" s="201"/>
      <c r="X60" s="201"/>
      <c r="Y60" s="201"/>
      <c r="Z60" s="201"/>
      <c r="AA60" s="201">
        <f t="shared" si="69"/>
        <v>48321408.285698175</v>
      </c>
      <c r="AB60" s="201">
        <f t="shared" si="70"/>
        <v>8321408.2856981754</v>
      </c>
      <c r="AC60" s="201">
        <f t="shared" si="71"/>
        <v>40000000</v>
      </c>
      <c r="AD60" s="201">
        <f t="shared" si="72"/>
        <v>83214.082856981753</v>
      </c>
      <c r="AE60" s="201">
        <f t="shared" si="73"/>
        <v>40083214.082856983</v>
      </c>
      <c r="AF60" s="201">
        <f t="shared" si="75"/>
        <v>-26599.03029794246</v>
      </c>
    </row>
    <row r="61" spans="1:103" hidden="1" outlineLevel="1" x14ac:dyDescent="0.2">
      <c r="A61" s="124">
        <v>4</v>
      </c>
      <c r="B61" s="64" t="s">
        <v>197</v>
      </c>
      <c r="C61" s="201">
        <v>2217731.9573790641</v>
      </c>
      <c r="D61" s="201">
        <f>SUM($C$54:C61)</f>
        <v>13977619.581952337</v>
      </c>
      <c r="E61" s="201"/>
      <c r="F61" s="201">
        <f t="shared" si="57"/>
        <v>13977619.581952337</v>
      </c>
      <c r="G61" s="201">
        <f t="shared" si="58"/>
        <v>0</v>
      </c>
      <c r="H61" s="201">
        <f t="shared" si="59"/>
        <v>0</v>
      </c>
      <c r="I61" s="201">
        <f t="shared" si="60"/>
        <v>0</v>
      </c>
      <c r="J61" s="201">
        <f t="shared" si="61"/>
        <v>0</v>
      </c>
      <c r="K61" s="201">
        <f t="shared" si="62"/>
        <v>0</v>
      </c>
      <c r="L61" s="201">
        <f t="shared" si="63"/>
        <v>0</v>
      </c>
      <c r="M61" s="201">
        <f t="shared" si="64"/>
        <v>4775661.905927198</v>
      </c>
      <c r="N61" s="201">
        <f t="shared" si="65"/>
        <v>10433748.840646461</v>
      </c>
      <c r="O61" s="201">
        <f t="shared" si="66"/>
        <v>15209410.746573659</v>
      </c>
      <c r="P61" s="201">
        <f t="shared" si="74"/>
        <v>2195554.6378052663</v>
      </c>
      <c r="Q61" s="201"/>
      <c r="R61" s="201">
        <v>0</v>
      </c>
      <c r="S61" s="201">
        <f t="shared" si="67"/>
        <v>13977619.581952337</v>
      </c>
      <c r="T61" s="201">
        <f t="shared" si="68"/>
        <v>0</v>
      </c>
      <c r="U61" s="201">
        <f t="shared" si="68"/>
        <v>0</v>
      </c>
      <c r="V61" s="201">
        <f t="shared" si="68"/>
        <v>0</v>
      </c>
      <c r="W61" s="201"/>
      <c r="X61" s="201"/>
      <c r="Y61" s="201"/>
      <c r="Z61" s="201"/>
      <c r="AA61" s="201">
        <f t="shared" si="69"/>
        <v>50539140.243077233</v>
      </c>
      <c r="AB61" s="201">
        <f t="shared" si="70"/>
        <v>10539140.243077233</v>
      </c>
      <c r="AC61" s="201">
        <f t="shared" si="71"/>
        <v>40000000</v>
      </c>
      <c r="AD61" s="201">
        <f t="shared" si="72"/>
        <v>105391.40243077233</v>
      </c>
      <c r="AE61" s="201">
        <f t="shared" si="73"/>
        <v>40105391.402430773</v>
      </c>
      <c r="AF61" s="201">
        <f t="shared" si="75"/>
        <v>22177.319573789835</v>
      </c>
    </row>
    <row r="62" spans="1:103" hidden="1" outlineLevel="1" x14ac:dyDescent="0.2">
      <c r="A62" s="124">
        <v>4</v>
      </c>
      <c r="B62" s="64" t="s">
        <v>198</v>
      </c>
      <c r="C62" s="201">
        <v>7042848.0479315566</v>
      </c>
      <c r="D62" s="201">
        <f>SUM($C$54:C62)</f>
        <v>21020467.629883893</v>
      </c>
      <c r="E62" s="201"/>
      <c r="F62" s="201">
        <f t="shared" si="57"/>
        <v>20000000</v>
      </c>
      <c r="G62" s="201">
        <f t="shared" si="58"/>
        <v>1020467.6298838928</v>
      </c>
      <c r="H62" s="201">
        <f t="shared" si="59"/>
        <v>0</v>
      </c>
      <c r="I62" s="201">
        <f t="shared" si="60"/>
        <v>0</v>
      </c>
      <c r="J62" s="201">
        <f t="shared" si="61"/>
        <v>510233.81494194642</v>
      </c>
      <c r="K62" s="201">
        <f t="shared" si="62"/>
        <v>0</v>
      </c>
      <c r="L62" s="201">
        <f t="shared" si="63"/>
        <v>0</v>
      </c>
      <c r="M62" s="201">
        <f t="shared" si="64"/>
        <v>5285895.7208691444</v>
      </c>
      <c r="N62" s="201">
        <f t="shared" si="65"/>
        <v>16901036.931306176</v>
      </c>
      <c r="O62" s="201">
        <f t="shared" si="66"/>
        <v>22186932.652175322</v>
      </c>
      <c r="P62" s="201">
        <f t="shared" si="74"/>
        <v>6977521.9056016635</v>
      </c>
      <c r="Q62" s="201"/>
      <c r="R62" s="201">
        <v>0</v>
      </c>
      <c r="S62" s="201">
        <f t="shared" si="67"/>
        <v>20000000</v>
      </c>
      <c r="T62" s="201">
        <f t="shared" si="68"/>
        <v>510233.81494194642</v>
      </c>
      <c r="U62" s="201">
        <f t="shared" si="68"/>
        <v>0</v>
      </c>
      <c r="V62" s="201">
        <f t="shared" si="68"/>
        <v>0</v>
      </c>
      <c r="W62" s="201"/>
      <c r="X62" s="201"/>
      <c r="Y62" s="201"/>
      <c r="Z62" s="201"/>
      <c r="AA62" s="201">
        <f t="shared" si="69"/>
        <v>57071754.476066843</v>
      </c>
      <c r="AB62" s="201">
        <f t="shared" si="70"/>
        <v>17071754.476066843</v>
      </c>
      <c r="AC62" s="201">
        <f t="shared" si="71"/>
        <v>40000000</v>
      </c>
      <c r="AD62" s="201">
        <f t="shared" si="72"/>
        <v>170717.54476066842</v>
      </c>
      <c r="AE62" s="201">
        <f t="shared" si="73"/>
        <v>40170717.544760667</v>
      </c>
      <c r="AF62" s="201">
        <f t="shared" si="75"/>
        <v>65326.142329894006</v>
      </c>
    </row>
    <row r="63" spans="1:103" hidden="1" outlineLevel="1" x14ac:dyDescent="0.2">
      <c r="A63" s="124">
        <v>4</v>
      </c>
      <c r="B63" s="64" t="s">
        <v>199</v>
      </c>
      <c r="C63" s="201">
        <v>-9517288.6772128306</v>
      </c>
      <c r="D63" s="201">
        <f>SUM($C$54:C63)</f>
        <v>11503178.952671062</v>
      </c>
      <c r="E63" s="201"/>
      <c r="F63" s="201">
        <f t="shared" si="57"/>
        <v>11503178.952671062</v>
      </c>
      <c r="G63" s="201">
        <f t="shared" si="58"/>
        <v>0</v>
      </c>
      <c r="H63" s="201">
        <f t="shared" si="59"/>
        <v>0</v>
      </c>
      <c r="I63" s="201">
        <f t="shared" si="60"/>
        <v>0</v>
      </c>
      <c r="J63" s="201">
        <f t="shared" si="61"/>
        <v>0</v>
      </c>
      <c r="K63" s="201">
        <f t="shared" si="62"/>
        <v>0</v>
      </c>
      <c r="L63" s="201">
        <f t="shared" si="63"/>
        <v>0</v>
      </c>
      <c r="M63" s="201">
        <f t="shared" si="64"/>
        <v>4775661.905927198</v>
      </c>
      <c r="N63" s="201">
        <f t="shared" si="65"/>
        <v>7984052.617658006</v>
      </c>
      <c r="O63" s="201">
        <f t="shared" si="66"/>
        <v>12759714.523585204</v>
      </c>
      <c r="P63" s="201">
        <f t="shared" si="74"/>
        <v>-9427218.1285901181</v>
      </c>
      <c r="Q63" s="201"/>
      <c r="R63" s="201">
        <v>0</v>
      </c>
      <c r="S63" s="201">
        <f t="shared" si="67"/>
        <v>11503178.952671062</v>
      </c>
      <c r="T63" s="201">
        <f t="shared" si="68"/>
        <v>0</v>
      </c>
      <c r="U63" s="201">
        <f t="shared" si="68"/>
        <v>0</v>
      </c>
      <c r="V63" s="201">
        <f t="shared" si="68"/>
        <v>0</v>
      </c>
      <c r="W63" s="201"/>
      <c r="X63" s="201"/>
      <c r="Y63" s="201"/>
      <c r="Z63" s="201"/>
      <c r="AA63" s="201">
        <f t="shared" si="69"/>
        <v>48064699.613795966</v>
      </c>
      <c r="AB63" s="201">
        <f t="shared" si="70"/>
        <v>8064699.6137959659</v>
      </c>
      <c r="AC63" s="201">
        <f t="shared" si="71"/>
        <v>40000000</v>
      </c>
      <c r="AD63" s="201">
        <f t="shared" si="72"/>
        <v>80646.996137959664</v>
      </c>
      <c r="AE63" s="201">
        <f t="shared" si="73"/>
        <v>40080646.996137962</v>
      </c>
      <c r="AF63" s="201">
        <f t="shared" si="75"/>
        <v>-90070.548622705042</v>
      </c>
    </row>
    <row r="64" spans="1:103" s="72" customFormat="1" hidden="1" outlineLevel="1" x14ac:dyDescent="0.2">
      <c r="A64" s="219">
        <v>4</v>
      </c>
      <c r="B64" s="72" t="s">
        <v>200</v>
      </c>
      <c r="C64" s="201">
        <v>-18817955.459180169</v>
      </c>
      <c r="D64" s="201">
        <f>SUM($C$54:C64)</f>
        <v>-7314776.5065091066</v>
      </c>
      <c r="E64" s="201"/>
      <c r="F64" s="201">
        <f t="shared" si="57"/>
        <v>-7314776.5065091066</v>
      </c>
      <c r="G64" s="201">
        <f t="shared" si="58"/>
        <v>0</v>
      </c>
      <c r="H64" s="201">
        <f t="shared" si="59"/>
        <v>0</v>
      </c>
      <c r="I64" s="201">
        <f t="shared" si="60"/>
        <v>0</v>
      </c>
      <c r="J64" s="201">
        <f t="shared" si="61"/>
        <v>0</v>
      </c>
      <c r="K64" s="201">
        <f t="shared" si="62"/>
        <v>0</v>
      </c>
      <c r="L64" s="201">
        <f t="shared" si="63"/>
        <v>0</v>
      </c>
      <c r="M64" s="201">
        <f t="shared" si="64"/>
        <v>4775661.905927198</v>
      </c>
      <c r="N64" s="201">
        <f t="shared" si="65"/>
        <v>0</v>
      </c>
      <c r="O64" s="201">
        <f t="shared" si="66"/>
        <v>4775661.905927198</v>
      </c>
      <c r="P64" s="201">
        <f t="shared" si="74"/>
        <v>-7984052.617658006</v>
      </c>
      <c r="Q64" s="201"/>
      <c r="R64" s="201">
        <v>0</v>
      </c>
      <c r="S64" s="201">
        <f t="shared" si="67"/>
        <v>-7314776.5065091066</v>
      </c>
      <c r="T64" s="201">
        <f t="shared" si="68"/>
        <v>0</v>
      </c>
      <c r="U64" s="201">
        <f t="shared" si="68"/>
        <v>0</v>
      </c>
      <c r="V64" s="201">
        <f t="shared" si="68"/>
        <v>0</v>
      </c>
      <c r="W64" s="201"/>
      <c r="X64" s="201"/>
      <c r="Y64" s="201"/>
      <c r="Z64" s="201"/>
      <c r="AA64" s="201">
        <f t="shared" si="69"/>
        <v>29246744.154615793</v>
      </c>
      <c r="AB64" s="201">
        <f t="shared" si="70"/>
        <v>0</v>
      </c>
      <c r="AC64" s="201">
        <f t="shared" si="71"/>
        <v>29246744.154615793</v>
      </c>
      <c r="AD64" s="201">
        <f t="shared" si="72"/>
        <v>0</v>
      </c>
      <c r="AE64" s="201">
        <f t="shared" si="73"/>
        <v>29246744.154615793</v>
      </c>
      <c r="AF64" s="201">
        <f t="shared" si="75"/>
        <v>-10833902.841522168</v>
      </c>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row>
    <row r="65" spans="1:32" hidden="1" outlineLevel="1" x14ac:dyDescent="0.2">
      <c r="A65" s="124">
        <v>4</v>
      </c>
      <c r="B65" s="64" t="s">
        <v>201</v>
      </c>
      <c r="C65" s="201">
        <v>-5060711.3535394911</v>
      </c>
      <c r="D65" s="201">
        <f>SUM($C$54:C65)</f>
        <v>-12375487.860048598</v>
      </c>
      <c r="E65" s="201"/>
      <c r="F65" s="201">
        <f t="shared" si="57"/>
        <v>-12375487.860048598</v>
      </c>
      <c r="G65" s="201">
        <f t="shared" si="58"/>
        <v>0</v>
      </c>
      <c r="H65" s="201">
        <f t="shared" si="59"/>
        <v>0</v>
      </c>
      <c r="I65" s="201">
        <f t="shared" si="60"/>
        <v>0</v>
      </c>
      <c r="J65" s="201">
        <f t="shared" si="61"/>
        <v>0</v>
      </c>
      <c r="K65" s="201">
        <f t="shared" si="62"/>
        <v>0</v>
      </c>
      <c r="L65" s="201">
        <f t="shared" si="63"/>
        <v>0</v>
      </c>
      <c r="M65" s="201">
        <f t="shared" si="64"/>
        <v>4775661.905927198</v>
      </c>
      <c r="N65" s="201">
        <f t="shared" si="65"/>
        <v>0</v>
      </c>
      <c r="O65" s="201">
        <f t="shared" si="66"/>
        <v>4775661.905927198</v>
      </c>
      <c r="P65" s="201">
        <f t="shared" si="74"/>
        <v>0</v>
      </c>
      <c r="Q65" s="201"/>
      <c r="R65" s="215">
        <v>0</v>
      </c>
      <c r="S65" s="201">
        <f t="shared" si="67"/>
        <v>-12375487.860048598</v>
      </c>
      <c r="T65" s="201">
        <f t="shared" si="68"/>
        <v>0</v>
      </c>
      <c r="U65" s="201">
        <f t="shared" si="68"/>
        <v>0</v>
      </c>
      <c r="V65" s="201">
        <f t="shared" si="68"/>
        <v>0</v>
      </c>
      <c r="W65" s="201"/>
      <c r="X65" s="201"/>
      <c r="Y65" s="201"/>
      <c r="Z65" s="201"/>
      <c r="AA65" s="201">
        <f t="shared" si="69"/>
        <v>24186032.8010763</v>
      </c>
      <c r="AB65" s="201">
        <f t="shared" si="70"/>
        <v>0</v>
      </c>
      <c r="AC65" s="201">
        <f t="shared" si="71"/>
        <v>24186032.8010763</v>
      </c>
      <c r="AD65" s="201">
        <f t="shared" si="72"/>
        <v>0</v>
      </c>
      <c r="AE65" s="201">
        <f t="shared" si="73"/>
        <v>24186032.8010763</v>
      </c>
      <c r="AF65" s="201">
        <f t="shared" si="75"/>
        <v>-5060711.3535394929</v>
      </c>
    </row>
    <row r="66" spans="1:32" hidden="1" outlineLevel="1" x14ac:dyDescent="0.2">
      <c r="A66" s="124"/>
      <c r="C66" s="201"/>
      <c r="D66" s="201"/>
      <c r="E66" s="201"/>
      <c r="F66" s="201"/>
      <c r="G66" s="201"/>
      <c r="H66" s="201"/>
      <c r="I66" s="201"/>
      <c r="J66" s="201"/>
      <c r="K66" s="201"/>
      <c r="L66" s="201"/>
      <c r="M66" s="201"/>
      <c r="N66" s="201"/>
      <c r="O66" s="201"/>
      <c r="P66" s="201"/>
      <c r="Q66" s="201"/>
      <c r="R66" s="215"/>
      <c r="S66" s="201"/>
      <c r="T66" s="201"/>
      <c r="U66" s="201"/>
      <c r="V66" s="201"/>
      <c r="W66" s="201"/>
      <c r="X66" s="201"/>
      <c r="Y66" s="201"/>
      <c r="Z66" s="201"/>
      <c r="AA66" s="201"/>
      <c r="AB66" s="130"/>
      <c r="AC66" s="130"/>
      <c r="AD66" s="130"/>
      <c r="AE66" s="201"/>
      <c r="AF66" s="201"/>
    </row>
    <row r="67" spans="1:32" hidden="1" outlineLevel="1" x14ac:dyDescent="0.2">
      <c r="A67" s="124">
        <v>5</v>
      </c>
      <c r="B67" s="64" t="s">
        <v>190</v>
      </c>
      <c r="C67" s="201">
        <v>-15760896.525959512</v>
      </c>
      <c r="D67" s="201">
        <f>C67</f>
        <v>-15760896.525959512</v>
      </c>
      <c r="E67" s="201"/>
      <c r="F67" s="201">
        <f t="shared" ref="F67:F72" si="76">IF(ABS(D67)&gt;+$F$10,IF(D67&lt;0,-$F$10,+$F$10),+D67)</f>
        <v>-10000000</v>
      </c>
      <c r="G67" s="201">
        <f t="shared" ref="G67:G72" si="77">IF(ABS(D67)-ABS(F67)&gt;=$G$10,IF(D67&lt;=0,-$G$10,+$G$10),+D67-F67)</f>
        <v>-5760896.5259595122</v>
      </c>
      <c r="H67" s="201">
        <f t="shared" ref="H67:H72" si="78">IF(ABS(+D67)-ABS(SUM(F67:G67))&gt;=$H$10,IF(D67&lt;=0,-$H$10,+$H$10),+D67-SUM(F67:G67))</f>
        <v>0</v>
      </c>
      <c r="I67" s="201">
        <f t="shared" ref="I67:I72" si="79">IF(ABS(+D67)-ABS(SUM(F67:H67))&gt;=$I$10,IF(D67&lt;=0,$D67-SUM($F67:$H67),$D67-SUM($F67:$H67)),D67-SUM(F67:H67))</f>
        <v>0</v>
      </c>
      <c r="J67" s="201">
        <f t="shared" ref="J67:J72" si="80">+G67*$C$260</f>
        <v>-2880448.2629797561</v>
      </c>
      <c r="K67" s="201">
        <f t="shared" ref="K67:K72" si="81">+H67*$C$261</f>
        <v>0</v>
      </c>
      <c r="L67" s="201">
        <f t="shared" ref="L67:L72" si="82">+I67*$C$262</f>
        <v>0</v>
      </c>
      <c r="M67" s="201">
        <f t="shared" ref="M67:M72" si="83">SUM(J67:L67)+$M$65</f>
        <v>1895213.6429474419</v>
      </c>
      <c r="N67" s="130">
        <v>0</v>
      </c>
      <c r="O67" s="201">
        <f t="shared" ref="O67:O72" si="84">M67+N67</f>
        <v>1895213.6429474419</v>
      </c>
      <c r="P67" s="201">
        <f>O67-O65</f>
        <v>-2880448.2629797561</v>
      </c>
      <c r="Q67" s="130"/>
      <c r="R67" s="201">
        <v>0</v>
      </c>
      <c r="S67" s="201">
        <f t="shared" ref="S67:S72" si="85">+F67</f>
        <v>-10000000</v>
      </c>
      <c r="T67" s="201">
        <f t="shared" ref="T67:V72" si="86">+G67-J67</f>
        <v>-2880448.2629797561</v>
      </c>
      <c r="U67" s="201">
        <f t="shared" si="86"/>
        <v>0</v>
      </c>
      <c r="V67" s="201">
        <f t="shared" si="86"/>
        <v>0</v>
      </c>
      <c r="W67" s="201"/>
      <c r="X67" s="201"/>
      <c r="Y67" s="201"/>
      <c r="Z67" s="201"/>
      <c r="AA67" s="201">
        <f t="shared" ref="AA67:AA72" si="87">SUM(S67:V67)+$AA$65</f>
        <v>11305584.538096543</v>
      </c>
      <c r="AB67" s="130">
        <v>0</v>
      </c>
      <c r="AC67" s="130">
        <f t="shared" ref="AC67:AC72" si="88">AA67-AB67</f>
        <v>11305584.538096543</v>
      </c>
      <c r="AD67" s="130">
        <v>0</v>
      </c>
      <c r="AE67" s="201">
        <f t="shared" ref="AE67:AE72" si="89">AA67-AB67+AD67</f>
        <v>11305584.538096543</v>
      </c>
      <c r="AF67" s="201">
        <f>AE67-AE65</f>
        <v>-12880448.262979757</v>
      </c>
    </row>
    <row r="68" spans="1:32" hidden="1" outlineLevel="1" x14ac:dyDescent="0.2">
      <c r="A68" s="124">
        <v>5</v>
      </c>
      <c r="B68" s="64" t="s">
        <v>191</v>
      </c>
      <c r="C68" s="201">
        <v>-7081098.7945827385</v>
      </c>
      <c r="D68" s="201">
        <f>SUM($C$67:C68)</f>
        <v>-22841995.32054225</v>
      </c>
      <c r="E68" s="201"/>
      <c r="F68" s="201">
        <f t="shared" si="76"/>
        <v>-10000000</v>
      </c>
      <c r="G68" s="201">
        <f t="shared" si="77"/>
        <v>-10000000</v>
      </c>
      <c r="H68" s="220">
        <f t="shared" si="78"/>
        <v>-2841995.3205422498</v>
      </c>
      <c r="I68" s="201">
        <f t="shared" si="79"/>
        <v>0</v>
      </c>
      <c r="J68" s="201">
        <f t="shared" si="80"/>
        <v>-5000000</v>
      </c>
      <c r="K68" s="201">
        <f t="shared" si="81"/>
        <v>-2557795.7884880248</v>
      </c>
      <c r="L68" s="201">
        <f t="shared" si="82"/>
        <v>0</v>
      </c>
      <c r="M68" s="201">
        <f t="shared" si="83"/>
        <v>-2782133.8825608268</v>
      </c>
      <c r="N68" s="130">
        <v>0</v>
      </c>
      <c r="O68" s="201">
        <f t="shared" si="84"/>
        <v>-2782133.8825608268</v>
      </c>
      <c r="P68" s="201">
        <f>O68-O67</f>
        <v>-4677347.5255082687</v>
      </c>
      <c r="Q68" s="201"/>
      <c r="R68" s="201">
        <v>0</v>
      </c>
      <c r="S68" s="201">
        <f t="shared" si="85"/>
        <v>-10000000</v>
      </c>
      <c r="T68" s="201">
        <f t="shared" si="86"/>
        <v>-5000000</v>
      </c>
      <c r="U68" s="220">
        <f t="shared" si="86"/>
        <v>-284199.53205422498</v>
      </c>
      <c r="V68" s="220">
        <f t="shared" si="86"/>
        <v>0</v>
      </c>
      <c r="W68" s="201"/>
      <c r="X68" s="201"/>
      <c r="Y68" s="201"/>
      <c r="Z68" s="201"/>
      <c r="AA68" s="201">
        <f t="shared" si="87"/>
        <v>8901833.2690220755</v>
      </c>
      <c r="AB68" s="130">
        <v>0</v>
      </c>
      <c r="AC68" s="130">
        <f t="shared" si="88"/>
        <v>8901833.2690220755</v>
      </c>
      <c r="AD68" s="130">
        <v>0</v>
      </c>
      <c r="AE68" s="201">
        <f t="shared" si="89"/>
        <v>8901833.2690220755</v>
      </c>
      <c r="AF68" s="201">
        <f>AE68-AE67</f>
        <v>-2403751.2690744679</v>
      </c>
    </row>
    <row r="69" spans="1:32" hidden="1" outlineLevel="1" x14ac:dyDescent="0.2">
      <c r="A69" s="124">
        <v>5</v>
      </c>
      <c r="B69" s="64" t="s">
        <v>192</v>
      </c>
      <c r="C69" s="201">
        <v>5061245.4925772585</v>
      </c>
      <c r="D69" s="201">
        <f>SUM($C$67:C69)</f>
        <v>-17780749.827964991</v>
      </c>
      <c r="E69" s="201"/>
      <c r="F69" s="201">
        <f t="shared" si="76"/>
        <v>-10000000</v>
      </c>
      <c r="G69" s="201">
        <f t="shared" si="77"/>
        <v>-7780749.8279649913</v>
      </c>
      <c r="H69" s="201">
        <f t="shared" si="78"/>
        <v>0</v>
      </c>
      <c r="I69" s="201">
        <f t="shared" si="79"/>
        <v>0</v>
      </c>
      <c r="J69" s="201">
        <f t="shared" si="80"/>
        <v>-3890374.9139824957</v>
      </c>
      <c r="K69" s="201">
        <f t="shared" si="81"/>
        <v>0</v>
      </c>
      <c r="L69" s="201">
        <f t="shared" si="82"/>
        <v>0</v>
      </c>
      <c r="M69" s="201">
        <f t="shared" si="83"/>
        <v>885286.99194470234</v>
      </c>
      <c r="N69" s="130">
        <v>0</v>
      </c>
      <c r="O69" s="201">
        <f t="shared" si="84"/>
        <v>885286.99194470234</v>
      </c>
      <c r="P69" s="201">
        <f>O69-O68</f>
        <v>3667420.8745055292</v>
      </c>
      <c r="Q69" s="201"/>
      <c r="R69" s="201">
        <v>0</v>
      </c>
      <c r="S69" s="201">
        <f t="shared" si="85"/>
        <v>-10000000</v>
      </c>
      <c r="T69" s="201">
        <f t="shared" si="86"/>
        <v>-3890374.9139824957</v>
      </c>
      <c r="U69" s="220">
        <f t="shared" si="86"/>
        <v>0</v>
      </c>
      <c r="V69" s="220">
        <f t="shared" si="86"/>
        <v>0</v>
      </c>
      <c r="W69" s="201"/>
      <c r="X69" s="201"/>
      <c r="Y69" s="201"/>
      <c r="Z69" s="201"/>
      <c r="AA69" s="201">
        <f t="shared" si="87"/>
        <v>10295657.887093805</v>
      </c>
      <c r="AB69" s="130">
        <v>0</v>
      </c>
      <c r="AC69" s="130">
        <f t="shared" si="88"/>
        <v>10295657.887093805</v>
      </c>
      <c r="AD69" s="130">
        <v>0</v>
      </c>
      <c r="AE69" s="201">
        <f t="shared" si="89"/>
        <v>10295657.887093805</v>
      </c>
      <c r="AF69" s="201">
        <f>AE69-AE68</f>
        <v>1393824.6180717293</v>
      </c>
    </row>
    <row r="70" spans="1:32" hidden="1" outlineLevel="1" x14ac:dyDescent="0.2">
      <c r="A70" s="124">
        <v>5</v>
      </c>
      <c r="B70" s="64" t="s">
        <v>193</v>
      </c>
      <c r="C70" s="201">
        <v>11276164.681656158</v>
      </c>
      <c r="D70" s="201">
        <f>SUM($C$67:C70)</f>
        <v>-6504585.1463088337</v>
      </c>
      <c r="E70" s="201"/>
      <c r="F70" s="201">
        <f t="shared" si="76"/>
        <v>-6504585.1463088337</v>
      </c>
      <c r="G70" s="201">
        <f t="shared" si="77"/>
        <v>0</v>
      </c>
      <c r="H70" s="201">
        <f t="shared" si="78"/>
        <v>0</v>
      </c>
      <c r="I70" s="201">
        <f t="shared" si="79"/>
        <v>0</v>
      </c>
      <c r="J70" s="201">
        <f t="shared" si="80"/>
        <v>0</v>
      </c>
      <c r="K70" s="201">
        <f t="shared" si="81"/>
        <v>0</v>
      </c>
      <c r="L70" s="201">
        <f t="shared" si="82"/>
        <v>0</v>
      </c>
      <c r="M70" s="201">
        <f t="shared" si="83"/>
        <v>4775661.905927198</v>
      </c>
      <c r="N70" s="130">
        <v>0</v>
      </c>
      <c r="O70" s="201">
        <f t="shared" si="84"/>
        <v>4775661.905927198</v>
      </c>
      <c r="P70" s="201">
        <f>O70-O69</f>
        <v>3890374.9139824957</v>
      </c>
      <c r="Q70" s="201"/>
      <c r="R70" s="201">
        <v>0</v>
      </c>
      <c r="S70" s="201">
        <f t="shared" si="85"/>
        <v>-6504585.1463088337</v>
      </c>
      <c r="T70" s="201">
        <f t="shared" si="86"/>
        <v>0</v>
      </c>
      <c r="U70" s="220">
        <f t="shared" si="86"/>
        <v>0</v>
      </c>
      <c r="V70" s="220">
        <f t="shared" si="86"/>
        <v>0</v>
      </c>
      <c r="W70" s="201"/>
      <c r="X70" s="201"/>
      <c r="Y70" s="201"/>
      <c r="Z70" s="201"/>
      <c r="AA70" s="201">
        <f t="shared" si="87"/>
        <v>17681447.654767469</v>
      </c>
      <c r="AB70" s="130">
        <v>0</v>
      </c>
      <c r="AC70" s="130">
        <f t="shared" si="88"/>
        <v>17681447.654767469</v>
      </c>
      <c r="AD70" s="130">
        <v>0</v>
      </c>
      <c r="AE70" s="201">
        <f t="shared" si="89"/>
        <v>17681447.654767469</v>
      </c>
      <c r="AF70" s="201">
        <f>AE70-AE69</f>
        <v>7385789.7676736638</v>
      </c>
    </row>
    <row r="71" spans="1:32" hidden="1" outlineLevel="1" x14ac:dyDescent="0.2">
      <c r="A71" s="124">
        <v>5</v>
      </c>
      <c r="B71" s="64" t="s">
        <v>194</v>
      </c>
      <c r="C71" s="201">
        <v>-1082060.8672728234</v>
      </c>
      <c r="D71" s="201">
        <f>SUM($C$67:C71)</f>
        <v>-7586646.0135816569</v>
      </c>
      <c r="E71" s="201"/>
      <c r="F71" s="201">
        <f t="shared" si="76"/>
        <v>-7586646.0135816569</v>
      </c>
      <c r="G71" s="201">
        <f t="shared" si="77"/>
        <v>0</v>
      </c>
      <c r="H71" s="201">
        <f t="shared" si="78"/>
        <v>0</v>
      </c>
      <c r="I71" s="201">
        <f t="shared" si="79"/>
        <v>0</v>
      </c>
      <c r="J71" s="201">
        <f t="shared" si="80"/>
        <v>0</v>
      </c>
      <c r="K71" s="201">
        <f t="shared" si="81"/>
        <v>0</v>
      </c>
      <c r="L71" s="201">
        <f t="shared" si="82"/>
        <v>0</v>
      </c>
      <c r="M71" s="201">
        <f t="shared" si="83"/>
        <v>4775661.905927198</v>
      </c>
      <c r="N71" s="130">
        <v>0</v>
      </c>
      <c r="O71" s="201">
        <f t="shared" si="84"/>
        <v>4775661.905927198</v>
      </c>
      <c r="P71" s="201">
        <f>O71-O70</f>
        <v>0</v>
      </c>
      <c r="Q71" s="201"/>
      <c r="R71" s="201">
        <v>0</v>
      </c>
      <c r="S71" s="201">
        <f t="shared" si="85"/>
        <v>-7586646.0135816569</v>
      </c>
      <c r="T71" s="201">
        <f t="shared" si="86"/>
        <v>0</v>
      </c>
      <c r="U71" s="220">
        <f t="shared" si="86"/>
        <v>0</v>
      </c>
      <c r="V71" s="220">
        <f t="shared" si="86"/>
        <v>0</v>
      </c>
      <c r="W71" s="201"/>
      <c r="X71" s="201"/>
      <c r="Y71" s="201"/>
      <c r="Z71" s="201"/>
      <c r="AA71" s="201">
        <f t="shared" si="87"/>
        <v>16599386.787494645</v>
      </c>
      <c r="AB71" s="130">
        <v>0</v>
      </c>
      <c r="AC71" s="130">
        <f t="shared" si="88"/>
        <v>16599386.787494645</v>
      </c>
      <c r="AD71" s="130">
        <v>0</v>
      </c>
      <c r="AE71" s="201">
        <f t="shared" si="89"/>
        <v>16599386.787494645</v>
      </c>
      <c r="AF71" s="201">
        <f>AE71-AE70</f>
        <v>-1082060.867272824</v>
      </c>
    </row>
    <row r="72" spans="1:32" hidden="1" outlineLevel="1" x14ac:dyDescent="0.2">
      <c r="A72" s="124">
        <v>5</v>
      </c>
      <c r="B72" s="64" t="s">
        <v>195</v>
      </c>
      <c r="C72" s="201">
        <v>6915612.8421609094</v>
      </c>
      <c r="D72" s="201">
        <f>SUM($C$67:C72)</f>
        <v>-671033.17142074741</v>
      </c>
      <c r="E72" s="201"/>
      <c r="F72" s="201">
        <f t="shared" si="76"/>
        <v>-671033.17142074741</v>
      </c>
      <c r="G72" s="201">
        <f t="shared" si="77"/>
        <v>0</v>
      </c>
      <c r="H72" s="201">
        <f t="shared" si="78"/>
        <v>0</v>
      </c>
      <c r="I72" s="201">
        <f t="shared" si="79"/>
        <v>0</v>
      </c>
      <c r="J72" s="201">
        <f t="shared" si="80"/>
        <v>0</v>
      </c>
      <c r="K72" s="201">
        <f t="shared" si="81"/>
        <v>0</v>
      </c>
      <c r="L72" s="201">
        <f t="shared" si="82"/>
        <v>0</v>
      </c>
      <c r="M72" s="201">
        <f t="shared" si="83"/>
        <v>4775661.905927198</v>
      </c>
      <c r="N72" s="130">
        <v>0</v>
      </c>
      <c r="O72" s="201">
        <f t="shared" si="84"/>
        <v>4775661.905927198</v>
      </c>
      <c r="P72" s="201">
        <f>O72-O71</f>
        <v>0</v>
      </c>
      <c r="Q72" s="201"/>
      <c r="R72" s="201">
        <v>0</v>
      </c>
      <c r="S72" s="201">
        <f t="shared" si="85"/>
        <v>-671033.17142074741</v>
      </c>
      <c r="T72" s="201">
        <f t="shared" si="86"/>
        <v>0</v>
      </c>
      <c r="U72" s="220">
        <f t="shared" si="86"/>
        <v>0</v>
      </c>
      <c r="V72" s="220">
        <f t="shared" si="86"/>
        <v>0</v>
      </c>
      <c r="W72" s="201"/>
      <c r="X72" s="201"/>
      <c r="Y72" s="201"/>
      <c r="Z72" s="201"/>
      <c r="AA72" s="201">
        <f t="shared" si="87"/>
        <v>23514999.629655555</v>
      </c>
      <c r="AB72" s="130">
        <v>0</v>
      </c>
      <c r="AC72" s="130">
        <f t="shared" si="88"/>
        <v>23514999.629655555</v>
      </c>
      <c r="AD72" s="130">
        <v>0</v>
      </c>
      <c r="AE72" s="201">
        <f t="shared" si="89"/>
        <v>23514999.629655555</v>
      </c>
      <c r="AF72" s="201">
        <f>AE72-AE71</f>
        <v>6915612.8421609104</v>
      </c>
    </row>
    <row r="73" spans="1:32" hidden="1" outlineLevel="1" x14ac:dyDescent="0.2">
      <c r="A73" s="124"/>
      <c r="C73" s="201"/>
      <c r="D73" s="201"/>
      <c r="E73" s="201"/>
      <c r="F73" s="201"/>
      <c r="G73" s="201"/>
      <c r="H73" s="201"/>
      <c r="I73" s="201"/>
      <c r="J73" s="201"/>
      <c r="K73" s="201"/>
      <c r="L73" s="201"/>
      <c r="M73" s="201"/>
      <c r="N73" s="130"/>
      <c r="O73" s="201"/>
      <c r="P73" s="201"/>
      <c r="Q73" s="201"/>
      <c r="R73" s="215"/>
      <c r="S73" s="201"/>
      <c r="T73" s="201"/>
      <c r="U73" s="201"/>
      <c r="V73" s="201"/>
      <c r="W73" s="201"/>
      <c r="X73" s="201"/>
      <c r="Y73" s="201"/>
      <c r="Z73" s="201"/>
      <c r="AA73" s="201"/>
      <c r="AB73" s="130"/>
      <c r="AC73" s="130"/>
      <c r="AD73" s="130"/>
      <c r="AE73" s="201"/>
      <c r="AF73" s="201"/>
    </row>
    <row r="74" spans="1:32" hidden="1" outlineLevel="1" x14ac:dyDescent="0.2">
      <c r="A74" s="124">
        <v>6</v>
      </c>
      <c r="B74" s="64" t="s">
        <v>196</v>
      </c>
      <c r="C74" s="201">
        <v>139631.83641762889</v>
      </c>
      <c r="D74" s="201">
        <f>C74</f>
        <v>139631.83641762889</v>
      </c>
      <c r="E74" s="201"/>
      <c r="F74" s="201">
        <f t="shared" ref="F74:F85" si="90">IF(ABS(D74)&gt;+$F$9,IF(D74&lt;0,-$F$9,+$F$9),+D74)</f>
        <v>139631.83641762889</v>
      </c>
      <c r="G74" s="201">
        <f t="shared" ref="G74:G85" si="91">IF(ABS(D74)-ABS(F74)&gt;=$G$9,IF(D74&lt;=0,-$G$9,+$G$9),+D74-F74)</f>
        <v>0</v>
      </c>
      <c r="H74" s="201">
        <f t="shared" ref="H74:H85" si="92">IF(ABS(+D74)-ABS(SUM(F74:G74))&gt;=$H$9,IF(D74&lt;=0,-$H$9,+$H$9),+D74-SUM(F74:G74))</f>
        <v>0</v>
      </c>
      <c r="I74" s="201">
        <f t="shared" ref="I74:I85" si="93">IF(ABS(+D74)-ABS(SUM(F74:H74))&gt;=$I$9,IF(D74&lt;=0,$D74-SUM($F74:$H74),$D74-SUM($F74:$H74)),D74-SUM(F74:H74))</f>
        <v>0</v>
      </c>
      <c r="J74" s="201">
        <f t="shared" ref="J74:J85" si="94">+G74*$C$260</f>
        <v>0</v>
      </c>
      <c r="K74" s="201">
        <f t="shared" ref="K74:K85" si="95">+H74*$C$261</f>
        <v>0</v>
      </c>
      <c r="L74" s="201">
        <f t="shared" ref="L74:L85" si="96">+I74*$C$262</f>
        <v>0</v>
      </c>
      <c r="M74" s="201">
        <f t="shared" ref="M74:M85" si="97">SUM(J74:L74)+$M$72</f>
        <v>4775661.905927198</v>
      </c>
      <c r="N74" s="130">
        <v>0</v>
      </c>
      <c r="O74" s="201">
        <f t="shared" ref="O74:O85" si="98">M74+N74</f>
        <v>4775661.905927198</v>
      </c>
      <c r="P74" s="201">
        <f>O74-O72</f>
        <v>0</v>
      </c>
      <c r="Q74" s="201"/>
      <c r="R74" s="215"/>
      <c r="S74" s="201">
        <f t="shared" ref="S74:S85" si="99">+F74</f>
        <v>139631.83641762889</v>
      </c>
      <c r="T74" s="201">
        <f t="shared" ref="T74:V85" si="100">+G74-J74</f>
        <v>0</v>
      </c>
      <c r="U74" s="220">
        <f t="shared" si="100"/>
        <v>0</v>
      </c>
      <c r="V74" s="220">
        <f t="shared" si="100"/>
        <v>0</v>
      </c>
      <c r="W74" s="201"/>
      <c r="X74" s="201"/>
      <c r="Y74" s="201"/>
      <c r="Z74" s="201"/>
      <c r="AA74" s="201">
        <f t="shared" ref="AA74:AA85" si="101">SUM(S74:V74)+$AA$72</f>
        <v>23654631.466073185</v>
      </c>
      <c r="AB74" s="130">
        <v>0</v>
      </c>
      <c r="AC74" s="130">
        <f t="shared" ref="AC74:AC85" si="102">AA74-AB74</f>
        <v>23654631.466073185</v>
      </c>
      <c r="AD74" s="130">
        <v>0</v>
      </c>
      <c r="AE74" s="201">
        <f t="shared" ref="AE74:AE85" si="103">AA74-AB74+AD74</f>
        <v>23654631.466073185</v>
      </c>
      <c r="AF74" s="201">
        <f>AE74-AE72</f>
        <v>139631.83641763031</v>
      </c>
    </row>
    <row r="75" spans="1:32" hidden="1" outlineLevel="1" x14ac:dyDescent="0.2">
      <c r="A75" s="124">
        <v>6</v>
      </c>
      <c r="B75" s="64" t="s">
        <v>197</v>
      </c>
      <c r="C75" s="201">
        <v>11880521.198698398</v>
      </c>
      <c r="D75" s="201">
        <f>SUM($C$74:C75)</f>
        <v>12020153.035116026</v>
      </c>
      <c r="E75" s="201"/>
      <c r="F75" s="201">
        <f t="shared" si="90"/>
        <v>12020153.035116026</v>
      </c>
      <c r="G75" s="201">
        <f t="shared" si="91"/>
        <v>0</v>
      </c>
      <c r="H75" s="201">
        <f t="shared" si="92"/>
        <v>0</v>
      </c>
      <c r="I75" s="201">
        <f t="shared" si="93"/>
        <v>0</v>
      </c>
      <c r="J75" s="201">
        <f t="shared" si="94"/>
        <v>0</v>
      </c>
      <c r="K75" s="201">
        <f t="shared" si="95"/>
        <v>0</v>
      </c>
      <c r="L75" s="201">
        <f t="shared" si="96"/>
        <v>0</v>
      </c>
      <c r="M75" s="201">
        <f t="shared" si="97"/>
        <v>4775661.905927198</v>
      </c>
      <c r="N75" s="130">
        <v>0</v>
      </c>
      <c r="O75" s="201">
        <f t="shared" si="98"/>
        <v>4775661.905927198</v>
      </c>
      <c r="P75" s="201">
        <f t="shared" ref="P75:P85" si="104">O75-O74</f>
        <v>0</v>
      </c>
      <c r="Q75" s="201"/>
      <c r="R75" s="215"/>
      <c r="S75" s="201">
        <f t="shared" si="99"/>
        <v>12020153.035116026</v>
      </c>
      <c r="T75" s="201">
        <f t="shared" si="100"/>
        <v>0</v>
      </c>
      <c r="U75" s="220">
        <f t="shared" si="100"/>
        <v>0</v>
      </c>
      <c r="V75" s="220">
        <f t="shared" si="100"/>
        <v>0</v>
      </c>
      <c r="W75" s="201"/>
      <c r="X75" s="201"/>
      <c r="Y75" s="201"/>
      <c r="Z75" s="201"/>
      <c r="AA75" s="201">
        <f t="shared" si="101"/>
        <v>35535152.664771579</v>
      </c>
      <c r="AB75" s="130">
        <v>0</v>
      </c>
      <c r="AC75" s="130">
        <f t="shared" si="102"/>
        <v>35535152.664771579</v>
      </c>
      <c r="AD75" s="130">
        <v>0</v>
      </c>
      <c r="AE75" s="201">
        <f t="shared" si="103"/>
        <v>35535152.664771579</v>
      </c>
      <c r="AF75" s="201">
        <f t="shared" ref="AF75:AF85" si="105">AE75-AE74</f>
        <v>11880521.198698394</v>
      </c>
    </row>
    <row r="76" spans="1:32" hidden="1" outlineLevel="1" x14ac:dyDescent="0.2">
      <c r="A76" s="124">
        <v>6</v>
      </c>
      <c r="B76" s="64" t="s">
        <v>198</v>
      </c>
      <c r="C76" s="201">
        <v>571161.02817829431</v>
      </c>
      <c r="D76" s="201">
        <f>SUM($C$74:C76)</f>
        <v>12591314.063294321</v>
      </c>
      <c r="E76" s="201"/>
      <c r="F76" s="201">
        <f t="shared" si="90"/>
        <v>12591314.063294321</v>
      </c>
      <c r="G76" s="201">
        <f t="shared" si="91"/>
        <v>0</v>
      </c>
      <c r="H76" s="201">
        <f t="shared" si="92"/>
        <v>0</v>
      </c>
      <c r="I76" s="201">
        <f t="shared" si="93"/>
        <v>0</v>
      </c>
      <c r="J76" s="201">
        <f t="shared" si="94"/>
        <v>0</v>
      </c>
      <c r="K76" s="201">
        <f t="shared" si="95"/>
        <v>0</v>
      </c>
      <c r="L76" s="201">
        <f t="shared" si="96"/>
        <v>0</v>
      </c>
      <c r="M76" s="201">
        <f t="shared" si="97"/>
        <v>4775661.905927198</v>
      </c>
      <c r="N76" s="130">
        <v>0</v>
      </c>
      <c r="O76" s="201">
        <f t="shared" si="98"/>
        <v>4775661.905927198</v>
      </c>
      <c r="P76" s="201">
        <f t="shared" si="104"/>
        <v>0</v>
      </c>
      <c r="Q76" s="201"/>
      <c r="R76" s="215"/>
      <c r="S76" s="201">
        <f t="shared" si="99"/>
        <v>12591314.063294321</v>
      </c>
      <c r="T76" s="201">
        <f t="shared" si="100"/>
        <v>0</v>
      </c>
      <c r="U76" s="220">
        <f t="shared" si="100"/>
        <v>0</v>
      </c>
      <c r="V76" s="220">
        <f t="shared" si="100"/>
        <v>0</v>
      </c>
      <c r="W76" s="201"/>
      <c r="X76" s="201"/>
      <c r="Y76" s="201"/>
      <c r="Z76" s="201"/>
      <c r="AA76" s="201">
        <f t="shared" si="101"/>
        <v>36106313.692949876</v>
      </c>
      <c r="AB76" s="130">
        <v>0</v>
      </c>
      <c r="AC76" s="130">
        <f t="shared" si="102"/>
        <v>36106313.692949876</v>
      </c>
      <c r="AD76" s="130">
        <v>0</v>
      </c>
      <c r="AE76" s="201">
        <f t="shared" si="103"/>
        <v>36106313.692949876</v>
      </c>
      <c r="AF76" s="201">
        <f t="shared" si="105"/>
        <v>571161.02817829698</v>
      </c>
    </row>
    <row r="77" spans="1:32" hidden="1" outlineLevel="1" x14ac:dyDescent="0.2">
      <c r="A77" s="124">
        <v>6</v>
      </c>
      <c r="B77" s="64" t="s">
        <v>199</v>
      </c>
      <c r="C77" s="201">
        <v>-15673222.735583702</v>
      </c>
      <c r="D77" s="201">
        <f>SUM($C$74:C77)</f>
        <v>-3081908.6722893808</v>
      </c>
      <c r="E77" s="201"/>
      <c r="F77" s="201">
        <f t="shared" si="90"/>
        <v>-3081908.6722893808</v>
      </c>
      <c r="G77" s="201">
        <f t="shared" si="91"/>
        <v>0</v>
      </c>
      <c r="H77" s="201">
        <f t="shared" si="92"/>
        <v>0</v>
      </c>
      <c r="I77" s="201">
        <f t="shared" si="93"/>
        <v>0</v>
      </c>
      <c r="J77" s="201">
        <f t="shared" si="94"/>
        <v>0</v>
      </c>
      <c r="K77" s="201">
        <f t="shared" si="95"/>
        <v>0</v>
      </c>
      <c r="L77" s="201">
        <f t="shared" si="96"/>
        <v>0</v>
      </c>
      <c r="M77" s="201">
        <f t="shared" si="97"/>
        <v>4775661.905927198</v>
      </c>
      <c r="N77" s="130">
        <v>0</v>
      </c>
      <c r="O77" s="201">
        <f t="shared" si="98"/>
        <v>4775661.905927198</v>
      </c>
      <c r="P77" s="201">
        <f t="shared" si="104"/>
        <v>0</v>
      </c>
      <c r="Q77" s="201"/>
      <c r="R77" s="215"/>
      <c r="S77" s="201">
        <f t="shared" si="99"/>
        <v>-3081908.6722893808</v>
      </c>
      <c r="T77" s="201">
        <f t="shared" si="100"/>
        <v>0</v>
      </c>
      <c r="U77" s="220">
        <f t="shared" si="100"/>
        <v>0</v>
      </c>
      <c r="V77" s="220">
        <f t="shared" si="100"/>
        <v>0</v>
      </c>
      <c r="W77" s="201"/>
      <c r="X77" s="201"/>
      <c r="Y77" s="201"/>
      <c r="Z77" s="201"/>
      <c r="AA77" s="201">
        <f t="shared" si="101"/>
        <v>20433090.957366176</v>
      </c>
      <c r="AB77" s="130">
        <v>0</v>
      </c>
      <c r="AC77" s="130">
        <f t="shared" si="102"/>
        <v>20433090.957366176</v>
      </c>
      <c r="AD77" s="130">
        <v>0</v>
      </c>
      <c r="AE77" s="201">
        <f t="shared" si="103"/>
        <v>20433090.957366176</v>
      </c>
      <c r="AF77" s="201">
        <f t="shared" si="105"/>
        <v>-15673222.7355837</v>
      </c>
    </row>
    <row r="78" spans="1:32" hidden="1" outlineLevel="1" x14ac:dyDescent="0.2">
      <c r="A78" s="124">
        <v>6</v>
      </c>
      <c r="B78" s="72" t="s">
        <v>200</v>
      </c>
      <c r="C78" s="201">
        <v>-17880969.313913051</v>
      </c>
      <c r="D78" s="201">
        <f>SUM($C$74:C78)</f>
        <v>-20962877.986202434</v>
      </c>
      <c r="E78" s="201"/>
      <c r="F78" s="201">
        <f t="shared" si="90"/>
        <v>-20000000</v>
      </c>
      <c r="G78" s="201">
        <f t="shared" si="91"/>
        <v>-962877.98620243371</v>
      </c>
      <c r="H78" s="201">
        <f t="shared" si="92"/>
        <v>0</v>
      </c>
      <c r="I78" s="201">
        <f t="shared" si="93"/>
        <v>0</v>
      </c>
      <c r="J78" s="201">
        <f t="shared" si="94"/>
        <v>-481438.99310121685</v>
      </c>
      <c r="K78" s="201">
        <f t="shared" si="95"/>
        <v>0</v>
      </c>
      <c r="L78" s="201">
        <f t="shared" si="96"/>
        <v>0</v>
      </c>
      <c r="M78" s="201">
        <f t="shared" si="97"/>
        <v>4294222.9128259812</v>
      </c>
      <c r="N78" s="130">
        <v>0</v>
      </c>
      <c r="O78" s="201">
        <f t="shared" si="98"/>
        <v>4294222.9128259812</v>
      </c>
      <c r="P78" s="201">
        <f t="shared" si="104"/>
        <v>-481438.99310121685</v>
      </c>
      <c r="Q78" s="201"/>
      <c r="R78" s="215"/>
      <c r="S78" s="201">
        <f t="shared" si="99"/>
        <v>-20000000</v>
      </c>
      <c r="T78" s="201">
        <f t="shared" si="100"/>
        <v>-481438.99310121685</v>
      </c>
      <c r="U78" s="220">
        <f t="shared" si="100"/>
        <v>0</v>
      </c>
      <c r="V78" s="220">
        <f t="shared" si="100"/>
        <v>0</v>
      </c>
      <c r="W78" s="201"/>
      <c r="X78" s="201"/>
      <c r="Y78" s="201"/>
      <c r="Z78" s="201"/>
      <c r="AA78" s="201">
        <f t="shared" si="101"/>
        <v>3033560.636554338</v>
      </c>
      <c r="AB78" s="130">
        <v>0</v>
      </c>
      <c r="AC78" s="130">
        <f t="shared" si="102"/>
        <v>3033560.636554338</v>
      </c>
      <c r="AD78" s="130">
        <v>0</v>
      </c>
      <c r="AE78" s="201">
        <f t="shared" si="103"/>
        <v>3033560.636554338</v>
      </c>
      <c r="AF78" s="201">
        <f t="shared" si="105"/>
        <v>-17399530.320811838</v>
      </c>
    </row>
    <row r="79" spans="1:32" hidden="1" outlineLevel="1" x14ac:dyDescent="0.2">
      <c r="A79" s="124">
        <v>6</v>
      </c>
      <c r="B79" s="64" t="s">
        <v>201</v>
      </c>
      <c r="C79" s="201">
        <v>-7125454.3360827817</v>
      </c>
      <c r="D79" s="201">
        <f>SUM($C$74:C79)</f>
        <v>-28088332.322285216</v>
      </c>
      <c r="E79" s="201"/>
      <c r="F79" s="201">
        <f t="shared" si="90"/>
        <v>-20000000</v>
      </c>
      <c r="G79" s="201">
        <f t="shared" si="91"/>
        <v>-8088332.3222852163</v>
      </c>
      <c r="H79" s="201">
        <f t="shared" si="92"/>
        <v>0</v>
      </c>
      <c r="I79" s="201">
        <f t="shared" si="93"/>
        <v>0</v>
      </c>
      <c r="J79" s="201">
        <f t="shared" si="94"/>
        <v>-4044166.1611426082</v>
      </c>
      <c r="K79" s="201">
        <f t="shared" si="95"/>
        <v>0</v>
      </c>
      <c r="L79" s="201">
        <f t="shared" si="96"/>
        <v>0</v>
      </c>
      <c r="M79" s="201">
        <f t="shared" si="97"/>
        <v>731495.74478458986</v>
      </c>
      <c r="N79" s="130">
        <v>0</v>
      </c>
      <c r="O79" s="201">
        <f t="shared" si="98"/>
        <v>731495.74478458986</v>
      </c>
      <c r="P79" s="201">
        <f t="shared" si="104"/>
        <v>-3562727.1680413913</v>
      </c>
      <c r="Q79" s="201"/>
      <c r="R79" s="215"/>
      <c r="S79" s="201">
        <f t="shared" si="99"/>
        <v>-20000000</v>
      </c>
      <c r="T79" s="201">
        <f t="shared" si="100"/>
        <v>-4044166.1611426082</v>
      </c>
      <c r="U79" s="220">
        <f t="shared" si="100"/>
        <v>0</v>
      </c>
      <c r="V79" s="220">
        <f t="shared" si="100"/>
        <v>0</v>
      </c>
      <c r="W79" s="201"/>
      <c r="X79" s="201"/>
      <c r="Y79" s="201"/>
      <c r="Z79" s="201"/>
      <c r="AA79" s="201">
        <f t="shared" si="101"/>
        <v>-529166.53148705512</v>
      </c>
      <c r="AB79" s="130">
        <v>0</v>
      </c>
      <c r="AC79" s="130">
        <f t="shared" si="102"/>
        <v>-529166.53148705512</v>
      </c>
      <c r="AD79" s="130">
        <v>0</v>
      </c>
      <c r="AE79" s="201">
        <f t="shared" si="103"/>
        <v>-529166.53148705512</v>
      </c>
      <c r="AF79" s="201">
        <f t="shared" si="105"/>
        <v>-3562727.1680413932</v>
      </c>
    </row>
    <row r="80" spans="1:32" hidden="1" outlineLevel="1" x14ac:dyDescent="0.2">
      <c r="A80" s="124">
        <v>6</v>
      </c>
      <c r="B80" s="64" t="s">
        <v>190</v>
      </c>
      <c r="C80" s="201">
        <v>-14825247.013503078</v>
      </c>
      <c r="D80" s="201">
        <f>SUM($C$74:C80)</f>
        <v>-42913579.335788295</v>
      </c>
      <c r="E80" s="201"/>
      <c r="F80" s="201">
        <f t="shared" si="90"/>
        <v>-20000000</v>
      </c>
      <c r="G80" s="201">
        <f t="shared" si="91"/>
        <v>-20000000</v>
      </c>
      <c r="H80" s="201">
        <f t="shared" si="92"/>
        <v>-2913579.3357882947</v>
      </c>
      <c r="I80" s="201">
        <f t="shared" si="93"/>
        <v>0</v>
      </c>
      <c r="J80" s="201">
        <f t="shared" si="94"/>
        <v>-10000000</v>
      </c>
      <c r="K80" s="201">
        <f t="shared" si="95"/>
        <v>-2622221.4022094654</v>
      </c>
      <c r="L80" s="201">
        <f t="shared" si="96"/>
        <v>0</v>
      </c>
      <c r="M80" s="201">
        <f t="shared" si="97"/>
        <v>-7846559.4962822665</v>
      </c>
      <c r="N80" s="130">
        <v>0</v>
      </c>
      <c r="O80" s="201">
        <f t="shared" si="98"/>
        <v>-7846559.4962822665</v>
      </c>
      <c r="P80" s="201">
        <f t="shared" si="104"/>
        <v>-8578055.2410668563</v>
      </c>
      <c r="Q80" s="201"/>
      <c r="R80" s="215"/>
      <c r="S80" s="201">
        <f t="shared" si="99"/>
        <v>-20000000</v>
      </c>
      <c r="T80" s="201">
        <f t="shared" si="100"/>
        <v>-10000000</v>
      </c>
      <c r="U80" s="220">
        <f t="shared" si="100"/>
        <v>-291357.93357882928</v>
      </c>
      <c r="V80" s="220">
        <f t="shared" si="100"/>
        <v>0</v>
      </c>
      <c r="W80" s="201"/>
      <c r="X80" s="201"/>
      <c r="Y80" s="201"/>
      <c r="Z80" s="201"/>
      <c r="AA80" s="201">
        <f t="shared" si="101"/>
        <v>-6776358.3039232753</v>
      </c>
      <c r="AB80" s="130">
        <v>0</v>
      </c>
      <c r="AC80" s="130">
        <f t="shared" si="102"/>
        <v>-6776358.3039232753</v>
      </c>
      <c r="AD80" s="130">
        <v>0</v>
      </c>
      <c r="AE80" s="201">
        <f t="shared" si="103"/>
        <v>-6776358.3039232753</v>
      </c>
      <c r="AF80" s="201">
        <f t="shared" si="105"/>
        <v>-6247191.7724362202</v>
      </c>
    </row>
    <row r="81" spans="1:32" hidden="1" outlineLevel="1" x14ac:dyDescent="0.2">
      <c r="A81" s="124">
        <v>6</v>
      </c>
      <c r="B81" s="64" t="s">
        <v>191</v>
      </c>
      <c r="C81" s="201">
        <v>-3458217.1356520057</v>
      </c>
      <c r="D81" s="201">
        <f>SUM($C$74:C81)</f>
        <v>-46371796.4714403</v>
      </c>
      <c r="E81" s="201"/>
      <c r="F81" s="201">
        <f t="shared" si="90"/>
        <v>-20000000</v>
      </c>
      <c r="G81" s="201">
        <f t="shared" si="91"/>
        <v>-20000000</v>
      </c>
      <c r="H81" s="220">
        <f t="shared" si="92"/>
        <v>-6371796.4714403003</v>
      </c>
      <c r="I81" s="201">
        <f t="shared" si="93"/>
        <v>0</v>
      </c>
      <c r="J81" s="201">
        <f t="shared" si="94"/>
        <v>-10000000</v>
      </c>
      <c r="K81" s="201">
        <f t="shared" si="95"/>
        <v>-5734616.8242962705</v>
      </c>
      <c r="L81" s="201">
        <f t="shared" si="96"/>
        <v>0</v>
      </c>
      <c r="M81" s="201">
        <f t="shared" si="97"/>
        <v>-10958954.918369072</v>
      </c>
      <c r="N81" s="130">
        <v>0</v>
      </c>
      <c r="O81" s="201">
        <f t="shared" si="98"/>
        <v>-10958954.918369072</v>
      </c>
      <c r="P81" s="201">
        <f t="shared" si="104"/>
        <v>-3112395.4220868051</v>
      </c>
      <c r="Q81" s="201"/>
      <c r="R81" s="215"/>
      <c r="S81" s="201">
        <f t="shared" si="99"/>
        <v>-20000000</v>
      </c>
      <c r="T81" s="201">
        <f t="shared" si="100"/>
        <v>-10000000</v>
      </c>
      <c r="U81" s="220">
        <f t="shared" si="100"/>
        <v>-637179.64714402985</v>
      </c>
      <c r="V81" s="220">
        <f t="shared" si="100"/>
        <v>0</v>
      </c>
      <c r="W81" s="201"/>
      <c r="X81" s="201"/>
      <c r="Y81" s="201"/>
      <c r="Z81" s="201"/>
      <c r="AA81" s="201">
        <f t="shared" si="101"/>
        <v>-7122180.0174884759</v>
      </c>
      <c r="AB81" s="130">
        <v>0</v>
      </c>
      <c r="AC81" s="130">
        <f t="shared" si="102"/>
        <v>-7122180.0174884759</v>
      </c>
      <c r="AD81" s="130">
        <v>0</v>
      </c>
      <c r="AE81" s="201">
        <f t="shared" si="103"/>
        <v>-7122180.0174884759</v>
      </c>
      <c r="AF81" s="201">
        <f t="shared" si="105"/>
        <v>-345821.71356520057</v>
      </c>
    </row>
    <row r="82" spans="1:32" hidden="1" outlineLevel="1" x14ac:dyDescent="0.2">
      <c r="A82" s="124">
        <v>6</v>
      </c>
      <c r="B82" s="64" t="s">
        <v>192</v>
      </c>
      <c r="C82" s="201">
        <v>1893210.8992787059</v>
      </c>
      <c r="D82" s="201">
        <f>SUM($C$74:C82)</f>
        <v>-44478585.572161593</v>
      </c>
      <c r="E82" s="201"/>
      <c r="F82" s="201">
        <f t="shared" si="90"/>
        <v>-20000000</v>
      </c>
      <c r="G82" s="201">
        <f t="shared" si="91"/>
        <v>-20000000</v>
      </c>
      <c r="H82" s="220">
        <f t="shared" si="92"/>
        <v>-4478585.5721615925</v>
      </c>
      <c r="I82" s="201">
        <f t="shared" si="93"/>
        <v>0</v>
      </c>
      <c r="J82" s="201">
        <f t="shared" si="94"/>
        <v>-10000000</v>
      </c>
      <c r="K82" s="201">
        <f t="shared" si="95"/>
        <v>-4030727.0149454335</v>
      </c>
      <c r="L82" s="201">
        <f t="shared" si="96"/>
        <v>0</v>
      </c>
      <c r="M82" s="201">
        <f t="shared" si="97"/>
        <v>-9255065.1090182345</v>
      </c>
      <c r="N82" s="130">
        <v>0</v>
      </c>
      <c r="O82" s="201">
        <f t="shared" si="98"/>
        <v>-9255065.1090182345</v>
      </c>
      <c r="P82" s="201">
        <f t="shared" si="104"/>
        <v>1703889.809350837</v>
      </c>
      <c r="Q82" s="201"/>
      <c r="R82" s="215"/>
      <c r="S82" s="201">
        <f t="shared" si="99"/>
        <v>-20000000</v>
      </c>
      <c r="T82" s="201">
        <f t="shared" si="100"/>
        <v>-10000000</v>
      </c>
      <c r="U82" s="220">
        <f t="shared" si="100"/>
        <v>-447858.55721615907</v>
      </c>
      <c r="V82" s="220">
        <f t="shared" si="100"/>
        <v>0</v>
      </c>
      <c r="W82" s="201"/>
      <c r="X82" s="201"/>
      <c r="Y82" s="201"/>
      <c r="Z82" s="201"/>
      <c r="AA82" s="201">
        <f t="shared" si="101"/>
        <v>-6932858.9275606051</v>
      </c>
      <c r="AB82" s="130">
        <v>0</v>
      </c>
      <c r="AC82" s="130">
        <f t="shared" si="102"/>
        <v>-6932858.9275606051</v>
      </c>
      <c r="AD82" s="130">
        <v>0</v>
      </c>
      <c r="AE82" s="201">
        <f t="shared" si="103"/>
        <v>-6932858.9275606051</v>
      </c>
      <c r="AF82" s="201">
        <f t="shared" si="105"/>
        <v>189321.08992787078</v>
      </c>
    </row>
    <row r="83" spans="1:32" hidden="1" outlineLevel="1" x14ac:dyDescent="0.2">
      <c r="A83" s="124">
        <v>6</v>
      </c>
      <c r="B83" s="64" t="s">
        <v>193</v>
      </c>
      <c r="C83" s="201">
        <v>4376547.2021575877</v>
      </c>
      <c r="D83" s="201">
        <f>SUM($C$74:C83)</f>
        <v>-40102038.370004006</v>
      </c>
      <c r="E83" s="201"/>
      <c r="F83" s="201">
        <f t="shared" si="90"/>
        <v>-20000000</v>
      </c>
      <c r="G83" s="201">
        <f t="shared" si="91"/>
        <v>-20000000</v>
      </c>
      <c r="H83" s="201">
        <f t="shared" si="92"/>
        <v>-102038.37000400573</v>
      </c>
      <c r="I83" s="201">
        <f t="shared" si="93"/>
        <v>0</v>
      </c>
      <c r="J83" s="201">
        <f t="shared" si="94"/>
        <v>-10000000</v>
      </c>
      <c r="K83" s="201">
        <f t="shared" si="95"/>
        <v>-91834.53300360516</v>
      </c>
      <c r="L83" s="201">
        <f t="shared" si="96"/>
        <v>0</v>
      </c>
      <c r="M83" s="201">
        <f t="shared" si="97"/>
        <v>-5316172.6270764079</v>
      </c>
      <c r="N83" s="130">
        <v>0</v>
      </c>
      <c r="O83" s="201">
        <f t="shared" si="98"/>
        <v>-5316172.6270764079</v>
      </c>
      <c r="P83" s="201">
        <f t="shared" si="104"/>
        <v>3938892.4819418266</v>
      </c>
      <c r="Q83" s="201"/>
      <c r="R83" s="215"/>
      <c r="S83" s="201">
        <f t="shared" si="99"/>
        <v>-20000000</v>
      </c>
      <c r="T83" s="201">
        <f t="shared" si="100"/>
        <v>-10000000</v>
      </c>
      <c r="U83" s="220">
        <f t="shared" si="100"/>
        <v>-10203.83700040057</v>
      </c>
      <c r="V83" s="220">
        <f t="shared" si="100"/>
        <v>0</v>
      </c>
      <c r="W83" s="201"/>
      <c r="X83" s="201"/>
      <c r="Y83" s="201"/>
      <c r="Z83" s="201"/>
      <c r="AA83" s="201">
        <f t="shared" si="101"/>
        <v>-6495204.2073448449</v>
      </c>
      <c r="AB83" s="130">
        <v>0</v>
      </c>
      <c r="AC83" s="130">
        <f t="shared" si="102"/>
        <v>-6495204.2073448449</v>
      </c>
      <c r="AD83" s="130">
        <v>0</v>
      </c>
      <c r="AE83" s="201">
        <f t="shared" si="103"/>
        <v>-6495204.2073448449</v>
      </c>
      <c r="AF83" s="201">
        <f t="shared" si="105"/>
        <v>437654.72021576017</v>
      </c>
    </row>
    <row r="84" spans="1:32" hidden="1" outlineLevel="1" x14ac:dyDescent="0.2">
      <c r="A84" s="124">
        <v>6</v>
      </c>
      <c r="B84" s="64" t="s">
        <v>194</v>
      </c>
      <c r="C84" s="201">
        <v>3852514.9568052981</v>
      </c>
      <c r="D84" s="201">
        <f>SUM($C$74:C84)</f>
        <v>-36249523.413198709</v>
      </c>
      <c r="E84" s="201"/>
      <c r="F84" s="201">
        <f t="shared" si="90"/>
        <v>-20000000</v>
      </c>
      <c r="G84" s="201">
        <f t="shared" si="91"/>
        <v>-16249523.413198709</v>
      </c>
      <c r="H84" s="201">
        <f t="shared" si="92"/>
        <v>0</v>
      </c>
      <c r="I84" s="201">
        <f t="shared" si="93"/>
        <v>0</v>
      </c>
      <c r="J84" s="201">
        <f t="shared" si="94"/>
        <v>-8124761.7065993547</v>
      </c>
      <c r="K84" s="201">
        <f t="shared" si="95"/>
        <v>0</v>
      </c>
      <c r="L84" s="201">
        <f t="shared" si="96"/>
        <v>0</v>
      </c>
      <c r="M84" s="201">
        <f t="shared" si="97"/>
        <v>-3349099.8006721567</v>
      </c>
      <c r="N84" s="130">
        <v>0</v>
      </c>
      <c r="O84" s="201">
        <f t="shared" si="98"/>
        <v>-3349099.8006721567</v>
      </c>
      <c r="P84" s="201">
        <f t="shared" si="104"/>
        <v>1967072.8264042512</v>
      </c>
      <c r="Q84" s="201"/>
      <c r="R84" s="215"/>
      <c r="S84" s="201">
        <f t="shared" si="99"/>
        <v>-20000000</v>
      </c>
      <c r="T84" s="201">
        <f t="shared" si="100"/>
        <v>-8124761.7065993547</v>
      </c>
      <c r="U84" s="220">
        <f t="shared" si="100"/>
        <v>0</v>
      </c>
      <c r="V84" s="220">
        <f t="shared" si="100"/>
        <v>0</v>
      </c>
      <c r="W84" s="201"/>
      <c r="X84" s="201"/>
      <c r="Y84" s="201"/>
      <c r="Z84" s="201"/>
      <c r="AA84" s="201">
        <f t="shared" si="101"/>
        <v>-4609762.0769437999</v>
      </c>
      <c r="AB84" s="130">
        <v>0</v>
      </c>
      <c r="AC84" s="130">
        <f t="shared" si="102"/>
        <v>-4609762.0769437999</v>
      </c>
      <c r="AD84" s="130">
        <v>0</v>
      </c>
      <c r="AE84" s="201">
        <f t="shared" si="103"/>
        <v>-4609762.0769437999</v>
      </c>
      <c r="AF84" s="201">
        <f t="shared" si="105"/>
        <v>1885442.1304010451</v>
      </c>
    </row>
    <row r="85" spans="1:32" hidden="1" outlineLevel="1" x14ac:dyDescent="0.2">
      <c r="A85" s="124">
        <v>6</v>
      </c>
      <c r="B85" s="64" t="s">
        <v>195</v>
      </c>
      <c r="C85" s="201">
        <v>6036852.9216528442</v>
      </c>
      <c r="D85" s="201">
        <f>SUM($C$74:C85)</f>
        <v>-30212670.491545863</v>
      </c>
      <c r="E85" s="201"/>
      <c r="F85" s="201">
        <f t="shared" si="90"/>
        <v>-20000000</v>
      </c>
      <c r="G85" s="201">
        <f t="shared" si="91"/>
        <v>-10212670.491545863</v>
      </c>
      <c r="H85" s="201">
        <f t="shared" si="92"/>
        <v>0</v>
      </c>
      <c r="I85" s="201">
        <f t="shared" si="93"/>
        <v>0</v>
      </c>
      <c r="J85" s="201">
        <f t="shared" si="94"/>
        <v>-5106335.2457729317</v>
      </c>
      <c r="K85" s="201">
        <f t="shared" si="95"/>
        <v>0</v>
      </c>
      <c r="L85" s="201">
        <f t="shared" si="96"/>
        <v>0</v>
      </c>
      <c r="M85" s="201">
        <f t="shared" si="97"/>
        <v>-330673.33984573372</v>
      </c>
      <c r="N85" s="130">
        <v>0</v>
      </c>
      <c r="O85" s="201">
        <f t="shared" si="98"/>
        <v>-330673.33984573372</v>
      </c>
      <c r="P85" s="201">
        <f t="shared" si="104"/>
        <v>3018426.460826423</v>
      </c>
      <c r="Q85" s="201"/>
      <c r="R85" s="215"/>
      <c r="S85" s="201">
        <f t="shared" si="99"/>
        <v>-20000000</v>
      </c>
      <c r="T85" s="201">
        <f t="shared" si="100"/>
        <v>-5106335.2457729317</v>
      </c>
      <c r="U85" s="220">
        <f t="shared" si="100"/>
        <v>0</v>
      </c>
      <c r="V85" s="220">
        <f t="shared" si="100"/>
        <v>0</v>
      </c>
      <c r="W85" s="201"/>
      <c r="X85" s="201"/>
      <c r="Y85" s="201"/>
      <c r="Z85" s="201"/>
      <c r="AA85" s="201">
        <f t="shared" si="101"/>
        <v>-1591335.6161173768</v>
      </c>
      <c r="AB85" s="130">
        <v>0</v>
      </c>
      <c r="AC85" s="130">
        <f t="shared" si="102"/>
        <v>-1591335.6161173768</v>
      </c>
      <c r="AD85" s="130">
        <v>0</v>
      </c>
      <c r="AE85" s="201">
        <f t="shared" si="103"/>
        <v>-1591335.6161173768</v>
      </c>
      <c r="AF85" s="201">
        <f t="shared" si="105"/>
        <v>3018426.460826423</v>
      </c>
    </row>
    <row r="86" spans="1:32" hidden="1" outlineLevel="1" x14ac:dyDescent="0.2">
      <c r="A86" s="124"/>
      <c r="C86" s="201"/>
      <c r="D86" s="201"/>
      <c r="E86" s="201"/>
      <c r="F86" s="201"/>
      <c r="G86" s="201"/>
      <c r="H86" s="201"/>
      <c r="I86" s="201"/>
      <c r="J86" s="201"/>
      <c r="K86" s="201"/>
      <c r="L86" s="201"/>
      <c r="M86" s="201"/>
      <c r="N86" s="130"/>
      <c r="O86" s="201"/>
      <c r="P86" s="201"/>
      <c r="Q86" s="201"/>
      <c r="R86" s="215"/>
      <c r="S86" s="201"/>
      <c r="T86" s="201"/>
      <c r="U86" s="201"/>
      <c r="V86" s="201"/>
      <c r="W86" s="201"/>
      <c r="X86" s="201"/>
      <c r="Y86" s="201"/>
      <c r="Z86" s="201"/>
      <c r="AA86" s="201"/>
      <c r="AB86" s="130"/>
      <c r="AC86" s="130"/>
      <c r="AD86" s="130"/>
      <c r="AE86" s="201"/>
      <c r="AF86" s="201"/>
    </row>
    <row r="87" spans="1:32" hidden="1" outlineLevel="1" x14ac:dyDescent="0.2">
      <c r="A87" s="124">
        <v>7</v>
      </c>
      <c r="B87" s="221">
        <v>39448</v>
      </c>
      <c r="C87" s="201">
        <v>-2275392.0149463164</v>
      </c>
      <c r="D87" s="201">
        <f>C87</f>
        <v>-2275392.0149463164</v>
      </c>
      <c r="E87" s="201"/>
      <c r="F87" s="201">
        <f t="shared" ref="F87:F98" si="106">IF(ABS(D87)&gt;+$F$9,IF(D87&lt;0,-$F$9,+$F$9),+D87)</f>
        <v>-2275392.0149463164</v>
      </c>
      <c r="G87" s="201">
        <f t="shared" ref="G87:G98" si="107">IF(ABS(D87)-ABS(F87)&gt;=$G$9,IF(D87&lt;=0,-$G$9,+$G$9),+D87-F87)</f>
        <v>0</v>
      </c>
      <c r="H87" s="201">
        <f t="shared" ref="H87:H98" si="108">IF(ABS(+D87)-ABS(SUM(F87:G87))&gt;=$H$9,IF(D87&lt;=0,-$H$9,+$H$9),+D87-SUM(F87:G87))</f>
        <v>0</v>
      </c>
      <c r="I87" s="201">
        <f t="shared" ref="I87:I98" si="109">IF(ABS(+D87)-ABS(SUM(F87:H87))&gt;=$I$9,IF(D87&lt;=0,$D87-SUM($F87:$H87),$D87-SUM($F87:$H87)),D87-SUM(F87:H87))</f>
        <v>0</v>
      </c>
      <c r="J87" s="201">
        <f t="shared" ref="J87:J98" si="110">+G87*$C$260</f>
        <v>0</v>
      </c>
      <c r="K87" s="201">
        <f t="shared" ref="K87:K98" si="111">+H87*$C$261</f>
        <v>0</v>
      </c>
      <c r="L87" s="201">
        <f t="shared" ref="L87:L98" si="112">+I87*$C$262</f>
        <v>0</v>
      </c>
      <c r="M87" s="130">
        <f t="shared" ref="M87:M98" si="113">SUM(J87:L87)+$M$85</f>
        <v>-330673.33984573372</v>
      </c>
      <c r="N87" s="130">
        <v>0</v>
      </c>
      <c r="O87" s="201">
        <f t="shared" ref="O87:O98" si="114">M87+N87</f>
        <v>-330673.33984573372</v>
      </c>
      <c r="P87" s="201">
        <f>O87-O85</f>
        <v>0</v>
      </c>
      <c r="Q87" s="201"/>
      <c r="R87" s="215"/>
      <c r="S87" s="201">
        <f t="shared" ref="S87:S98" si="115">+F87</f>
        <v>-2275392.0149463164</v>
      </c>
      <c r="T87" s="201">
        <f t="shared" ref="T87:V98" si="116">+G87-J87</f>
        <v>0</v>
      </c>
      <c r="U87" s="220">
        <f t="shared" si="116"/>
        <v>0</v>
      </c>
      <c r="V87" s="220">
        <f t="shared" si="116"/>
        <v>0</v>
      </c>
      <c r="W87" s="201"/>
      <c r="X87" s="201"/>
      <c r="Y87" s="201"/>
      <c r="Z87" s="201"/>
      <c r="AA87" s="201">
        <f t="shared" ref="AA87:AA98" si="117">SUM(S87:V87)+$AA$85</f>
        <v>-3866727.6310636932</v>
      </c>
      <c r="AB87" s="130">
        <v>0</v>
      </c>
      <c r="AC87" s="130">
        <f t="shared" ref="AC87:AC98" si="118">AA87-AB87</f>
        <v>-3866727.6310636932</v>
      </c>
      <c r="AD87" s="130">
        <v>0</v>
      </c>
      <c r="AE87" s="201">
        <f t="shared" ref="AE87:AE98" si="119">AA87-AB87+AD87</f>
        <v>-3866727.6310636932</v>
      </c>
      <c r="AF87" s="201">
        <f>AE87-AE85</f>
        <v>-2275392.0149463164</v>
      </c>
    </row>
    <row r="88" spans="1:32" hidden="1" outlineLevel="1" x14ac:dyDescent="0.2">
      <c r="A88" s="124">
        <v>7</v>
      </c>
      <c r="B88" s="221">
        <v>39479</v>
      </c>
      <c r="C88" s="201">
        <v>2459425.7192307333</v>
      </c>
      <c r="D88" s="201">
        <f>SUM($C$87:C88)</f>
        <v>184033.70428441698</v>
      </c>
      <c r="E88" s="201"/>
      <c r="F88" s="201">
        <f t="shared" si="106"/>
        <v>184033.70428441698</v>
      </c>
      <c r="G88" s="201">
        <f t="shared" si="107"/>
        <v>0</v>
      </c>
      <c r="H88" s="201">
        <f t="shared" si="108"/>
        <v>0</v>
      </c>
      <c r="I88" s="201">
        <f t="shared" si="109"/>
        <v>0</v>
      </c>
      <c r="J88" s="201">
        <f t="shared" si="110"/>
        <v>0</v>
      </c>
      <c r="K88" s="201">
        <f t="shared" si="111"/>
        <v>0</v>
      </c>
      <c r="L88" s="201">
        <f t="shared" si="112"/>
        <v>0</v>
      </c>
      <c r="M88" s="130">
        <f t="shared" si="113"/>
        <v>-330673.33984573372</v>
      </c>
      <c r="N88" s="130">
        <v>0</v>
      </c>
      <c r="O88" s="201">
        <f t="shared" si="114"/>
        <v>-330673.33984573372</v>
      </c>
      <c r="P88" s="201">
        <f t="shared" ref="P88:P98" si="120">O88-O87</f>
        <v>0</v>
      </c>
      <c r="Q88" s="201"/>
      <c r="R88" s="215"/>
      <c r="S88" s="201">
        <f t="shared" si="115"/>
        <v>184033.70428441698</v>
      </c>
      <c r="T88" s="201">
        <f t="shared" si="116"/>
        <v>0</v>
      </c>
      <c r="U88" s="220">
        <f t="shared" si="116"/>
        <v>0</v>
      </c>
      <c r="V88" s="220">
        <f t="shared" si="116"/>
        <v>0</v>
      </c>
      <c r="W88" s="201"/>
      <c r="X88" s="201"/>
      <c r="Y88" s="201"/>
      <c r="Z88" s="201"/>
      <c r="AA88" s="201">
        <f t="shared" si="117"/>
        <v>-1407301.9118329599</v>
      </c>
      <c r="AB88" s="130">
        <v>0</v>
      </c>
      <c r="AC88" s="130">
        <f t="shared" si="118"/>
        <v>-1407301.9118329599</v>
      </c>
      <c r="AD88" s="130">
        <v>0</v>
      </c>
      <c r="AE88" s="201">
        <f t="shared" si="119"/>
        <v>-1407301.9118329599</v>
      </c>
      <c r="AF88" s="201">
        <f t="shared" ref="AF88:AF98" si="121">AE88-AE87</f>
        <v>2459425.7192307333</v>
      </c>
    </row>
    <row r="89" spans="1:32" hidden="1" outlineLevel="1" x14ac:dyDescent="0.2">
      <c r="A89" s="124">
        <v>7</v>
      </c>
      <c r="B89" s="221">
        <v>39508</v>
      </c>
      <c r="C89" s="201">
        <v>1372851.1955058365</v>
      </c>
      <c r="D89" s="201">
        <f>SUM($C$87:C89)</f>
        <v>1556884.8997902535</v>
      </c>
      <c r="E89" s="201"/>
      <c r="F89" s="201">
        <f t="shared" si="106"/>
        <v>1556884.8997902535</v>
      </c>
      <c r="G89" s="201">
        <f t="shared" si="107"/>
        <v>0</v>
      </c>
      <c r="H89" s="201">
        <f t="shared" si="108"/>
        <v>0</v>
      </c>
      <c r="I89" s="201">
        <f t="shared" si="109"/>
        <v>0</v>
      </c>
      <c r="J89" s="201">
        <f t="shared" si="110"/>
        <v>0</v>
      </c>
      <c r="K89" s="201">
        <f t="shared" si="111"/>
        <v>0</v>
      </c>
      <c r="L89" s="201">
        <f t="shared" si="112"/>
        <v>0</v>
      </c>
      <c r="M89" s="130">
        <f t="shared" si="113"/>
        <v>-330673.33984573372</v>
      </c>
      <c r="N89" s="130">
        <v>0</v>
      </c>
      <c r="O89" s="201">
        <f t="shared" si="114"/>
        <v>-330673.33984573372</v>
      </c>
      <c r="P89" s="201">
        <f t="shared" si="120"/>
        <v>0</v>
      </c>
      <c r="Q89" s="201"/>
      <c r="R89" s="215"/>
      <c r="S89" s="201">
        <f t="shared" si="115"/>
        <v>1556884.8997902535</v>
      </c>
      <c r="T89" s="201">
        <f t="shared" si="116"/>
        <v>0</v>
      </c>
      <c r="U89" s="220">
        <f t="shared" si="116"/>
        <v>0</v>
      </c>
      <c r="V89" s="220">
        <f t="shared" si="116"/>
        <v>0</v>
      </c>
      <c r="W89" s="201"/>
      <c r="X89" s="201"/>
      <c r="Y89" s="201"/>
      <c r="Z89" s="201"/>
      <c r="AA89" s="201">
        <f t="shared" si="117"/>
        <v>-34450.716327123344</v>
      </c>
      <c r="AB89" s="130">
        <v>0</v>
      </c>
      <c r="AC89" s="130">
        <f t="shared" si="118"/>
        <v>-34450.716327123344</v>
      </c>
      <c r="AD89" s="130">
        <v>0</v>
      </c>
      <c r="AE89" s="201">
        <f t="shared" si="119"/>
        <v>-34450.716327123344</v>
      </c>
      <c r="AF89" s="201">
        <f t="shared" si="121"/>
        <v>1372851.1955058365</v>
      </c>
    </row>
    <row r="90" spans="1:32" hidden="1" outlineLevel="1" x14ac:dyDescent="0.2">
      <c r="A90" s="124">
        <v>7</v>
      </c>
      <c r="B90" s="221">
        <v>39539</v>
      </c>
      <c r="C90" s="201">
        <v>-2738636.7367859269</v>
      </c>
      <c r="D90" s="201">
        <f>SUM($C$87:C90)</f>
        <v>-1181751.8369956734</v>
      </c>
      <c r="E90" s="201"/>
      <c r="F90" s="201">
        <f t="shared" si="106"/>
        <v>-1181751.8369956734</v>
      </c>
      <c r="G90" s="201">
        <f t="shared" si="107"/>
        <v>0</v>
      </c>
      <c r="H90" s="201">
        <f t="shared" si="108"/>
        <v>0</v>
      </c>
      <c r="I90" s="201">
        <f t="shared" si="109"/>
        <v>0</v>
      </c>
      <c r="J90" s="201">
        <f t="shared" si="110"/>
        <v>0</v>
      </c>
      <c r="K90" s="201">
        <f t="shared" si="111"/>
        <v>0</v>
      </c>
      <c r="L90" s="201">
        <f t="shared" si="112"/>
        <v>0</v>
      </c>
      <c r="M90" s="130">
        <f t="shared" si="113"/>
        <v>-330673.33984573372</v>
      </c>
      <c r="N90" s="130">
        <v>0</v>
      </c>
      <c r="O90" s="201">
        <f t="shared" si="114"/>
        <v>-330673.33984573372</v>
      </c>
      <c r="P90" s="201">
        <f t="shared" si="120"/>
        <v>0</v>
      </c>
      <c r="Q90" s="201"/>
      <c r="R90" s="215"/>
      <c r="S90" s="201">
        <f t="shared" si="115"/>
        <v>-1181751.8369956734</v>
      </c>
      <c r="T90" s="201">
        <f t="shared" si="116"/>
        <v>0</v>
      </c>
      <c r="U90" s="220">
        <f t="shared" si="116"/>
        <v>0</v>
      </c>
      <c r="V90" s="220">
        <f t="shared" si="116"/>
        <v>0</v>
      </c>
      <c r="W90" s="201"/>
      <c r="X90" s="201"/>
      <c r="Y90" s="201"/>
      <c r="Z90" s="201"/>
      <c r="AA90" s="201">
        <f t="shared" si="117"/>
        <v>-2773087.4531130502</v>
      </c>
      <c r="AB90" s="130">
        <v>0</v>
      </c>
      <c r="AC90" s="130">
        <f t="shared" si="118"/>
        <v>-2773087.4531130502</v>
      </c>
      <c r="AD90" s="130">
        <v>0</v>
      </c>
      <c r="AE90" s="201">
        <f t="shared" si="119"/>
        <v>-2773087.4531130502</v>
      </c>
      <c r="AF90" s="201">
        <f t="shared" si="121"/>
        <v>-2738636.7367859269</v>
      </c>
    </row>
    <row r="91" spans="1:32" hidden="1" outlineLevel="1" x14ac:dyDescent="0.2">
      <c r="A91" s="124">
        <v>7</v>
      </c>
      <c r="B91" s="221">
        <v>39569</v>
      </c>
      <c r="C91" s="201">
        <v>-21012746.218692351</v>
      </c>
      <c r="D91" s="201">
        <f>SUM($C$87:C91)</f>
        <v>-22194498.055688024</v>
      </c>
      <c r="E91" s="201"/>
      <c r="F91" s="201">
        <f t="shared" si="106"/>
        <v>-20000000</v>
      </c>
      <c r="G91" s="201">
        <f t="shared" si="107"/>
        <v>-2194498.0556880236</v>
      </c>
      <c r="H91" s="201">
        <f t="shared" si="108"/>
        <v>0</v>
      </c>
      <c r="I91" s="201">
        <f t="shared" si="109"/>
        <v>0</v>
      </c>
      <c r="J91" s="201">
        <f t="shared" si="110"/>
        <v>-1097249.0278440118</v>
      </c>
      <c r="K91" s="201">
        <f t="shared" si="111"/>
        <v>0</v>
      </c>
      <c r="L91" s="201">
        <f t="shared" si="112"/>
        <v>0</v>
      </c>
      <c r="M91" s="130">
        <f t="shared" si="113"/>
        <v>-1427922.3676897455</v>
      </c>
      <c r="N91" s="130">
        <v>0</v>
      </c>
      <c r="O91" s="201">
        <f t="shared" si="114"/>
        <v>-1427922.3676897455</v>
      </c>
      <c r="P91" s="201">
        <f t="shared" si="120"/>
        <v>-1097249.0278440118</v>
      </c>
      <c r="Q91" s="201"/>
      <c r="R91" s="215"/>
      <c r="S91" s="201">
        <f t="shared" si="115"/>
        <v>-20000000</v>
      </c>
      <c r="T91" s="201">
        <f t="shared" si="116"/>
        <v>-1097249.0278440118</v>
      </c>
      <c r="U91" s="220">
        <f t="shared" si="116"/>
        <v>0</v>
      </c>
      <c r="V91" s="220">
        <f t="shared" si="116"/>
        <v>0</v>
      </c>
      <c r="W91" s="201"/>
      <c r="X91" s="201"/>
      <c r="Y91" s="201"/>
      <c r="Z91" s="201"/>
      <c r="AA91" s="201">
        <f t="shared" si="117"/>
        <v>-22688584.643961389</v>
      </c>
      <c r="AB91" s="130">
        <v>0</v>
      </c>
      <c r="AC91" s="130">
        <f t="shared" si="118"/>
        <v>-22688584.643961389</v>
      </c>
      <c r="AD91" s="130">
        <v>0</v>
      </c>
      <c r="AE91" s="201">
        <f t="shared" si="119"/>
        <v>-22688584.643961389</v>
      </c>
      <c r="AF91" s="201">
        <f t="shared" si="121"/>
        <v>-19915497.190848339</v>
      </c>
    </row>
    <row r="92" spans="1:32" hidden="1" outlineLevel="1" x14ac:dyDescent="0.2">
      <c r="A92" s="124">
        <v>7</v>
      </c>
      <c r="B92" s="221">
        <v>39600</v>
      </c>
      <c r="C92" s="201">
        <v>-8355825.0977022359</v>
      </c>
      <c r="D92" s="201">
        <f>SUM($C$87:C92)</f>
        <v>-30550323.153390259</v>
      </c>
      <c r="E92" s="201"/>
      <c r="F92" s="201">
        <f t="shared" si="106"/>
        <v>-20000000</v>
      </c>
      <c r="G92" s="201">
        <f t="shared" si="107"/>
        <v>-10550323.153390259</v>
      </c>
      <c r="H92" s="201">
        <f t="shared" si="108"/>
        <v>0</v>
      </c>
      <c r="I92" s="201">
        <f t="shared" si="109"/>
        <v>0</v>
      </c>
      <c r="J92" s="201">
        <f t="shared" si="110"/>
        <v>-5275161.5766951293</v>
      </c>
      <c r="K92" s="201">
        <f t="shared" si="111"/>
        <v>0</v>
      </c>
      <c r="L92" s="201">
        <f t="shared" si="112"/>
        <v>0</v>
      </c>
      <c r="M92" s="130">
        <f t="shared" si="113"/>
        <v>-5605834.916540863</v>
      </c>
      <c r="N92" s="130">
        <v>0</v>
      </c>
      <c r="O92" s="201">
        <f t="shared" si="114"/>
        <v>-5605834.916540863</v>
      </c>
      <c r="P92" s="201">
        <f t="shared" si="120"/>
        <v>-4177912.5488511175</v>
      </c>
      <c r="Q92" s="201"/>
      <c r="R92" s="215"/>
      <c r="S92" s="201">
        <f t="shared" si="115"/>
        <v>-20000000</v>
      </c>
      <c r="T92" s="201">
        <f t="shared" si="116"/>
        <v>-5275161.5766951293</v>
      </c>
      <c r="U92" s="220">
        <f t="shared" si="116"/>
        <v>0</v>
      </c>
      <c r="V92" s="220">
        <f t="shared" si="116"/>
        <v>0</v>
      </c>
      <c r="W92" s="201"/>
      <c r="X92" s="201"/>
      <c r="Y92" s="201"/>
      <c r="Z92" s="201"/>
      <c r="AA92" s="201">
        <f t="shared" si="117"/>
        <v>-26866497.192812506</v>
      </c>
      <c r="AB92" s="130">
        <v>0</v>
      </c>
      <c r="AC92" s="130">
        <f t="shared" si="118"/>
        <v>-26866497.192812506</v>
      </c>
      <c r="AD92" s="130">
        <v>0</v>
      </c>
      <c r="AE92" s="201">
        <f t="shared" si="119"/>
        <v>-26866497.192812506</v>
      </c>
      <c r="AF92" s="201">
        <f t="shared" si="121"/>
        <v>-4177912.5488511175</v>
      </c>
    </row>
    <row r="93" spans="1:32" hidden="1" outlineLevel="1" x14ac:dyDescent="0.2">
      <c r="A93" s="124">
        <v>7</v>
      </c>
      <c r="B93" s="221">
        <v>39630</v>
      </c>
      <c r="C93" s="201">
        <v>-9228030.9396545701</v>
      </c>
      <c r="D93" s="201">
        <f>SUM($C$87:C93)</f>
        <v>-39778354.093044832</v>
      </c>
      <c r="E93" s="201"/>
      <c r="F93" s="201">
        <f t="shared" si="106"/>
        <v>-20000000</v>
      </c>
      <c r="G93" s="201">
        <f t="shared" si="107"/>
        <v>-19778354.093044832</v>
      </c>
      <c r="H93" s="201">
        <f t="shared" si="108"/>
        <v>0</v>
      </c>
      <c r="I93" s="201">
        <f t="shared" si="109"/>
        <v>0</v>
      </c>
      <c r="J93" s="201">
        <f t="shared" si="110"/>
        <v>-9889177.0465224162</v>
      </c>
      <c r="K93" s="201">
        <f t="shared" si="111"/>
        <v>0</v>
      </c>
      <c r="L93" s="201">
        <f t="shared" si="112"/>
        <v>0</v>
      </c>
      <c r="M93" s="130">
        <f t="shared" si="113"/>
        <v>-10219850.38636815</v>
      </c>
      <c r="N93" s="130">
        <v>0</v>
      </c>
      <c r="O93" s="201">
        <f t="shared" si="114"/>
        <v>-10219850.38636815</v>
      </c>
      <c r="P93" s="201">
        <f t="shared" si="120"/>
        <v>-4614015.4698272869</v>
      </c>
      <c r="Q93" s="201"/>
      <c r="R93" s="215"/>
      <c r="S93" s="201">
        <f t="shared" si="115"/>
        <v>-20000000</v>
      </c>
      <c r="T93" s="201">
        <f t="shared" si="116"/>
        <v>-9889177.0465224162</v>
      </c>
      <c r="U93" s="220">
        <f t="shared" si="116"/>
        <v>0</v>
      </c>
      <c r="V93" s="220">
        <f t="shared" si="116"/>
        <v>0</v>
      </c>
      <c r="W93" s="201"/>
      <c r="X93" s="201"/>
      <c r="Y93" s="201"/>
      <c r="Z93" s="201"/>
      <c r="AA93" s="201">
        <f t="shared" si="117"/>
        <v>-31480512.662639793</v>
      </c>
      <c r="AB93" s="130">
        <v>0</v>
      </c>
      <c r="AC93" s="130">
        <f t="shared" si="118"/>
        <v>-31480512.662639793</v>
      </c>
      <c r="AD93" s="130">
        <v>0</v>
      </c>
      <c r="AE93" s="201">
        <f t="shared" si="119"/>
        <v>-31480512.662639793</v>
      </c>
      <c r="AF93" s="201">
        <f t="shared" si="121"/>
        <v>-4614015.4698272869</v>
      </c>
    </row>
    <row r="94" spans="1:32" hidden="1" outlineLevel="1" x14ac:dyDescent="0.2">
      <c r="A94" s="124">
        <v>7</v>
      </c>
      <c r="B94" s="221">
        <v>39661</v>
      </c>
      <c r="C94" s="201">
        <v>2852793.077118956</v>
      </c>
      <c r="D94" s="201">
        <f>SUM($C$87:C94)</f>
        <v>-36925561.015925877</v>
      </c>
      <c r="E94" s="201"/>
      <c r="F94" s="201">
        <f t="shared" si="106"/>
        <v>-20000000</v>
      </c>
      <c r="G94" s="201">
        <f t="shared" si="107"/>
        <v>-16925561.015925877</v>
      </c>
      <c r="H94" s="201">
        <f t="shared" si="108"/>
        <v>0</v>
      </c>
      <c r="I94" s="201">
        <f t="shared" si="109"/>
        <v>0</v>
      </c>
      <c r="J94" s="201">
        <f t="shared" si="110"/>
        <v>-8462780.5079629384</v>
      </c>
      <c r="K94" s="201">
        <f t="shared" si="111"/>
        <v>0</v>
      </c>
      <c r="L94" s="201">
        <f t="shared" si="112"/>
        <v>0</v>
      </c>
      <c r="M94" s="130">
        <f t="shared" si="113"/>
        <v>-8793453.8478086721</v>
      </c>
      <c r="N94" s="130">
        <v>0</v>
      </c>
      <c r="O94" s="201">
        <f t="shared" si="114"/>
        <v>-8793453.8478086721</v>
      </c>
      <c r="P94" s="201">
        <f t="shared" si="120"/>
        <v>1426396.5385594778</v>
      </c>
      <c r="Q94" s="201"/>
      <c r="R94" s="215"/>
      <c r="S94" s="201">
        <f t="shared" si="115"/>
        <v>-20000000</v>
      </c>
      <c r="T94" s="201">
        <f t="shared" si="116"/>
        <v>-8462780.5079629384</v>
      </c>
      <c r="U94" s="220">
        <f t="shared" si="116"/>
        <v>0</v>
      </c>
      <c r="V94" s="220">
        <f t="shared" si="116"/>
        <v>0</v>
      </c>
      <c r="W94" s="201"/>
      <c r="X94" s="201"/>
      <c r="Y94" s="201"/>
      <c r="Z94" s="201"/>
      <c r="AA94" s="201">
        <f t="shared" si="117"/>
        <v>-30054116.124080315</v>
      </c>
      <c r="AB94" s="130">
        <v>0</v>
      </c>
      <c r="AC94" s="130">
        <f t="shared" si="118"/>
        <v>-30054116.124080315</v>
      </c>
      <c r="AD94" s="130">
        <v>0</v>
      </c>
      <c r="AE94" s="201">
        <f t="shared" si="119"/>
        <v>-30054116.124080315</v>
      </c>
      <c r="AF94" s="201">
        <f t="shared" si="121"/>
        <v>1426396.5385594778</v>
      </c>
    </row>
    <row r="95" spans="1:32" hidden="1" outlineLevel="1" x14ac:dyDescent="0.2">
      <c r="A95" s="124">
        <v>7</v>
      </c>
      <c r="B95" s="221">
        <v>39692</v>
      </c>
      <c r="C95" s="201">
        <v>12756569.902592195</v>
      </c>
      <c r="D95" s="201">
        <f>SUM($C$87:C95)</f>
        <v>-24168991.11333368</v>
      </c>
      <c r="E95" s="201"/>
      <c r="F95" s="201">
        <f t="shared" si="106"/>
        <v>-20000000</v>
      </c>
      <c r="G95" s="201">
        <f t="shared" si="107"/>
        <v>-4168991.1133336797</v>
      </c>
      <c r="H95" s="201">
        <f t="shared" si="108"/>
        <v>0</v>
      </c>
      <c r="I95" s="201">
        <f t="shared" si="109"/>
        <v>0</v>
      </c>
      <c r="J95" s="201">
        <f t="shared" si="110"/>
        <v>-2084495.5566668399</v>
      </c>
      <c r="K95" s="201">
        <f t="shared" si="111"/>
        <v>0</v>
      </c>
      <c r="L95" s="201">
        <f t="shared" si="112"/>
        <v>0</v>
      </c>
      <c r="M95" s="130">
        <f t="shared" si="113"/>
        <v>-2415168.8965125736</v>
      </c>
      <c r="N95" s="130">
        <v>0</v>
      </c>
      <c r="O95" s="201">
        <f t="shared" si="114"/>
        <v>-2415168.8965125736</v>
      </c>
      <c r="P95" s="201">
        <f t="shared" si="120"/>
        <v>6378284.9512960985</v>
      </c>
      <c r="Q95" s="201"/>
      <c r="R95" s="215"/>
      <c r="S95" s="201">
        <f t="shared" si="115"/>
        <v>-20000000</v>
      </c>
      <c r="T95" s="201">
        <f t="shared" si="116"/>
        <v>-2084495.5566668399</v>
      </c>
      <c r="U95" s="220">
        <f t="shared" si="116"/>
        <v>0</v>
      </c>
      <c r="V95" s="220">
        <f t="shared" si="116"/>
        <v>0</v>
      </c>
      <c r="W95" s="201"/>
      <c r="X95" s="201"/>
      <c r="Y95" s="201"/>
      <c r="Z95" s="201"/>
      <c r="AA95" s="201">
        <f t="shared" si="117"/>
        <v>-23675831.172784217</v>
      </c>
      <c r="AB95" s="130">
        <v>0</v>
      </c>
      <c r="AC95" s="130">
        <f t="shared" si="118"/>
        <v>-23675831.172784217</v>
      </c>
      <c r="AD95" s="130">
        <v>0</v>
      </c>
      <c r="AE95" s="201">
        <f t="shared" si="119"/>
        <v>-23675831.172784217</v>
      </c>
      <c r="AF95" s="201">
        <f t="shared" si="121"/>
        <v>6378284.9512960985</v>
      </c>
    </row>
    <row r="96" spans="1:32" hidden="1" outlineLevel="1" x14ac:dyDescent="0.2">
      <c r="A96" s="124">
        <v>7</v>
      </c>
      <c r="B96" s="221">
        <v>39722</v>
      </c>
      <c r="C96" s="201">
        <v>7047062.5382787185</v>
      </c>
      <c r="D96" s="201">
        <f>SUM($C$87:C96)</f>
        <v>-17121928.575054962</v>
      </c>
      <c r="E96" s="201"/>
      <c r="F96" s="201">
        <f t="shared" si="106"/>
        <v>-17121928.575054962</v>
      </c>
      <c r="G96" s="201">
        <f t="shared" si="107"/>
        <v>0</v>
      </c>
      <c r="H96" s="201">
        <f t="shared" si="108"/>
        <v>0</v>
      </c>
      <c r="I96" s="201">
        <f t="shared" si="109"/>
        <v>0</v>
      </c>
      <c r="J96" s="201">
        <f t="shared" si="110"/>
        <v>0</v>
      </c>
      <c r="K96" s="201">
        <f t="shared" si="111"/>
        <v>0</v>
      </c>
      <c r="L96" s="201">
        <f t="shared" si="112"/>
        <v>0</v>
      </c>
      <c r="M96" s="130">
        <f t="shared" si="113"/>
        <v>-330673.33984573372</v>
      </c>
      <c r="N96" s="130">
        <v>0</v>
      </c>
      <c r="O96" s="201">
        <f t="shared" si="114"/>
        <v>-330673.33984573372</v>
      </c>
      <c r="P96" s="201">
        <f t="shared" si="120"/>
        <v>2084495.5566668399</v>
      </c>
      <c r="Q96" s="201"/>
      <c r="R96" s="215"/>
      <c r="S96" s="201">
        <f t="shared" si="115"/>
        <v>-17121928.575054962</v>
      </c>
      <c r="T96" s="201">
        <f t="shared" si="116"/>
        <v>0</v>
      </c>
      <c r="U96" s="220">
        <f t="shared" si="116"/>
        <v>0</v>
      </c>
      <c r="V96" s="220">
        <f t="shared" si="116"/>
        <v>0</v>
      </c>
      <c r="W96" s="201"/>
      <c r="X96" s="201"/>
      <c r="Y96" s="201"/>
      <c r="Z96" s="201"/>
      <c r="AA96" s="201">
        <f t="shared" si="117"/>
        <v>-18713264.191172339</v>
      </c>
      <c r="AB96" s="130">
        <v>0</v>
      </c>
      <c r="AC96" s="130">
        <f t="shared" si="118"/>
        <v>-18713264.191172339</v>
      </c>
      <c r="AD96" s="130">
        <v>0</v>
      </c>
      <c r="AE96" s="201">
        <f t="shared" si="119"/>
        <v>-18713264.191172339</v>
      </c>
      <c r="AF96" s="201">
        <f t="shared" si="121"/>
        <v>4962566.9816118777</v>
      </c>
    </row>
    <row r="97" spans="1:32" hidden="1" outlineLevel="1" x14ac:dyDescent="0.2">
      <c r="A97" s="124">
        <v>7</v>
      </c>
      <c r="B97" s="221">
        <v>39753</v>
      </c>
      <c r="C97" s="201">
        <v>2898960.8820309481</v>
      </c>
      <c r="D97" s="201">
        <f>SUM($C$87:C97)</f>
        <v>-14222967.693024013</v>
      </c>
      <c r="E97" s="201"/>
      <c r="F97" s="201">
        <f t="shared" si="106"/>
        <v>-14222967.693024013</v>
      </c>
      <c r="G97" s="201">
        <f t="shared" si="107"/>
        <v>0</v>
      </c>
      <c r="H97" s="201">
        <f t="shared" si="108"/>
        <v>0</v>
      </c>
      <c r="I97" s="201">
        <f t="shared" si="109"/>
        <v>0</v>
      </c>
      <c r="J97" s="201">
        <f t="shared" si="110"/>
        <v>0</v>
      </c>
      <c r="K97" s="201">
        <f t="shared" si="111"/>
        <v>0</v>
      </c>
      <c r="L97" s="201">
        <f t="shared" si="112"/>
        <v>0</v>
      </c>
      <c r="M97" s="130">
        <f t="shared" si="113"/>
        <v>-330673.33984573372</v>
      </c>
      <c r="N97" s="130">
        <v>0</v>
      </c>
      <c r="O97" s="201">
        <f t="shared" si="114"/>
        <v>-330673.33984573372</v>
      </c>
      <c r="P97" s="201">
        <f t="shared" si="120"/>
        <v>0</v>
      </c>
      <c r="Q97" s="201"/>
      <c r="R97" s="215"/>
      <c r="S97" s="201">
        <f t="shared" si="115"/>
        <v>-14222967.693024013</v>
      </c>
      <c r="T97" s="201">
        <f t="shared" si="116"/>
        <v>0</v>
      </c>
      <c r="U97" s="220">
        <f t="shared" si="116"/>
        <v>0</v>
      </c>
      <c r="V97" s="220">
        <f t="shared" si="116"/>
        <v>0</v>
      </c>
      <c r="W97" s="201"/>
      <c r="X97" s="201"/>
      <c r="Y97" s="201"/>
      <c r="Z97" s="201"/>
      <c r="AA97" s="201">
        <f t="shared" si="117"/>
        <v>-15814303.30914139</v>
      </c>
      <c r="AB97" s="130">
        <v>0</v>
      </c>
      <c r="AC97" s="130">
        <f t="shared" si="118"/>
        <v>-15814303.30914139</v>
      </c>
      <c r="AD97" s="130">
        <v>0</v>
      </c>
      <c r="AE97" s="201">
        <f t="shared" si="119"/>
        <v>-15814303.30914139</v>
      </c>
      <c r="AF97" s="201">
        <f t="shared" si="121"/>
        <v>2898960.882030949</v>
      </c>
    </row>
    <row r="98" spans="1:32" hidden="1" outlineLevel="1" x14ac:dyDescent="0.2">
      <c r="A98" s="124">
        <v>7</v>
      </c>
      <c r="B98" s="221">
        <v>39783</v>
      </c>
      <c r="C98" s="201">
        <v>12458043.31113358</v>
      </c>
      <c r="D98" s="201">
        <f>SUM($C$87:C98)</f>
        <v>-1764924.3818904329</v>
      </c>
      <c r="E98" s="201"/>
      <c r="F98" s="201">
        <f t="shared" si="106"/>
        <v>-1764924.3818904329</v>
      </c>
      <c r="G98" s="201">
        <f t="shared" si="107"/>
        <v>0</v>
      </c>
      <c r="H98" s="201">
        <f t="shared" si="108"/>
        <v>0</v>
      </c>
      <c r="I98" s="201">
        <f t="shared" si="109"/>
        <v>0</v>
      </c>
      <c r="J98" s="201">
        <f t="shared" si="110"/>
        <v>0</v>
      </c>
      <c r="K98" s="201">
        <f t="shared" si="111"/>
        <v>0</v>
      </c>
      <c r="L98" s="201">
        <f t="shared" si="112"/>
        <v>0</v>
      </c>
      <c r="M98" s="130">
        <f t="shared" si="113"/>
        <v>-330673.33984573372</v>
      </c>
      <c r="N98" s="130">
        <v>0</v>
      </c>
      <c r="O98" s="201">
        <f t="shared" si="114"/>
        <v>-330673.33984573372</v>
      </c>
      <c r="P98" s="201">
        <f t="shared" si="120"/>
        <v>0</v>
      </c>
      <c r="Q98" s="201"/>
      <c r="R98" s="215"/>
      <c r="S98" s="201">
        <f t="shared" si="115"/>
        <v>-1764924.3818904329</v>
      </c>
      <c r="T98" s="201">
        <f t="shared" si="116"/>
        <v>0</v>
      </c>
      <c r="U98" s="220">
        <f t="shared" si="116"/>
        <v>0</v>
      </c>
      <c r="V98" s="220">
        <f t="shared" si="116"/>
        <v>0</v>
      </c>
      <c r="W98" s="201"/>
      <c r="X98" s="201"/>
      <c r="Y98" s="201"/>
      <c r="Z98" s="201"/>
      <c r="AA98" s="201">
        <f t="shared" si="117"/>
        <v>-3356259.9980078097</v>
      </c>
      <c r="AB98" s="130">
        <v>0</v>
      </c>
      <c r="AC98" s="130">
        <f t="shared" si="118"/>
        <v>-3356259.9980078097</v>
      </c>
      <c r="AD98" s="130">
        <v>0</v>
      </c>
      <c r="AE98" s="201">
        <f t="shared" si="119"/>
        <v>-3356259.9980078097</v>
      </c>
      <c r="AF98" s="201">
        <f t="shared" si="121"/>
        <v>12458043.31113358</v>
      </c>
    </row>
    <row r="99" spans="1:32" hidden="1" outlineLevel="1" x14ac:dyDescent="0.2">
      <c r="A99" s="124"/>
      <c r="B99" s="221"/>
      <c r="C99" s="201"/>
      <c r="D99" s="201"/>
      <c r="E99" s="201"/>
      <c r="F99" s="201"/>
      <c r="G99" s="201"/>
      <c r="H99" s="201"/>
      <c r="I99" s="201"/>
      <c r="J99" s="201"/>
      <c r="K99" s="201"/>
      <c r="L99" s="201"/>
      <c r="M99" s="130"/>
      <c r="N99" s="130"/>
      <c r="O99" s="201"/>
      <c r="P99" s="201"/>
      <c r="Q99" s="201"/>
      <c r="R99" s="215"/>
      <c r="S99" s="201"/>
      <c r="T99" s="201"/>
      <c r="U99" s="220"/>
      <c r="V99" s="220"/>
      <c r="W99" s="201"/>
      <c r="X99" s="201"/>
      <c r="Y99" s="201"/>
      <c r="Z99" s="201"/>
      <c r="AA99" s="201"/>
      <c r="AB99" s="130"/>
      <c r="AC99" s="130"/>
      <c r="AD99" s="130"/>
      <c r="AE99" s="201"/>
      <c r="AF99" s="201"/>
    </row>
    <row r="100" spans="1:32" hidden="1" outlineLevel="1" x14ac:dyDescent="0.2">
      <c r="A100" s="124">
        <v>8</v>
      </c>
      <c r="B100" s="221">
        <v>39814</v>
      </c>
      <c r="C100" s="201">
        <v>-10251511.093003815</v>
      </c>
      <c r="D100" s="201">
        <f>C100</f>
        <v>-10251511.093003815</v>
      </c>
      <c r="E100" s="201"/>
      <c r="F100" s="201">
        <f t="shared" ref="F100:F111" si="122">IF(ABS(D100)&gt;+$F$9,IF(D100&lt;0,-$F$9,+$F$9),+D100)</f>
        <v>-10251511.093003815</v>
      </c>
      <c r="G100" s="201">
        <f t="shared" ref="G100:G111" si="123">IF(ABS(D100)-ABS(F100)&gt;=$G$9,IF(D100&lt;=0,-$G$9,+$G$9),+D100-F100)</f>
        <v>0</v>
      </c>
      <c r="H100" s="201">
        <f t="shared" ref="H100:H111" si="124">IF(ABS(+D100)-ABS(SUM(F100:G100))&gt;=$H$9,IF(D100&lt;=0,-$H$9,+$H$9),+D100-SUM(F100:G100))</f>
        <v>0</v>
      </c>
      <c r="I100" s="201">
        <f t="shared" ref="I100:I111" si="125">IF(ABS(+D100)-ABS(SUM(F100:H100))&gt;=$I$9,IF(D100&lt;=0,$D100-SUM($F100:$H100),$D100-SUM($F100:$H100)),D100-SUM(F100:H100))</f>
        <v>0</v>
      </c>
      <c r="J100" s="201">
        <f t="shared" ref="J100:J111" si="126">+G100*$C$260</f>
        <v>0</v>
      </c>
      <c r="K100" s="201">
        <f t="shared" ref="K100:K111" si="127">+H100*$C$261</f>
        <v>0</v>
      </c>
      <c r="L100" s="201">
        <f t="shared" ref="L100:L111" si="128">+I100*$C$262</f>
        <v>0</v>
      </c>
      <c r="M100" s="130">
        <f t="shared" ref="M100:M111" si="129">SUM(J100:L100)+$M$98</f>
        <v>-330673.33984573372</v>
      </c>
      <c r="N100" s="130">
        <v>0</v>
      </c>
      <c r="O100" s="201">
        <f t="shared" ref="O100:O111" si="130">M100+N100</f>
        <v>-330673.33984573372</v>
      </c>
      <c r="P100" s="201">
        <f>O100-O98</f>
        <v>0</v>
      </c>
      <c r="Q100" s="201"/>
      <c r="R100" s="215"/>
      <c r="S100" s="201">
        <f t="shared" ref="S100:S111" si="131">+F100</f>
        <v>-10251511.093003815</v>
      </c>
      <c r="T100" s="201">
        <f t="shared" ref="T100:V111" si="132">+G100-J100</f>
        <v>0</v>
      </c>
      <c r="U100" s="220">
        <f t="shared" si="132"/>
        <v>0</v>
      </c>
      <c r="V100" s="220">
        <f t="shared" si="132"/>
        <v>0</v>
      </c>
      <c r="W100" s="201"/>
      <c r="X100" s="201"/>
      <c r="Y100" s="201"/>
      <c r="Z100" s="201"/>
      <c r="AA100" s="201">
        <f t="shared" ref="AA100:AA111" si="133">SUM(S100:V100)+$AA$98</f>
        <v>-13607771.091011625</v>
      </c>
      <c r="AB100" s="130">
        <v>0</v>
      </c>
      <c r="AC100" s="130">
        <f t="shared" ref="AC100:AC111" si="134">AA100-AB100</f>
        <v>-13607771.091011625</v>
      </c>
      <c r="AD100" s="130">
        <v>0</v>
      </c>
      <c r="AE100" s="201">
        <f t="shared" ref="AE100:AE111" si="135">AA100-AB100+AD100</f>
        <v>-13607771.091011625</v>
      </c>
      <c r="AF100" s="201">
        <f>AE100-AE98</f>
        <v>-10251511.093003815</v>
      </c>
    </row>
    <row r="101" spans="1:32" hidden="1" outlineLevel="1" x14ac:dyDescent="0.2">
      <c r="A101" s="124">
        <v>8</v>
      </c>
      <c r="B101" s="221">
        <v>39845</v>
      </c>
      <c r="C101" s="201">
        <v>5192188.8631332237</v>
      </c>
      <c r="D101" s="201">
        <f>SUM($C$100:C101)</f>
        <v>-5059322.2298705913</v>
      </c>
      <c r="E101" s="201"/>
      <c r="F101" s="201">
        <f t="shared" si="122"/>
        <v>-5059322.2298705913</v>
      </c>
      <c r="G101" s="201">
        <f t="shared" si="123"/>
        <v>0</v>
      </c>
      <c r="H101" s="201">
        <f t="shared" si="124"/>
        <v>0</v>
      </c>
      <c r="I101" s="201">
        <f t="shared" si="125"/>
        <v>0</v>
      </c>
      <c r="J101" s="201">
        <f t="shared" si="126"/>
        <v>0</v>
      </c>
      <c r="K101" s="201">
        <f t="shared" si="127"/>
        <v>0</v>
      </c>
      <c r="L101" s="201">
        <f t="shared" si="128"/>
        <v>0</v>
      </c>
      <c r="M101" s="130">
        <f t="shared" si="129"/>
        <v>-330673.33984573372</v>
      </c>
      <c r="N101" s="130">
        <v>0</v>
      </c>
      <c r="O101" s="201">
        <f t="shared" si="130"/>
        <v>-330673.33984573372</v>
      </c>
      <c r="P101" s="201">
        <f t="shared" ref="P101:P111" si="136">O101-O100</f>
        <v>0</v>
      </c>
      <c r="Q101" s="201"/>
      <c r="R101" s="215"/>
      <c r="S101" s="201">
        <f t="shared" si="131"/>
        <v>-5059322.2298705913</v>
      </c>
      <c r="T101" s="201">
        <f t="shared" si="132"/>
        <v>0</v>
      </c>
      <c r="U101" s="220">
        <f t="shared" si="132"/>
        <v>0</v>
      </c>
      <c r="V101" s="220">
        <f t="shared" si="132"/>
        <v>0</v>
      </c>
      <c r="W101" s="201"/>
      <c r="X101" s="201"/>
      <c r="Y101" s="201"/>
      <c r="Z101" s="201"/>
      <c r="AA101" s="201">
        <f t="shared" si="133"/>
        <v>-8415582.2278784011</v>
      </c>
      <c r="AB101" s="130">
        <v>0</v>
      </c>
      <c r="AC101" s="130">
        <f t="shared" si="134"/>
        <v>-8415582.2278784011</v>
      </c>
      <c r="AD101" s="130">
        <v>0</v>
      </c>
      <c r="AE101" s="201">
        <f t="shared" si="135"/>
        <v>-8415582.2278784011</v>
      </c>
      <c r="AF101" s="201">
        <f t="shared" ref="AF101:AF111" si="137">AE101-AE100</f>
        <v>5192188.8631332237</v>
      </c>
    </row>
    <row r="102" spans="1:32" hidden="1" outlineLevel="1" x14ac:dyDescent="0.2">
      <c r="A102" s="124">
        <v>8</v>
      </c>
      <c r="B102" s="221">
        <v>39873</v>
      </c>
      <c r="C102" s="201">
        <v>9025.1023387498481</v>
      </c>
      <c r="D102" s="201">
        <f>SUM($C$100:C102)</f>
        <v>-5050297.1275318414</v>
      </c>
      <c r="E102" s="201"/>
      <c r="F102" s="201">
        <f t="shared" si="122"/>
        <v>-5050297.1275318414</v>
      </c>
      <c r="G102" s="201">
        <f t="shared" si="123"/>
        <v>0</v>
      </c>
      <c r="H102" s="201">
        <f t="shared" si="124"/>
        <v>0</v>
      </c>
      <c r="I102" s="201">
        <f t="shared" si="125"/>
        <v>0</v>
      </c>
      <c r="J102" s="201">
        <f t="shared" si="126"/>
        <v>0</v>
      </c>
      <c r="K102" s="201">
        <f t="shared" si="127"/>
        <v>0</v>
      </c>
      <c r="L102" s="201">
        <f t="shared" si="128"/>
        <v>0</v>
      </c>
      <c r="M102" s="130">
        <f t="shared" si="129"/>
        <v>-330673.33984573372</v>
      </c>
      <c r="N102" s="130">
        <v>0</v>
      </c>
      <c r="O102" s="201">
        <f t="shared" si="130"/>
        <v>-330673.33984573372</v>
      </c>
      <c r="P102" s="201">
        <f t="shared" si="136"/>
        <v>0</v>
      </c>
      <c r="Q102" s="201"/>
      <c r="R102" s="215"/>
      <c r="S102" s="201">
        <f t="shared" si="131"/>
        <v>-5050297.1275318414</v>
      </c>
      <c r="T102" s="201">
        <f t="shared" si="132"/>
        <v>0</v>
      </c>
      <c r="U102" s="220">
        <f t="shared" si="132"/>
        <v>0</v>
      </c>
      <c r="V102" s="220">
        <f t="shared" si="132"/>
        <v>0</v>
      </c>
      <c r="W102" s="201"/>
      <c r="X102" s="201"/>
      <c r="Y102" s="201"/>
      <c r="Z102" s="201"/>
      <c r="AA102" s="201">
        <f t="shared" si="133"/>
        <v>-8406557.1255396511</v>
      </c>
      <c r="AB102" s="130">
        <v>0</v>
      </c>
      <c r="AC102" s="130">
        <f t="shared" si="134"/>
        <v>-8406557.1255396511</v>
      </c>
      <c r="AD102" s="130">
        <v>0</v>
      </c>
      <c r="AE102" s="201">
        <f t="shared" si="135"/>
        <v>-8406557.1255396511</v>
      </c>
      <c r="AF102" s="201">
        <f t="shared" si="137"/>
        <v>9025.1023387499154</v>
      </c>
    </row>
    <row r="103" spans="1:32" hidden="1" outlineLevel="1" x14ac:dyDescent="0.2">
      <c r="A103" s="124">
        <v>8</v>
      </c>
      <c r="B103" s="221">
        <v>39904</v>
      </c>
      <c r="C103" s="201">
        <v>-3492891.5926520452</v>
      </c>
      <c r="D103" s="201">
        <f>SUM($C$100:C103)</f>
        <v>-8543188.7201838866</v>
      </c>
      <c r="E103" s="201"/>
      <c r="F103" s="201">
        <f t="shared" si="122"/>
        <v>-8543188.7201838866</v>
      </c>
      <c r="G103" s="201">
        <f t="shared" si="123"/>
        <v>0</v>
      </c>
      <c r="H103" s="201">
        <f t="shared" si="124"/>
        <v>0</v>
      </c>
      <c r="I103" s="201">
        <f t="shared" si="125"/>
        <v>0</v>
      </c>
      <c r="J103" s="201">
        <f t="shared" si="126"/>
        <v>0</v>
      </c>
      <c r="K103" s="201">
        <f t="shared" si="127"/>
        <v>0</v>
      </c>
      <c r="L103" s="201">
        <f t="shared" si="128"/>
        <v>0</v>
      </c>
      <c r="M103" s="130">
        <f t="shared" si="129"/>
        <v>-330673.33984573372</v>
      </c>
      <c r="N103" s="130">
        <v>0</v>
      </c>
      <c r="O103" s="201">
        <f t="shared" si="130"/>
        <v>-330673.33984573372</v>
      </c>
      <c r="P103" s="201">
        <f t="shared" si="136"/>
        <v>0</v>
      </c>
      <c r="Q103" s="201"/>
      <c r="R103" s="215"/>
      <c r="S103" s="201">
        <f t="shared" si="131"/>
        <v>-8543188.7201838866</v>
      </c>
      <c r="T103" s="201">
        <f t="shared" si="132"/>
        <v>0</v>
      </c>
      <c r="U103" s="220">
        <f t="shared" si="132"/>
        <v>0</v>
      </c>
      <c r="V103" s="220">
        <f t="shared" si="132"/>
        <v>0</v>
      </c>
      <c r="W103" s="201"/>
      <c r="X103" s="201"/>
      <c r="Y103" s="201"/>
      <c r="Z103" s="201"/>
      <c r="AA103" s="201">
        <f t="shared" si="133"/>
        <v>-11899448.718191696</v>
      </c>
      <c r="AB103" s="130">
        <v>0</v>
      </c>
      <c r="AC103" s="130">
        <f t="shared" si="134"/>
        <v>-11899448.718191696</v>
      </c>
      <c r="AD103" s="130">
        <v>0</v>
      </c>
      <c r="AE103" s="201">
        <f t="shared" si="135"/>
        <v>-11899448.718191696</v>
      </c>
      <c r="AF103" s="201">
        <f t="shared" si="137"/>
        <v>-3492891.5926520452</v>
      </c>
    </row>
    <row r="104" spans="1:32" hidden="1" outlineLevel="1" x14ac:dyDescent="0.2">
      <c r="A104" s="124">
        <v>8</v>
      </c>
      <c r="B104" s="221">
        <v>39934</v>
      </c>
      <c r="C104" s="201">
        <v>-12728679.461994592</v>
      </c>
      <c r="D104" s="201">
        <f>SUM($C$100:C104)</f>
        <v>-21271868.182178479</v>
      </c>
      <c r="E104" s="201"/>
      <c r="F104" s="201">
        <f t="shared" si="122"/>
        <v>-20000000</v>
      </c>
      <c r="G104" s="201">
        <f t="shared" si="123"/>
        <v>-1271868.1821784787</v>
      </c>
      <c r="H104" s="201">
        <f t="shared" si="124"/>
        <v>0</v>
      </c>
      <c r="I104" s="201">
        <f t="shared" si="125"/>
        <v>0</v>
      </c>
      <c r="J104" s="201">
        <f t="shared" si="126"/>
        <v>-635934.09108923934</v>
      </c>
      <c r="K104" s="201">
        <f t="shared" si="127"/>
        <v>0</v>
      </c>
      <c r="L104" s="201">
        <f t="shared" si="128"/>
        <v>0</v>
      </c>
      <c r="M104" s="130">
        <f t="shared" si="129"/>
        <v>-966607.43093497306</v>
      </c>
      <c r="N104" s="130">
        <v>0</v>
      </c>
      <c r="O104" s="201">
        <f t="shared" si="130"/>
        <v>-966607.43093497306</v>
      </c>
      <c r="P104" s="201">
        <f t="shared" si="136"/>
        <v>-635934.09108923934</v>
      </c>
      <c r="Q104" s="201"/>
      <c r="R104" s="215"/>
      <c r="S104" s="201">
        <f t="shared" si="131"/>
        <v>-20000000</v>
      </c>
      <c r="T104" s="201">
        <f t="shared" si="132"/>
        <v>-635934.09108923934</v>
      </c>
      <c r="U104" s="220">
        <f t="shared" si="132"/>
        <v>0</v>
      </c>
      <c r="V104" s="220">
        <f t="shared" si="132"/>
        <v>0</v>
      </c>
      <c r="W104" s="201"/>
      <c r="X104" s="201"/>
      <c r="Y104" s="201"/>
      <c r="Z104" s="201"/>
      <c r="AA104" s="201">
        <f t="shared" si="133"/>
        <v>-23992194.089097053</v>
      </c>
      <c r="AB104" s="130">
        <v>0</v>
      </c>
      <c r="AC104" s="130">
        <f t="shared" si="134"/>
        <v>-23992194.089097053</v>
      </c>
      <c r="AD104" s="130">
        <v>0</v>
      </c>
      <c r="AE104" s="201">
        <f t="shared" si="135"/>
        <v>-23992194.089097053</v>
      </c>
      <c r="AF104" s="201">
        <f t="shared" si="137"/>
        <v>-12092745.370905356</v>
      </c>
    </row>
    <row r="105" spans="1:32" hidden="1" outlineLevel="1" x14ac:dyDescent="0.2">
      <c r="A105" s="124">
        <v>8</v>
      </c>
      <c r="B105" s="221">
        <v>39965</v>
      </c>
      <c r="C105" s="201">
        <v>-1097047.3955632483</v>
      </c>
      <c r="D105" s="201">
        <f>SUM($C$100:C105)</f>
        <v>-22368915.577741727</v>
      </c>
      <c r="E105" s="201"/>
      <c r="F105" s="201">
        <f t="shared" si="122"/>
        <v>-20000000</v>
      </c>
      <c r="G105" s="201">
        <f t="shared" si="123"/>
        <v>-2368915.5777417272</v>
      </c>
      <c r="H105" s="201">
        <f t="shared" si="124"/>
        <v>0</v>
      </c>
      <c r="I105" s="201">
        <f t="shared" si="125"/>
        <v>0</v>
      </c>
      <c r="J105" s="201">
        <f t="shared" si="126"/>
        <v>-1184457.7888708636</v>
      </c>
      <c r="K105" s="201">
        <f t="shared" si="127"/>
        <v>0</v>
      </c>
      <c r="L105" s="201">
        <f t="shared" si="128"/>
        <v>0</v>
      </c>
      <c r="M105" s="130">
        <f t="shared" si="129"/>
        <v>-1515131.1287165973</v>
      </c>
      <c r="N105" s="130">
        <v>0</v>
      </c>
      <c r="O105" s="201">
        <f t="shared" si="130"/>
        <v>-1515131.1287165973</v>
      </c>
      <c r="P105" s="201">
        <f t="shared" si="136"/>
        <v>-548523.69778162427</v>
      </c>
      <c r="Q105" s="201"/>
      <c r="R105" s="215"/>
      <c r="S105" s="201">
        <f t="shared" si="131"/>
        <v>-20000000</v>
      </c>
      <c r="T105" s="201">
        <f t="shared" si="132"/>
        <v>-1184457.7888708636</v>
      </c>
      <c r="U105" s="220">
        <f t="shared" si="132"/>
        <v>0</v>
      </c>
      <c r="V105" s="220">
        <f t="shared" si="132"/>
        <v>0</v>
      </c>
      <c r="W105" s="201"/>
      <c r="X105" s="201"/>
      <c r="Y105" s="201"/>
      <c r="Z105" s="201"/>
      <c r="AA105" s="201">
        <f t="shared" si="133"/>
        <v>-24540717.786878675</v>
      </c>
      <c r="AB105" s="130">
        <v>0</v>
      </c>
      <c r="AC105" s="130">
        <f t="shared" si="134"/>
        <v>-24540717.786878675</v>
      </c>
      <c r="AD105" s="130">
        <v>0</v>
      </c>
      <c r="AE105" s="201">
        <f t="shared" si="135"/>
        <v>-24540717.786878675</v>
      </c>
      <c r="AF105" s="201">
        <f t="shared" si="137"/>
        <v>-548523.69778162241</v>
      </c>
    </row>
    <row r="106" spans="1:32" hidden="1" outlineLevel="1" x14ac:dyDescent="0.2">
      <c r="A106" s="124">
        <v>8</v>
      </c>
      <c r="B106" s="221">
        <v>39995</v>
      </c>
      <c r="C106" s="201">
        <v>-2806492.002611307</v>
      </c>
      <c r="D106" s="201">
        <f>SUM($C$100:C106)</f>
        <v>-25175407.580353033</v>
      </c>
      <c r="E106" s="201"/>
      <c r="F106" s="201">
        <f t="shared" si="122"/>
        <v>-20000000</v>
      </c>
      <c r="G106" s="201">
        <f t="shared" si="123"/>
        <v>-5175407.5803530328</v>
      </c>
      <c r="H106" s="201">
        <f t="shared" si="124"/>
        <v>0</v>
      </c>
      <c r="I106" s="201">
        <f t="shared" si="125"/>
        <v>0</v>
      </c>
      <c r="J106" s="201">
        <f t="shared" si="126"/>
        <v>-2587703.7901765164</v>
      </c>
      <c r="K106" s="201">
        <f t="shared" si="127"/>
        <v>0</v>
      </c>
      <c r="L106" s="201">
        <f t="shared" si="128"/>
        <v>0</v>
      </c>
      <c r="M106" s="130">
        <f t="shared" si="129"/>
        <v>-2918377.1300222501</v>
      </c>
      <c r="N106" s="130">
        <v>0</v>
      </c>
      <c r="O106" s="201">
        <f t="shared" si="130"/>
        <v>-2918377.1300222501</v>
      </c>
      <c r="P106" s="201">
        <f t="shared" si="136"/>
        <v>-1403246.0013056528</v>
      </c>
      <c r="Q106" s="201"/>
      <c r="R106" s="215"/>
      <c r="S106" s="201">
        <f t="shared" si="131"/>
        <v>-20000000</v>
      </c>
      <c r="T106" s="201">
        <f t="shared" si="132"/>
        <v>-2587703.7901765164</v>
      </c>
      <c r="U106" s="220">
        <f t="shared" si="132"/>
        <v>0</v>
      </c>
      <c r="V106" s="220">
        <f t="shared" si="132"/>
        <v>0</v>
      </c>
      <c r="W106" s="201"/>
      <c r="X106" s="201"/>
      <c r="Y106" s="201"/>
      <c r="Z106" s="201"/>
      <c r="AA106" s="201">
        <f t="shared" si="133"/>
        <v>-25943963.78818433</v>
      </c>
      <c r="AB106" s="130">
        <v>0</v>
      </c>
      <c r="AC106" s="130">
        <f t="shared" si="134"/>
        <v>-25943963.78818433</v>
      </c>
      <c r="AD106" s="130">
        <v>0</v>
      </c>
      <c r="AE106" s="201">
        <f t="shared" si="135"/>
        <v>-25943963.78818433</v>
      </c>
      <c r="AF106" s="201">
        <f t="shared" si="137"/>
        <v>-1403246.0013056546</v>
      </c>
    </row>
    <row r="107" spans="1:32" hidden="1" outlineLevel="1" x14ac:dyDescent="0.2">
      <c r="A107" s="124">
        <v>8</v>
      </c>
      <c r="B107" s="221">
        <v>40026</v>
      </c>
      <c r="C107" s="201">
        <v>1217249.026898301</v>
      </c>
      <c r="D107" s="201">
        <f>SUM($C$100:C107)</f>
        <v>-23958158.553454731</v>
      </c>
      <c r="E107" s="201"/>
      <c r="F107" s="201">
        <f t="shared" si="122"/>
        <v>-20000000</v>
      </c>
      <c r="G107" s="201">
        <f t="shared" si="123"/>
        <v>-3958158.5534547307</v>
      </c>
      <c r="H107" s="201">
        <f t="shared" si="124"/>
        <v>0</v>
      </c>
      <c r="I107" s="201">
        <f t="shared" si="125"/>
        <v>0</v>
      </c>
      <c r="J107" s="201">
        <f t="shared" si="126"/>
        <v>-1979079.2767273653</v>
      </c>
      <c r="K107" s="201">
        <f t="shared" si="127"/>
        <v>0</v>
      </c>
      <c r="L107" s="201">
        <f t="shared" si="128"/>
        <v>0</v>
      </c>
      <c r="M107" s="130">
        <f t="shared" si="129"/>
        <v>-2309752.616573099</v>
      </c>
      <c r="N107" s="130">
        <v>0</v>
      </c>
      <c r="O107" s="201">
        <f t="shared" si="130"/>
        <v>-2309752.616573099</v>
      </c>
      <c r="P107" s="201">
        <f t="shared" si="136"/>
        <v>608624.51344915107</v>
      </c>
      <c r="Q107" s="201"/>
      <c r="R107" s="215"/>
      <c r="S107" s="201">
        <f t="shared" si="131"/>
        <v>-20000000</v>
      </c>
      <c r="T107" s="201">
        <f t="shared" si="132"/>
        <v>-1979079.2767273653</v>
      </c>
      <c r="U107" s="220">
        <f t="shared" si="132"/>
        <v>0</v>
      </c>
      <c r="V107" s="220">
        <f t="shared" si="132"/>
        <v>0</v>
      </c>
      <c r="W107" s="201"/>
      <c r="X107" s="201"/>
      <c r="Y107" s="201"/>
      <c r="Z107" s="201"/>
      <c r="AA107" s="201">
        <f t="shared" si="133"/>
        <v>-25335339.274735175</v>
      </c>
      <c r="AB107" s="130">
        <v>0</v>
      </c>
      <c r="AC107" s="130">
        <f t="shared" si="134"/>
        <v>-25335339.274735175</v>
      </c>
      <c r="AD107" s="130">
        <v>0</v>
      </c>
      <c r="AE107" s="201">
        <f t="shared" si="135"/>
        <v>-25335339.274735175</v>
      </c>
      <c r="AF107" s="201">
        <f t="shared" si="137"/>
        <v>608624.51344915479</v>
      </c>
    </row>
    <row r="108" spans="1:32" hidden="1" outlineLevel="1" x14ac:dyDescent="0.2">
      <c r="A108" s="124">
        <v>8</v>
      </c>
      <c r="B108" s="221">
        <v>40057</v>
      </c>
      <c r="C108" s="201">
        <v>12487091.094145533</v>
      </c>
      <c r="D108" s="201">
        <f>SUM($C$100:C108)</f>
        <v>-11471067.459309198</v>
      </c>
      <c r="E108" s="201"/>
      <c r="F108" s="201">
        <f t="shared" si="122"/>
        <v>-11471067.459309198</v>
      </c>
      <c r="G108" s="201">
        <f t="shared" si="123"/>
        <v>0</v>
      </c>
      <c r="H108" s="201">
        <f t="shared" si="124"/>
        <v>0</v>
      </c>
      <c r="I108" s="201">
        <f t="shared" si="125"/>
        <v>0</v>
      </c>
      <c r="J108" s="201">
        <f t="shared" si="126"/>
        <v>0</v>
      </c>
      <c r="K108" s="201">
        <f t="shared" si="127"/>
        <v>0</v>
      </c>
      <c r="L108" s="201">
        <f t="shared" si="128"/>
        <v>0</v>
      </c>
      <c r="M108" s="130">
        <f t="shared" si="129"/>
        <v>-330673.33984573372</v>
      </c>
      <c r="N108" s="130">
        <v>0</v>
      </c>
      <c r="O108" s="201">
        <f t="shared" si="130"/>
        <v>-330673.33984573372</v>
      </c>
      <c r="P108" s="201">
        <f t="shared" si="136"/>
        <v>1979079.2767273653</v>
      </c>
      <c r="Q108" s="201"/>
      <c r="R108" s="215"/>
      <c r="S108" s="201">
        <f t="shared" si="131"/>
        <v>-11471067.459309198</v>
      </c>
      <c r="T108" s="201">
        <f t="shared" si="132"/>
        <v>0</v>
      </c>
      <c r="U108" s="220">
        <f t="shared" si="132"/>
        <v>0</v>
      </c>
      <c r="V108" s="220">
        <f t="shared" si="132"/>
        <v>0</v>
      </c>
      <c r="W108" s="201"/>
      <c r="X108" s="201"/>
      <c r="Y108" s="201"/>
      <c r="Z108" s="201"/>
      <c r="AA108" s="201">
        <f t="shared" si="133"/>
        <v>-14827327.457317008</v>
      </c>
      <c r="AB108" s="130">
        <v>0</v>
      </c>
      <c r="AC108" s="130">
        <f t="shared" si="134"/>
        <v>-14827327.457317008</v>
      </c>
      <c r="AD108" s="130">
        <v>0</v>
      </c>
      <c r="AE108" s="201">
        <f t="shared" si="135"/>
        <v>-14827327.457317008</v>
      </c>
      <c r="AF108" s="201">
        <f t="shared" si="137"/>
        <v>10508011.817418167</v>
      </c>
    </row>
    <row r="109" spans="1:32" ht="14.25" hidden="1" customHeight="1" outlineLevel="1" x14ac:dyDescent="0.2">
      <c r="A109" s="124">
        <v>8</v>
      </c>
      <c r="B109" s="221">
        <v>40087</v>
      </c>
      <c r="C109" s="201">
        <v>18562455.954273306</v>
      </c>
      <c r="D109" s="201">
        <f>SUM($C$100:C109)</f>
        <v>7091388.4949641079</v>
      </c>
      <c r="E109" s="201"/>
      <c r="F109" s="201">
        <f t="shared" si="122"/>
        <v>7091388.4949641079</v>
      </c>
      <c r="G109" s="201">
        <f t="shared" si="123"/>
        <v>0</v>
      </c>
      <c r="H109" s="201">
        <f t="shared" si="124"/>
        <v>0</v>
      </c>
      <c r="I109" s="201">
        <f t="shared" si="125"/>
        <v>0</v>
      </c>
      <c r="J109" s="201">
        <f t="shared" si="126"/>
        <v>0</v>
      </c>
      <c r="K109" s="201">
        <f t="shared" si="127"/>
        <v>0</v>
      </c>
      <c r="L109" s="201">
        <f t="shared" si="128"/>
        <v>0</v>
      </c>
      <c r="M109" s="130">
        <f t="shared" si="129"/>
        <v>-330673.33984573372</v>
      </c>
      <c r="N109" s="130">
        <v>0</v>
      </c>
      <c r="O109" s="201">
        <f t="shared" si="130"/>
        <v>-330673.33984573372</v>
      </c>
      <c r="P109" s="201">
        <f t="shared" si="136"/>
        <v>0</v>
      </c>
      <c r="Q109" s="201"/>
      <c r="R109" s="215"/>
      <c r="S109" s="201">
        <f t="shared" si="131"/>
        <v>7091388.4949641079</v>
      </c>
      <c r="T109" s="201">
        <f t="shared" si="132"/>
        <v>0</v>
      </c>
      <c r="U109" s="220">
        <f t="shared" si="132"/>
        <v>0</v>
      </c>
      <c r="V109" s="220">
        <f t="shared" si="132"/>
        <v>0</v>
      </c>
      <c r="W109" s="201"/>
      <c r="X109" s="201"/>
      <c r="Y109" s="201"/>
      <c r="Z109" s="201"/>
      <c r="AA109" s="201">
        <f t="shared" si="133"/>
        <v>3735128.4969562981</v>
      </c>
      <c r="AB109" s="130">
        <v>0</v>
      </c>
      <c r="AC109" s="130">
        <f t="shared" si="134"/>
        <v>3735128.4969562981</v>
      </c>
      <c r="AD109" s="130">
        <v>0</v>
      </c>
      <c r="AE109" s="201">
        <f t="shared" si="135"/>
        <v>3735128.4969562981</v>
      </c>
      <c r="AF109" s="201">
        <f t="shared" si="137"/>
        <v>18562455.954273306</v>
      </c>
    </row>
    <row r="110" spans="1:32" hidden="1" outlineLevel="1" x14ac:dyDescent="0.2">
      <c r="A110" s="124">
        <v>8</v>
      </c>
      <c r="B110" s="221">
        <v>40118</v>
      </c>
      <c r="C110" s="201">
        <v>8332666.5253994651</v>
      </c>
      <c r="D110" s="201">
        <f>SUM($C$100:C110)</f>
        <v>15424055.020363573</v>
      </c>
      <c r="E110" s="201"/>
      <c r="F110" s="201">
        <f t="shared" si="122"/>
        <v>15424055.020363573</v>
      </c>
      <c r="G110" s="201">
        <f t="shared" si="123"/>
        <v>0</v>
      </c>
      <c r="H110" s="201">
        <f t="shared" si="124"/>
        <v>0</v>
      </c>
      <c r="I110" s="201">
        <f t="shared" si="125"/>
        <v>0</v>
      </c>
      <c r="J110" s="201">
        <f t="shared" si="126"/>
        <v>0</v>
      </c>
      <c r="K110" s="201">
        <f t="shared" si="127"/>
        <v>0</v>
      </c>
      <c r="L110" s="201">
        <f t="shared" si="128"/>
        <v>0</v>
      </c>
      <c r="M110" s="130">
        <f t="shared" si="129"/>
        <v>-330673.33984573372</v>
      </c>
      <c r="N110" s="130">
        <v>0</v>
      </c>
      <c r="O110" s="201">
        <f t="shared" si="130"/>
        <v>-330673.33984573372</v>
      </c>
      <c r="P110" s="201">
        <f t="shared" si="136"/>
        <v>0</v>
      </c>
      <c r="Q110" s="201"/>
      <c r="R110" s="215"/>
      <c r="S110" s="201">
        <f t="shared" si="131"/>
        <v>15424055.020363573</v>
      </c>
      <c r="T110" s="201">
        <f t="shared" si="132"/>
        <v>0</v>
      </c>
      <c r="U110" s="220">
        <f t="shared" si="132"/>
        <v>0</v>
      </c>
      <c r="V110" s="220">
        <f t="shared" si="132"/>
        <v>0</v>
      </c>
      <c r="W110" s="201"/>
      <c r="X110" s="201"/>
      <c r="Y110" s="201"/>
      <c r="Z110" s="201"/>
      <c r="AA110" s="201">
        <f t="shared" si="133"/>
        <v>12067795.022355763</v>
      </c>
      <c r="AB110" s="130">
        <v>0</v>
      </c>
      <c r="AC110" s="130">
        <f t="shared" si="134"/>
        <v>12067795.022355763</v>
      </c>
      <c r="AD110" s="130">
        <v>0</v>
      </c>
      <c r="AE110" s="201">
        <f t="shared" si="135"/>
        <v>12067795.022355763</v>
      </c>
      <c r="AF110" s="201">
        <f t="shared" si="137"/>
        <v>8332666.5253994651</v>
      </c>
    </row>
    <row r="111" spans="1:32" hidden="1" outlineLevel="1" x14ac:dyDescent="0.2">
      <c r="A111" s="124">
        <v>8</v>
      </c>
      <c r="B111" s="221">
        <v>40148</v>
      </c>
      <c r="C111" s="201">
        <v>14846042.436704425</v>
      </c>
      <c r="D111" s="201">
        <f>SUM($C$100:C111)</f>
        <v>30270097.457067996</v>
      </c>
      <c r="E111" s="201"/>
      <c r="F111" s="201">
        <f t="shared" si="122"/>
        <v>20000000</v>
      </c>
      <c r="G111" s="201">
        <f t="shared" si="123"/>
        <v>10270097.457067996</v>
      </c>
      <c r="H111" s="201">
        <f t="shared" si="124"/>
        <v>0</v>
      </c>
      <c r="I111" s="201">
        <f t="shared" si="125"/>
        <v>0</v>
      </c>
      <c r="J111" s="201">
        <f t="shared" si="126"/>
        <v>5135048.7285339981</v>
      </c>
      <c r="K111" s="201">
        <f t="shared" si="127"/>
        <v>0</v>
      </c>
      <c r="L111" s="201">
        <f t="shared" si="128"/>
        <v>0</v>
      </c>
      <c r="M111" s="130">
        <f t="shared" si="129"/>
        <v>4804375.3886882644</v>
      </c>
      <c r="N111" s="130">
        <v>0</v>
      </c>
      <c r="O111" s="201">
        <f t="shared" si="130"/>
        <v>4804375.3886882644</v>
      </c>
      <c r="P111" s="201">
        <f t="shared" si="136"/>
        <v>5135048.7285339981</v>
      </c>
      <c r="Q111" s="201"/>
      <c r="R111" s="215"/>
      <c r="S111" s="201">
        <f t="shared" si="131"/>
        <v>20000000</v>
      </c>
      <c r="T111" s="201">
        <f t="shared" si="132"/>
        <v>5135048.7285339981</v>
      </c>
      <c r="U111" s="220">
        <f t="shared" si="132"/>
        <v>0</v>
      </c>
      <c r="V111" s="220">
        <f t="shared" si="132"/>
        <v>0</v>
      </c>
      <c r="W111" s="201"/>
      <c r="X111" s="201"/>
      <c r="Y111" s="201"/>
      <c r="Z111" s="201"/>
      <c r="AA111" s="201">
        <f t="shared" si="133"/>
        <v>21778788.730526187</v>
      </c>
      <c r="AB111" s="130">
        <v>0</v>
      </c>
      <c r="AC111" s="130">
        <f t="shared" si="134"/>
        <v>21778788.730526187</v>
      </c>
      <c r="AD111" s="130">
        <v>0</v>
      </c>
      <c r="AE111" s="201">
        <f t="shared" si="135"/>
        <v>21778788.730526187</v>
      </c>
      <c r="AF111" s="201">
        <f t="shared" si="137"/>
        <v>9710993.7081704233</v>
      </c>
    </row>
    <row r="112" spans="1:32" hidden="1" outlineLevel="1" x14ac:dyDescent="0.2">
      <c r="A112" s="124"/>
      <c r="B112" s="221"/>
      <c r="C112" s="201"/>
      <c r="D112" s="201"/>
      <c r="E112" s="201"/>
      <c r="F112" s="201"/>
      <c r="G112" s="201"/>
      <c r="H112" s="201"/>
      <c r="I112" s="201"/>
      <c r="J112" s="201"/>
      <c r="K112" s="201"/>
      <c r="L112" s="201"/>
      <c r="M112" s="130"/>
      <c r="N112" s="130"/>
      <c r="O112" s="201"/>
      <c r="P112" s="201"/>
      <c r="Q112" s="201"/>
      <c r="R112" s="215"/>
      <c r="S112" s="201"/>
      <c r="T112" s="201"/>
      <c r="U112" s="220"/>
      <c r="V112" s="220"/>
      <c r="W112" s="201"/>
      <c r="X112" s="201"/>
      <c r="Y112" s="201"/>
      <c r="Z112" s="201"/>
      <c r="AA112" s="201"/>
      <c r="AB112" s="130"/>
      <c r="AC112" s="130"/>
      <c r="AD112" s="130"/>
      <c r="AE112" s="201"/>
      <c r="AF112" s="201"/>
    </row>
    <row r="113" spans="1:32" hidden="1" outlineLevel="1" x14ac:dyDescent="0.2">
      <c r="A113" s="124">
        <v>9</v>
      </c>
      <c r="B113" s="221">
        <v>40179</v>
      </c>
      <c r="C113" s="201">
        <v>8652353.5995881222</v>
      </c>
      <c r="D113" s="201">
        <f>C113</f>
        <v>8652353.5995881222</v>
      </c>
      <c r="E113" s="201"/>
      <c r="F113" s="201">
        <f t="shared" ref="F113:F124" si="138">IF(ABS(D113)&gt;+$F$9,IF(D113&lt;0,-$F$9,+$F$9),+D113)</f>
        <v>8652353.5995881222</v>
      </c>
      <c r="G113" s="201">
        <f t="shared" ref="G113:G124" si="139">IF(ABS(D113)-ABS(F113)&gt;=$G$9,IF(D113&lt;=0,-$G$9,+$G$9),+D113-F113)</f>
        <v>0</v>
      </c>
      <c r="H113" s="201">
        <f t="shared" ref="H113:H124" si="140">IF(ABS(+D113)-ABS(SUM(F113:G113))&gt;=$H$9,IF(D113&lt;=0,-$H$9,+$H$9),+D113-SUM(F113:G113))</f>
        <v>0</v>
      </c>
      <c r="I113" s="201">
        <f t="shared" ref="I113:I124" si="141">IF(ABS(+D113)-ABS(SUM(F113:H113))&gt;=$I$9,IF(D113&lt;=0,$D113-SUM($F113:$H113),$D113-SUM($F113:$H113)),D113-SUM(F113:H113))</f>
        <v>0</v>
      </c>
      <c r="J113" s="201">
        <f t="shared" ref="J113:J124" si="142">+G113*$C$260</f>
        <v>0</v>
      </c>
      <c r="K113" s="201">
        <f t="shared" ref="K113:K124" si="143">+H113*$C$261</f>
        <v>0</v>
      </c>
      <c r="L113" s="201">
        <f t="shared" ref="L113:L124" si="144">+I113*$C$262</f>
        <v>0</v>
      </c>
      <c r="M113" s="130">
        <f t="shared" ref="M113:M124" si="145">SUM(J113:L113)+$M$111</f>
        <v>4804375.3886882644</v>
      </c>
      <c r="N113" s="130">
        <v>0</v>
      </c>
      <c r="O113" s="201">
        <f t="shared" ref="O113:O124" si="146">M113+N113</f>
        <v>4804375.3886882644</v>
      </c>
      <c r="P113" s="201">
        <f>O113-O111</f>
        <v>0</v>
      </c>
      <c r="Q113" s="201"/>
      <c r="R113" s="215"/>
      <c r="S113" s="201">
        <f t="shared" ref="S113:S124" si="147">+F113</f>
        <v>8652353.5995881222</v>
      </c>
      <c r="T113" s="201">
        <f t="shared" ref="T113:V124" si="148">+G113-J113</f>
        <v>0</v>
      </c>
      <c r="U113" s="220">
        <f t="shared" si="148"/>
        <v>0</v>
      </c>
      <c r="V113" s="220">
        <f t="shared" si="148"/>
        <v>0</v>
      </c>
      <c r="W113" s="201"/>
      <c r="X113" s="201"/>
      <c r="Y113" s="201"/>
      <c r="Z113" s="201"/>
      <c r="AA113" s="201">
        <f t="shared" ref="AA113:AA124" si="149">SUM(S113:V113)+$AA$111</f>
        <v>30431142.330114309</v>
      </c>
      <c r="AB113" s="130">
        <v>0</v>
      </c>
      <c r="AC113" s="130">
        <f t="shared" ref="AC113:AC124" si="150">AA113-AB113</f>
        <v>30431142.330114309</v>
      </c>
      <c r="AD113" s="130">
        <v>0</v>
      </c>
      <c r="AE113" s="201">
        <f t="shared" ref="AE113:AE124" si="151">AA113-AB113+AD113</f>
        <v>30431142.330114309</v>
      </c>
      <c r="AF113" s="201">
        <f>AE113-AE111</f>
        <v>8652353.5995881222</v>
      </c>
    </row>
    <row r="114" spans="1:32" hidden="1" outlineLevel="1" x14ac:dyDescent="0.2">
      <c r="A114" s="124">
        <v>9</v>
      </c>
      <c r="B114" s="221">
        <v>40210</v>
      </c>
      <c r="C114" s="201">
        <v>16194910.002552642</v>
      </c>
      <c r="D114" s="201">
        <f>SUM($C$113:C114)</f>
        <v>24847263.602140762</v>
      </c>
      <c r="E114" s="201"/>
      <c r="F114" s="201">
        <f t="shared" si="138"/>
        <v>20000000</v>
      </c>
      <c r="G114" s="201">
        <f t="shared" si="139"/>
        <v>4847263.6021407619</v>
      </c>
      <c r="H114" s="201">
        <f t="shared" si="140"/>
        <v>0</v>
      </c>
      <c r="I114" s="201">
        <f t="shared" si="141"/>
        <v>0</v>
      </c>
      <c r="J114" s="201">
        <f t="shared" si="142"/>
        <v>2423631.801070381</v>
      </c>
      <c r="K114" s="201">
        <f t="shared" si="143"/>
        <v>0</v>
      </c>
      <c r="L114" s="201">
        <f t="shared" si="144"/>
        <v>0</v>
      </c>
      <c r="M114" s="130">
        <f t="shared" si="145"/>
        <v>7228007.1897586454</v>
      </c>
      <c r="N114" s="130">
        <v>0</v>
      </c>
      <c r="O114" s="201">
        <f t="shared" si="146"/>
        <v>7228007.1897586454</v>
      </c>
      <c r="P114" s="201">
        <f t="shared" ref="P114:P124" si="152">O114-O113</f>
        <v>2423631.801070381</v>
      </c>
      <c r="Q114" s="201"/>
      <c r="R114" s="215"/>
      <c r="S114" s="201">
        <f t="shared" si="147"/>
        <v>20000000</v>
      </c>
      <c r="T114" s="201">
        <f t="shared" si="148"/>
        <v>2423631.801070381</v>
      </c>
      <c r="U114" s="220">
        <f t="shared" si="148"/>
        <v>0</v>
      </c>
      <c r="V114" s="220">
        <f t="shared" si="148"/>
        <v>0</v>
      </c>
      <c r="W114" s="201"/>
      <c r="X114" s="201"/>
      <c r="Y114" s="201"/>
      <c r="Z114" s="201"/>
      <c r="AA114" s="201">
        <f t="shared" si="149"/>
        <v>44202420.531596571</v>
      </c>
      <c r="AB114" s="130">
        <v>0</v>
      </c>
      <c r="AC114" s="130">
        <f t="shared" si="150"/>
        <v>44202420.531596571</v>
      </c>
      <c r="AD114" s="130">
        <v>0</v>
      </c>
      <c r="AE114" s="201">
        <f t="shared" si="151"/>
        <v>44202420.531596571</v>
      </c>
      <c r="AF114" s="201">
        <f t="shared" ref="AF114:AF124" si="153">AE114-AE113</f>
        <v>13771278.201482262</v>
      </c>
    </row>
    <row r="115" spans="1:32" hidden="1" outlineLevel="1" x14ac:dyDescent="0.2">
      <c r="A115" s="124">
        <v>9</v>
      </c>
      <c r="B115" s="221">
        <v>40238</v>
      </c>
      <c r="C115" s="201">
        <v>10996059.306214416</v>
      </c>
      <c r="D115" s="201">
        <f>SUM($C$113:C115)</f>
        <v>35843322.908355176</v>
      </c>
      <c r="E115" s="201"/>
      <c r="F115" s="201">
        <f t="shared" si="138"/>
        <v>20000000</v>
      </c>
      <c r="G115" s="201">
        <f t="shared" si="139"/>
        <v>15843322.908355176</v>
      </c>
      <c r="H115" s="201">
        <f t="shared" si="140"/>
        <v>0</v>
      </c>
      <c r="I115" s="201">
        <f t="shared" si="141"/>
        <v>0</v>
      </c>
      <c r="J115" s="201">
        <f t="shared" si="142"/>
        <v>7921661.4541775882</v>
      </c>
      <c r="K115" s="201">
        <f t="shared" si="143"/>
        <v>0</v>
      </c>
      <c r="L115" s="201">
        <f t="shared" si="144"/>
        <v>0</v>
      </c>
      <c r="M115" s="130">
        <f t="shared" si="145"/>
        <v>12726036.842865853</v>
      </c>
      <c r="N115" s="130">
        <v>0</v>
      </c>
      <c r="O115" s="201">
        <f t="shared" si="146"/>
        <v>12726036.842865853</v>
      </c>
      <c r="P115" s="201">
        <f t="shared" si="152"/>
        <v>5498029.6531072073</v>
      </c>
      <c r="Q115" s="201"/>
      <c r="R115" s="215"/>
      <c r="S115" s="201">
        <f t="shared" si="147"/>
        <v>20000000</v>
      </c>
      <c r="T115" s="201">
        <f t="shared" si="148"/>
        <v>7921661.4541775882</v>
      </c>
      <c r="U115" s="220">
        <f t="shared" si="148"/>
        <v>0</v>
      </c>
      <c r="V115" s="220">
        <f t="shared" si="148"/>
        <v>0</v>
      </c>
      <c r="W115" s="201"/>
      <c r="X115" s="201"/>
      <c r="Y115" s="201"/>
      <c r="Z115" s="201"/>
      <c r="AA115" s="201">
        <f t="shared" si="149"/>
        <v>49700450.184703775</v>
      </c>
      <c r="AB115" s="130">
        <v>0</v>
      </c>
      <c r="AC115" s="130">
        <f t="shared" si="150"/>
        <v>49700450.184703775</v>
      </c>
      <c r="AD115" s="130">
        <v>0</v>
      </c>
      <c r="AE115" s="201">
        <f t="shared" si="151"/>
        <v>49700450.184703775</v>
      </c>
      <c r="AF115" s="201">
        <f t="shared" si="153"/>
        <v>5498029.6531072035</v>
      </c>
    </row>
    <row r="116" spans="1:32" hidden="1" outlineLevel="1" x14ac:dyDescent="0.2">
      <c r="A116" s="124">
        <v>9</v>
      </c>
      <c r="B116" s="221">
        <v>40269</v>
      </c>
      <c r="C116" s="201">
        <v>-5814026.2394584548</v>
      </c>
      <c r="D116" s="201">
        <f>SUM($C$113:C116)</f>
        <v>30029296.66889672</v>
      </c>
      <c r="E116" s="201"/>
      <c r="F116" s="201">
        <f t="shared" si="138"/>
        <v>20000000</v>
      </c>
      <c r="G116" s="201">
        <f t="shared" si="139"/>
        <v>10029296.66889672</v>
      </c>
      <c r="H116" s="201">
        <f t="shared" si="140"/>
        <v>0</v>
      </c>
      <c r="I116" s="201">
        <f t="shared" si="141"/>
        <v>0</v>
      </c>
      <c r="J116" s="201">
        <f t="shared" si="142"/>
        <v>5014648.3344483599</v>
      </c>
      <c r="K116" s="201">
        <f t="shared" si="143"/>
        <v>0</v>
      </c>
      <c r="L116" s="201">
        <f t="shared" si="144"/>
        <v>0</v>
      </c>
      <c r="M116" s="130">
        <f t="shared" si="145"/>
        <v>9819023.7231366243</v>
      </c>
      <c r="N116" s="130">
        <v>0</v>
      </c>
      <c r="O116" s="201">
        <f t="shared" si="146"/>
        <v>9819023.7231366243</v>
      </c>
      <c r="P116" s="201">
        <f t="shared" si="152"/>
        <v>-2907013.1197292283</v>
      </c>
      <c r="Q116" s="201"/>
      <c r="R116" s="215"/>
      <c r="S116" s="201">
        <f t="shared" si="147"/>
        <v>20000000</v>
      </c>
      <c r="T116" s="201">
        <f t="shared" si="148"/>
        <v>5014648.3344483599</v>
      </c>
      <c r="U116" s="220">
        <f t="shared" si="148"/>
        <v>0</v>
      </c>
      <c r="V116" s="220">
        <f t="shared" si="148"/>
        <v>0</v>
      </c>
      <c r="W116" s="201"/>
      <c r="X116" s="201"/>
      <c r="Y116" s="201"/>
      <c r="Z116" s="201"/>
      <c r="AA116" s="201">
        <f t="shared" si="149"/>
        <v>46793437.064974546</v>
      </c>
      <c r="AB116" s="130">
        <v>0</v>
      </c>
      <c r="AC116" s="130">
        <f t="shared" si="150"/>
        <v>46793437.064974546</v>
      </c>
      <c r="AD116" s="130">
        <v>0</v>
      </c>
      <c r="AE116" s="201">
        <f t="shared" si="151"/>
        <v>46793437.064974546</v>
      </c>
      <c r="AF116" s="201">
        <f t="shared" si="153"/>
        <v>-2907013.1197292283</v>
      </c>
    </row>
    <row r="117" spans="1:32" hidden="1" outlineLevel="1" x14ac:dyDescent="0.2">
      <c r="A117" s="124">
        <v>9</v>
      </c>
      <c r="B117" s="221">
        <v>40299</v>
      </c>
      <c r="C117" s="201">
        <v>-13553770.782869298</v>
      </c>
      <c r="D117" s="201">
        <f>SUM($C$113:C117)</f>
        <v>16475525.886027422</v>
      </c>
      <c r="E117" s="201"/>
      <c r="F117" s="201">
        <f t="shared" si="138"/>
        <v>16475525.886027422</v>
      </c>
      <c r="G117" s="201">
        <f t="shared" si="139"/>
        <v>0</v>
      </c>
      <c r="H117" s="201">
        <f t="shared" si="140"/>
        <v>0</v>
      </c>
      <c r="I117" s="201">
        <f t="shared" si="141"/>
        <v>0</v>
      </c>
      <c r="J117" s="201">
        <f t="shared" si="142"/>
        <v>0</v>
      </c>
      <c r="K117" s="201">
        <f t="shared" si="143"/>
        <v>0</v>
      </c>
      <c r="L117" s="201">
        <f t="shared" si="144"/>
        <v>0</v>
      </c>
      <c r="M117" s="130">
        <f t="shared" si="145"/>
        <v>4804375.3886882644</v>
      </c>
      <c r="N117" s="130">
        <v>0</v>
      </c>
      <c r="O117" s="201">
        <f t="shared" si="146"/>
        <v>4804375.3886882644</v>
      </c>
      <c r="P117" s="201">
        <f t="shared" si="152"/>
        <v>-5014648.3344483599</v>
      </c>
      <c r="Q117" s="201"/>
      <c r="R117" s="215"/>
      <c r="S117" s="201">
        <f t="shared" si="147"/>
        <v>16475525.886027422</v>
      </c>
      <c r="T117" s="201">
        <f t="shared" si="148"/>
        <v>0</v>
      </c>
      <c r="U117" s="220">
        <f t="shared" si="148"/>
        <v>0</v>
      </c>
      <c r="V117" s="220">
        <f t="shared" si="148"/>
        <v>0</v>
      </c>
      <c r="W117" s="201"/>
      <c r="X117" s="201"/>
      <c r="Y117" s="201"/>
      <c r="Z117" s="201"/>
      <c r="AA117" s="201">
        <f t="shared" si="149"/>
        <v>38254314.616553605</v>
      </c>
      <c r="AB117" s="130">
        <v>0</v>
      </c>
      <c r="AC117" s="130">
        <f t="shared" si="150"/>
        <v>38254314.616553605</v>
      </c>
      <c r="AD117" s="130">
        <v>0</v>
      </c>
      <c r="AE117" s="201">
        <f t="shared" si="151"/>
        <v>38254314.616553605</v>
      </c>
      <c r="AF117" s="201">
        <f t="shared" si="153"/>
        <v>-8539122.4484209418</v>
      </c>
    </row>
    <row r="118" spans="1:32" hidden="1" outlineLevel="1" x14ac:dyDescent="0.2">
      <c r="A118" s="124">
        <v>9</v>
      </c>
      <c r="B118" s="221">
        <v>40330</v>
      </c>
      <c r="C118" s="201">
        <v>9339227.6278569438</v>
      </c>
      <c r="D118" s="201">
        <f>SUM($C$113:C118)</f>
        <v>25814753.513884366</v>
      </c>
      <c r="E118" s="201"/>
      <c r="F118" s="201">
        <f t="shared" si="138"/>
        <v>20000000</v>
      </c>
      <c r="G118" s="201">
        <f t="shared" si="139"/>
        <v>5814753.5138843656</v>
      </c>
      <c r="H118" s="201">
        <f t="shared" si="140"/>
        <v>0</v>
      </c>
      <c r="I118" s="201">
        <f t="shared" si="141"/>
        <v>0</v>
      </c>
      <c r="J118" s="201">
        <f t="shared" si="142"/>
        <v>2907376.7569421828</v>
      </c>
      <c r="K118" s="201">
        <f t="shared" si="143"/>
        <v>0</v>
      </c>
      <c r="L118" s="201">
        <f t="shared" si="144"/>
        <v>0</v>
      </c>
      <c r="M118" s="130">
        <f t="shared" si="145"/>
        <v>7711752.1456304472</v>
      </c>
      <c r="N118" s="130">
        <v>0</v>
      </c>
      <c r="O118" s="201">
        <f t="shared" si="146"/>
        <v>7711752.1456304472</v>
      </c>
      <c r="P118" s="201">
        <f t="shared" si="152"/>
        <v>2907376.7569421828</v>
      </c>
      <c r="Q118" s="201"/>
      <c r="R118" s="215"/>
      <c r="S118" s="201">
        <f t="shared" si="147"/>
        <v>20000000</v>
      </c>
      <c r="T118" s="201">
        <f t="shared" si="148"/>
        <v>2907376.7569421828</v>
      </c>
      <c r="U118" s="220">
        <f t="shared" si="148"/>
        <v>0</v>
      </c>
      <c r="V118" s="220">
        <f t="shared" si="148"/>
        <v>0</v>
      </c>
      <c r="W118" s="201"/>
      <c r="X118" s="201"/>
      <c r="Y118" s="201"/>
      <c r="Z118" s="201"/>
      <c r="AA118" s="201">
        <f t="shared" si="149"/>
        <v>44686165.487468369</v>
      </c>
      <c r="AB118" s="130">
        <v>0</v>
      </c>
      <c r="AC118" s="130">
        <f t="shared" si="150"/>
        <v>44686165.487468369</v>
      </c>
      <c r="AD118" s="130">
        <v>0</v>
      </c>
      <c r="AE118" s="201">
        <f t="shared" si="151"/>
        <v>44686165.487468369</v>
      </c>
      <c r="AF118" s="201">
        <f t="shared" si="153"/>
        <v>6431850.8709147647</v>
      </c>
    </row>
    <row r="119" spans="1:32" hidden="1" outlineLevel="1" x14ac:dyDescent="0.2">
      <c r="A119" s="124">
        <v>9</v>
      </c>
      <c r="B119" s="221">
        <v>40360</v>
      </c>
      <c r="C119" s="201">
        <v>-7773526.8634425737</v>
      </c>
      <c r="D119" s="201">
        <f>SUM($C$113:C119)</f>
        <v>18041226.650441792</v>
      </c>
      <c r="E119" s="201"/>
      <c r="F119" s="201">
        <f t="shared" si="138"/>
        <v>18041226.650441792</v>
      </c>
      <c r="G119" s="201">
        <f t="shared" si="139"/>
        <v>0</v>
      </c>
      <c r="H119" s="201">
        <f t="shared" si="140"/>
        <v>0</v>
      </c>
      <c r="I119" s="201">
        <f t="shared" si="141"/>
        <v>0</v>
      </c>
      <c r="J119" s="201">
        <f t="shared" si="142"/>
        <v>0</v>
      </c>
      <c r="K119" s="201">
        <f t="shared" si="143"/>
        <v>0</v>
      </c>
      <c r="L119" s="201">
        <f t="shared" si="144"/>
        <v>0</v>
      </c>
      <c r="M119" s="130">
        <f t="shared" si="145"/>
        <v>4804375.3886882644</v>
      </c>
      <c r="N119" s="130">
        <v>0</v>
      </c>
      <c r="O119" s="201">
        <f t="shared" si="146"/>
        <v>4804375.3886882644</v>
      </c>
      <c r="P119" s="201">
        <f t="shared" si="152"/>
        <v>-2907376.7569421828</v>
      </c>
      <c r="Q119" s="201"/>
      <c r="R119" s="215"/>
      <c r="S119" s="201">
        <f t="shared" si="147"/>
        <v>18041226.650441792</v>
      </c>
      <c r="T119" s="201">
        <f t="shared" si="148"/>
        <v>0</v>
      </c>
      <c r="U119" s="220">
        <f t="shared" si="148"/>
        <v>0</v>
      </c>
      <c r="V119" s="220">
        <f t="shared" si="148"/>
        <v>0</v>
      </c>
      <c r="W119" s="201"/>
      <c r="X119" s="201"/>
      <c r="Y119" s="201"/>
      <c r="Z119" s="201"/>
      <c r="AA119" s="201">
        <f t="shared" si="149"/>
        <v>39820015.380967975</v>
      </c>
      <c r="AB119" s="130">
        <v>0</v>
      </c>
      <c r="AC119" s="130">
        <f t="shared" si="150"/>
        <v>39820015.380967975</v>
      </c>
      <c r="AD119" s="130">
        <v>0</v>
      </c>
      <c r="AE119" s="201">
        <f t="shared" si="151"/>
        <v>39820015.380967975</v>
      </c>
      <c r="AF119" s="201">
        <f t="shared" si="153"/>
        <v>-4866150.1065003946</v>
      </c>
    </row>
    <row r="120" spans="1:32" hidden="1" outlineLevel="1" x14ac:dyDescent="0.2">
      <c r="A120" s="124">
        <v>9</v>
      </c>
      <c r="B120" s="221">
        <v>40391</v>
      </c>
      <c r="C120" s="201">
        <v>-4247056.8503729794</v>
      </c>
      <c r="D120" s="201">
        <f>SUM($C$113:C120)</f>
        <v>13794169.800068812</v>
      </c>
      <c r="E120" s="201"/>
      <c r="F120" s="201">
        <f t="shared" si="138"/>
        <v>13794169.800068812</v>
      </c>
      <c r="G120" s="201">
        <f t="shared" si="139"/>
        <v>0</v>
      </c>
      <c r="H120" s="201">
        <f t="shared" si="140"/>
        <v>0</v>
      </c>
      <c r="I120" s="201">
        <f t="shared" si="141"/>
        <v>0</v>
      </c>
      <c r="J120" s="201">
        <f t="shared" si="142"/>
        <v>0</v>
      </c>
      <c r="K120" s="201">
        <f t="shared" si="143"/>
        <v>0</v>
      </c>
      <c r="L120" s="201">
        <f t="shared" si="144"/>
        <v>0</v>
      </c>
      <c r="M120" s="130">
        <f t="shared" si="145"/>
        <v>4804375.3886882644</v>
      </c>
      <c r="N120" s="130">
        <v>0</v>
      </c>
      <c r="O120" s="201">
        <f t="shared" si="146"/>
        <v>4804375.3886882644</v>
      </c>
      <c r="P120" s="201">
        <f t="shared" si="152"/>
        <v>0</v>
      </c>
      <c r="Q120" s="201"/>
      <c r="R120" s="215"/>
      <c r="S120" s="201">
        <f t="shared" si="147"/>
        <v>13794169.800068812</v>
      </c>
      <c r="T120" s="201">
        <f t="shared" si="148"/>
        <v>0</v>
      </c>
      <c r="U120" s="220">
        <f t="shared" si="148"/>
        <v>0</v>
      </c>
      <c r="V120" s="220">
        <f t="shared" si="148"/>
        <v>0</v>
      </c>
      <c r="W120" s="201"/>
      <c r="X120" s="201"/>
      <c r="Y120" s="201"/>
      <c r="Z120" s="201"/>
      <c r="AA120" s="201">
        <f t="shared" si="149"/>
        <v>35572958.530594997</v>
      </c>
      <c r="AB120" s="130">
        <v>0</v>
      </c>
      <c r="AC120" s="130">
        <f t="shared" si="150"/>
        <v>35572958.530594997</v>
      </c>
      <c r="AD120" s="130">
        <v>0</v>
      </c>
      <c r="AE120" s="201">
        <f t="shared" si="151"/>
        <v>35572958.530594997</v>
      </c>
      <c r="AF120" s="201">
        <f t="shared" si="153"/>
        <v>-4247056.8503729776</v>
      </c>
    </row>
    <row r="121" spans="1:32" hidden="1" outlineLevel="1" x14ac:dyDescent="0.2">
      <c r="A121" s="124">
        <v>9</v>
      </c>
      <c r="B121" s="221">
        <v>40422</v>
      </c>
      <c r="C121" s="201">
        <v>8087357.7169645177</v>
      </c>
      <c r="D121" s="201">
        <f>SUM($C$113:C121)</f>
        <v>21881527.517033331</v>
      </c>
      <c r="E121" s="201"/>
      <c r="F121" s="201">
        <f t="shared" si="138"/>
        <v>20000000</v>
      </c>
      <c r="G121" s="201">
        <f t="shared" si="139"/>
        <v>1881527.5170333311</v>
      </c>
      <c r="H121" s="201">
        <f t="shared" si="140"/>
        <v>0</v>
      </c>
      <c r="I121" s="201">
        <f t="shared" si="141"/>
        <v>0</v>
      </c>
      <c r="J121" s="201">
        <f t="shared" si="142"/>
        <v>940763.75851666555</v>
      </c>
      <c r="K121" s="201">
        <f t="shared" si="143"/>
        <v>0</v>
      </c>
      <c r="L121" s="201">
        <f t="shared" si="144"/>
        <v>0</v>
      </c>
      <c r="M121" s="130">
        <f t="shared" si="145"/>
        <v>5745139.14720493</v>
      </c>
      <c r="N121" s="130">
        <v>0</v>
      </c>
      <c r="O121" s="201">
        <f t="shared" si="146"/>
        <v>5745139.14720493</v>
      </c>
      <c r="P121" s="201">
        <f t="shared" si="152"/>
        <v>940763.75851666555</v>
      </c>
      <c r="Q121" s="201"/>
      <c r="R121" s="215"/>
      <c r="S121" s="201">
        <f t="shared" si="147"/>
        <v>20000000</v>
      </c>
      <c r="T121" s="201">
        <f t="shared" si="148"/>
        <v>940763.75851666555</v>
      </c>
      <c r="U121" s="220">
        <f t="shared" si="148"/>
        <v>0</v>
      </c>
      <c r="V121" s="220">
        <f t="shared" si="148"/>
        <v>0</v>
      </c>
      <c r="W121" s="201"/>
      <c r="X121" s="201"/>
      <c r="Y121" s="201"/>
      <c r="Z121" s="201"/>
      <c r="AA121" s="201">
        <f t="shared" si="149"/>
        <v>42719552.489042848</v>
      </c>
      <c r="AB121" s="130">
        <v>0</v>
      </c>
      <c r="AC121" s="130">
        <f t="shared" si="150"/>
        <v>42719552.489042848</v>
      </c>
      <c r="AD121" s="130">
        <v>0</v>
      </c>
      <c r="AE121" s="201">
        <f t="shared" si="151"/>
        <v>42719552.489042848</v>
      </c>
      <c r="AF121" s="201">
        <f t="shared" si="153"/>
        <v>7146593.9584478512</v>
      </c>
    </row>
    <row r="122" spans="1:32" ht="14.25" hidden="1" customHeight="1" outlineLevel="1" x14ac:dyDescent="0.2">
      <c r="A122" s="124">
        <v>9</v>
      </c>
      <c r="B122" s="221">
        <v>40452</v>
      </c>
      <c r="C122" s="201">
        <v>4942260.6620297767</v>
      </c>
      <c r="D122" s="201">
        <f>SUM($C$113:C122)</f>
        <v>26823788.179063108</v>
      </c>
      <c r="E122" s="201"/>
      <c r="F122" s="201">
        <f t="shared" si="138"/>
        <v>20000000</v>
      </c>
      <c r="G122" s="201">
        <f t="shared" si="139"/>
        <v>6823788.1790631078</v>
      </c>
      <c r="H122" s="201">
        <f t="shared" si="140"/>
        <v>0</v>
      </c>
      <c r="I122" s="201">
        <f t="shared" si="141"/>
        <v>0</v>
      </c>
      <c r="J122" s="201">
        <f t="shared" si="142"/>
        <v>3411894.0895315539</v>
      </c>
      <c r="K122" s="201">
        <f t="shared" si="143"/>
        <v>0</v>
      </c>
      <c r="L122" s="201">
        <f t="shared" si="144"/>
        <v>0</v>
      </c>
      <c r="M122" s="130">
        <f t="shared" si="145"/>
        <v>8216269.4782198183</v>
      </c>
      <c r="N122" s="130">
        <v>0</v>
      </c>
      <c r="O122" s="201">
        <f t="shared" si="146"/>
        <v>8216269.4782198183</v>
      </c>
      <c r="P122" s="201">
        <f t="shared" si="152"/>
        <v>2471130.3310148884</v>
      </c>
      <c r="Q122" s="201"/>
      <c r="R122" s="215"/>
      <c r="S122" s="201">
        <f t="shared" si="147"/>
        <v>20000000</v>
      </c>
      <c r="T122" s="201">
        <f t="shared" si="148"/>
        <v>3411894.0895315539</v>
      </c>
      <c r="U122" s="220">
        <f t="shared" si="148"/>
        <v>0</v>
      </c>
      <c r="V122" s="220">
        <f t="shared" si="148"/>
        <v>0</v>
      </c>
      <c r="W122" s="201"/>
      <c r="X122" s="201"/>
      <c r="Y122" s="201"/>
      <c r="Z122" s="201"/>
      <c r="AA122" s="201">
        <f t="shared" si="149"/>
        <v>45190682.820057742</v>
      </c>
      <c r="AB122" s="130">
        <v>0</v>
      </c>
      <c r="AC122" s="130">
        <f t="shared" si="150"/>
        <v>45190682.820057742</v>
      </c>
      <c r="AD122" s="130">
        <v>0</v>
      </c>
      <c r="AE122" s="201">
        <f t="shared" si="151"/>
        <v>45190682.820057742</v>
      </c>
      <c r="AF122" s="201">
        <f t="shared" si="153"/>
        <v>2471130.3310148939</v>
      </c>
    </row>
    <row r="123" spans="1:32" hidden="1" outlineLevel="1" x14ac:dyDescent="0.2">
      <c r="A123" s="124">
        <v>9</v>
      </c>
      <c r="B123" s="221">
        <v>40483</v>
      </c>
      <c r="C123" s="201">
        <v>519173.19141825574</v>
      </c>
      <c r="D123" s="201">
        <f>SUM($C$113:C123)</f>
        <v>27342961.370481364</v>
      </c>
      <c r="E123" s="201"/>
      <c r="F123" s="201">
        <f t="shared" si="138"/>
        <v>20000000</v>
      </c>
      <c r="G123" s="201">
        <f t="shared" si="139"/>
        <v>7342961.3704813644</v>
      </c>
      <c r="H123" s="201">
        <f t="shared" si="140"/>
        <v>0</v>
      </c>
      <c r="I123" s="201">
        <f t="shared" si="141"/>
        <v>0</v>
      </c>
      <c r="J123" s="201">
        <f t="shared" si="142"/>
        <v>3671480.6852406822</v>
      </c>
      <c r="K123" s="201">
        <f t="shared" si="143"/>
        <v>0</v>
      </c>
      <c r="L123" s="201">
        <f t="shared" si="144"/>
        <v>0</v>
      </c>
      <c r="M123" s="130">
        <f t="shared" si="145"/>
        <v>8475856.0739289466</v>
      </c>
      <c r="N123" s="130">
        <v>0</v>
      </c>
      <c r="O123" s="201">
        <f t="shared" si="146"/>
        <v>8475856.0739289466</v>
      </c>
      <c r="P123" s="201">
        <f t="shared" si="152"/>
        <v>259586.59570912831</v>
      </c>
      <c r="Q123" s="201"/>
      <c r="R123" s="215"/>
      <c r="S123" s="201">
        <f t="shared" si="147"/>
        <v>20000000</v>
      </c>
      <c r="T123" s="201">
        <f t="shared" si="148"/>
        <v>3671480.6852406822</v>
      </c>
      <c r="U123" s="220">
        <f t="shared" si="148"/>
        <v>0</v>
      </c>
      <c r="V123" s="220">
        <f t="shared" si="148"/>
        <v>0</v>
      </c>
      <c r="W123" s="201"/>
      <c r="X123" s="201"/>
      <c r="Y123" s="201"/>
      <c r="Z123" s="201"/>
      <c r="AA123" s="201">
        <f t="shared" si="149"/>
        <v>45450269.415766865</v>
      </c>
      <c r="AB123" s="130">
        <v>0</v>
      </c>
      <c r="AC123" s="130">
        <f t="shared" si="150"/>
        <v>45450269.415766865</v>
      </c>
      <c r="AD123" s="130">
        <v>0</v>
      </c>
      <c r="AE123" s="201">
        <f t="shared" si="151"/>
        <v>45450269.415766865</v>
      </c>
      <c r="AF123" s="201">
        <f t="shared" si="153"/>
        <v>259586.59570912272</v>
      </c>
    </row>
    <row r="124" spans="1:32" hidden="1" outlineLevel="1" x14ac:dyDescent="0.2">
      <c r="A124" s="124">
        <v>9</v>
      </c>
      <c r="B124" s="221">
        <v>40513</v>
      </c>
      <c r="C124" s="201">
        <v>8820566.8622858953</v>
      </c>
      <c r="D124" s="201">
        <f>SUM($C$113:C124)</f>
        <v>36163528.232767262</v>
      </c>
      <c r="E124" s="201"/>
      <c r="F124" s="201">
        <f t="shared" si="138"/>
        <v>20000000</v>
      </c>
      <c r="G124" s="201">
        <f t="shared" si="139"/>
        <v>16163528.232767262</v>
      </c>
      <c r="H124" s="201">
        <f t="shared" si="140"/>
        <v>0</v>
      </c>
      <c r="I124" s="201">
        <f t="shared" si="141"/>
        <v>0</v>
      </c>
      <c r="J124" s="201">
        <f t="shared" si="142"/>
        <v>8081764.1163836308</v>
      </c>
      <c r="K124" s="201">
        <f t="shared" si="143"/>
        <v>0</v>
      </c>
      <c r="L124" s="201">
        <f t="shared" si="144"/>
        <v>0</v>
      </c>
      <c r="M124" s="130">
        <f t="shared" si="145"/>
        <v>12886139.505071895</v>
      </c>
      <c r="N124" s="130">
        <v>0</v>
      </c>
      <c r="O124" s="201">
        <f t="shared" si="146"/>
        <v>12886139.505071895</v>
      </c>
      <c r="P124" s="201">
        <f t="shared" si="152"/>
        <v>4410283.4311429486</v>
      </c>
      <c r="Q124" s="201"/>
      <c r="R124" s="215"/>
      <c r="S124" s="201">
        <f t="shared" si="147"/>
        <v>20000000</v>
      </c>
      <c r="T124" s="201">
        <f t="shared" si="148"/>
        <v>8081764.1163836308</v>
      </c>
      <c r="U124" s="220">
        <f t="shared" si="148"/>
        <v>0</v>
      </c>
      <c r="V124" s="220">
        <f t="shared" si="148"/>
        <v>0</v>
      </c>
      <c r="W124" s="201"/>
      <c r="X124" s="201"/>
      <c r="Y124" s="201"/>
      <c r="Z124" s="201"/>
      <c r="AA124" s="201">
        <f t="shared" si="149"/>
        <v>49860552.846909821</v>
      </c>
      <c r="AB124" s="130">
        <v>0</v>
      </c>
      <c r="AC124" s="130">
        <f t="shared" si="150"/>
        <v>49860552.846909821</v>
      </c>
      <c r="AD124" s="130">
        <v>0</v>
      </c>
      <c r="AE124" s="201">
        <f t="shared" si="151"/>
        <v>49860552.846909821</v>
      </c>
      <c r="AF124" s="201">
        <f t="shared" si="153"/>
        <v>4410283.431142956</v>
      </c>
    </row>
    <row r="125" spans="1:32" s="68" customFormat="1" hidden="1" outlineLevel="1" x14ac:dyDescent="0.2">
      <c r="A125" s="73"/>
      <c r="B125" s="222"/>
      <c r="C125" s="130"/>
      <c r="D125" s="130"/>
      <c r="E125" s="130"/>
      <c r="F125" s="130"/>
      <c r="G125" s="130"/>
      <c r="H125" s="130"/>
      <c r="I125" s="130"/>
      <c r="J125" s="130"/>
      <c r="K125" s="130"/>
      <c r="L125" s="130"/>
      <c r="M125" s="130"/>
      <c r="N125" s="130"/>
      <c r="O125" s="130"/>
      <c r="P125" s="130"/>
      <c r="Q125" s="130"/>
      <c r="R125" s="223"/>
      <c r="S125" s="130"/>
      <c r="T125" s="130"/>
      <c r="U125" s="224"/>
      <c r="V125" s="224"/>
      <c r="W125" s="130"/>
      <c r="X125" s="130"/>
      <c r="Y125" s="130"/>
      <c r="Z125" s="130"/>
      <c r="AA125" s="130"/>
      <c r="AB125" s="130"/>
      <c r="AC125" s="130"/>
      <c r="AD125" s="130"/>
      <c r="AE125" s="201"/>
      <c r="AF125" s="201"/>
    </row>
    <row r="126" spans="1:32" hidden="1" outlineLevel="1" x14ac:dyDescent="0.2">
      <c r="A126" s="124">
        <v>10</v>
      </c>
      <c r="B126" s="221">
        <v>40544</v>
      </c>
      <c r="C126" s="201">
        <v>-3646875.6518824827</v>
      </c>
      <c r="D126" s="201">
        <f>C126</f>
        <v>-3646875.6518824827</v>
      </c>
      <c r="E126" s="201"/>
      <c r="F126" s="201">
        <f t="shared" ref="F126:F137" si="154">IF(ABS(D126)&gt;+$F$9,IF(D126&lt;0,-$F$9,+$F$9),+D126)</f>
        <v>-3646875.6518824827</v>
      </c>
      <c r="G126" s="201">
        <f t="shared" ref="G126:G137" si="155">IF(ABS(D126)-ABS(F126)&gt;=$G$9,IF(D126&lt;=0,-$G$9,+$G$9),+D126-F126)</f>
        <v>0</v>
      </c>
      <c r="H126" s="201">
        <f t="shared" ref="H126:H137" si="156">IF(ABS(+D126)-ABS(SUM(F126:G126))&gt;=$H$9,IF(D126&lt;=0,-$H$9,+$H$9),+D126-SUM(F126:G126))</f>
        <v>0</v>
      </c>
      <c r="I126" s="201">
        <f t="shared" ref="I126:I137" si="157">IF(ABS(+D126)-ABS(SUM(F126:H126))&gt;=$I$9,IF(D126&lt;=0,$D126-SUM($F126:$H126),$D126-SUM($F126:$H126)),D126-SUM(F126:H126))</f>
        <v>0</v>
      </c>
      <c r="J126" s="201">
        <f t="shared" ref="J126:J137" si="158">+G126*$C$260</f>
        <v>0</v>
      </c>
      <c r="K126" s="201">
        <f t="shared" ref="K126:K137" si="159">+H126*$C$261</f>
        <v>0</v>
      </c>
      <c r="L126" s="201">
        <f t="shared" ref="L126:L137" si="160">+I126*$C$262</f>
        <v>0</v>
      </c>
      <c r="M126" s="130">
        <f t="shared" ref="M126:M137" si="161">SUM(J126:L126)+$M$124</f>
        <v>12886139.505071895</v>
      </c>
      <c r="N126" s="130">
        <v>0</v>
      </c>
      <c r="O126" s="201">
        <f t="shared" ref="O126:O137" si="162">M126+N126</f>
        <v>12886139.505071895</v>
      </c>
      <c r="P126" s="201">
        <f>O126-O124</f>
        <v>0</v>
      </c>
      <c r="Q126" s="201"/>
      <c r="R126" s="215"/>
      <c r="S126" s="201">
        <f t="shared" ref="S126:S137" si="163">+F126</f>
        <v>-3646875.6518824827</v>
      </c>
      <c r="T126" s="201">
        <f t="shared" ref="T126:V137" si="164">+G126-J126</f>
        <v>0</v>
      </c>
      <c r="U126" s="220">
        <f t="shared" si="164"/>
        <v>0</v>
      </c>
      <c r="V126" s="220">
        <f t="shared" si="164"/>
        <v>0</v>
      </c>
      <c r="W126" s="201"/>
      <c r="X126" s="201"/>
      <c r="Y126" s="201"/>
      <c r="Z126" s="201"/>
      <c r="AA126" s="201">
        <f t="shared" ref="AA126:AA137" si="165">SUM(S126:V126)+$AA$124</f>
        <v>46213677.195027336</v>
      </c>
      <c r="AB126" s="130">
        <v>0</v>
      </c>
      <c r="AC126" s="130">
        <f t="shared" ref="AC126:AC137" si="166">AA126-AB126</f>
        <v>46213677.195027336</v>
      </c>
      <c r="AD126" s="130">
        <v>0</v>
      </c>
      <c r="AE126" s="201">
        <f t="shared" ref="AE126:AE137" si="167">AA126-AB126+AD126</f>
        <v>46213677.195027336</v>
      </c>
      <c r="AF126" s="201">
        <f>AE126-AE124</f>
        <v>-3646875.6518824846</v>
      </c>
    </row>
    <row r="127" spans="1:32" hidden="1" outlineLevel="1" x14ac:dyDescent="0.2">
      <c r="A127" s="124">
        <v>10</v>
      </c>
      <c r="B127" s="221">
        <v>40575</v>
      </c>
      <c r="C127" s="201">
        <v>3127854.0477792346</v>
      </c>
      <c r="D127" s="201">
        <f>SUM($C$126:C127)</f>
        <v>-519021.6041032481</v>
      </c>
      <c r="E127" s="201"/>
      <c r="F127" s="201">
        <f t="shared" si="154"/>
        <v>-519021.6041032481</v>
      </c>
      <c r="G127" s="201">
        <f t="shared" si="155"/>
        <v>0</v>
      </c>
      <c r="H127" s="201">
        <f t="shared" si="156"/>
        <v>0</v>
      </c>
      <c r="I127" s="201">
        <f t="shared" si="157"/>
        <v>0</v>
      </c>
      <c r="J127" s="201">
        <f t="shared" si="158"/>
        <v>0</v>
      </c>
      <c r="K127" s="201">
        <f t="shared" si="159"/>
        <v>0</v>
      </c>
      <c r="L127" s="201">
        <f t="shared" si="160"/>
        <v>0</v>
      </c>
      <c r="M127" s="130">
        <f t="shared" si="161"/>
        <v>12886139.505071895</v>
      </c>
      <c r="N127" s="130">
        <v>0</v>
      </c>
      <c r="O127" s="201">
        <f t="shared" si="162"/>
        <v>12886139.505071895</v>
      </c>
      <c r="P127" s="201">
        <f t="shared" ref="P127:P137" si="168">O127-O126</f>
        <v>0</v>
      </c>
      <c r="Q127" s="201"/>
      <c r="R127" s="215"/>
      <c r="S127" s="201">
        <f t="shared" si="163"/>
        <v>-519021.6041032481</v>
      </c>
      <c r="T127" s="201">
        <f t="shared" si="164"/>
        <v>0</v>
      </c>
      <c r="U127" s="220">
        <f t="shared" si="164"/>
        <v>0</v>
      </c>
      <c r="V127" s="220">
        <f t="shared" si="164"/>
        <v>0</v>
      </c>
      <c r="W127" s="201"/>
      <c r="X127" s="201"/>
      <c r="Y127" s="201"/>
      <c r="Z127" s="201"/>
      <c r="AA127" s="201">
        <f t="shared" si="165"/>
        <v>49341531.242806576</v>
      </c>
      <c r="AB127" s="130">
        <v>0</v>
      </c>
      <c r="AC127" s="130">
        <f t="shared" si="166"/>
        <v>49341531.242806576</v>
      </c>
      <c r="AD127" s="130">
        <v>0</v>
      </c>
      <c r="AE127" s="201">
        <f t="shared" si="167"/>
        <v>49341531.242806576</v>
      </c>
      <c r="AF127" s="201">
        <f t="shared" ref="AF127:AF137" si="169">AE127-AE126</f>
        <v>3127854.0477792397</v>
      </c>
    </row>
    <row r="128" spans="1:32" hidden="1" outlineLevel="1" x14ac:dyDescent="0.2">
      <c r="A128" s="124">
        <v>10</v>
      </c>
      <c r="B128" s="221">
        <v>40603</v>
      </c>
      <c r="C128" s="201">
        <v>-4262363.1151829083</v>
      </c>
      <c r="D128" s="201">
        <f>SUM($C$126:C128)</f>
        <v>-4781384.7192861568</v>
      </c>
      <c r="E128" s="201"/>
      <c r="F128" s="201">
        <f t="shared" si="154"/>
        <v>-4781384.7192861568</v>
      </c>
      <c r="G128" s="201">
        <f t="shared" si="155"/>
        <v>0</v>
      </c>
      <c r="H128" s="201">
        <f t="shared" si="156"/>
        <v>0</v>
      </c>
      <c r="I128" s="201">
        <f t="shared" si="157"/>
        <v>0</v>
      </c>
      <c r="J128" s="201">
        <f t="shared" si="158"/>
        <v>0</v>
      </c>
      <c r="K128" s="201">
        <f t="shared" si="159"/>
        <v>0</v>
      </c>
      <c r="L128" s="201">
        <f t="shared" si="160"/>
        <v>0</v>
      </c>
      <c r="M128" s="130">
        <f t="shared" si="161"/>
        <v>12886139.505071895</v>
      </c>
      <c r="N128" s="130">
        <v>0</v>
      </c>
      <c r="O128" s="201">
        <f t="shared" si="162"/>
        <v>12886139.505071895</v>
      </c>
      <c r="P128" s="201">
        <f t="shared" si="168"/>
        <v>0</v>
      </c>
      <c r="Q128" s="201"/>
      <c r="R128" s="215"/>
      <c r="S128" s="201">
        <f t="shared" si="163"/>
        <v>-4781384.7192861568</v>
      </c>
      <c r="T128" s="201">
        <f t="shared" si="164"/>
        <v>0</v>
      </c>
      <c r="U128" s="220">
        <f t="shared" si="164"/>
        <v>0</v>
      </c>
      <c r="V128" s="220">
        <f t="shared" si="164"/>
        <v>0</v>
      </c>
      <c r="W128" s="201"/>
      <c r="X128" s="201"/>
      <c r="Y128" s="201"/>
      <c r="Z128" s="201"/>
      <c r="AA128" s="201">
        <f t="shared" si="165"/>
        <v>45079168.127623662</v>
      </c>
      <c r="AB128" s="130">
        <v>0</v>
      </c>
      <c r="AC128" s="130">
        <f t="shared" si="166"/>
        <v>45079168.127623662</v>
      </c>
      <c r="AD128" s="130">
        <v>0</v>
      </c>
      <c r="AE128" s="201">
        <f t="shared" si="167"/>
        <v>45079168.127623662</v>
      </c>
      <c r="AF128" s="201">
        <f t="shared" si="169"/>
        <v>-4262363.1151829138</v>
      </c>
    </row>
    <row r="129" spans="1:32" hidden="1" outlineLevel="1" x14ac:dyDescent="0.2">
      <c r="A129" s="124">
        <v>10</v>
      </c>
      <c r="B129" s="221">
        <v>40634</v>
      </c>
      <c r="C129" s="201">
        <v>-11327560.84356386</v>
      </c>
      <c r="D129" s="201">
        <f>SUM($C$126:C129)</f>
        <v>-16108945.562850017</v>
      </c>
      <c r="E129" s="201"/>
      <c r="F129" s="201">
        <f t="shared" si="154"/>
        <v>-16108945.562850017</v>
      </c>
      <c r="G129" s="201">
        <f t="shared" si="155"/>
        <v>0</v>
      </c>
      <c r="H129" s="201">
        <f t="shared" si="156"/>
        <v>0</v>
      </c>
      <c r="I129" s="201">
        <f t="shared" si="157"/>
        <v>0</v>
      </c>
      <c r="J129" s="201">
        <f t="shared" si="158"/>
        <v>0</v>
      </c>
      <c r="K129" s="201">
        <f t="shared" si="159"/>
        <v>0</v>
      </c>
      <c r="L129" s="201">
        <f t="shared" si="160"/>
        <v>0</v>
      </c>
      <c r="M129" s="130">
        <f t="shared" si="161"/>
        <v>12886139.505071895</v>
      </c>
      <c r="N129" s="130">
        <v>0</v>
      </c>
      <c r="O129" s="201">
        <f t="shared" si="162"/>
        <v>12886139.505071895</v>
      </c>
      <c r="P129" s="201">
        <f t="shared" si="168"/>
        <v>0</v>
      </c>
      <c r="Q129" s="201"/>
      <c r="R129" s="215"/>
      <c r="S129" s="201">
        <f t="shared" si="163"/>
        <v>-16108945.562850017</v>
      </c>
      <c r="T129" s="201">
        <f t="shared" si="164"/>
        <v>0</v>
      </c>
      <c r="U129" s="220">
        <f t="shared" si="164"/>
        <v>0</v>
      </c>
      <c r="V129" s="220">
        <f t="shared" si="164"/>
        <v>0</v>
      </c>
      <c r="W129" s="201"/>
      <c r="X129" s="201"/>
      <c r="Y129" s="201"/>
      <c r="Z129" s="201"/>
      <c r="AA129" s="201">
        <f t="shared" si="165"/>
        <v>33751607.284059808</v>
      </c>
      <c r="AB129" s="130">
        <v>0</v>
      </c>
      <c r="AC129" s="130">
        <f t="shared" si="166"/>
        <v>33751607.284059808</v>
      </c>
      <c r="AD129" s="130">
        <v>0</v>
      </c>
      <c r="AE129" s="201">
        <f t="shared" si="167"/>
        <v>33751607.284059808</v>
      </c>
      <c r="AF129" s="201">
        <f t="shared" si="169"/>
        <v>-11327560.843563855</v>
      </c>
    </row>
    <row r="130" spans="1:32" hidden="1" outlineLevel="1" x14ac:dyDescent="0.2">
      <c r="A130" s="124">
        <v>10</v>
      </c>
      <c r="B130" s="221">
        <v>40664</v>
      </c>
      <c r="C130" s="201">
        <v>-16003697.440462315</v>
      </c>
      <c r="D130" s="201">
        <f>SUM($C$126:C130)</f>
        <v>-32112643.003312334</v>
      </c>
      <c r="E130" s="201"/>
      <c r="F130" s="201">
        <f t="shared" si="154"/>
        <v>-20000000</v>
      </c>
      <c r="G130" s="201">
        <f t="shared" si="155"/>
        <v>-12112643.003312334</v>
      </c>
      <c r="H130" s="201">
        <f t="shared" si="156"/>
        <v>0</v>
      </c>
      <c r="I130" s="201">
        <f t="shared" si="157"/>
        <v>0</v>
      </c>
      <c r="J130" s="201">
        <f t="shared" si="158"/>
        <v>-6056321.5016561672</v>
      </c>
      <c r="K130" s="201">
        <f t="shared" si="159"/>
        <v>0</v>
      </c>
      <c r="L130" s="201">
        <f t="shared" si="160"/>
        <v>0</v>
      </c>
      <c r="M130" s="130">
        <f t="shared" si="161"/>
        <v>6829818.003415728</v>
      </c>
      <c r="N130" s="130">
        <v>0</v>
      </c>
      <c r="O130" s="201">
        <f t="shared" si="162"/>
        <v>6829818.003415728</v>
      </c>
      <c r="P130" s="201">
        <f t="shared" si="168"/>
        <v>-6056321.5016561672</v>
      </c>
      <c r="Q130" s="201"/>
      <c r="R130" s="215"/>
      <c r="S130" s="201">
        <f t="shared" si="163"/>
        <v>-20000000</v>
      </c>
      <c r="T130" s="201">
        <f t="shared" si="164"/>
        <v>-6056321.5016561672</v>
      </c>
      <c r="U130" s="220">
        <f t="shared" si="164"/>
        <v>0</v>
      </c>
      <c r="V130" s="220">
        <f t="shared" si="164"/>
        <v>0</v>
      </c>
      <c r="W130" s="201"/>
      <c r="X130" s="201"/>
      <c r="Y130" s="201"/>
      <c r="Z130" s="201"/>
      <c r="AA130" s="201">
        <f t="shared" si="165"/>
        <v>23804231.345253654</v>
      </c>
      <c r="AB130" s="130">
        <v>0</v>
      </c>
      <c r="AC130" s="130">
        <f t="shared" si="166"/>
        <v>23804231.345253654</v>
      </c>
      <c r="AD130" s="130">
        <v>0</v>
      </c>
      <c r="AE130" s="201">
        <f t="shared" si="167"/>
        <v>23804231.345253654</v>
      </c>
      <c r="AF130" s="201">
        <f t="shared" si="169"/>
        <v>-9947375.9388061538</v>
      </c>
    </row>
    <row r="131" spans="1:32" hidden="1" outlineLevel="1" x14ac:dyDescent="0.2">
      <c r="A131" s="124">
        <v>10</v>
      </c>
      <c r="B131" s="221">
        <v>40695</v>
      </c>
      <c r="C131" s="201">
        <v>3379066.4482540702</v>
      </c>
      <c r="D131" s="201">
        <f>SUM($C$126:C131)</f>
        <v>-28733576.555058263</v>
      </c>
      <c r="E131" s="201"/>
      <c r="F131" s="201">
        <f t="shared" si="154"/>
        <v>-20000000</v>
      </c>
      <c r="G131" s="201">
        <f t="shared" si="155"/>
        <v>-8733576.5550582632</v>
      </c>
      <c r="H131" s="201">
        <f t="shared" si="156"/>
        <v>0</v>
      </c>
      <c r="I131" s="201">
        <f t="shared" si="157"/>
        <v>0</v>
      </c>
      <c r="J131" s="201">
        <f t="shared" si="158"/>
        <v>-4366788.2775291316</v>
      </c>
      <c r="K131" s="201">
        <f t="shared" si="159"/>
        <v>0</v>
      </c>
      <c r="L131" s="201">
        <f t="shared" si="160"/>
        <v>0</v>
      </c>
      <c r="M131" s="130">
        <f t="shared" si="161"/>
        <v>8519351.2275427636</v>
      </c>
      <c r="N131" s="130">
        <v>0</v>
      </c>
      <c r="O131" s="201">
        <f t="shared" si="162"/>
        <v>8519351.2275427636</v>
      </c>
      <c r="P131" s="201">
        <f t="shared" si="168"/>
        <v>1689533.2241270356</v>
      </c>
      <c r="Q131" s="201"/>
      <c r="R131" s="215"/>
      <c r="S131" s="201">
        <f t="shared" si="163"/>
        <v>-20000000</v>
      </c>
      <c r="T131" s="201">
        <f t="shared" si="164"/>
        <v>-4366788.2775291316</v>
      </c>
      <c r="U131" s="220">
        <f t="shared" si="164"/>
        <v>0</v>
      </c>
      <c r="V131" s="220">
        <f t="shared" si="164"/>
        <v>0</v>
      </c>
      <c r="W131" s="201"/>
      <c r="X131" s="201"/>
      <c r="Y131" s="201"/>
      <c r="Z131" s="201"/>
      <c r="AA131" s="201">
        <f t="shared" si="165"/>
        <v>25493764.569380689</v>
      </c>
      <c r="AB131" s="130">
        <v>0</v>
      </c>
      <c r="AC131" s="130">
        <f t="shared" si="166"/>
        <v>25493764.569380689</v>
      </c>
      <c r="AD131" s="130">
        <v>0</v>
      </c>
      <c r="AE131" s="201">
        <f t="shared" si="167"/>
        <v>25493764.569380689</v>
      </c>
      <c r="AF131" s="201">
        <f t="shared" si="169"/>
        <v>1689533.2241270356</v>
      </c>
    </row>
    <row r="132" spans="1:32" hidden="1" outlineLevel="1" x14ac:dyDescent="0.2">
      <c r="A132" s="124">
        <v>10</v>
      </c>
      <c r="B132" s="221">
        <v>40725</v>
      </c>
      <c r="C132" s="201">
        <v>-9934075.0795786176</v>
      </c>
      <c r="D132" s="201">
        <f>SUM($C$126:C132)</f>
        <v>-38667651.634636879</v>
      </c>
      <c r="E132" s="201"/>
      <c r="F132" s="201">
        <f t="shared" si="154"/>
        <v>-20000000</v>
      </c>
      <c r="G132" s="201">
        <f t="shared" si="155"/>
        <v>-18667651.634636879</v>
      </c>
      <c r="H132" s="201">
        <f t="shared" si="156"/>
        <v>0</v>
      </c>
      <c r="I132" s="201">
        <f t="shared" si="157"/>
        <v>0</v>
      </c>
      <c r="J132" s="201">
        <f t="shared" si="158"/>
        <v>-9333825.8173184395</v>
      </c>
      <c r="K132" s="201">
        <f t="shared" si="159"/>
        <v>0</v>
      </c>
      <c r="L132" s="201">
        <f t="shared" si="160"/>
        <v>0</v>
      </c>
      <c r="M132" s="130">
        <f t="shared" si="161"/>
        <v>3552313.6877534557</v>
      </c>
      <c r="N132" s="130">
        <v>0</v>
      </c>
      <c r="O132" s="201">
        <f t="shared" si="162"/>
        <v>3552313.6877534557</v>
      </c>
      <c r="P132" s="201">
        <f t="shared" si="168"/>
        <v>-4967037.5397893079</v>
      </c>
      <c r="Q132" s="201"/>
      <c r="R132" s="215"/>
      <c r="S132" s="201">
        <f t="shared" si="163"/>
        <v>-20000000</v>
      </c>
      <c r="T132" s="201">
        <f t="shared" si="164"/>
        <v>-9333825.8173184395</v>
      </c>
      <c r="U132" s="220">
        <f t="shared" si="164"/>
        <v>0</v>
      </c>
      <c r="V132" s="220">
        <f t="shared" si="164"/>
        <v>0</v>
      </c>
      <c r="W132" s="201"/>
      <c r="X132" s="201"/>
      <c r="Y132" s="201"/>
      <c r="Z132" s="201"/>
      <c r="AA132" s="201">
        <f t="shared" si="165"/>
        <v>20526727.029591382</v>
      </c>
      <c r="AB132" s="130">
        <v>0</v>
      </c>
      <c r="AC132" s="130">
        <f t="shared" si="166"/>
        <v>20526727.029591382</v>
      </c>
      <c r="AD132" s="130">
        <v>0</v>
      </c>
      <c r="AE132" s="201">
        <f t="shared" si="167"/>
        <v>20526727.029591382</v>
      </c>
      <c r="AF132" s="201">
        <f t="shared" si="169"/>
        <v>-4967037.5397893079</v>
      </c>
    </row>
    <row r="133" spans="1:32" hidden="1" outlineLevel="1" x14ac:dyDescent="0.2">
      <c r="A133" s="124">
        <v>10</v>
      </c>
      <c r="B133" s="221">
        <v>40756</v>
      </c>
      <c r="C133" s="201">
        <v>-7724488.0817047693</v>
      </c>
      <c r="D133" s="201">
        <f>SUM($C$126:C133)</f>
        <v>-46392139.716341645</v>
      </c>
      <c r="E133" s="201"/>
      <c r="F133" s="201">
        <f t="shared" si="154"/>
        <v>-20000000</v>
      </c>
      <c r="G133" s="201">
        <f t="shared" si="155"/>
        <v>-20000000</v>
      </c>
      <c r="H133" s="201">
        <f t="shared" si="156"/>
        <v>-6392139.7163416445</v>
      </c>
      <c r="I133" s="201">
        <f t="shared" si="157"/>
        <v>0</v>
      </c>
      <c r="J133" s="201">
        <f t="shared" si="158"/>
        <v>-10000000</v>
      </c>
      <c r="K133" s="201">
        <f t="shared" si="159"/>
        <v>-5752925.7447074801</v>
      </c>
      <c r="L133" s="201">
        <f t="shared" si="160"/>
        <v>0</v>
      </c>
      <c r="M133" s="130">
        <f t="shared" si="161"/>
        <v>-2866786.2396355849</v>
      </c>
      <c r="N133" s="130">
        <v>0</v>
      </c>
      <c r="O133" s="201">
        <f t="shared" si="162"/>
        <v>-2866786.2396355849</v>
      </c>
      <c r="P133" s="201">
        <f t="shared" si="168"/>
        <v>-6419099.9273890406</v>
      </c>
      <c r="Q133" s="201"/>
      <c r="R133" s="215"/>
      <c r="S133" s="201">
        <f t="shared" si="163"/>
        <v>-20000000</v>
      </c>
      <c r="T133" s="201">
        <f t="shared" si="164"/>
        <v>-10000000</v>
      </c>
      <c r="U133" s="220">
        <f t="shared" si="164"/>
        <v>-639213.97163416445</v>
      </c>
      <c r="V133" s="220">
        <f t="shared" si="164"/>
        <v>0</v>
      </c>
      <c r="W133" s="201"/>
      <c r="X133" s="201"/>
      <c r="Y133" s="201"/>
      <c r="Z133" s="201"/>
      <c r="AA133" s="201">
        <f t="shared" si="165"/>
        <v>19221338.875275657</v>
      </c>
      <c r="AB133" s="130">
        <v>0</v>
      </c>
      <c r="AC133" s="130">
        <f t="shared" si="166"/>
        <v>19221338.875275657</v>
      </c>
      <c r="AD133" s="130">
        <v>0</v>
      </c>
      <c r="AE133" s="201">
        <f t="shared" si="167"/>
        <v>19221338.875275657</v>
      </c>
      <c r="AF133" s="201">
        <f t="shared" si="169"/>
        <v>-1305388.154315725</v>
      </c>
    </row>
    <row r="134" spans="1:32" hidden="1" outlineLevel="1" x14ac:dyDescent="0.2">
      <c r="A134" s="124">
        <v>10</v>
      </c>
      <c r="B134" s="221">
        <v>40787</v>
      </c>
      <c r="C134" s="201">
        <v>2940843.2647706862</v>
      </c>
      <c r="D134" s="201">
        <f>SUM($C$126:C134)</f>
        <v>-43451296.451570958</v>
      </c>
      <c r="E134" s="201"/>
      <c r="F134" s="201">
        <f t="shared" si="154"/>
        <v>-20000000</v>
      </c>
      <c r="G134" s="201">
        <f t="shared" si="155"/>
        <v>-20000000</v>
      </c>
      <c r="H134" s="201">
        <f t="shared" si="156"/>
        <v>-3451296.4515709579</v>
      </c>
      <c r="I134" s="201">
        <f t="shared" si="157"/>
        <v>0</v>
      </c>
      <c r="J134" s="201">
        <f t="shared" si="158"/>
        <v>-10000000</v>
      </c>
      <c r="K134" s="201">
        <f t="shared" si="159"/>
        <v>-3106166.8064138624</v>
      </c>
      <c r="L134" s="201">
        <f t="shared" si="160"/>
        <v>0</v>
      </c>
      <c r="M134" s="130">
        <f t="shared" si="161"/>
        <v>-220027.30134196766</v>
      </c>
      <c r="N134" s="130">
        <v>0</v>
      </c>
      <c r="O134" s="201">
        <f t="shared" si="162"/>
        <v>-220027.30134196766</v>
      </c>
      <c r="P134" s="201">
        <f t="shared" si="168"/>
        <v>2646758.9382936172</v>
      </c>
      <c r="Q134" s="201"/>
      <c r="R134" s="215"/>
      <c r="S134" s="201">
        <f t="shared" si="163"/>
        <v>-20000000</v>
      </c>
      <c r="T134" s="201">
        <f t="shared" si="164"/>
        <v>-10000000</v>
      </c>
      <c r="U134" s="220">
        <f t="shared" si="164"/>
        <v>-345129.64515709551</v>
      </c>
      <c r="V134" s="220">
        <f t="shared" si="164"/>
        <v>0</v>
      </c>
      <c r="W134" s="201"/>
      <c r="X134" s="201"/>
      <c r="Y134" s="201"/>
      <c r="Z134" s="201"/>
      <c r="AA134" s="201">
        <f t="shared" si="165"/>
        <v>19515423.201752726</v>
      </c>
      <c r="AB134" s="130">
        <v>0</v>
      </c>
      <c r="AC134" s="130">
        <f t="shared" si="166"/>
        <v>19515423.201752726</v>
      </c>
      <c r="AD134" s="130">
        <v>0</v>
      </c>
      <c r="AE134" s="201">
        <f t="shared" si="167"/>
        <v>19515423.201752726</v>
      </c>
      <c r="AF134" s="201">
        <f t="shared" si="169"/>
        <v>294084.32647706941</v>
      </c>
    </row>
    <row r="135" spans="1:32" ht="14.25" hidden="1" customHeight="1" outlineLevel="1" x14ac:dyDescent="0.2">
      <c r="A135" s="124">
        <v>10</v>
      </c>
      <c r="B135" s="221">
        <v>40817</v>
      </c>
      <c r="C135" s="201">
        <v>3838086.6803433434</v>
      </c>
      <c r="D135" s="201">
        <f>SUM($C$126:C135)</f>
        <v>-39613209.771227613</v>
      </c>
      <c r="E135" s="201"/>
      <c r="F135" s="201">
        <f t="shared" si="154"/>
        <v>-20000000</v>
      </c>
      <c r="G135" s="201">
        <f t="shared" si="155"/>
        <v>-19613209.771227613</v>
      </c>
      <c r="H135" s="201">
        <f t="shared" si="156"/>
        <v>0</v>
      </c>
      <c r="I135" s="201">
        <f t="shared" si="157"/>
        <v>0</v>
      </c>
      <c r="J135" s="201">
        <f t="shared" si="158"/>
        <v>-9806604.8856138065</v>
      </c>
      <c r="K135" s="201">
        <f t="shared" si="159"/>
        <v>0</v>
      </c>
      <c r="L135" s="201">
        <f t="shared" si="160"/>
        <v>0</v>
      </c>
      <c r="M135" s="130">
        <f t="shared" si="161"/>
        <v>3079534.6194580887</v>
      </c>
      <c r="N135" s="130">
        <v>0</v>
      </c>
      <c r="O135" s="201">
        <f t="shared" si="162"/>
        <v>3079534.6194580887</v>
      </c>
      <c r="P135" s="201">
        <f t="shared" si="168"/>
        <v>3299561.9208000563</v>
      </c>
      <c r="Q135" s="201"/>
      <c r="R135" s="215"/>
      <c r="S135" s="201">
        <f t="shared" si="163"/>
        <v>-20000000</v>
      </c>
      <c r="T135" s="201">
        <f t="shared" si="164"/>
        <v>-9806604.8856138065</v>
      </c>
      <c r="U135" s="220">
        <f t="shared" si="164"/>
        <v>0</v>
      </c>
      <c r="V135" s="220">
        <f t="shared" si="164"/>
        <v>0</v>
      </c>
      <c r="W135" s="201"/>
      <c r="X135" s="201"/>
      <c r="Y135" s="201"/>
      <c r="Z135" s="201"/>
      <c r="AA135" s="201">
        <f t="shared" si="165"/>
        <v>20053947.961296014</v>
      </c>
      <c r="AB135" s="130">
        <v>0</v>
      </c>
      <c r="AC135" s="130">
        <f t="shared" si="166"/>
        <v>20053947.961296014</v>
      </c>
      <c r="AD135" s="130">
        <v>0</v>
      </c>
      <c r="AE135" s="201">
        <f t="shared" si="167"/>
        <v>20053947.961296014</v>
      </c>
      <c r="AF135" s="201">
        <f t="shared" si="169"/>
        <v>538524.7595432885</v>
      </c>
    </row>
    <row r="136" spans="1:32" hidden="1" outlineLevel="1" x14ac:dyDescent="0.2">
      <c r="A136" s="124">
        <v>10</v>
      </c>
      <c r="B136" s="221">
        <v>40848</v>
      </c>
      <c r="C136" s="201">
        <v>2326854.5861168317</v>
      </c>
      <c r="D136" s="201">
        <f>SUM($C$126:C136)</f>
        <v>-37286355.185110778</v>
      </c>
      <c r="E136" s="201"/>
      <c r="F136" s="201">
        <f t="shared" si="154"/>
        <v>-20000000</v>
      </c>
      <c r="G136" s="201">
        <f t="shared" si="155"/>
        <v>-17286355.185110778</v>
      </c>
      <c r="H136" s="201">
        <f t="shared" si="156"/>
        <v>0</v>
      </c>
      <c r="I136" s="201">
        <f t="shared" si="157"/>
        <v>0</v>
      </c>
      <c r="J136" s="201">
        <f t="shared" si="158"/>
        <v>-8643177.5925553888</v>
      </c>
      <c r="K136" s="201">
        <f t="shared" si="159"/>
        <v>0</v>
      </c>
      <c r="L136" s="201">
        <f t="shared" si="160"/>
        <v>0</v>
      </c>
      <c r="M136" s="130">
        <f t="shared" si="161"/>
        <v>4242961.9125165064</v>
      </c>
      <c r="N136" s="130">
        <v>0</v>
      </c>
      <c r="O136" s="201">
        <f t="shared" si="162"/>
        <v>4242961.9125165064</v>
      </c>
      <c r="P136" s="201">
        <f t="shared" si="168"/>
        <v>1163427.2930584177</v>
      </c>
      <c r="Q136" s="201"/>
      <c r="R136" s="215"/>
      <c r="S136" s="201">
        <f t="shared" si="163"/>
        <v>-20000000</v>
      </c>
      <c r="T136" s="201">
        <f t="shared" si="164"/>
        <v>-8643177.5925553888</v>
      </c>
      <c r="U136" s="220">
        <f t="shared" si="164"/>
        <v>0</v>
      </c>
      <c r="V136" s="220">
        <f t="shared" si="164"/>
        <v>0</v>
      </c>
      <c r="W136" s="201"/>
      <c r="X136" s="201"/>
      <c r="Y136" s="201"/>
      <c r="Z136" s="201"/>
      <c r="AA136" s="201">
        <f t="shared" si="165"/>
        <v>21217375.254354432</v>
      </c>
      <c r="AB136" s="130">
        <v>0</v>
      </c>
      <c r="AC136" s="130">
        <f t="shared" si="166"/>
        <v>21217375.254354432</v>
      </c>
      <c r="AD136" s="130">
        <v>0</v>
      </c>
      <c r="AE136" s="201">
        <f t="shared" si="167"/>
        <v>21217375.254354432</v>
      </c>
      <c r="AF136" s="201">
        <f t="shared" si="169"/>
        <v>1163427.2930584177</v>
      </c>
    </row>
    <row r="137" spans="1:32" hidden="1" outlineLevel="1" x14ac:dyDescent="0.2">
      <c r="A137" s="124">
        <v>10</v>
      </c>
      <c r="B137" s="221">
        <v>40878</v>
      </c>
      <c r="C137" s="201">
        <v>2458537.6636045738</v>
      </c>
      <c r="D137" s="201">
        <f>SUM($C$126:C137)</f>
        <v>-34827817.521506205</v>
      </c>
      <c r="E137" s="201"/>
      <c r="F137" s="201">
        <f t="shared" si="154"/>
        <v>-20000000</v>
      </c>
      <c r="G137" s="201">
        <f t="shared" si="155"/>
        <v>-14827817.521506205</v>
      </c>
      <c r="H137" s="201">
        <f t="shared" si="156"/>
        <v>0</v>
      </c>
      <c r="I137" s="201">
        <f t="shared" si="157"/>
        <v>0</v>
      </c>
      <c r="J137" s="201">
        <f t="shared" si="158"/>
        <v>-7413908.7607531026</v>
      </c>
      <c r="K137" s="201">
        <f t="shared" si="159"/>
        <v>0</v>
      </c>
      <c r="L137" s="201">
        <f t="shared" si="160"/>
        <v>0</v>
      </c>
      <c r="M137" s="130">
        <f t="shared" si="161"/>
        <v>5472230.7443187926</v>
      </c>
      <c r="N137" s="130">
        <v>0</v>
      </c>
      <c r="O137" s="201">
        <f t="shared" si="162"/>
        <v>5472230.7443187926</v>
      </c>
      <c r="P137" s="201">
        <f t="shared" si="168"/>
        <v>1229268.8318022862</v>
      </c>
      <c r="Q137" s="201"/>
      <c r="R137" s="215"/>
      <c r="S137" s="201">
        <f t="shared" si="163"/>
        <v>-20000000</v>
      </c>
      <c r="T137" s="201">
        <f t="shared" si="164"/>
        <v>-7413908.7607531026</v>
      </c>
      <c r="U137" s="220">
        <f t="shared" si="164"/>
        <v>0</v>
      </c>
      <c r="V137" s="220">
        <f t="shared" si="164"/>
        <v>0</v>
      </c>
      <c r="W137" s="201"/>
      <c r="X137" s="201"/>
      <c r="Y137" s="201"/>
      <c r="Z137" s="201"/>
      <c r="AA137" s="201">
        <f t="shared" si="165"/>
        <v>22446644.086156718</v>
      </c>
      <c r="AB137" s="130">
        <v>0</v>
      </c>
      <c r="AC137" s="130">
        <f t="shared" si="166"/>
        <v>22446644.086156718</v>
      </c>
      <c r="AD137" s="130">
        <v>0</v>
      </c>
      <c r="AE137" s="201">
        <f t="shared" si="167"/>
        <v>22446644.086156718</v>
      </c>
      <c r="AF137" s="201">
        <f t="shared" si="169"/>
        <v>1229268.8318022862</v>
      </c>
    </row>
    <row r="138" spans="1:32" hidden="1" outlineLevel="1" x14ac:dyDescent="0.2">
      <c r="A138" s="124"/>
      <c r="B138" s="221"/>
      <c r="C138" s="201"/>
      <c r="D138" s="201"/>
      <c r="E138" s="201"/>
      <c r="F138" s="201"/>
      <c r="G138" s="201"/>
      <c r="H138" s="201"/>
      <c r="I138" s="201"/>
      <c r="J138" s="201"/>
      <c r="K138" s="201"/>
      <c r="L138" s="201"/>
      <c r="M138" s="130"/>
      <c r="N138" s="130"/>
      <c r="O138" s="201"/>
      <c r="P138" s="201"/>
      <c r="Q138" s="201"/>
      <c r="R138" s="215"/>
      <c r="S138" s="201"/>
      <c r="T138" s="201"/>
      <c r="U138" s="220"/>
      <c r="V138" s="220"/>
      <c r="W138" s="201"/>
      <c r="X138" s="201"/>
      <c r="Y138" s="201"/>
      <c r="Z138" s="201"/>
      <c r="AA138" s="201"/>
      <c r="AB138" s="130"/>
      <c r="AC138" s="130"/>
      <c r="AD138" s="130"/>
      <c r="AE138" s="201"/>
      <c r="AF138" s="201"/>
    </row>
    <row r="139" spans="1:32" hidden="1" outlineLevel="1" x14ac:dyDescent="0.2">
      <c r="A139" s="124">
        <v>11</v>
      </c>
      <c r="B139" s="221">
        <v>40909</v>
      </c>
      <c r="C139" s="201">
        <v>-12523878.031727405</v>
      </c>
      <c r="D139" s="201">
        <f>C139</f>
        <v>-12523878.031727405</v>
      </c>
      <c r="E139" s="201"/>
      <c r="F139" s="201">
        <f t="shared" ref="F139:F150" si="170">IF(ABS(D139)&gt;+$F$9,IF(D139&lt;0,-$F$9,+$F$9),+D139)</f>
        <v>-12523878.031727405</v>
      </c>
      <c r="G139" s="201">
        <f t="shared" ref="G139:G150" si="171">IF(ABS(D139)-ABS(F139)&gt;=$G$9,IF(D139&lt;=0,-$G$9,+$G$9),+D139-F139)</f>
        <v>0</v>
      </c>
      <c r="H139" s="201">
        <f t="shared" ref="H139:H150" si="172">IF(ABS(+D139)-ABS(SUM(F139:G139))&gt;=$H$9,IF(D139&lt;=0,-$H$9,+$H$9),+D139-SUM(F139:G139))</f>
        <v>0</v>
      </c>
      <c r="I139" s="201">
        <f t="shared" ref="I139:I150" si="173">IF(ABS(+D139)-ABS(SUM(F139:H139))&gt;=$I$9,IF(D139&lt;=0,$D139-SUM($F139:$H139),$D139-SUM($F139:$H139)),D139-SUM(F139:H139))</f>
        <v>0</v>
      </c>
      <c r="J139" s="201">
        <f t="shared" ref="J139:J150" si="174">+G139*$C$260</f>
        <v>0</v>
      </c>
      <c r="K139" s="201">
        <f t="shared" ref="K139:K150" si="175">+H139*$C$261</f>
        <v>0</v>
      </c>
      <c r="L139" s="201">
        <f t="shared" ref="L139:L150" si="176">+I139*$C$262</f>
        <v>0</v>
      </c>
      <c r="M139" s="130">
        <f t="shared" ref="M139:M150" si="177">SUM(J139:L139)+$M$137</f>
        <v>5472230.7443187926</v>
      </c>
      <c r="N139" s="130">
        <v>0</v>
      </c>
      <c r="O139" s="201">
        <f t="shared" ref="O139:O150" si="178">M139+N139</f>
        <v>5472230.7443187926</v>
      </c>
      <c r="P139" s="201">
        <f>O139-O137</f>
        <v>0</v>
      </c>
      <c r="Q139" s="201"/>
      <c r="R139" s="215"/>
      <c r="S139" s="201">
        <f t="shared" ref="S139:S150" si="179">+F139</f>
        <v>-12523878.031727405</v>
      </c>
      <c r="T139" s="201">
        <f t="shared" ref="T139:V150" si="180">+G139-J139</f>
        <v>0</v>
      </c>
      <c r="U139" s="220">
        <f t="shared" si="180"/>
        <v>0</v>
      </c>
      <c r="V139" s="220">
        <f t="shared" si="180"/>
        <v>0</v>
      </c>
      <c r="W139" s="201"/>
      <c r="X139" s="201"/>
      <c r="Y139" s="201"/>
      <c r="Z139" s="201"/>
      <c r="AA139" s="201">
        <f t="shared" ref="AA139:AA150" si="181">SUM(S139:V139)+$AA$137</f>
        <v>9922766.0544293132</v>
      </c>
      <c r="AB139" s="130">
        <v>0</v>
      </c>
      <c r="AC139" s="130">
        <f t="shared" ref="AC139:AC150" si="182">AA139-AB139</f>
        <v>9922766.0544293132</v>
      </c>
      <c r="AD139" s="130">
        <v>0</v>
      </c>
      <c r="AE139" s="201">
        <f t="shared" ref="AE139:AE150" si="183">AA139-AB139+AD139</f>
        <v>9922766.0544293132</v>
      </c>
      <c r="AF139" s="201">
        <f>AE139-AE137</f>
        <v>-12523878.031727405</v>
      </c>
    </row>
    <row r="140" spans="1:32" hidden="1" outlineLevel="1" x14ac:dyDescent="0.2">
      <c r="A140" s="124">
        <v>11</v>
      </c>
      <c r="B140" s="221">
        <v>40940</v>
      </c>
      <c r="C140" s="201">
        <v>-2428869.4056522851</v>
      </c>
      <c r="D140" s="201">
        <f>SUM($C$139:C140)</f>
        <v>-14952747.43737969</v>
      </c>
      <c r="E140" s="201"/>
      <c r="F140" s="201">
        <f t="shared" si="170"/>
        <v>-14952747.43737969</v>
      </c>
      <c r="G140" s="201">
        <f t="shared" si="171"/>
        <v>0</v>
      </c>
      <c r="H140" s="201">
        <f t="shared" si="172"/>
        <v>0</v>
      </c>
      <c r="I140" s="201">
        <f t="shared" si="173"/>
        <v>0</v>
      </c>
      <c r="J140" s="201">
        <f t="shared" si="174"/>
        <v>0</v>
      </c>
      <c r="K140" s="201">
        <f t="shared" si="175"/>
        <v>0</v>
      </c>
      <c r="L140" s="201">
        <f t="shared" si="176"/>
        <v>0</v>
      </c>
      <c r="M140" s="130">
        <f t="shared" si="177"/>
        <v>5472230.7443187926</v>
      </c>
      <c r="N140" s="130">
        <v>0</v>
      </c>
      <c r="O140" s="201">
        <f t="shared" si="178"/>
        <v>5472230.7443187926</v>
      </c>
      <c r="P140" s="201">
        <f t="shared" ref="P140:P150" si="184">O140-O139</f>
        <v>0</v>
      </c>
      <c r="Q140" s="201"/>
      <c r="R140" s="215"/>
      <c r="S140" s="201">
        <f t="shared" si="179"/>
        <v>-14952747.43737969</v>
      </c>
      <c r="T140" s="201">
        <f t="shared" si="180"/>
        <v>0</v>
      </c>
      <c r="U140" s="220">
        <f t="shared" si="180"/>
        <v>0</v>
      </c>
      <c r="V140" s="220">
        <f t="shared" si="180"/>
        <v>0</v>
      </c>
      <c r="W140" s="201"/>
      <c r="X140" s="201"/>
      <c r="Y140" s="201"/>
      <c r="Z140" s="201"/>
      <c r="AA140" s="201">
        <f t="shared" si="181"/>
        <v>7493896.6487770285</v>
      </c>
      <c r="AB140" s="130">
        <v>0</v>
      </c>
      <c r="AC140" s="130">
        <f t="shared" si="182"/>
        <v>7493896.6487770285</v>
      </c>
      <c r="AD140" s="130">
        <v>0</v>
      </c>
      <c r="AE140" s="201">
        <f t="shared" si="183"/>
        <v>7493896.6487770285</v>
      </c>
      <c r="AF140" s="201">
        <f t="shared" ref="AF140:AF150" si="185">AE140-AE139</f>
        <v>-2428869.4056522846</v>
      </c>
    </row>
    <row r="141" spans="1:32" hidden="1" outlineLevel="1" x14ac:dyDescent="0.2">
      <c r="A141" s="124">
        <v>11</v>
      </c>
      <c r="B141" s="221">
        <v>40969</v>
      </c>
      <c r="C141" s="201">
        <v>-16624940.980474589</v>
      </c>
      <c r="D141" s="201">
        <f>SUM($C$139:C141)</f>
        <v>-31577688.417854279</v>
      </c>
      <c r="E141" s="201"/>
      <c r="F141" s="201">
        <f t="shared" si="170"/>
        <v>-20000000</v>
      </c>
      <c r="G141" s="201">
        <f t="shared" si="171"/>
        <v>-11577688.417854279</v>
      </c>
      <c r="H141" s="201">
        <f t="shared" si="172"/>
        <v>0</v>
      </c>
      <c r="I141" s="201">
        <f t="shared" si="173"/>
        <v>0</v>
      </c>
      <c r="J141" s="130">
        <f t="shared" si="174"/>
        <v>-5788844.2089271396</v>
      </c>
      <c r="K141" s="201">
        <f t="shared" si="175"/>
        <v>0</v>
      </c>
      <c r="L141" s="201">
        <f t="shared" si="176"/>
        <v>0</v>
      </c>
      <c r="M141" s="130">
        <f t="shared" si="177"/>
        <v>-316613.46460834704</v>
      </c>
      <c r="N141" s="130">
        <v>0</v>
      </c>
      <c r="O141" s="201">
        <f t="shared" si="178"/>
        <v>-316613.46460834704</v>
      </c>
      <c r="P141" s="201">
        <f t="shared" si="184"/>
        <v>-5788844.2089271396</v>
      </c>
      <c r="Q141" s="201"/>
      <c r="R141" s="215"/>
      <c r="S141" s="201">
        <f t="shared" si="179"/>
        <v>-20000000</v>
      </c>
      <c r="T141" s="201">
        <f t="shared" si="180"/>
        <v>-5788844.2089271396</v>
      </c>
      <c r="U141" s="220">
        <f t="shared" si="180"/>
        <v>0</v>
      </c>
      <c r="V141" s="220">
        <f t="shared" si="180"/>
        <v>0</v>
      </c>
      <c r="W141" s="201"/>
      <c r="X141" s="201"/>
      <c r="Y141" s="201"/>
      <c r="Z141" s="201"/>
      <c r="AA141" s="201">
        <f t="shared" si="181"/>
        <v>-3342200.1227704212</v>
      </c>
      <c r="AB141" s="130">
        <v>0</v>
      </c>
      <c r="AC141" s="130">
        <f t="shared" si="182"/>
        <v>-3342200.1227704212</v>
      </c>
      <c r="AD141" s="130">
        <v>0</v>
      </c>
      <c r="AE141" s="201">
        <f t="shared" si="183"/>
        <v>-3342200.1227704212</v>
      </c>
      <c r="AF141" s="201">
        <f t="shared" si="185"/>
        <v>-10836096.77154745</v>
      </c>
    </row>
    <row r="142" spans="1:32" hidden="1" outlineLevel="1" x14ac:dyDescent="0.2">
      <c r="A142" s="124">
        <v>11</v>
      </c>
      <c r="B142" s="221">
        <v>41000</v>
      </c>
      <c r="C142" s="201">
        <v>-19154588.963708736</v>
      </c>
      <c r="D142" s="201">
        <f>SUM($C$139:C142)</f>
        <v>-50732277.381563015</v>
      </c>
      <c r="E142" s="201"/>
      <c r="F142" s="201">
        <f t="shared" si="170"/>
        <v>-20000000</v>
      </c>
      <c r="G142" s="201">
        <f t="shared" si="171"/>
        <v>-20000000</v>
      </c>
      <c r="H142" s="201">
        <f t="shared" si="172"/>
        <v>-10732277.381563015</v>
      </c>
      <c r="I142" s="201">
        <f t="shared" si="173"/>
        <v>0</v>
      </c>
      <c r="J142" s="201">
        <f t="shared" si="174"/>
        <v>-10000000</v>
      </c>
      <c r="K142" s="201">
        <f t="shared" si="175"/>
        <v>-9659049.6434067134</v>
      </c>
      <c r="L142" s="201">
        <f t="shared" si="176"/>
        <v>0</v>
      </c>
      <c r="M142" s="130">
        <f t="shared" si="177"/>
        <v>-14186818.899087919</v>
      </c>
      <c r="N142" s="130">
        <v>0</v>
      </c>
      <c r="O142" s="201">
        <f t="shared" si="178"/>
        <v>-14186818.899087919</v>
      </c>
      <c r="P142" s="201">
        <f t="shared" si="184"/>
        <v>-13870205.434479572</v>
      </c>
      <c r="Q142" s="201"/>
      <c r="R142" s="215"/>
      <c r="S142" s="201">
        <f t="shared" si="179"/>
        <v>-20000000</v>
      </c>
      <c r="T142" s="201">
        <f t="shared" si="180"/>
        <v>-10000000</v>
      </c>
      <c r="U142" s="220">
        <f t="shared" si="180"/>
        <v>-1073227.7381563019</v>
      </c>
      <c r="V142" s="220">
        <f t="shared" si="180"/>
        <v>0</v>
      </c>
      <c r="W142" s="201"/>
      <c r="X142" s="201"/>
      <c r="Y142" s="201"/>
      <c r="Z142" s="201"/>
      <c r="AA142" s="201">
        <f t="shared" si="181"/>
        <v>-8626583.6519995853</v>
      </c>
      <c r="AB142" s="130">
        <v>0</v>
      </c>
      <c r="AC142" s="130">
        <f t="shared" si="182"/>
        <v>-8626583.6519995853</v>
      </c>
      <c r="AD142" s="130">
        <v>0</v>
      </c>
      <c r="AE142" s="201">
        <f t="shared" si="183"/>
        <v>-8626583.6519995853</v>
      </c>
      <c r="AF142" s="201">
        <f t="shared" si="185"/>
        <v>-5284383.5292291641</v>
      </c>
    </row>
    <row r="143" spans="1:32" hidden="1" outlineLevel="1" x14ac:dyDescent="0.2">
      <c r="A143" s="124">
        <v>11</v>
      </c>
      <c r="B143" s="221">
        <v>41030</v>
      </c>
      <c r="C143" s="201">
        <v>-9579536.4025071263</v>
      </c>
      <c r="D143" s="201">
        <f>SUM($C$139:C143)</f>
        <v>-60311813.784070142</v>
      </c>
      <c r="E143" s="201"/>
      <c r="F143" s="201">
        <f t="shared" si="170"/>
        <v>-20000000</v>
      </c>
      <c r="G143" s="201">
        <f t="shared" si="171"/>
        <v>-20000000</v>
      </c>
      <c r="H143" s="201">
        <f t="shared" si="172"/>
        <v>-20311813.784070142</v>
      </c>
      <c r="I143" s="201">
        <f t="shared" si="173"/>
        <v>0</v>
      </c>
      <c r="J143" s="201">
        <f t="shared" si="174"/>
        <v>-10000000</v>
      </c>
      <c r="K143" s="201">
        <f t="shared" si="175"/>
        <v>-18280632.405663129</v>
      </c>
      <c r="L143" s="201">
        <f t="shared" si="176"/>
        <v>0</v>
      </c>
      <c r="M143" s="130">
        <f t="shared" si="177"/>
        <v>-22808401.661344334</v>
      </c>
      <c r="N143" s="130">
        <v>0</v>
      </c>
      <c r="O143" s="201">
        <f t="shared" si="178"/>
        <v>-22808401.661344334</v>
      </c>
      <c r="P143" s="201">
        <f t="shared" si="184"/>
        <v>-8621582.7622564156</v>
      </c>
      <c r="Q143" s="201"/>
      <c r="R143" s="215"/>
      <c r="S143" s="201">
        <f t="shared" si="179"/>
        <v>-20000000</v>
      </c>
      <c r="T143" s="201">
        <f t="shared" si="180"/>
        <v>-10000000</v>
      </c>
      <c r="U143" s="220">
        <f t="shared" si="180"/>
        <v>-2031181.3784070127</v>
      </c>
      <c r="V143" s="220">
        <f t="shared" si="180"/>
        <v>0</v>
      </c>
      <c r="W143" s="201"/>
      <c r="X143" s="201"/>
      <c r="Y143" s="201"/>
      <c r="Z143" s="201"/>
      <c r="AA143" s="201">
        <f t="shared" si="181"/>
        <v>-9584537.2922502942</v>
      </c>
      <c r="AB143" s="130">
        <v>0</v>
      </c>
      <c r="AC143" s="130">
        <f t="shared" si="182"/>
        <v>-9584537.2922502942</v>
      </c>
      <c r="AD143" s="130">
        <v>0</v>
      </c>
      <c r="AE143" s="201">
        <f t="shared" si="183"/>
        <v>-9584537.2922502942</v>
      </c>
      <c r="AF143" s="201">
        <f t="shared" si="185"/>
        <v>-957953.64025070891</v>
      </c>
    </row>
    <row r="144" spans="1:32" hidden="1" outlineLevel="1" x14ac:dyDescent="0.2">
      <c r="A144" s="124">
        <v>11</v>
      </c>
      <c r="B144" s="221">
        <v>41061</v>
      </c>
      <c r="C144" s="201">
        <v>2320484.3383544767</v>
      </c>
      <c r="D144" s="201">
        <f>SUM($C$139:C144)</f>
        <v>-57991329.445715666</v>
      </c>
      <c r="E144" s="201"/>
      <c r="F144" s="201">
        <f t="shared" si="170"/>
        <v>-20000000</v>
      </c>
      <c r="G144" s="201">
        <f t="shared" si="171"/>
        <v>-20000000</v>
      </c>
      <c r="H144" s="201">
        <f t="shared" si="172"/>
        <v>-17991329.445715666</v>
      </c>
      <c r="I144" s="201">
        <f t="shared" si="173"/>
        <v>0</v>
      </c>
      <c r="J144" s="201">
        <f t="shared" si="174"/>
        <v>-10000000</v>
      </c>
      <c r="K144" s="201">
        <f t="shared" si="175"/>
        <v>-16192196.5011441</v>
      </c>
      <c r="L144" s="201">
        <f t="shared" si="176"/>
        <v>0</v>
      </c>
      <c r="M144" s="130">
        <f t="shared" si="177"/>
        <v>-20719965.756825306</v>
      </c>
      <c r="N144" s="130">
        <v>0</v>
      </c>
      <c r="O144" s="201">
        <f t="shared" si="178"/>
        <v>-20719965.756825306</v>
      </c>
      <c r="P144" s="201">
        <f t="shared" si="184"/>
        <v>2088435.904519029</v>
      </c>
      <c r="Q144" s="201"/>
      <c r="R144" s="215"/>
      <c r="S144" s="201">
        <f t="shared" si="179"/>
        <v>-20000000</v>
      </c>
      <c r="T144" s="201">
        <f t="shared" si="180"/>
        <v>-10000000</v>
      </c>
      <c r="U144" s="220">
        <f t="shared" si="180"/>
        <v>-1799132.9445715658</v>
      </c>
      <c r="V144" s="220">
        <f t="shared" si="180"/>
        <v>0</v>
      </c>
      <c r="W144" s="201"/>
      <c r="X144" s="201"/>
      <c r="Y144" s="201"/>
      <c r="Z144" s="201"/>
      <c r="AA144" s="201">
        <f t="shared" si="181"/>
        <v>-9352488.8584148474</v>
      </c>
      <c r="AB144" s="130">
        <v>0</v>
      </c>
      <c r="AC144" s="130">
        <f t="shared" si="182"/>
        <v>-9352488.8584148474</v>
      </c>
      <c r="AD144" s="130">
        <v>0</v>
      </c>
      <c r="AE144" s="201">
        <f t="shared" si="183"/>
        <v>-9352488.8584148474</v>
      </c>
      <c r="AF144" s="201">
        <f t="shared" si="185"/>
        <v>232048.43383544683</v>
      </c>
    </row>
    <row r="145" spans="1:32" hidden="1" outlineLevel="1" x14ac:dyDescent="0.2">
      <c r="A145" s="124">
        <v>11</v>
      </c>
      <c r="B145" s="221">
        <v>41091</v>
      </c>
      <c r="C145" s="201">
        <v>2134948.4248224832</v>
      </c>
      <c r="D145" s="201">
        <f>SUM($C$139:C145)</f>
        <v>-55856381.020893186</v>
      </c>
      <c r="E145" s="201"/>
      <c r="F145" s="201">
        <f t="shared" si="170"/>
        <v>-20000000</v>
      </c>
      <c r="G145" s="201">
        <f t="shared" si="171"/>
        <v>-20000000</v>
      </c>
      <c r="H145" s="201">
        <f t="shared" si="172"/>
        <v>-15856381.020893186</v>
      </c>
      <c r="I145" s="201">
        <f t="shared" si="173"/>
        <v>0</v>
      </c>
      <c r="J145" s="201">
        <f t="shared" si="174"/>
        <v>-10000000</v>
      </c>
      <c r="K145" s="201">
        <f t="shared" si="175"/>
        <v>-14270742.918803869</v>
      </c>
      <c r="L145" s="201">
        <f t="shared" si="176"/>
        <v>0</v>
      </c>
      <c r="M145" s="130">
        <f t="shared" si="177"/>
        <v>-18798512.17448508</v>
      </c>
      <c r="N145" s="130">
        <v>0</v>
      </c>
      <c r="O145" s="201">
        <f t="shared" si="178"/>
        <v>-18798512.17448508</v>
      </c>
      <c r="P145" s="201">
        <f t="shared" si="184"/>
        <v>1921453.5823402256</v>
      </c>
      <c r="Q145" s="201"/>
      <c r="R145" s="215"/>
      <c r="S145" s="201">
        <f t="shared" si="179"/>
        <v>-20000000</v>
      </c>
      <c r="T145" s="201">
        <f t="shared" si="180"/>
        <v>-10000000</v>
      </c>
      <c r="U145" s="220">
        <f t="shared" si="180"/>
        <v>-1585638.1020893175</v>
      </c>
      <c r="V145" s="220">
        <f t="shared" si="180"/>
        <v>0</v>
      </c>
      <c r="W145" s="201"/>
      <c r="X145" s="201"/>
      <c r="Y145" s="201"/>
      <c r="Z145" s="201"/>
      <c r="AA145" s="201">
        <f t="shared" si="181"/>
        <v>-9138994.0159325972</v>
      </c>
      <c r="AB145" s="130">
        <v>0</v>
      </c>
      <c r="AC145" s="130">
        <f t="shared" si="182"/>
        <v>-9138994.0159325972</v>
      </c>
      <c r="AD145" s="130">
        <v>0</v>
      </c>
      <c r="AE145" s="201">
        <f t="shared" si="183"/>
        <v>-9138994.0159325972</v>
      </c>
      <c r="AF145" s="201">
        <f t="shared" si="185"/>
        <v>213494.84248225018</v>
      </c>
    </row>
    <row r="146" spans="1:32" hidden="1" outlineLevel="1" x14ac:dyDescent="0.2">
      <c r="A146" s="124">
        <v>11</v>
      </c>
      <c r="B146" s="221">
        <v>41122</v>
      </c>
      <c r="C146" s="201">
        <v>2099877.7457494172</v>
      </c>
      <c r="D146" s="201">
        <f>SUM($C$139:C146)</f>
        <v>-53756503.275143772</v>
      </c>
      <c r="E146" s="201"/>
      <c r="F146" s="201">
        <f t="shared" si="170"/>
        <v>-20000000</v>
      </c>
      <c r="G146" s="201">
        <f t="shared" si="171"/>
        <v>-20000000</v>
      </c>
      <c r="H146" s="201">
        <f t="shared" si="172"/>
        <v>-13756503.275143772</v>
      </c>
      <c r="I146" s="201">
        <f t="shared" si="173"/>
        <v>0</v>
      </c>
      <c r="J146" s="201">
        <f t="shared" si="174"/>
        <v>-10000000</v>
      </c>
      <c r="K146" s="201">
        <f t="shared" si="175"/>
        <v>-12380852.947629396</v>
      </c>
      <c r="L146" s="201">
        <f t="shared" si="176"/>
        <v>0</v>
      </c>
      <c r="M146" s="130">
        <f t="shared" si="177"/>
        <v>-16908622.203310601</v>
      </c>
      <c r="N146" s="130">
        <v>0</v>
      </c>
      <c r="O146" s="201">
        <f t="shared" si="178"/>
        <v>-16908622.203310601</v>
      </c>
      <c r="P146" s="201">
        <f t="shared" si="184"/>
        <v>1889889.9711744785</v>
      </c>
      <c r="Q146" s="201"/>
      <c r="R146" s="215"/>
      <c r="S146" s="201">
        <f t="shared" si="179"/>
        <v>-20000000</v>
      </c>
      <c r="T146" s="201">
        <f t="shared" si="180"/>
        <v>-10000000</v>
      </c>
      <c r="U146" s="220">
        <f t="shared" si="180"/>
        <v>-1375650.3275143765</v>
      </c>
      <c r="V146" s="220">
        <f t="shared" si="180"/>
        <v>0</v>
      </c>
      <c r="W146" s="201"/>
      <c r="X146" s="201"/>
      <c r="Y146" s="201"/>
      <c r="Z146" s="201"/>
      <c r="AA146" s="201">
        <f t="shared" si="181"/>
        <v>-8929006.2413576581</v>
      </c>
      <c r="AB146" s="130">
        <v>0</v>
      </c>
      <c r="AC146" s="130">
        <f t="shared" si="182"/>
        <v>-8929006.2413576581</v>
      </c>
      <c r="AD146" s="130">
        <v>0</v>
      </c>
      <c r="AE146" s="201">
        <f t="shared" si="183"/>
        <v>-8929006.2413576581</v>
      </c>
      <c r="AF146" s="201">
        <f t="shared" si="185"/>
        <v>209987.77457493916</v>
      </c>
    </row>
    <row r="147" spans="1:32" hidden="1" outlineLevel="1" x14ac:dyDescent="0.2">
      <c r="A147" s="124">
        <v>11</v>
      </c>
      <c r="B147" s="221">
        <v>41153</v>
      </c>
      <c r="C147" s="201">
        <v>13880058.17172304</v>
      </c>
      <c r="D147" s="201">
        <f>SUM($C$139:C147)</f>
        <v>-39876445.103420734</v>
      </c>
      <c r="E147" s="201"/>
      <c r="F147" s="201">
        <f t="shared" si="170"/>
        <v>-20000000</v>
      </c>
      <c r="G147" s="201">
        <f t="shared" si="171"/>
        <v>-19876445.103420734</v>
      </c>
      <c r="H147" s="201">
        <f t="shared" si="172"/>
        <v>0</v>
      </c>
      <c r="I147" s="201">
        <f t="shared" si="173"/>
        <v>0</v>
      </c>
      <c r="J147" s="201">
        <f t="shared" si="174"/>
        <v>-9938222.5517103672</v>
      </c>
      <c r="K147" s="201">
        <f t="shared" si="175"/>
        <v>0</v>
      </c>
      <c r="L147" s="201">
        <f t="shared" si="176"/>
        <v>0</v>
      </c>
      <c r="M147" s="130">
        <f t="shared" si="177"/>
        <v>-4465991.8073915746</v>
      </c>
      <c r="N147" s="130">
        <v>0</v>
      </c>
      <c r="O147" s="201">
        <f t="shared" si="178"/>
        <v>-4465991.8073915746</v>
      </c>
      <c r="P147" s="201">
        <f t="shared" si="184"/>
        <v>12442630.395919027</v>
      </c>
      <c r="Q147" s="201"/>
      <c r="R147" s="215"/>
      <c r="S147" s="201">
        <f t="shared" si="179"/>
        <v>-20000000</v>
      </c>
      <c r="T147" s="201">
        <f t="shared" si="180"/>
        <v>-9938222.5517103672</v>
      </c>
      <c r="U147" s="220">
        <f t="shared" si="180"/>
        <v>0</v>
      </c>
      <c r="V147" s="220">
        <f t="shared" si="180"/>
        <v>0</v>
      </c>
      <c r="W147" s="201"/>
      <c r="X147" s="201"/>
      <c r="Y147" s="201"/>
      <c r="Z147" s="201"/>
      <c r="AA147" s="201">
        <f t="shared" si="181"/>
        <v>-7491578.4655536488</v>
      </c>
      <c r="AB147" s="130">
        <v>0</v>
      </c>
      <c r="AC147" s="130">
        <f t="shared" si="182"/>
        <v>-7491578.4655536488</v>
      </c>
      <c r="AD147" s="130">
        <v>0</v>
      </c>
      <c r="AE147" s="201">
        <f t="shared" si="183"/>
        <v>-7491578.4655536488</v>
      </c>
      <c r="AF147" s="201">
        <f t="shared" si="185"/>
        <v>1437427.7758040093</v>
      </c>
    </row>
    <row r="148" spans="1:32" ht="14.25" hidden="1" customHeight="1" outlineLevel="1" x14ac:dyDescent="0.2">
      <c r="A148" s="124">
        <v>11</v>
      </c>
      <c r="B148" s="221">
        <v>41183</v>
      </c>
      <c r="C148" s="201">
        <v>4972296.4063995704</v>
      </c>
      <c r="D148" s="201">
        <f>SUM($C$139:C148)</f>
        <v>-34904148.697021164</v>
      </c>
      <c r="E148" s="201"/>
      <c r="F148" s="201">
        <f t="shared" si="170"/>
        <v>-20000000</v>
      </c>
      <c r="G148" s="201">
        <f t="shared" si="171"/>
        <v>-14904148.697021164</v>
      </c>
      <c r="H148" s="201">
        <f t="shared" si="172"/>
        <v>0</v>
      </c>
      <c r="I148" s="201">
        <f t="shared" si="173"/>
        <v>0</v>
      </c>
      <c r="J148" s="201">
        <f t="shared" si="174"/>
        <v>-7452074.348510582</v>
      </c>
      <c r="K148" s="201">
        <f t="shared" si="175"/>
        <v>0</v>
      </c>
      <c r="L148" s="201">
        <f t="shared" si="176"/>
        <v>0</v>
      </c>
      <c r="M148" s="130">
        <f t="shared" si="177"/>
        <v>-1979843.6041917894</v>
      </c>
      <c r="N148" s="130">
        <v>0</v>
      </c>
      <c r="O148" s="201">
        <f t="shared" si="178"/>
        <v>-1979843.6041917894</v>
      </c>
      <c r="P148" s="201">
        <f t="shared" si="184"/>
        <v>2486148.2031997852</v>
      </c>
      <c r="Q148" s="201"/>
      <c r="R148" s="215"/>
      <c r="S148" s="201">
        <f t="shared" si="179"/>
        <v>-20000000</v>
      </c>
      <c r="T148" s="201">
        <f t="shared" si="180"/>
        <v>-7452074.348510582</v>
      </c>
      <c r="U148" s="220">
        <f t="shared" si="180"/>
        <v>0</v>
      </c>
      <c r="V148" s="220">
        <f t="shared" si="180"/>
        <v>0</v>
      </c>
      <c r="W148" s="201"/>
      <c r="X148" s="201"/>
      <c r="Y148" s="201"/>
      <c r="Z148" s="201"/>
      <c r="AA148" s="201">
        <f t="shared" si="181"/>
        <v>-5005430.2623538636</v>
      </c>
      <c r="AB148" s="130">
        <v>0</v>
      </c>
      <c r="AC148" s="130">
        <f t="shared" si="182"/>
        <v>-5005430.2623538636</v>
      </c>
      <c r="AD148" s="130">
        <v>0</v>
      </c>
      <c r="AE148" s="201">
        <f t="shared" si="183"/>
        <v>-5005430.2623538636</v>
      </c>
      <c r="AF148" s="201">
        <f t="shared" si="185"/>
        <v>2486148.2031997852</v>
      </c>
    </row>
    <row r="149" spans="1:32" hidden="1" outlineLevel="1" x14ac:dyDescent="0.2">
      <c r="A149" s="124">
        <v>11</v>
      </c>
      <c r="B149" s="221">
        <v>41214</v>
      </c>
      <c r="C149" s="201">
        <v>8586722.0462580062</v>
      </c>
      <c r="D149" s="201">
        <f>SUM($C$139:C149)</f>
        <v>-26317426.650763158</v>
      </c>
      <c r="E149" s="201"/>
      <c r="F149" s="201">
        <f t="shared" si="170"/>
        <v>-20000000</v>
      </c>
      <c r="G149" s="201">
        <f t="shared" si="171"/>
        <v>-6317426.6507631578</v>
      </c>
      <c r="H149" s="201">
        <f t="shared" si="172"/>
        <v>0</v>
      </c>
      <c r="I149" s="201">
        <f t="shared" si="173"/>
        <v>0</v>
      </c>
      <c r="J149" s="201">
        <f t="shared" si="174"/>
        <v>-3158713.3253815789</v>
      </c>
      <c r="K149" s="201">
        <f t="shared" si="175"/>
        <v>0</v>
      </c>
      <c r="L149" s="201">
        <f t="shared" si="176"/>
        <v>0</v>
      </c>
      <c r="M149" s="130">
        <f t="shared" si="177"/>
        <v>2313517.4189372137</v>
      </c>
      <c r="N149" s="130">
        <v>0</v>
      </c>
      <c r="O149" s="201">
        <f t="shared" si="178"/>
        <v>2313517.4189372137</v>
      </c>
      <c r="P149" s="201">
        <f t="shared" si="184"/>
        <v>4293361.0231290031</v>
      </c>
      <c r="Q149" s="201"/>
      <c r="R149" s="215"/>
      <c r="S149" s="201">
        <f t="shared" si="179"/>
        <v>-20000000</v>
      </c>
      <c r="T149" s="201">
        <f t="shared" si="180"/>
        <v>-3158713.3253815789</v>
      </c>
      <c r="U149" s="220">
        <f t="shared" si="180"/>
        <v>0</v>
      </c>
      <c r="V149" s="220">
        <f t="shared" si="180"/>
        <v>0</v>
      </c>
      <c r="W149" s="201"/>
      <c r="X149" s="201"/>
      <c r="Y149" s="201"/>
      <c r="Z149" s="201"/>
      <c r="AA149" s="201">
        <f t="shared" si="181"/>
        <v>-712069.23922485858</v>
      </c>
      <c r="AB149" s="130">
        <v>0</v>
      </c>
      <c r="AC149" s="130">
        <f t="shared" si="182"/>
        <v>-712069.23922485858</v>
      </c>
      <c r="AD149" s="130">
        <v>0</v>
      </c>
      <c r="AE149" s="201">
        <f t="shared" si="183"/>
        <v>-712069.23922485858</v>
      </c>
      <c r="AF149" s="201">
        <f t="shared" si="185"/>
        <v>4293361.023129005</v>
      </c>
    </row>
    <row r="150" spans="1:32" hidden="1" outlineLevel="1" x14ac:dyDescent="0.2">
      <c r="A150" s="124">
        <v>11</v>
      </c>
      <c r="B150" s="221">
        <v>41244</v>
      </c>
      <c r="C150" s="201">
        <v>672862.69376042718</v>
      </c>
      <c r="D150" s="201">
        <f>SUM($C$139:C150)</f>
        <v>-25644563.957002729</v>
      </c>
      <c r="E150" s="201"/>
      <c r="F150" s="201">
        <f t="shared" si="170"/>
        <v>-20000000</v>
      </c>
      <c r="G150" s="201">
        <f t="shared" si="171"/>
        <v>-5644563.9570027292</v>
      </c>
      <c r="H150" s="201">
        <f t="shared" si="172"/>
        <v>0</v>
      </c>
      <c r="I150" s="201">
        <f t="shared" si="173"/>
        <v>0</v>
      </c>
      <c r="J150" s="201">
        <f t="shared" si="174"/>
        <v>-2822281.9785013646</v>
      </c>
      <c r="K150" s="201">
        <f t="shared" si="175"/>
        <v>0</v>
      </c>
      <c r="L150" s="201">
        <f t="shared" si="176"/>
        <v>0</v>
      </c>
      <c r="M150" s="130">
        <f t="shared" si="177"/>
        <v>2649948.765817428</v>
      </c>
      <c r="N150" s="130">
        <v>0</v>
      </c>
      <c r="O150" s="201">
        <f t="shared" si="178"/>
        <v>2649948.765817428</v>
      </c>
      <c r="P150" s="201">
        <f t="shared" si="184"/>
        <v>336431.34688021429</v>
      </c>
      <c r="Q150" s="201"/>
      <c r="R150" s="215"/>
      <c r="S150" s="201">
        <f t="shared" si="179"/>
        <v>-20000000</v>
      </c>
      <c r="T150" s="201">
        <f t="shared" si="180"/>
        <v>-2822281.9785013646</v>
      </c>
      <c r="U150" s="220">
        <f t="shared" si="180"/>
        <v>0</v>
      </c>
      <c r="V150" s="220">
        <f t="shared" si="180"/>
        <v>0</v>
      </c>
      <c r="W150" s="201"/>
      <c r="X150" s="201"/>
      <c r="Y150" s="201"/>
      <c r="Z150" s="201"/>
      <c r="AA150" s="201">
        <f t="shared" si="181"/>
        <v>-375637.89234464616</v>
      </c>
      <c r="AB150" s="130">
        <v>0</v>
      </c>
      <c r="AC150" s="130">
        <f t="shared" si="182"/>
        <v>-375637.89234464616</v>
      </c>
      <c r="AD150" s="130">
        <v>0</v>
      </c>
      <c r="AE150" s="201">
        <f t="shared" si="183"/>
        <v>-375637.89234464616</v>
      </c>
      <c r="AF150" s="201">
        <f t="shared" si="185"/>
        <v>336431.34688021243</v>
      </c>
    </row>
    <row r="151" spans="1:32" ht="16.5" hidden="1" customHeight="1" outlineLevel="1" x14ac:dyDescent="0.2">
      <c r="A151" s="124"/>
      <c r="B151" s="221"/>
      <c r="C151" s="201"/>
      <c r="D151" s="201"/>
      <c r="E151" s="201"/>
      <c r="F151" s="201"/>
      <c r="G151" s="201"/>
      <c r="H151" s="201"/>
      <c r="I151" s="201"/>
      <c r="J151" s="201"/>
      <c r="K151" s="201"/>
      <c r="L151" s="201"/>
      <c r="M151" s="130"/>
      <c r="N151" s="130"/>
      <c r="O151" s="201"/>
      <c r="P151" s="201"/>
      <c r="Q151" s="201"/>
      <c r="R151" s="215"/>
      <c r="S151" s="201"/>
      <c r="T151" s="201"/>
      <c r="U151" s="220"/>
      <c r="V151" s="220"/>
      <c r="W151" s="201"/>
      <c r="X151" s="201"/>
      <c r="Y151" s="201"/>
      <c r="Z151" s="201"/>
      <c r="AA151" s="201"/>
      <c r="AB151" s="130"/>
      <c r="AC151" s="130"/>
      <c r="AD151" s="130"/>
      <c r="AE151" s="201"/>
      <c r="AF151" s="201"/>
    </row>
    <row r="152" spans="1:32" hidden="1" outlineLevel="1" x14ac:dyDescent="0.2">
      <c r="A152" s="124">
        <v>12</v>
      </c>
      <c r="B152" s="221">
        <v>41275</v>
      </c>
      <c r="C152" s="201">
        <v>-11528918.075071756</v>
      </c>
      <c r="D152" s="201">
        <f>C152</f>
        <v>-11528918.075071756</v>
      </c>
      <c r="E152" s="201"/>
      <c r="F152" s="201">
        <f t="shared" ref="F152:F163" si="186">IF(ABS(D152)&gt;+$F$9,IF(D152&lt;0,-$F$9,+$F$9),+D152)</f>
        <v>-11528918.075071756</v>
      </c>
      <c r="G152" s="201">
        <f t="shared" ref="G152:G163" si="187">IF(ABS(D152)-ABS(F152)&gt;=$G$9,IF(D152&lt;=0,-$G$9,+$G$9),+D152-F152)</f>
        <v>0</v>
      </c>
      <c r="H152" s="201">
        <f t="shared" ref="H152:H163" si="188">IF(ABS(+D152)-ABS(SUM(F152:G152))&gt;=$H$9,IF(D152&lt;=0,-$H$9,+$H$9),+D152-SUM(F152:G152))</f>
        <v>0</v>
      </c>
      <c r="I152" s="201">
        <f t="shared" ref="I152:I163" si="189">IF(ABS(+D152)-ABS(SUM(F152:H152))&gt;=$I$9,IF(D152&lt;=0,$D152-SUM($F152:$H152),$D152-SUM($F152:$H152)),D152-SUM(F152:H152))</f>
        <v>0</v>
      </c>
      <c r="J152" s="201">
        <f t="shared" ref="J152:J163" si="190">+G152*$C$260</f>
        <v>0</v>
      </c>
      <c r="K152" s="201">
        <f t="shared" ref="K152:K163" si="191">+H152*$C$261</f>
        <v>0</v>
      </c>
      <c r="L152" s="201">
        <f t="shared" ref="L152:L163" si="192">+I152*$C$262</f>
        <v>0</v>
      </c>
      <c r="M152" s="130">
        <f t="shared" ref="M152:M163" si="193">SUM(J152:L152)+$M$150</f>
        <v>2649948.765817428</v>
      </c>
      <c r="N152" s="130">
        <v>0</v>
      </c>
      <c r="O152" s="201">
        <f t="shared" ref="O152:O163" si="194">M152+N152</f>
        <v>2649948.765817428</v>
      </c>
      <c r="P152" s="201">
        <f>O152-O150</f>
        <v>0</v>
      </c>
      <c r="Q152" s="201"/>
      <c r="R152" s="215"/>
      <c r="S152" s="201">
        <f t="shared" ref="S152:S163" si="195">+F152</f>
        <v>-11528918.075071756</v>
      </c>
      <c r="T152" s="201">
        <f t="shared" ref="T152:V163" si="196">+G152-J152</f>
        <v>0</v>
      </c>
      <c r="U152" s="220">
        <f t="shared" si="196"/>
        <v>0</v>
      </c>
      <c r="V152" s="220">
        <f t="shared" si="196"/>
        <v>0</v>
      </c>
      <c r="W152" s="201"/>
      <c r="X152" s="201"/>
      <c r="Y152" s="201"/>
      <c r="Z152" s="201"/>
      <c r="AA152" s="201">
        <f t="shared" ref="AA152:AA163" si="197">SUM(S152:V152)+$AA$150</f>
        <v>-11904555.967416402</v>
      </c>
      <c r="AB152" s="130">
        <v>0</v>
      </c>
      <c r="AC152" s="130">
        <f t="shared" ref="AC152:AC163" si="198">AA152-AB152</f>
        <v>-11904555.967416402</v>
      </c>
      <c r="AD152" s="130">
        <v>0</v>
      </c>
      <c r="AE152" s="201">
        <f t="shared" ref="AE152:AE163" si="199">AA152-AB152+AD152</f>
        <v>-11904555.967416402</v>
      </c>
      <c r="AF152" s="201">
        <f>AE152-AE150</f>
        <v>-11528918.075071756</v>
      </c>
    </row>
    <row r="153" spans="1:32" hidden="1" outlineLevel="1" x14ac:dyDescent="0.2">
      <c r="A153" s="124">
        <v>12</v>
      </c>
      <c r="B153" s="221">
        <v>41306</v>
      </c>
      <c r="C153" s="201">
        <v>-418330.36171436496</v>
      </c>
      <c r="D153" s="201">
        <f>SUM($C$152:C153)</f>
        <v>-11947248.436786121</v>
      </c>
      <c r="E153" s="201"/>
      <c r="F153" s="201">
        <f t="shared" si="186"/>
        <v>-11947248.436786121</v>
      </c>
      <c r="G153" s="201">
        <f t="shared" si="187"/>
        <v>0</v>
      </c>
      <c r="H153" s="201">
        <f t="shared" si="188"/>
        <v>0</v>
      </c>
      <c r="I153" s="201">
        <f t="shared" si="189"/>
        <v>0</v>
      </c>
      <c r="J153" s="201">
        <f t="shared" si="190"/>
        <v>0</v>
      </c>
      <c r="K153" s="201">
        <f t="shared" si="191"/>
        <v>0</v>
      </c>
      <c r="L153" s="201">
        <f t="shared" si="192"/>
        <v>0</v>
      </c>
      <c r="M153" s="130">
        <f t="shared" si="193"/>
        <v>2649948.765817428</v>
      </c>
      <c r="N153" s="130">
        <v>0</v>
      </c>
      <c r="O153" s="201">
        <f t="shared" si="194"/>
        <v>2649948.765817428</v>
      </c>
      <c r="P153" s="201">
        <f t="shared" ref="P153:P163" si="200">O153-O152</f>
        <v>0</v>
      </c>
      <c r="Q153" s="201"/>
      <c r="R153" s="215"/>
      <c r="S153" s="201">
        <f t="shared" si="195"/>
        <v>-11947248.436786121</v>
      </c>
      <c r="T153" s="201">
        <f t="shared" si="196"/>
        <v>0</v>
      </c>
      <c r="U153" s="220">
        <f t="shared" si="196"/>
        <v>0</v>
      </c>
      <c r="V153" s="220">
        <f t="shared" si="196"/>
        <v>0</v>
      </c>
      <c r="W153" s="201"/>
      <c r="X153" s="201"/>
      <c r="Y153" s="201"/>
      <c r="Z153" s="201"/>
      <c r="AA153" s="201">
        <f t="shared" si="197"/>
        <v>-12322886.329130767</v>
      </c>
      <c r="AB153" s="130">
        <v>0</v>
      </c>
      <c r="AC153" s="130">
        <f t="shared" si="198"/>
        <v>-12322886.329130767</v>
      </c>
      <c r="AD153" s="130">
        <v>0</v>
      </c>
      <c r="AE153" s="201">
        <f t="shared" si="199"/>
        <v>-12322886.329130767</v>
      </c>
      <c r="AF153" s="201">
        <f t="shared" ref="AF153:AF163" si="201">AE153-AE152</f>
        <v>-418330.36171436496</v>
      </c>
    </row>
    <row r="154" spans="1:32" hidden="1" outlineLevel="1" x14ac:dyDescent="0.2">
      <c r="A154" s="124">
        <v>12</v>
      </c>
      <c r="B154" s="221">
        <v>41334</v>
      </c>
      <c r="C154" s="201">
        <v>-3351512.0859245509</v>
      </c>
      <c r="D154" s="201">
        <f>SUM($C$152:C154)</f>
        <v>-15298760.522710672</v>
      </c>
      <c r="E154" s="201"/>
      <c r="F154" s="201">
        <f t="shared" si="186"/>
        <v>-15298760.522710672</v>
      </c>
      <c r="G154" s="201">
        <f t="shared" si="187"/>
        <v>0</v>
      </c>
      <c r="H154" s="201">
        <f t="shared" si="188"/>
        <v>0</v>
      </c>
      <c r="I154" s="201">
        <f t="shared" si="189"/>
        <v>0</v>
      </c>
      <c r="J154" s="130">
        <f t="shared" si="190"/>
        <v>0</v>
      </c>
      <c r="K154" s="201">
        <f t="shared" si="191"/>
        <v>0</v>
      </c>
      <c r="L154" s="201">
        <f t="shared" si="192"/>
        <v>0</v>
      </c>
      <c r="M154" s="130">
        <f t="shared" si="193"/>
        <v>2649948.765817428</v>
      </c>
      <c r="N154" s="130">
        <v>0</v>
      </c>
      <c r="O154" s="201">
        <f t="shared" si="194"/>
        <v>2649948.765817428</v>
      </c>
      <c r="P154" s="201">
        <f t="shared" si="200"/>
        <v>0</v>
      </c>
      <c r="Q154" s="201"/>
      <c r="R154" s="215"/>
      <c r="S154" s="201">
        <f t="shared" si="195"/>
        <v>-15298760.522710672</v>
      </c>
      <c r="T154" s="201">
        <f t="shared" si="196"/>
        <v>0</v>
      </c>
      <c r="U154" s="220">
        <f t="shared" si="196"/>
        <v>0</v>
      </c>
      <c r="V154" s="220">
        <f t="shared" si="196"/>
        <v>0</v>
      </c>
      <c r="W154" s="201"/>
      <c r="X154" s="201"/>
      <c r="Y154" s="201"/>
      <c r="Z154" s="201"/>
      <c r="AA154" s="201">
        <f t="shared" si="197"/>
        <v>-15674398.415055318</v>
      </c>
      <c r="AB154" s="130">
        <v>0</v>
      </c>
      <c r="AC154" s="130">
        <f t="shared" si="198"/>
        <v>-15674398.415055318</v>
      </c>
      <c r="AD154" s="130">
        <v>0</v>
      </c>
      <c r="AE154" s="201">
        <f t="shared" si="199"/>
        <v>-15674398.415055318</v>
      </c>
      <c r="AF154" s="201">
        <f t="shared" si="201"/>
        <v>-3351512.0859245509</v>
      </c>
    </row>
    <row r="155" spans="1:32" hidden="1" outlineLevel="1" x14ac:dyDescent="0.2">
      <c r="A155" s="124">
        <v>12</v>
      </c>
      <c r="B155" s="221">
        <v>41365</v>
      </c>
      <c r="C155" s="201">
        <v>-13196602.105187742</v>
      </c>
      <c r="D155" s="201">
        <f>SUM($C$152:C155)</f>
        <v>-28495362.627898414</v>
      </c>
      <c r="E155" s="201"/>
      <c r="F155" s="201">
        <f t="shared" si="186"/>
        <v>-20000000</v>
      </c>
      <c r="G155" s="201">
        <f t="shared" si="187"/>
        <v>-8495362.6278984137</v>
      </c>
      <c r="H155" s="201">
        <f t="shared" si="188"/>
        <v>0</v>
      </c>
      <c r="I155" s="201">
        <f t="shared" si="189"/>
        <v>0</v>
      </c>
      <c r="J155" s="201">
        <f t="shared" si="190"/>
        <v>-4247681.3139492068</v>
      </c>
      <c r="K155" s="201">
        <f t="shared" si="191"/>
        <v>0</v>
      </c>
      <c r="L155" s="201">
        <f t="shared" si="192"/>
        <v>0</v>
      </c>
      <c r="M155" s="130">
        <f t="shared" si="193"/>
        <v>-1597732.5481317788</v>
      </c>
      <c r="N155" s="130">
        <v>0</v>
      </c>
      <c r="O155" s="201">
        <f t="shared" si="194"/>
        <v>-1597732.5481317788</v>
      </c>
      <c r="P155" s="201">
        <f t="shared" si="200"/>
        <v>-4247681.3139492068</v>
      </c>
      <c r="Q155" s="201"/>
      <c r="R155" s="215"/>
      <c r="S155" s="201">
        <f t="shared" si="195"/>
        <v>-20000000</v>
      </c>
      <c r="T155" s="201">
        <f t="shared" si="196"/>
        <v>-4247681.3139492068</v>
      </c>
      <c r="U155" s="220">
        <f t="shared" si="196"/>
        <v>0</v>
      </c>
      <c r="V155" s="220">
        <f t="shared" si="196"/>
        <v>0</v>
      </c>
      <c r="W155" s="201"/>
      <c r="X155" s="201"/>
      <c r="Y155" s="201"/>
      <c r="Z155" s="201"/>
      <c r="AA155" s="201">
        <f t="shared" si="197"/>
        <v>-24623319.206293851</v>
      </c>
      <c r="AB155" s="130">
        <v>0</v>
      </c>
      <c r="AC155" s="130">
        <f t="shared" si="198"/>
        <v>-24623319.206293851</v>
      </c>
      <c r="AD155" s="130">
        <v>0</v>
      </c>
      <c r="AE155" s="201">
        <f t="shared" si="199"/>
        <v>-24623319.206293851</v>
      </c>
      <c r="AF155" s="201">
        <f t="shared" si="201"/>
        <v>-8948920.7912385333</v>
      </c>
    </row>
    <row r="156" spans="1:32" hidden="1" outlineLevel="1" x14ac:dyDescent="0.2">
      <c r="A156" s="124">
        <v>12</v>
      </c>
      <c r="B156" s="221">
        <v>41395</v>
      </c>
      <c r="C156" s="201">
        <v>-8388166.41556725</v>
      </c>
      <c r="D156" s="201">
        <f>SUM($C$152:C156)</f>
        <v>-36883529.043465666</v>
      </c>
      <c r="E156" s="201"/>
      <c r="F156" s="201">
        <f t="shared" si="186"/>
        <v>-20000000</v>
      </c>
      <c r="G156" s="201">
        <f t="shared" si="187"/>
        <v>-16883529.043465666</v>
      </c>
      <c r="H156" s="201">
        <f t="shared" si="188"/>
        <v>0</v>
      </c>
      <c r="I156" s="201">
        <f t="shared" si="189"/>
        <v>0</v>
      </c>
      <c r="J156" s="201">
        <f t="shared" si="190"/>
        <v>-8441764.5217328332</v>
      </c>
      <c r="K156" s="201">
        <f t="shared" si="191"/>
        <v>0</v>
      </c>
      <c r="L156" s="201">
        <f t="shared" si="192"/>
        <v>0</v>
      </c>
      <c r="M156" s="130">
        <f t="shared" si="193"/>
        <v>-5791815.7559154052</v>
      </c>
      <c r="N156" s="130">
        <v>0</v>
      </c>
      <c r="O156" s="201">
        <f t="shared" si="194"/>
        <v>-5791815.7559154052</v>
      </c>
      <c r="P156" s="201">
        <f t="shared" si="200"/>
        <v>-4194083.2077836264</v>
      </c>
      <c r="Q156" s="201"/>
      <c r="R156" s="215"/>
      <c r="S156" s="201">
        <f t="shared" si="195"/>
        <v>-20000000</v>
      </c>
      <c r="T156" s="201">
        <f t="shared" si="196"/>
        <v>-8441764.5217328332</v>
      </c>
      <c r="U156" s="220">
        <f t="shared" si="196"/>
        <v>0</v>
      </c>
      <c r="V156" s="220">
        <f t="shared" si="196"/>
        <v>0</v>
      </c>
      <c r="W156" s="201"/>
      <c r="X156" s="201"/>
      <c r="Y156" s="201"/>
      <c r="Z156" s="201"/>
      <c r="AA156" s="201">
        <f t="shared" si="197"/>
        <v>-28817402.414077479</v>
      </c>
      <c r="AB156" s="130">
        <v>0</v>
      </c>
      <c r="AC156" s="130">
        <f t="shared" si="198"/>
        <v>-28817402.414077479</v>
      </c>
      <c r="AD156" s="130">
        <v>0</v>
      </c>
      <c r="AE156" s="201">
        <f t="shared" si="199"/>
        <v>-28817402.414077479</v>
      </c>
      <c r="AF156" s="201">
        <f t="shared" si="201"/>
        <v>-4194083.2077836283</v>
      </c>
    </row>
    <row r="157" spans="1:32" hidden="1" outlineLevel="1" x14ac:dyDescent="0.2">
      <c r="A157" s="124">
        <v>12</v>
      </c>
      <c r="B157" s="221">
        <v>41426</v>
      </c>
      <c r="C157" s="201">
        <v>-2131025.8530082204</v>
      </c>
      <c r="D157" s="201">
        <f>SUM($C$152:C157)</f>
        <v>-39014554.896473885</v>
      </c>
      <c r="E157" s="201"/>
      <c r="F157" s="201">
        <f t="shared" si="186"/>
        <v>-20000000</v>
      </c>
      <c r="G157" s="201">
        <f t="shared" si="187"/>
        <v>-19014554.896473885</v>
      </c>
      <c r="H157" s="201">
        <f t="shared" si="188"/>
        <v>0</v>
      </c>
      <c r="I157" s="201">
        <f t="shared" si="189"/>
        <v>0</v>
      </c>
      <c r="J157" s="201">
        <f t="shared" si="190"/>
        <v>-9507277.4482369423</v>
      </c>
      <c r="K157" s="201">
        <f t="shared" si="191"/>
        <v>0</v>
      </c>
      <c r="L157" s="201">
        <f t="shared" si="192"/>
        <v>0</v>
      </c>
      <c r="M157" s="130">
        <f t="shared" si="193"/>
        <v>-6857328.6824195143</v>
      </c>
      <c r="N157" s="130">
        <v>0</v>
      </c>
      <c r="O157" s="201">
        <f t="shared" si="194"/>
        <v>-6857328.6824195143</v>
      </c>
      <c r="P157" s="201">
        <f t="shared" si="200"/>
        <v>-1065512.9265041091</v>
      </c>
      <c r="Q157" s="201"/>
      <c r="R157" s="215"/>
      <c r="S157" s="201">
        <f t="shared" si="195"/>
        <v>-20000000</v>
      </c>
      <c r="T157" s="201">
        <f t="shared" si="196"/>
        <v>-9507277.4482369423</v>
      </c>
      <c r="U157" s="220">
        <f t="shared" si="196"/>
        <v>0</v>
      </c>
      <c r="V157" s="220">
        <f t="shared" si="196"/>
        <v>0</v>
      </c>
      <c r="W157" s="201"/>
      <c r="X157" s="201"/>
      <c r="Y157" s="201"/>
      <c r="Z157" s="201"/>
      <c r="AA157" s="201">
        <f t="shared" si="197"/>
        <v>-29882915.340581588</v>
      </c>
      <c r="AB157" s="130">
        <v>0</v>
      </c>
      <c r="AC157" s="130">
        <f t="shared" si="198"/>
        <v>-29882915.340581588</v>
      </c>
      <c r="AD157" s="130">
        <v>0</v>
      </c>
      <c r="AE157" s="201">
        <f t="shared" si="199"/>
        <v>-29882915.340581588</v>
      </c>
      <c r="AF157" s="201">
        <f t="shared" si="201"/>
        <v>-1065512.9265041091</v>
      </c>
    </row>
    <row r="158" spans="1:32" hidden="1" outlineLevel="1" x14ac:dyDescent="0.2">
      <c r="A158" s="124">
        <v>12</v>
      </c>
      <c r="B158" s="221">
        <v>41456</v>
      </c>
      <c r="C158" s="201">
        <v>-6475218.6061040862</v>
      </c>
      <c r="D158" s="201">
        <f>SUM($C$152:C158)</f>
        <v>-45489773.502577968</v>
      </c>
      <c r="E158" s="201"/>
      <c r="F158" s="201">
        <f t="shared" si="186"/>
        <v>-20000000</v>
      </c>
      <c r="G158" s="201">
        <f t="shared" si="187"/>
        <v>-20000000</v>
      </c>
      <c r="H158" s="201">
        <f t="shared" si="188"/>
        <v>-5489773.5025779679</v>
      </c>
      <c r="I158" s="201">
        <f t="shared" si="189"/>
        <v>0</v>
      </c>
      <c r="J158" s="201">
        <f t="shared" si="190"/>
        <v>-10000000</v>
      </c>
      <c r="K158" s="201">
        <f t="shared" si="191"/>
        <v>-4940796.1523201717</v>
      </c>
      <c r="L158" s="201">
        <f t="shared" si="192"/>
        <v>0</v>
      </c>
      <c r="M158" s="130">
        <f t="shared" si="193"/>
        <v>-12290847.386502745</v>
      </c>
      <c r="N158" s="130">
        <v>0</v>
      </c>
      <c r="O158" s="201">
        <f t="shared" si="194"/>
        <v>-12290847.386502745</v>
      </c>
      <c r="P158" s="201">
        <f t="shared" si="200"/>
        <v>-5433518.7040832303</v>
      </c>
      <c r="Q158" s="201"/>
      <c r="R158" s="215"/>
      <c r="S158" s="201">
        <f t="shared" si="195"/>
        <v>-20000000</v>
      </c>
      <c r="T158" s="201">
        <f t="shared" si="196"/>
        <v>-10000000</v>
      </c>
      <c r="U158" s="220">
        <f t="shared" si="196"/>
        <v>-548977.35025779624</v>
      </c>
      <c r="V158" s="220">
        <f t="shared" si="196"/>
        <v>0</v>
      </c>
      <c r="W158" s="201"/>
      <c r="X158" s="201"/>
      <c r="Y158" s="201"/>
      <c r="Z158" s="201"/>
      <c r="AA158" s="201">
        <f t="shared" si="197"/>
        <v>-30924615.242602441</v>
      </c>
      <c r="AB158" s="130">
        <v>0</v>
      </c>
      <c r="AC158" s="130">
        <f t="shared" si="198"/>
        <v>-30924615.242602441</v>
      </c>
      <c r="AD158" s="130">
        <v>0</v>
      </c>
      <c r="AE158" s="201">
        <f t="shared" si="199"/>
        <v>-30924615.242602441</v>
      </c>
      <c r="AF158" s="201">
        <f t="shared" si="201"/>
        <v>-1041699.902020853</v>
      </c>
    </row>
    <row r="159" spans="1:32" hidden="1" outlineLevel="1" x14ac:dyDescent="0.2">
      <c r="A159" s="124">
        <v>12</v>
      </c>
      <c r="B159" s="221">
        <v>41487</v>
      </c>
      <c r="C159" s="201">
        <v>-3489189.3505129591</v>
      </c>
      <c r="D159" s="201">
        <f>SUM($C$152:C159)</f>
        <v>-48978962.853090927</v>
      </c>
      <c r="E159" s="201"/>
      <c r="F159" s="201">
        <f t="shared" si="186"/>
        <v>-20000000</v>
      </c>
      <c r="G159" s="201">
        <f t="shared" si="187"/>
        <v>-20000000</v>
      </c>
      <c r="H159" s="201">
        <f t="shared" si="188"/>
        <v>-8978962.853090927</v>
      </c>
      <c r="I159" s="201">
        <f t="shared" si="189"/>
        <v>0</v>
      </c>
      <c r="J159" s="201">
        <f t="shared" si="190"/>
        <v>-10000000</v>
      </c>
      <c r="K159" s="201">
        <f t="shared" si="191"/>
        <v>-8081066.5677818349</v>
      </c>
      <c r="L159" s="201">
        <f t="shared" si="192"/>
        <v>0</v>
      </c>
      <c r="M159" s="130">
        <f t="shared" si="193"/>
        <v>-15431117.801964408</v>
      </c>
      <c r="N159" s="130">
        <v>0</v>
      </c>
      <c r="O159" s="201">
        <f t="shared" si="194"/>
        <v>-15431117.801964408</v>
      </c>
      <c r="P159" s="201">
        <f t="shared" si="200"/>
        <v>-3140270.4154616632</v>
      </c>
      <c r="Q159" s="201"/>
      <c r="R159" s="215"/>
      <c r="S159" s="201">
        <f t="shared" si="195"/>
        <v>-20000000</v>
      </c>
      <c r="T159" s="201">
        <f t="shared" si="196"/>
        <v>-10000000</v>
      </c>
      <c r="U159" s="220">
        <f t="shared" si="196"/>
        <v>-897896.28530909214</v>
      </c>
      <c r="V159" s="220">
        <f t="shared" si="196"/>
        <v>0</v>
      </c>
      <c r="W159" s="201"/>
      <c r="X159" s="201"/>
      <c r="Y159" s="201"/>
      <c r="Z159" s="201"/>
      <c r="AA159" s="201">
        <f t="shared" si="197"/>
        <v>-31273534.177653737</v>
      </c>
      <c r="AB159" s="130">
        <v>0</v>
      </c>
      <c r="AC159" s="130">
        <f t="shared" si="198"/>
        <v>-31273534.177653737</v>
      </c>
      <c r="AD159" s="130">
        <v>0</v>
      </c>
      <c r="AE159" s="201">
        <f t="shared" si="199"/>
        <v>-31273534.177653737</v>
      </c>
      <c r="AF159" s="201">
        <f t="shared" si="201"/>
        <v>-348918.93505129591</v>
      </c>
    </row>
    <row r="160" spans="1:32" hidden="1" outlineLevel="1" x14ac:dyDescent="0.2">
      <c r="A160" s="124">
        <v>12</v>
      </c>
      <c r="B160" s="221">
        <v>41518</v>
      </c>
      <c r="C160" s="201">
        <v>-2441642.1902236114</v>
      </c>
      <c r="D160" s="201">
        <f>SUM($C$152:C160)</f>
        <v>-51420605.043314539</v>
      </c>
      <c r="E160" s="201"/>
      <c r="F160" s="201">
        <f t="shared" si="186"/>
        <v>-20000000</v>
      </c>
      <c r="G160" s="201">
        <f t="shared" si="187"/>
        <v>-20000000</v>
      </c>
      <c r="H160" s="201">
        <f t="shared" si="188"/>
        <v>-11420605.043314539</v>
      </c>
      <c r="I160" s="201">
        <f t="shared" si="189"/>
        <v>0</v>
      </c>
      <c r="J160" s="201">
        <f t="shared" si="190"/>
        <v>-10000000</v>
      </c>
      <c r="K160" s="201">
        <f t="shared" si="191"/>
        <v>-10278544.538983086</v>
      </c>
      <c r="L160" s="201">
        <f t="shared" si="192"/>
        <v>0</v>
      </c>
      <c r="M160" s="130">
        <f t="shared" si="193"/>
        <v>-17628595.773165658</v>
      </c>
      <c r="N160" s="130">
        <v>0</v>
      </c>
      <c r="O160" s="201">
        <f t="shared" si="194"/>
        <v>-17628595.773165658</v>
      </c>
      <c r="P160" s="201">
        <f t="shared" si="200"/>
        <v>-2197477.9712012503</v>
      </c>
      <c r="Q160" s="201"/>
      <c r="R160" s="215"/>
      <c r="S160" s="201">
        <f t="shared" si="195"/>
        <v>-20000000</v>
      </c>
      <c r="T160" s="201">
        <f t="shared" si="196"/>
        <v>-10000000</v>
      </c>
      <c r="U160" s="220">
        <f t="shared" si="196"/>
        <v>-1142060.5043314528</v>
      </c>
      <c r="V160" s="220">
        <f t="shared" si="196"/>
        <v>0</v>
      </c>
      <c r="W160" s="201"/>
      <c r="X160" s="201"/>
      <c r="Y160" s="201"/>
      <c r="Z160" s="201"/>
      <c r="AA160" s="201">
        <f t="shared" si="197"/>
        <v>-31517698.396676101</v>
      </c>
      <c r="AB160" s="130">
        <v>0</v>
      </c>
      <c r="AC160" s="130">
        <f t="shared" si="198"/>
        <v>-31517698.396676101</v>
      </c>
      <c r="AD160" s="130">
        <v>0</v>
      </c>
      <c r="AE160" s="201">
        <f t="shared" si="199"/>
        <v>-31517698.396676101</v>
      </c>
      <c r="AF160" s="201">
        <f t="shared" si="201"/>
        <v>-244164.21902236342</v>
      </c>
    </row>
    <row r="161" spans="1:32" ht="14.25" hidden="1" customHeight="1" outlineLevel="1" x14ac:dyDescent="0.2">
      <c r="A161" s="124">
        <v>12</v>
      </c>
      <c r="B161" s="221">
        <v>41548</v>
      </c>
      <c r="C161" s="201">
        <v>-2278910.1669179043</v>
      </c>
      <c r="D161" s="201">
        <f>SUM($C$152:C161)</f>
        <v>-53699515.210232444</v>
      </c>
      <c r="E161" s="201"/>
      <c r="F161" s="201">
        <f t="shared" si="186"/>
        <v>-20000000</v>
      </c>
      <c r="G161" s="201">
        <f t="shared" si="187"/>
        <v>-20000000</v>
      </c>
      <c r="H161" s="201">
        <f t="shared" si="188"/>
        <v>-13699515.210232444</v>
      </c>
      <c r="I161" s="201">
        <f t="shared" si="189"/>
        <v>0</v>
      </c>
      <c r="J161" s="201">
        <f t="shared" si="190"/>
        <v>-10000000</v>
      </c>
      <c r="K161" s="201">
        <f t="shared" si="191"/>
        <v>-12329563.6892092</v>
      </c>
      <c r="L161" s="201">
        <f t="shared" si="192"/>
        <v>0</v>
      </c>
      <c r="M161" s="130">
        <f t="shared" si="193"/>
        <v>-19679614.923391774</v>
      </c>
      <c r="N161" s="130">
        <v>0</v>
      </c>
      <c r="O161" s="201">
        <f t="shared" si="194"/>
        <v>-19679614.923391774</v>
      </c>
      <c r="P161" s="201">
        <f t="shared" si="200"/>
        <v>-2051019.1502261162</v>
      </c>
      <c r="Q161" s="201"/>
      <c r="R161" s="215"/>
      <c r="S161" s="201">
        <f t="shared" si="195"/>
        <v>-20000000</v>
      </c>
      <c r="T161" s="201">
        <f t="shared" si="196"/>
        <v>-10000000</v>
      </c>
      <c r="U161" s="220">
        <f t="shared" si="196"/>
        <v>-1369951.5210232437</v>
      </c>
      <c r="V161" s="220">
        <f t="shared" si="196"/>
        <v>0</v>
      </c>
      <c r="W161" s="201"/>
      <c r="X161" s="201"/>
      <c r="Y161" s="201"/>
      <c r="Z161" s="201"/>
      <c r="AA161" s="201">
        <f t="shared" si="197"/>
        <v>-31745589.41336789</v>
      </c>
      <c r="AB161" s="130">
        <v>0</v>
      </c>
      <c r="AC161" s="130">
        <f t="shared" si="198"/>
        <v>-31745589.41336789</v>
      </c>
      <c r="AD161" s="130">
        <v>0</v>
      </c>
      <c r="AE161" s="201">
        <f t="shared" si="199"/>
        <v>-31745589.41336789</v>
      </c>
      <c r="AF161" s="201">
        <f t="shared" si="201"/>
        <v>-227891.01669178903</v>
      </c>
    </row>
    <row r="162" spans="1:32" hidden="1" outlineLevel="1" x14ac:dyDescent="0.2">
      <c r="A162" s="124">
        <v>12</v>
      </c>
      <c r="B162" s="221">
        <v>41579</v>
      </c>
      <c r="C162" s="201">
        <v>11501613.403174927</v>
      </c>
      <c r="D162" s="201">
        <f>SUM($C$152:C162)</f>
        <v>-42197901.807057515</v>
      </c>
      <c r="E162" s="201"/>
      <c r="F162" s="201">
        <f t="shared" si="186"/>
        <v>-20000000</v>
      </c>
      <c r="G162" s="201">
        <f t="shared" si="187"/>
        <v>-20000000</v>
      </c>
      <c r="H162" s="201">
        <f t="shared" si="188"/>
        <v>-2197901.8070575148</v>
      </c>
      <c r="I162" s="201">
        <f t="shared" si="189"/>
        <v>0</v>
      </c>
      <c r="J162" s="201">
        <f t="shared" si="190"/>
        <v>-10000000</v>
      </c>
      <c r="K162" s="201">
        <f t="shared" si="191"/>
        <v>-1978111.6263517633</v>
      </c>
      <c r="L162" s="201">
        <f t="shared" si="192"/>
        <v>0</v>
      </c>
      <c r="M162" s="130">
        <f t="shared" si="193"/>
        <v>-9328162.8605343346</v>
      </c>
      <c r="N162" s="130">
        <v>0</v>
      </c>
      <c r="O162" s="201">
        <f t="shared" si="194"/>
        <v>-9328162.8605343346</v>
      </c>
      <c r="P162" s="201">
        <f t="shared" si="200"/>
        <v>10351452.06285744</v>
      </c>
      <c r="Q162" s="201"/>
      <c r="R162" s="215"/>
      <c r="S162" s="201">
        <f t="shared" si="195"/>
        <v>-20000000</v>
      </c>
      <c r="T162" s="201">
        <f t="shared" si="196"/>
        <v>-10000000</v>
      </c>
      <c r="U162" s="220">
        <f t="shared" si="196"/>
        <v>-219790.18070575153</v>
      </c>
      <c r="V162" s="220">
        <f t="shared" si="196"/>
        <v>0</v>
      </c>
      <c r="W162" s="201"/>
      <c r="X162" s="201"/>
      <c r="Y162" s="201"/>
      <c r="Z162" s="201"/>
      <c r="AA162" s="201">
        <f t="shared" si="197"/>
        <v>-30595428.073050398</v>
      </c>
      <c r="AB162" s="130">
        <v>0</v>
      </c>
      <c r="AC162" s="130">
        <f t="shared" si="198"/>
        <v>-30595428.073050398</v>
      </c>
      <c r="AD162" s="130">
        <v>0</v>
      </c>
      <c r="AE162" s="201">
        <f t="shared" si="199"/>
        <v>-30595428.073050398</v>
      </c>
      <c r="AF162" s="201">
        <f t="shared" si="201"/>
        <v>1150161.3403174914</v>
      </c>
    </row>
    <row r="163" spans="1:32" hidden="1" outlineLevel="1" x14ac:dyDescent="0.2">
      <c r="A163" s="124">
        <v>12</v>
      </c>
      <c r="B163" s="221">
        <v>41609</v>
      </c>
      <c r="C163" s="201">
        <v>4159019.151226785</v>
      </c>
      <c r="D163" s="201">
        <f>SUM($C$152:C163)</f>
        <v>-38038882.655830726</v>
      </c>
      <c r="E163" s="201"/>
      <c r="F163" s="201">
        <f t="shared" si="186"/>
        <v>-20000000</v>
      </c>
      <c r="G163" s="201">
        <f t="shared" si="187"/>
        <v>-18038882.655830726</v>
      </c>
      <c r="H163" s="201">
        <f t="shared" si="188"/>
        <v>0</v>
      </c>
      <c r="I163" s="201">
        <f t="shared" si="189"/>
        <v>0</v>
      </c>
      <c r="J163" s="201">
        <f t="shared" si="190"/>
        <v>-9019441.327915363</v>
      </c>
      <c r="K163" s="201">
        <f t="shared" si="191"/>
        <v>0</v>
      </c>
      <c r="L163" s="201">
        <f t="shared" si="192"/>
        <v>0</v>
      </c>
      <c r="M163" s="130">
        <f t="shared" si="193"/>
        <v>-6369492.562097935</v>
      </c>
      <c r="N163" s="130">
        <v>0</v>
      </c>
      <c r="O163" s="201">
        <f t="shared" si="194"/>
        <v>-6369492.562097935</v>
      </c>
      <c r="P163" s="201">
        <f t="shared" si="200"/>
        <v>2958670.2984363995</v>
      </c>
      <c r="Q163" s="201"/>
      <c r="R163" s="215"/>
      <c r="S163" s="201">
        <f t="shared" si="195"/>
        <v>-20000000</v>
      </c>
      <c r="T163" s="201">
        <f t="shared" si="196"/>
        <v>-9019441.327915363</v>
      </c>
      <c r="U163" s="220">
        <f t="shared" si="196"/>
        <v>0</v>
      </c>
      <c r="V163" s="220">
        <f t="shared" si="196"/>
        <v>0</v>
      </c>
      <c r="W163" s="201"/>
      <c r="X163" s="201"/>
      <c r="Y163" s="201"/>
      <c r="Z163" s="201"/>
      <c r="AA163" s="201">
        <f t="shared" si="197"/>
        <v>-29395079.220260009</v>
      </c>
      <c r="AB163" s="130">
        <v>0</v>
      </c>
      <c r="AC163" s="130">
        <f t="shared" si="198"/>
        <v>-29395079.220260009</v>
      </c>
      <c r="AD163" s="130">
        <v>0</v>
      </c>
      <c r="AE163" s="201">
        <f t="shared" si="199"/>
        <v>-29395079.220260009</v>
      </c>
      <c r="AF163" s="201">
        <f t="shared" si="201"/>
        <v>1200348.8527903892</v>
      </c>
    </row>
    <row r="164" spans="1:32" hidden="1" outlineLevel="1" x14ac:dyDescent="0.2">
      <c r="A164" s="124"/>
      <c r="B164" s="221"/>
      <c r="C164" s="201"/>
      <c r="D164" s="201"/>
      <c r="E164" s="201"/>
      <c r="F164" s="201"/>
      <c r="G164" s="201"/>
      <c r="H164" s="201"/>
      <c r="I164" s="201"/>
      <c r="J164" s="201"/>
      <c r="K164" s="201"/>
      <c r="L164" s="201"/>
      <c r="M164" s="130"/>
      <c r="N164" s="130"/>
      <c r="O164" s="201"/>
      <c r="P164" s="201"/>
      <c r="Q164" s="201"/>
      <c r="R164" s="215"/>
      <c r="S164" s="201"/>
      <c r="T164" s="201"/>
      <c r="U164" s="220"/>
      <c r="V164" s="220"/>
      <c r="W164" s="201"/>
      <c r="X164" s="201"/>
      <c r="Y164" s="201"/>
      <c r="Z164" s="201"/>
      <c r="AA164" s="201"/>
      <c r="AB164" s="130"/>
      <c r="AC164" s="130"/>
      <c r="AD164" s="130"/>
      <c r="AE164" s="201"/>
      <c r="AF164" s="201"/>
    </row>
    <row r="165" spans="1:32" hidden="1" outlineLevel="1" x14ac:dyDescent="0.2">
      <c r="A165" s="124">
        <v>13</v>
      </c>
      <c r="B165" s="221">
        <v>41640</v>
      </c>
      <c r="C165" s="201">
        <v>360305.75278959831</v>
      </c>
      <c r="D165" s="201">
        <f>C165</f>
        <v>360305.75278959831</v>
      </c>
      <c r="E165" s="201"/>
      <c r="F165" s="201">
        <f t="shared" ref="F165:F176" si="202">IF(ABS(D165)&gt;+$F$9,IF(D165&lt;0,-$F$9,+$F$9),+D165)</f>
        <v>360305.75278959831</v>
      </c>
      <c r="G165" s="201">
        <f t="shared" ref="G165:G176" si="203">IF(ABS(D165)-ABS(F165)&gt;=$G$9,IF(D165&lt;=0,-$G$9,+$G$9),+D165-F165)</f>
        <v>0</v>
      </c>
      <c r="H165" s="201">
        <f t="shared" ref="H165:H176" si="204">IF(ABS(+D165)-ABS(SUM(F165:G165))&gt;=$H$9,IF(D165&lt;=0,-$H$9,+$H$9),+D165-SUM(F165:G165))</f>
        <v>0</v>
      </c>
      <c r="I165" s="201">
        <f t="shared" ref="I165:I176" si="205">IF(ABS(+D165)-ABS(SUM(F165:H165))&gt;=$I$9,IF(D165&lt;=0,$D165-SUM($F165:$H165),$D165-SUM($F165:$H165)),D165-SUM(F165:H165))</f>
        <v>0</v>
      </c>
      <c r="J165" s="201">
        <f t="shared" ref="J165:J176" si="206">+G165*$C$260</f>
        <v>0</v>
      </c>
      <c r="K165" s="201">
        <f t="shared" ref="K165:K176" si="207">+H165*$C$261</f>
        <v>0</v>
      </c>
      <c r="L165" s="201">
        <f t="shared" ref="L165:L176" si="208">+I165*$C$262</f>
        <v>0</v>
      </c>
      <c r="M165" s="130">
        <f t="shared" ref="M165:M176" si="209">SUM(J165:L165)+$M$163</f>
        <v>-6369492.562097935</v>
      </c>
      <c r="N165" s="130">
        <v>0</v>
      </c>
      <c r="O165" s="201">
        <f t="shared" ref="O165:O176" si="210">M165+N165</f>
        <v>-6369492.562097935</v>
      </c>
      <c r="P165" s="201">
        <f>O165-O163</f>
        <v>0</v>
      </c>
      <c r="Q165" s="201"/>
      <c r="R165" s="215"/>
      <c r="S165" s="201">
        <f t="shared" ref="S165:S176" si="211">+F165</f>
        <v>360305.75278959831</v>
      </c>
      <c r="T165" s="201">
        <f t="shared" ref="T165:V176" si="212">+G165-J165</f>
        <v>0</v>
      </c>
      <c r="U165" s="220">
        <f t="shared" si="212"/>
        <v>0</v>
      </c>
      <c r="V165" s="220">
        <f t="shared" si="212"/>
        <v>0</v>
      </c>
      <c r="W165" s="201"/>
      <c r="X165" s="201"/>
      <c r="Y165" s="201"/>
      <c r="Z165" s="201"/>
      <c r="AA165" s="201">
        <f t="shared" ref="AA165:AA176" si="213">SUM(S165:V165)+$AA$163</f>
        <v>-29034773.467470411</v>
      </c>
      <c r="AB165" s="130">
        <v>0</v>
      </c>
      <c r="AC165" s="130">
        <f t="shared" ref="AC165:AC176" si="214">AA165-AB165</f>
        <v>-29034773.467470411</v>
      </c>
      <c r="AD165" s="130">
        <v>0</v>
      </c>
      <c r="AE165" s="201">
        <f t="shared" ref="AE165:AE176" si="215">AA165-AB165+AD165</f>
        <v>-29034773.467470411</v>
      </c>
      <c r="AF165" s="201">
        <f>AE165-AE163</f>
        <v>360305.75278959796</v>
      </c>
    </row>
    <row r="166" spans="1:32" hidden="1" outlineLevel="1" x14ac:dyDescent="0.2">
      <c r="A166" s="124">
        <v>13</v>
      </c>
      <c r="B166" s="221">
        <v>41671</v>
      </c>
      <c r="C166" s="201">
        <v>20119592.062262286</v>
      </c>
      <c r="D166" s="201">
        <f>SUM($C$165:C166)</f>
        <v>20479897.815051883</v>
      </c>
      <c r="E166" s="201"/>
      <c r="F166" s="201">
        <f t="shared" si="202"/>
        <v>20000000</v>
      </c>
      <c r="G166" s="201">
        <f t="shared" si="203"/>
        <v>479897.81505188346</v>
      </c>
      <c r="H166" s="201">
        <f t="shared" si="204"/>
        <v>0</v>
      </c>
      <c r="I166" s="201">
        <f t="shared" si="205"/>
        <v>0</v>
      </c>
      <c r="J166" s="201">
        <f t="shared" si="206"/>
        <v>239948.90752594173</v>
      </c>
      <c r="K166" s="201">
        <f t="shared" si="207"/>
        <v>0</v>
      </c>
      <c r="L166" s="201">
        <f t="shared" si="208"/>
        <v>0</v>
      </c>
      <c r="M166" s="130">
        <f t="shared" si="209"/>
        <v>-6129543.6545719933</v>
      </c>
      <c r="N166" s="130">
        <v>0</v>
      </c>
      <c r="O166" s="201">
        <f t="shared" si="210"/>
        <v>-6129543.6545719933</v>
      </c>
      <c r="P166" s="201">
        <f t="shared" ref="P166:P176" si="216">O166-O165</f>
        <v>239948.90752594173</v>
      </c>
      <c r="Q166" s="201"/>
      <c r="R166" s="215"/>
      <c r="S166" s="201">
        <f t="shared" si="211"/>
        <v>20000000</v>
      </c>
      <c r="T166" s="201">
        <f t="shared" si="212"/>
        <v>239948.90752594173</v>
      </c>
      <c r="U166" s="220">
        <f t="shared" si="212"/>
        <v>0</v>
      </c>
      <c r="V166" s="220">
        <f t="shared" si="212"/>
        <v>0</v>
      </c>
      <c r="W166" s="201"/>
      <c r="X166" s="201"/>
      <c r="Y166" s="201"/>
      <c r="Z166" s="201"/>
      <c r="AA166" s="201">
        <f t="shared" si="213"/>
        <v>-9155130.3127340674</v>
      </c>
      <c r="AB166" s="130">
        <v>0</v>
      </c>
      <c r="AC166" s="130">
        <f t="shared" si="214"/>
        <v>-9155130.3127340674</v>
      </c>
      <c r="AD166" s="130">
        <v>0</v>
      </c>
      <c r="AE166" s="201">
        <f t="shared" si="215"/>
        <v>-9155130.3127340674</v>
      </c>
      <c r="AF166" s="201">
        <f t="shared" ref="AF166:AF176" si="217">AE166-AE165</f>
        <v>19879643.154736344</v>
      </c>
    </row>
    <row r="167" spans="1:32" hidden="1" outlineLevel="1" x14ac:dyDescent="0.2">
      <c r="A167" s="124">
        <v>13</v>
      </c>
      <c r="B167" s="221">
        <v>41699</v>
      </c>
      <c r="C167" s="201">
        <v>-1581650.6015249803</v>
      </c>
      <c r="D167" s="201">
        <f>SUM($C$165:C167)</f>
        <v>18898247.213526905</v>
      </c>
      <c r="E167" s="201"/>
      <c r="F167" s="201">
        <f t="shared" si="202"/>
        <v>18898247.213526905</v>
      </c>
      <c r="G167" s="201">
        <f t="shared" si="203"/>
        <v>0</v>
      </c>
      <c r="H167" s="201">
        <f t="shared" si="204"/>
        <v>0</v>
      </c>
      <c r="I167" s="201">
        <f t="shared" si="205"/>
        <v>0</v>
      </c>
      <c r="J167" s="130">
        <f t="shared" si="206"/>
        <v>0</v>
      </c>
      <c r="K167" s="201">
        <f t="shared" si="207"/>
        <v>0</v>
      </c>
      <c r="L167" s="201">
        <f t="shared" si="208"/>
        <v>0</v>
      </c>
      <c r="M167" s="130">
        <f t="shared" si="209"/>
        <v>-6369492.562097935</v>
      </c>
      <c r="N167" s="130">
        <v>0</v>
      </c>
      <c r="O167" s="201">
        <f t="shared" si="210"/>
        <v>-6369492.562097935</v>
      </c>
      <c r="P167" s="201">
        <f t="shared" si="216"/>
        <v>-239948.90752594173</v>
      </c>
      <c r="Q167" s="201"/>
      <c r="R167" s="215"/>
      <c r="S167" s="201">
        <f t="shared" si="211"/>
        <v>18898247.213526905</v>
      </c>
      <c r="T167" s="201">
        <f t="shared" si="212"/>
        <v>0</v>
      </c>
      <c r="U167" s="220">
        <f t="shared" si="212"/>
        <v>0</v>
      </c>
      <c r="V167" s="220">
        <f t="shared" si="212"/>
        <v>0</v>
      </c>
      <c r="W167" s="201"/>
      <c r="X167" s="201"/>
      <c r="Y167" s="201"/>
      <c r="Z167" s="201"/>
      <c r="AA167" s="201">
        <f t="shared" si="213"/>
        <v>-10496832.006733105</v>
      </c>
      <c r="AB167" s="130">
        <v>0</v>
      </c>
      <c r="AC167" s="130">
        <f t="shared" si="214"/>
        <v>-10496832.006733105</v>
      </c>
      <c r="AD167" s="130">
        <v>0</v>
      </c>
      <c r="AE167" s="201">
        <f t="shared" si="215"/>
        <v>-10496832.006733105</v>
      </c>
      <c r="AF167" s="201">
        <f t="shared" si="217"/>
        <v>-1341701.6939990371</v>
      </c>
    </row>
    <row r="168" spans="1:32" hidden="1" outlineLevel="1" x14ac:dyDescent="0.2">
      <c r="A168" s="124">
        <v>13</v>
      </c>
      <c r="B168" s="221">
        <v>41730</v>
      </c>
      <c r="C168" s="201">
        <v>-2452830.534881711</v>
      </c>
      <c r="D168" s="201">
        <f>SUM($C$165:C168)</f>
        <v>16445416.678645194</v>
      </c>
      <c r="E168" s="201"/>
      <c r="F168" s="201">
        <f t="shared" si="202"/>
        <v>16445416.678645194</v>
      </c>
      <c r="G168" s="201">
        <f t="shared" si="203"/>
        <v>0</v>
      </c>
      <c r="H168" s="201">
        <f t="shared" si="204"/>
        <v>0</v>
      </c>
      <c r="I168" s="201">
        <f t="shared" si="205"/>
        <v>0</v>
      </c>
      <c r="J168" s="201">
        <f t="shared" si="206"/>
        <v>0</v>
      </c>
      <c r="K168" s="201">
        <f t="shared" si="207"/>
        <v>0</v>
      </c>
      <c r="L168" s="201">
        <f t="shared" si="208"/>
        <v>0</v>
      </c>
      <c r="M168" s="130">
        <f t="shared" si="209"/>
        <v>-6369492.562097935</v>
      </c>
      <c r="N168" s="130">
        <v>0</v>
      </c>
      <c r="O168" s="201">
        <f t="shared" si="210"/>
        <v>-6369492.562097935</v>
      </c>
      <c r="P168" s="201">
        <f t="shared" si="216"/>
        <v>0</v>
      </c>
      <c r="Q168" s="201"/>
      <c r="R168" s="215"/>
      <c r="S168" s="201">
        <f t="shared" si="211"/>
        <v>16445416.678645194</v>
      </c>
      <c r="T168" s="201">
        <f t="shared" si="212"/>
        <v>0</v>
      </c>
      <c r="U168" s="220">
        <f t="shared" si="212"/>
        <v>0</v>
      </c>
      <c r="V168" s="220">
        <f t="shared" si="212"/>
        <v>0</v>
      </c>
      <c r="W168" s="201"/>
      <c r="X168" s="201"/>
      <c r="Y168" s="201"/>
      <c r="Z168" s="201"/>
      <c r="AA168" s="201">
        <f t="shared" si="213"/>
        <v>-12949662.541614816</v>
      </c>
      <c r="AB168" s="130">
        <v>0</v>
      </c>
      <c r="AC168" s="130">
        <f t="shared" si="214"/>
        <v>-12949662.541614816</v>
      </c>
      <c r="AD168" s="130">
        <v>0</v>
      </c>
      <c r="AE168" s="201">
        <f t="shared" si="215"/>
        <v>-12949662.541614816</v>
      </c>
      <c r="AF168" s="201">
        <f t="shared" si="217"/>
        <v>-2452830.534881711</v>
      </c>
    </row>
    <row r="169" spans="1:32" hidden="1" outlineLevel="1" x14ac:dyDescent="0.2">
      <c r="A169" s="124">
        <v>13</v>
      </c>
      <c r="B169" s="221">
        <v>41760</v>
      </c>
      <c r="C169" s="201">
        <v>3090638.3667790224</v>
      </c>
      <c r="D169" s="201">
        <f>SUM($C$165:C169)</f>
        <v>19536055.045424215</v>
      </c>
      <c r="E169" s="201"/>
      <c r="F169" s="201">
        <f t="shared" si="202"/>
        <v>19536055.045424215</v>
      </c>
      <c r="G169" s="201">
        <f t="shared" si="203"/>
        <v>0</v>
      </c>
      <c r="H169" s="201">
        <f t="shared" si="204"/>
        <v>0</v>
      </c>
      <c r="I169" s="201">
        <f t="shared" si="205"/>
        <v>0</v>
      </c>
      <c r="J169" s="201">
        <f t="shared" si="206"/>
        <v>0</v>
      </c>
      <c r="K169" s="201">
        <f t="shared" si="207"/>
        <v>0</v>
      </c>
      <c r="L169" s="201">
        <f t="shared" si="208"/>
        <v>0</v>
      </c>
      <c r="M169" s="130">
        <f t="shared" si="209"/>
        <v>-6369492.562097935</v>
      </c>
      <c r="N169" s="130">
        <v>0</v>
      </c>
      <c r="O169" s="201">
        <f t="shared" si="210"/>
        <v>-6369492.562097935</v>
      </c>
      <c r="P169" s="201">
        <f t="shared" si="216"/>
        <v>0</v>
      </c>
      <c r="Q169" s="201"/>
      <c r="R169" s="215"/>
      <c r="S169" s="201">
        <f t="shared" si="211"/>
        <v>19536055.045424215</v>
      </c>
      <c r="T169" s="201">
        <f t="shared" si="212"/>
        <v>0</v>
      </c>
      <c r="U169" s="220">
        <f t="shared" si="212"/>
        <v>0</v>
      </c>
      <c r="V169" s="220">
        <f t="shared" si="212"/>
        <v>0</v>
      </c>
      <c r="W169" s="201"/>
      <c r="X169" s="201"/>
      <c r="Y169" s="201"/>
      <c r="Z169" s="201"/>
      <c r="AA169" s="201">
        <f t="shared" si="213"/>
        <v>-9859024.1748357937</v>
      </c>
      <c r="AB169" s="130">
        <v>0</v>
      </c>
      <c r="AC169" s="130">
        <f t="shared" si="214"/>
        <v>-9859024.1748357937</v>
      </c>
      <c r="AD169" s="130">
        <v>0</v>
      </c>
      <c r="AE169" s="201">
        <f t="shared" si="215"/>
        <v>-9859024.1748357937</v>
      </c>
      <c r="AF169" s="201">
        <f t="shared" si="217"/>
        <v>3090638.3667790219</v>
      </c>
    </row>
    <row r="170" spans="1:32" hidden="1" outlineLevel="1" x14ac:dyDescent="0.2">
      <c r="A170" s="124">
        <v>13</v>
      </c>
      <c r="B170" s="221">
        <v>41791</v>
      </c>
      <c r="C170" s="201">
        <v>-1323912.2819858626</v>
      </c>
      <c r="D170" s="201">
        <f>SUM($C$165:C170)</f>
        <v>18212142.763438351</v>
      </c>
      <c r="E170" s="201"/>
      <c r="F170" s="201">
        <f t="shared" si="202"/>
        <v>18212142.763438351</v>
      </c>
      <c r="G170" s="201">
        <f t="shared" si="203"/>
        <v>0</v>
      </c>
      <c r="H170" s="201">
        <f t="shared" si="204"/>
        <v>0</v>
      </c>
      <c r="I170" s="201">
        <f t="shared" si="205"/>
        <v>0</v>
      </c>
      <c r="J170" s="201">
        <f t="shared" si="206"/>
        <v>0</v>
      </c>
      <c r="K170" s="201">
        <f t="shared" si="207"/>
        <v>0</v>
      </c>
      <c r="L170" s="201">
        <f t="shared" si="208"/>
        <v>0</v>
      </c>
      <c r="M170" s="130">
        <f t="shared" si="209"/>
        <v>-6369492.562097935</v>
      </c>
      <c r="N170" s="130">
        <v>0</v>
      </c>
      <c r="O170" s="201">
        <f t="shared" si="210"/>
        <v>-6369492.562097935</v>
      </c>
      <c r="P170" s="201">
        <f t="shared" si="216"/>
        <v>0</v>
      </c>
      <c r="Q170" s="201"/>
      <c r="R170" s="215"/>
      <c r="S170" s="201">
        <f t="shared" si="211"/>
        <v>18212142.763438351</v>
      </c>
      <c r="T170" s="201">
        <f t="shared" si="212"/>
        <v>0</v>
      </c>
      <c r="U170" s="220">
        <f t="shared" si="212"/>
        <v>0</v>
      </c>
      <c r="V170" s="220">
        <f t="shared" si="212"/>
        <v>0</v>
      </c>
      <c r="W170" s="201"/>
      <c r="X170" s="201"/>
      <c r="Y170" s="201"/>
      <c r="Z170" s="201"/>
      <c r="AA170" s="201">
        <f t="shared" si="213"/>
        <v>-11182936.456821658</v>
      </c>
      <c r="AB170" s="130">
        <v>0</v>
      </c>
      <c r="AC170" s="130">
        <f t="shared" si="214"/>
        <v>-11182936.456821658</v>
      </c>
      <c r="AD170" s="130">
        <v>0</v>
      </c>
      <c r="AE170" s="201">
        <f t="shared" si="215"/>
        <v>-11182936.456821658</v>
      </c>
      <c r="AF170" s="201">
        <f t="shared" si="217"/>
        <v>-1323912.281985864</v>
      </c>
    </row>
    <row r="171" spans="1:32" hidden="1" outlineLevel="1" x14ac:dyDescent="0.2">
      <c r="A171" s="124">
        <v>13</v>
      </c>
      <c r="B171" s="221">
        <v>41821</v>
      </c>
      <c r="C171" s="201">
        <v>-3124286.5873726038</v>
      </c>
      <c r="D171" s="201">
        <f>SUM($C$165:C171)</f>
        <v>15087856.176065747</v>
      </c>
      <c r="E171" s="201"/>
      <c r="F171" s="201">
        <f t="shared" si="202"/>
        <v>15087856.176065747</v>
      </c>
      <c r="G171" s="201">
        <f t="shared" si="203"/>
        <v>0</v>
      </c>
      <c r="H171" s="201">
        <f t="shared" si="204"/>
        <v>0</v>
      </c>
      <c r="I171" s="201">
        <f t="shared" si="205"/>
        <v>0</v>
      </c>
      <c r="J171" s="201">
        <f t="shared" si="206"/>
        <v>0</v>
      </c>
      <c r="K171" s="201">
        <f t="shared" si="207"/>
        <v>0</v>
      </c>
      <c r="L171" s="201">
        <f t="shared" si="208"/>
        <v>0</v>
      </c>
      <c r="M171" s="130">
        <f t="shared" si="209"/>
        <v>-6369492.562097935</v>
      </c>
      <c r="N171" s="130">
        <v>0</v>
      </c>
      <c r="O171" s="201">
        <f t="shared" si="210"/>
        <v>-6369492.562097935</v>
      </c>
      <c r="P171" s="201">
        <f t="shared" si="216"/>
        <v>0</v>
      </c>
      <c r="Q171" s="201"/>
      <c r="R171" s="215"/>
      <c r="S171" s="201">
        <f t="shared" si="211"/>
        <v>15087856.176065747</v>
      </c>
      <c r="T171" s="201">
        <f t="shared" si="212"/>
        <v>0</v>
      </c>
      <c r="U171" s="220">
        <f t="shared" si="212"/>
        <v>0</v>
      </c>
      <c r="V171" s="220">
        <f t="shared" si="212"/>
        <v>0</v>
      </c>
      <c r="W171" s="201"/>
      <c r="X171" s="201"/>
      <c r="Y171" s="201"/>
      <c r="Z171" s="201"/>
      <c r="AA171" s="201">
        <f t="shared" si="213"/>
        <v>-14307223.044194262</v>
      </c>
      <c r="AB171" s="130">
        <v>0</v>
      </c>
      <c r="AC171" s="130">
        <f t="shared" si="214"/>
        <v>-14307223.044194262</v>
      </c>
      <c r="AD171" s="130">
        <v>0</v>
      </c>
      <c r="AE171" s="201">
        <f t="shared" si="215"/>
        <v>-14307223.044194262</v>
      </c>
      <c r="AF171" s="201">
        <f t="shared" si="217"/>
        <v>-3124286.5873726048</v>
      </c>
    </row>
    <row r="172" spans="1:32" hidden="1" outlineLevel="1" x14ac:dyDescent="0.2">
      <c r="A172" s="124">
        <v>13</v>
      </c>
      <c r="B172" s="221">
        <v>41852</v>
      </c>
      <c r="C172" s="201">
        <v>3283244.8514639898</v>
      </c>
      <c r="D172" s="201">
        <f>SUM($C$165:C172)</f>
        <v>18371101.027529735</v>
      </c>
      <c r="E172" s="201"/>
      <c r="F172" s="201">
        <f t="shared" si="202"/>
        <v>18371101.027529735</v>
      </c>
      <c r="G172" s="201">
        <f t="shared" si="203"/>
        <v>0</v>
      </c>
      <c r="H172" s="201">
        <f t="shared" si="204"/>
        <v>0</v>
      </c>
      <c r="I172" s="201">
        <f t="shared" si="205"/>
        <v>0</v>
      </c>
      <c r="J172" s="201">
        <f t="shared" si="206"/>
        <v>0</v>
      </c>
      <c r="K172" s="201">
        <f t="shared" si="207"/>
        <v>0</v>
      </c>
      <c r="L172" s="201">
        <f t="shared" si="208"/>
        <v>0</v>
      </c>
      <c r="M172" s="130">
        <f t="shared" si="209"/>
        <v>-6369492.562097935</v>
      </c>
      <c r="N172" s="130">
        <v>0</v>
      </c>
      <c r="O172" s="201">
        <f t="shared" si="210"/>
        <v>-6369492.562097935</v>
      </c>
      <c r="P172" s="201">
        <f t="shared" si="216"/>
        <v>0</v>
      </c>
      <c r="Q172" s="201"/>
      <c r="R172" s="215"/>
      <c r="S172" s="201">
        <f t="shared" si="211"/>
        <v>18371101.027529735</v>
      </c>
      <c r="T172" s="201">
        <f t="shared" si="212"/>
        <v>0</v>
      </c>
      <c r="U172" s="220">
        <f t="shared" si="212"/>
        <v>0</v>
      </c>
      <c r="V172" s="220">
        <f t="shared" si="212"/>
        <v>0</v>
      </c>
      <c r="W172" s="201"/>
      <c r="X172" s="201"/>
      <c r="Y172" s="201"/>
      <c r="Z172" s="201"/>
      <c r="AA172" s="201">
        <f t="shared" si="213"/>
        <v>-11023978.192730274</v>
      </c>
      <c r="AB172" s="130">
        <v>0</v>
      </c>
      <c r="AC172" s="130">
        <f t="shared" si="214"/>
        <v>-11023978.192730274</v>
      </c>
      <c r="AD172" s="130">
        <v>0</v>
      </c>
      <c r="AE172" s="201">
        <f t="shared" si="215"/>
        <v>-11023978.192730274</v>
      </c>
      <c r="AF172" s="201">
        <f t="shared" si="217"/>
        <v>3283244.8514639884</v>
      </c>
    </row>
    <row r="173" spans="1:32" hidden="1" outlineLevel="1" x14ac:dyDescent="0.2">
      <c r="A173" s="124">
        <v>13</v>
      </c>
      <c r="B173" s="221">
        <v>41883</v>
      </c>
      <c r="C173" s="201">
        <v>9484759.7039686311</v>
      </c>
      <c r="D173" s="201">
        <f>SUM($C$165:C173)</f>
        <v>27855860.731498368</v>
      </c>
      <c r="E173" s="201"/>
      <c r="F173" s="201">
        <f t="shared" si="202"/>
        <v>20000000</v>
      </c>
      <c r="G173" s="201">
        <f t="shared" si="203"/>
        <v>7855860.7314983681</v>
      </c>
      <c r="H173" s="201">
        <f t="shared" si="204"/>
        <v>0</v>
      </c>
      <c r="I173" s="201">
        <f t="shared" si="205"/>
        <v>0</v>
      </c>
      <c r="J173" s="201">
        <f t="shared" si="206"/>
        <v>3927930.365749184</v>
      </c>
      <c r="K173" s="201">
        <f t="shared" si="207"/>
        <v>0</v>
      </c>
      <c r="L173" s="201">
        <f t="shared" si="208"/>
        <v>0</v>
      </c>
      <c r="M173" s="130">
        <f t="shared" si="209"/>
        <v>-2441562.196348751</v>
      </c>
      <c r="N173" s="130">
        <v>0</v>
      </c>
      <c r="O173" s="201">
        <f t="shared" si="210"/>
        <v>-2441562.196348751</v>
      </c>
      <c r="P173" s="201">
        <f t="shared" si="216"/>
        <v>3927930.365749184</v>
      </c>
      <c r="Q173" s="201"/>
      <c r="R173" s="215"/>
      <c r="S173" s="201">
        <f t="shared" si="211"/>
        <v>20000000</v>
      </c>
      <c r="T173" s="201">
        <f t="shared" si="212"/>
        <v>3927930.365749184</v>
      </c>
      <c r="U173" s="220">
        <f t="shared" si="212"/>
        <v>0</v>
      </c>
      <c r="V173" s="220">
        <f t="shared" si="212"/>
        <v>0</v>
      </c>
      <c r="W173" s="201"/>
      <c r="X173" s="201"/>
      <c r="Y173" s="201"/>
      <c r="Z173" s="201"/>
      <c r="AA173" s="201">
        <f t="shared" si="213"/>
        <v>-5467148.8545108251</v>
      </c>
      <c r="AB173" s="130">
        <v>0</v>
      </c>
      <c r="AC173" s="130">
        <f t="shared" si="214"/>
        <v>-5467148.8545108251</v>
      </c>
      <c r="AD173" s="130">
        <v>0</v>
      </c>
      <c r="AE173" s="201">
        <f t="shared" si="215"/>
        <v>-5467148.8545108251</v>
      </c>
      <c r="AF173" s="201">
        <f t="shared" si="217"/>
        <v>5556829.3382194489</v>
      </c>
    </row>
    <row r="174" spans="1:32" ht="14.25" hidden="1" customHeight="1" outlineLevel="1" x14ac:dyDescent="0.2">
      <c r="A174" s="124">
        <v>13</v>
      </c>
      <c r="B174" s="221">
        <v>41913</v>
      </c>
      <c r="C174" s="201">
        <v>5513090.7218888886</v>
      </c>
      <c r="D174" s="201">
        <f>SUM($C$165:C174)</f>
        <v>33368951.453387257</v>
      </c>
      <c r="E174" s="201"/>
      <c r="F174" s="201">
        <f t="shared" si="202"/>
        <v>20000000</v>
      </c>
      <c r="G174" s="201">
        <f t="shared" si="203"/>
        <v>13368951.453387257</v>
      </c>
      <c r="H174" s="201">
        <f t="shared" si="204"/>
        <v>0</v>
      </c>
      <c r="I174" s="201">
        <f t="shared" si="205"/>
        <v>0</v>
      </c>
      <c r="J174" s="201">
        <f t="shared" si="206"/>
        <v>6684475.7266936284</v>
      </c>
      <c r="K174" s="201">
        <f t="shared" si="207"/>
        <v>0</v>
      </c>
      <c r="L174" s="201">
        <f t="shared" si="208"/>
        <v>0</v>
      </c>
      <c r="M174" s="130">
        <f t="shared" si="209"/>
        <v>314983.16459569335</v>
      </c>
      <c r="N174" s="130">
        <v>0</v>
      </c>
      <c r="O174" s="201">
        <f t="shared" si="210"/>
        <v>314983.16459569335</v>
      </c>
      <c r="P174" s="201">
        <f t="shared" si="216"/>
        <v>2756545.3609444443</v>
      </c>
      <c r="Q174" s="201"/>
      <c r="R174" s="215"/>
      <c r="S174" s="201">
        <f t="shared" si="211"/>
        <v>20000000</v>
      </c>
      <c r="T174" s="201">
        <f t="shared" si="212"/>
        <v>6684475.7266936284</v>
      </c>
      <c r="U174" s="220">
        <f t="shared" si="212"/>
        <v>0</v>
      </c>
      <c r="V174" s="220">
        <f t="shared" si="212"/>
        <v>0</v>
      </c>
      <c r="W174" s="201"/>
      <c r="X174" s="201"/>
      <c r="Y174" s="201"/>
      <c r="Z174" s="201"/>
      <c r="AA174" s="201">
        <f t="shared" si="213"/>
        <v>-2710603.493566379</v>
      </c>
      <c r="AB174" s="130">
        <v>0</v>
      </c>
      <c r="AC174" s="130">
        <f t="shared" si="214"/>
        <v>-2710603.493566379</v>
      </c>
      <c r="AD174" s="130">
        <v>0</v>
      </c>
      <c r="AE174" s="201">
        <f t="shared" si="215"/>
        <v>-2710603.493566379</v>
      </c>
      <c r="AF174" s="201">
        <f t="shared" si="217"/>
        <v>2756545.3609444462</v>
      </c>
    </row>
    <row r="175" spans="1:32" hidden="1" outlineLevel="1" x14ac:dyDescent="0.2">
      <c r="A175" s="124">
        <v>13</v>
      </c>
      <c r="B175" s="221">
        <v>41944</v>
      </c>
      <c r="C175" s="201">
        <v>4561170.8938246015</v>
      </c>
      <c r="D175" s="201">
        <f>SUM($C$165:C175)</f>
        <v>37930122.34721186</v>
      </c>
      <c r="E175" s="201"/>
      <c r="F175" s="201">
        <f t="shared" si="202"/>
        <v>20000000</v>
      </c>
      <c r="G175" s="201">
        <f t="shared" si="203"/>
        <v>17930122.34721186</v>
      </c>
      <c r="H175" s="201">
        <f t="shared" si="204"/>
        <v>0</v>
      </c>
      <c r="I175" s="201">
        <f t="shared" si="205"/>
        <v>0</v>
      </c>
      <c r="J175" s="201">
        <f t="shared" si="206"/>
        <v>8965061.1736059301</v>
      </c>
      <c r="K175" s="201">
        <f t="shared" si="207"/>
        <v>0</v>
      </c>
      <c r="L175" s="201">
        <f t="shared" si="208"/>
        <v>0</v>
      </c>
      <c r="M175" s="130">
        <f t="shared" si="209"/>
        <v>2595568.6115079951</v>
      </c>
      <c r="N175" s="130">
        <v>0</v>
      </c>
      <c r="O175" s="201">
        <f t="shared" si="210"/>
        <v>2595568.6115079951</v>
      </c>
      <c r="P175" s="201">
        <f t="shared" si="216"/>
        <v>2280585.4469123017</v>
      </c>
      <c r="Q175" s="201"/>
      <c r="R175" s="215"/>
      <c r="S175" s="201">
        <f t="shared" si="211"/>
        <v>20000000</v>
      </c>
      <c r="T175" s="201">
        <f t="shared" si="212"/>
        <v>8965061.1736059301</v>
      </c>
      <c r="U175" s="220">
        <f t="shared" si="212"/>
        <v>0</v>
      </c>
      <c r="V175" s="220">
        <f t="shared" si="212"/>
        <v>0</v>
      </c>
      <c r="W175" s="201"/>
      <c r="X175" s="201"/>
      <c r="Y175" s="201"/>
      <c r="Z175" s="201"/>
      <c r="AA175" s="201">
        <f t="shared" si="213"/>
        <v>-430018.04665407911</v>
      </c>
      <c r="AB175" s="130">
        <v>0</v>
      </c>
      <c r="AC175" s="130">
        <f t="shared" si="214"/>
        <v>-430018.04665407911</v>
      </c>
      <c r="AD175" s="130">
        <v>0</v>
      </c>
      <c r="AE175" s="201">
        <f t="shared" si="215"/>
        <v>-430018.04665407911</v>
      </c>
      <c r="AF175" s="201">
        <f t="shared" si="217"/>
        <v>2280585.4469122998</v>
      </c>
    </row>
    <row r="176" spans="1:32" hidden="1" outlineLevel="1" x14ac:dyDescent="0.2">
      <c r="A176" s="124">
        <v>13</v>
      </c>
      <c r="B176" s="221">
        <v>41974</v>
      </c>
      <c r="C176" s="201">
        <v>1717551.9174245351</v>
      </c>
      <c r="D176" s="201">
        <f>SUM($C$165:C176)</f>
        <v>39647674.264636397</v>
      </c>
      <c r="E176" s="201"/>
      <c r="F176" s="201">
        <f t="shared" si="202"/>
        <v>20000000</v>
      </c>
      <c r="G176" s="201">
        <f t="shared" si="203"/>
        <v>19647674.264636397</v>
      </c>
      <c r="H176" s="201">
        <f t="shared" si="204"/>
        <v>0</v>
      </c>
      <c r="I176" s="201">
        <f t="shared" si="205"/>
        <v>0</v>
      </c>
      <c r="J176" s="201">
        <f t="shared" si="206"/>
        <v>9823837.1323181987</v>
      </c>
      <c r="K176" s="201">
        <f t="shared" si="207"/>
        <v>0</v>
      </c>
      <c r="L176" s="201">
        <f t="shared" si="208"/>
        <v>0</v>
      </c>
      <c r="M176" s="130">
        <f t="shared" si="209"/>
        <v>3454344.5702202637</v>
      </c>
      <c r="N176" s="130">
        <v>0</v>
      </c>
      <c r="O176" s="201">
        <f t="shared" si="210"/>
        <v>3454344.5702202637</v>
      </c>
      <c r="P176" s="201">
        <f t="shared" si="216"/>
        <v>858775.95871226862</v>
      </c>
      <c r="Q176" s="201"/>
      <c r="R176" s="215"/>
      <c r="S176" s="201">
        <f t="shared" si="211"/>
        <v>20000000</v>
      </c>
      <c r="T176" s="201">
        <f t="shared" si="212"/>
        <v>9823837.1323181987</v>
      </c>
      <c r="U176" s="220">
        <f t="shared" si="212"/>
        <v>0</v>
      </c>
      <c r="V176" s="220">
        <f t="shared" si="212"/>
        <v>0</v>
      </c>
      <c r="W176" s="201"/>
      <c r="X176" s="201"/>
      <c r="Y176" s="201"/>
      <c r="Z176" s="201"/>
      <c r="AA176" s="201">
        <f t="shared" si="213"/>
        <v>428757.91205818951</v>
      </c>
      <c r="AB176" s="130">
        <v>0</v>
      </c>
      <c r="AC176" s="130">
        <f t="shared" si="214"/>
        <v>428757.91205818951</v>
      </c>
      <c r="AD176" s="130">
        <v>0</v>
      </c>
      <c r="AE176" s="201">
        <f t="shared" si="215"/>
        <v>428757.91205818951</v>
      </c>
      <c r="AF176" s="201">
        <f t="shared" si="217"/>
        <v>858775.95871226862</v>
      </c>
    </row>
    <row r="177" spans="1:32" hidden="1" outlineLevel="1" x14ac:dyDescent="0.2">
      <c r="A177" s="124"/>
      <c r="B177" s="221"/>
      <c r="C177" s="201"/>
      <c r="D177" s="201"/>
      <c r="E177" s="201"/>
      <c r="F177" s="201"/>
      <c r="G177" s="201"/>
      <c r="H177" s="201"/>
      <c r="I177" s="201"/>
      <c r="J177" s="201"/>
      <c r="K177" s="201"/>
      <c r="L177" s="201"/>
      <c r="M177" s="130"/>
      <c r="N177" s="130"/>
      <c r="O177" s="201"/>
      <c r="P177" s="201"/>
      <c r="Q177" s="201"/>
      <c r="R177" s="215"/>
      <c r="S177" s="201"/>
      <c r="T177" s="201"/>
      <c r="U177" s="220"/>
      <c r="V177" s="220"/>
      <c r="W177" s="201"/>
      <c r="X177" s="201"/>
      <c r="Y177" s="201"/>
      <c r="Z177" s="201"/>
      <c r="AA177" s="201"/>
      <c r="AB177" s="130"/>
      <c r="AC177" s="130"/>
      <c r="AD177" s="130"/>
      <c r="AE177" s="201"/>
      <c r="AF177" s="201"/>
    </row>
    <row r="178" spans="1:32" hidden="1" outlineLevel="1" x14ac:dyDescent="0.2">
      <c r="A178" s="124">
        <v>14</v>
      </c>
      <c r="B178" s="221">
        <v>42005</v>
      </c>
      <c r="C178" s="201">
        <v>-2244825.2889016331</v>
      </c>
      <c r="D178" s="201">
        <f>C178</f>
        <v>-2244825.2889016331</v>
      </c>
      <c r="E178" s="201"/>
      <c r="F178" s="201">
        <f t="shared" ref="F178:F189" si="218">IF(ABS(D178)&gt;+$F$9,IF(D178&lt;0,-$F$9,+$F$9),+D178)</f>
        <v>-2244825.2889016331</v>
      </c>
      <c r="G178" s="201">
        <f t="shared" ref="G178:G189" si="219">IF(ABS(D178)-ABS(F178)&gt;=$G$9,IF(D178&lt;=0,-$G$9,+$G$9),+D178-F178)</f>
        <v>0</v>
      </c>
      <c r="H178" s="201">
        <f t="shared" ref="H178:H189" si="220">IF(ABS(+D178)-ABS(SUM(F178:G178))&gt;=$H$9,IF(D178&lt;=0,-$H$9,+$H$9),+D178-SUM(F178:G178))</f>
        <v>0</v>
      </c>
      <c r="I178" s="201">
        <f t="shared" ref="I178:I189" si="221">IF(ABS(+D178)-ABS(SUM(F178:H178))&gt;=$I$9,IF(D178&lt;=0,$D178-SUM($F178:$H178),$D178-SUM($F178:$H178)),D178-SUM(F178:H178))</f>
        <v>0</v>
      </c>
      <c r="J178" s="201">
        <f t="shared" ref="J178:J189" si="222">+G178*$C$260</f>
        <v>0</v>
      </c>
      <c r="K178" s="201">
        <f t="shared" ref="K178:K189" si="223">+H178*$C$261</f>
        <v>0</v>
      </c>
      <c r="L178" s="201">
        <f t="shared" ref="L178:L189" si="224">+I178*$C$262</f>
        <v>0</v>
      </c>
      <c r="M178" s="130">
        <f t="shared" ref="M178:M189" si="225">SUM(J178:L178)+$M$176</f>
        <v>3454344.5702202637</v>
      </c>
      <c r="N178" s="130">
        <v>0</v>
      </c>
      <c r="O178" s="201">
        <f t="shared" ref="O178:O189" si="226">M178+N178</f>
        <v>3454344.5702202637</v>
      </c>
      <c r="P178" s="201">
        <f>O178-O176</f>
        <v>0</v>
      </c>
      <c r="Q178" s="201"/>
      <c r="R178" s="215"/>
      <c r="S178" s="201">
        <f t="shared" ref="S178:S189" si="227">+F178</f>
        <v>-2244825.2889016331</v>
      </c>
      <c r="T178" s="201">
        <f t="shared" ref="T178:V189" si="228">+G178-J178</f>
        <v>0</v>
      </c>
      <c r="U178" s="220">
        <f t="shared" si="228"/>
        <v>0</v>
      </c>
      <c r="V178" s="220">
        <f t="shared" si="228"/>
        <v>0</v>
      </c>
      <c r="W178" s="201"/>
      <c r="X178" s="201"/>
      <c r="Y178" s="201"/>
      <c r="Z178" s="201"/>
      <c r="AA178" s="201">
        <f t="shared" ref="AA178:AA189" si="229">SUM(S178:V178)+$AA$176</f>
        <v>-1816067.3768434436</v>
      </c>
      <c r="AB178" s="130">
        <v>0</v>
      </c>
      <c r="AC178" s="130">
        <f t="shared" ref="AC178:AC189" si="230">AA178-AB178</f>
        <v>-1816067.3768434436</v>
      </c>
      <c r="AD178" s="130">
        <v>0</v>
      </c>
      <c r="AE178" s="201">
        <f t="shared" ref="AE178:AE189" si="231">AA178-AB178+AD178</f>
        <v>-1816067.3768434436</v>
      </c>
      <c r="AF178" s="201">
        <f>AE178-AE176</f>
        <v>-2244825.2889016331</v>
      </c>
    </row>
    <row r="179" spans="1:32" hidden="1" outlineLevel="1" x14ac:dyDescent="0.2">
      <c r="A179" s="124">
        <v>14</v>
      </c>
      <c r="B179" s="221">
        <v>42036</v>
      </c>
      <c r="C179" s="201">
        <v>4530934.5038828524</v>
      </c>
      <c r="D179" s="201">
        <f>SUM($C$178:C179)</f>
        <v>2286109.2149812193</v>
      </c>
      <c r="E179" s="201"/>
      <c r="F179" s="201">
        <f t="shared" si="218"/>
        <v>2286109.2149812193</v>
      </c>
      <c r="G179" s="201">
        <f t="shared" si="219"/>
        <v>0</v>
      </c>
      <c r="H179" s="201">
        <f t="shared" si="220"/>
        <v>0</v>
      </c>
      <c r="I179" s="201">
        <f t="shared" si="221"/>
        <v>0</v>
      </c>
      <c r="J179" s="201">
        <f t="shared" si="222"/>
        <v>0</v>
      </c>
      <c r="K179" s="201">
        <f t="shared" si="223"/>
        <v>0</v>
      </c>
      <c r="L179" s="201">
        <f t="shared" si="224"/>
        <v>0</v>
      </c>
      <c r="M179" s="130">
        <f t="shared" si="225"/>
        <v>3454344.5702202637</v>
      </c>
      <c r="N179" s="130">
        <v>0</v>
      </c>
      <c r="O179" s="201">
        <f t="shared" si="226"/>
        <v>3454344.5702202637</v>
      </c>
      <c r="P179" s="201">
        <f t="shared" ref="P179:P189" si="232">O179-O178</f>
        <v>0</v>
      </c>
      <c r="Q179" s="201"/>
      <c r="R179" s="215"/>
      <c r="S179" s="201">
        <f t="shared" si="227"/>
        <v>2286109.2149812193</v>
      </c>
      <c r="T179" s="201">
        <f t="shared" si="228"/>
        <v>0</v>
      </c>
      <c r="U179" s="220">
        <f t="shared" si="228"/>
        <v>0</v>
      </c>
      <c r="V179" s="220">
        <f t="shared" si="228"/>
        <v>0</v>
      </c>
      <c r="W179" s="201"/>
      <c r="X179" s="201"/>
      <c r="Y179" s="201"/>
      <c r="Z179" s="201"/>
      <c r="AA179" s="201">
        <f t="shared" si="229"/>
        <v>2714867.1270394088</v>
      </c>
      <c r="AB179" s="130">
        <v>0</v>
      </c>
      <c r="AC179" s="130">
        <f t="shared" si="230"/>
        <v>2714867.1270394088</v>
      </c>
      <c r="AD179" s="130">
        <v>0</v>
      </c>
      <c r="AE179" s="201">
        <f t="shared" si="231"/>
        <v>2714867.1270394088</v>
      </c>
      <c r="AF179" s="201">
        <f t="shared" ref="AF179:AF189" si="233">AE179-AE178</f>
        <v>4530934.5038828524</v>
      </c>
    </row>
    <row r="180" spans="1:32" hidden="1" outlineLevel="1" x14ac:dyDescent="0.2">
      <c r="A180" s="124">
        <v>14</v>
      </c>
      <c r="B180" s="221">
        <v>42064</v>
      </c>
      <c r="C180" s="201">
        <v>-430668.71763412497</v>
      </c>
      <c r="D180" s="201">
        <f>SUM($C$178:C180)</f>
        <v>1855440.4973470944</v>
      </c>
      <c r="E180" s="201"/>
      <c r="F180" s="201">
        <f t="shared" si="218"/>
        <v>1855440.4973470944</v>
      </c>
      <c r="G180" s="201">
        <f t="shared" si="219"/>
        <v>0</v>
      </c>
      <c r="H180" s="201">
        <f t="shared" si="220"/>
        <v>0</v>
      </c>
      <c r="I180" s="201">
        <f t="shared" si="221"/>
        <v>0</v>
      </c>
      <c r="J180" s="130">
        <f t="shared" si="222"/>
        <v>0</v>
      </c>
      <c r="K180" s="201">
        <f t="shared" si="223"/>
        <v>0</v>
      </c>
      <c r="L180" s="201">
        <f t="shared" si="224"/>
        <v>0</v>
      </c>
      <c r="M180" s="130">
        <f t="shared" si="225"/>
        <v>3454344.5702202637</v>
      </c>
      <c r="N180" s="130">
        <v>0</v>
      </c>
      <c r="O180" s="201">
        <f t="shared" si="226"/>
        <v>3454344.5702202637</v>
      </c>
      <c r="P180" s="201">
        <f t="shared" si="232"/>
        <v>0</v>
      </c>
      <c r="Q180" s="201"/>
      <c r="R180" s="215"/>
      <c r="S180" s="201">
        <f t="shared" si="227"/>
        <v>1855440.4973470944</v>
      </c>
      <c r="T180" s="201">
        <f t="shared" si="228"/>
        <v>0</v>
      </c>
      <c r="U180" s="220">
        <f t="shared" si="228"/>
        <v>0</v>
      </c>
      <c r="V180" s="220">
        <f t="shared" si="228"/>
        <v>0</v>
      </c>
      <c r="W180" s="201"/>
      <c r="X180" s="201"/>
      <c r="Y180" s="201"/>
      <c r="Z180" s="201"/>
      <c r="AA180" s="201">
        <f t="shared" si="229"/>
        <v>2284198.4094052836</v>
      </c>
      <c r="AB180" s="130">
        <v>0</v>
      </c>
      <c r="AC180" s="130">
        <f t="shared" si="230"/>
        <v>2284198.4094052836</v>
      </c>
      <c r="AD180" s="130">
        <v>0</v>
      </c>
      <c r="AE180" s="201">
        <f t="shared" si="231"/>
        <v>2284198.4094052836</v>
      </c>
      <c r="AF180" s="201">
        <f t="shared" si="233"/>
        <v>-430668.71763412515</v>
      </c>
    </row>
    <row r="181" spans="1:32" hidden="1" outlineLevel="1" x14ac:dyDescent="0.2">
      <c r="A181" s="124">
        <v>14</v>
      </c>
      <c r="B181" s="221">
        <v>42095</v>
      </c>
      <c r="C181" s="201">
        <v>-4426618.0885524815</v>
      </c>
      <c r="D181" s="201">
        <f>SUM($C$178:C181)</f>
        <v>-2571177.5912053874</v>
      </c>
      <c r="E181" s="201"/>
      <c r="F181" s="201">
        <f t="shared" si="218"/>
        <v>-2571177.5912053874</v>
      </c>
      <c r="G181" s="201">
        <f t="shared" si="219"/>
        <v>0</v>
      </c>
      <c r="H181" s="201">
        <f t="shared" si="220"/>
        <v>0</v>
      </c>
      <c r="I181" s="201">
        <f t="shared" si="221"/>
        <v>0</v>
      </c>
      <c r="J181" s="201">
        <f t="shared" si="222"/>
        <v>0</v>
      </c>
      <c r="K181" s="201">
        <f t="shared" si="223"/>
        <v>0</v>
      </c>
      <c r="L181" s="201">
        <f t="shared" si="224"/>
        <v>0</v>
      </c>
      <c r="M181" s="130">
        <f t="shared" si="225"/>
        <v>3454344.5702202637</v>
      </c>
      <c r="N181" s="130">
        <v>0</v>
      </c>
      <c r="O181" s="201">
        <f t="shared" si="226"/>
        <v>3454344.5702202637</v>
      </c>
      <c r="P181" s="201">
        <f t="shared" si="232"/>
        <v>0</v>
      </c>
      <c r="Q181" s="201"/>
      <c r="R181" s="215"/>
      <c r="S181" s="201">
        <f t="shared" si="227"/>
        <v>-2571177.5912053874</v>
      </c>
      <c r="T181" s="201">
        <f t="shared" si="228"/>
        <v>0</v>
      </c>
      <c r="U181" s="220">
        <f t="shared" si="228"/>
        <v>0</v>
      </c>
      <c r="V181" s="220">
        <f t="shared" si="228"/>
        <v>0</v>
      </c>
      <c r="W181" s="201"/>
      <c r="X181" s="201"/>
      <c r="Y181" s="201"/>
      <c r="Z181" s="201"/>
      <c r="AA181" s="201">
        <f t="shared" si="229"/>
        <v>-2142419.6791471979</v>
      </c>
      <c r="AB181" s="130">
        <v>0</v>
      </c>
      <c r="AC181" s="130">
        <f t="shared" si="230"/>
        <v>-2142419.6791471979</v>
      </c>
      <c r="AD181" s="130">
        <v>0</v>
      </c>
      <c r="AE181" s="201">
        <f t="shared" si="231"/>
        <v>-2142419.6791471979</v>
      </c>
      <c r="AF181" s="201">
        <f t="shared" si="233"/>
        <v>-4426618.0885524815</v>
      </c>
    </row>
    <row r="182" spans="1:32" hidden="1" outlineLevel="1" x14ac:dyDescent="0.2">
      <c r="A182" s="124">
        <v>14</v>
      </c>
      <c r="B182" s="221">
        <v>42125</v>
      </c>
      <c r="C182" s="201">
        <v>5790045.6556863189</v>
      </c>
      <c r="D182" s="201">
        <f>SUM($C$178:C182)</f>
        <v>3218868.0644809315</v>
      </c>
      <c r="E182" s="201"/>
      <c r="F182" s="201">
        <f t="shared" si="218"/>
        <v>3218868.0644809315</v>
      </c>
      <c r="G182" s="201">
        <f t="shared" si="219"/>
        <v>0</v>
      </c>
      <c r="H182" s="201">
        <f t="shared" si="220"/>
        <v>0</v>
      </c>
      <c r="I182" s="201">
        <f t="shared" si="221"/>
        <v>0</v>
      </c>
      <c r="J182" s="201">
        <f t="shared" si="222"/>
        <v>0</v>
      </c>
      <c r="K182" s="201">
        <f t="shared" si="223"/>
        <v>0</v>
      </c>
      <c r="L182" s="201">
        <f t="shared" si="224"/>
        <v>0</v>
      </c>
      <c r="M182" s="130">
        <f t="shared" si="225"/>
        <v>3454344.5702202637</v>
      </c>
      <c r="N182" s="130">
        <v>0</v>
      </c>
      <c r="O182" s="201">
        <f t="shared" si="226"/>
        <v>3454344.5702202637</v>
      </c>
      <c r="P182" s="201">
        <f t="shared" si="232"/>
        <v>0</v>
      </c>
      <c r="Q182" s="201"/>
      <c r="R182" s="215"/>
      <c r="S182" s="201">
        <f t="shared" si="227"/>
        <v>3218868.0644809315</v>
      </c>
      <c r="T182" s="201">
        <f t="shared" si="228"/>
        <v>0</v>
      </c>
      <c r="U182" s="220">
        <f t="shared" si="228"/>
        <v>0</v>
      </c>
      <c r="V182" s="220">
        <f t="shared" si="228"/>
        <v>0</v>
      </c>
      <c r="W182" s="201"/>
      <c r="X182" s="201"/>
      <c r="Y182" s="201"/>
      <c r="Z182" s="201"/>
      <c r="AA182" s="201">
        <f t="shared" si="229"/>
        <v>3647625.976539121</v>
      </c>
      <c r="AB182" s="130">
        <v>0</v>
      </c>
      <c r="AC182" s="130">
        <f t="shared" si="230"/>
        <v>3647625.976539121</v>
      </c>
      <c r="AD182" s="130">
        <v>0</v>
      </c>
      <c r="AE182" s="201">
        <f t="shared" si="231"/>
        <v>3647625.976539121</v>
      </c>
      <c r="AF182" s="201">
        <f t="shared" si="233"/>
        <v>5790045.6556863189</v>
      </c>
    </row>
    <row r="183" spans="1:32" hidden="1" outlineLevel="1" x14ac:dyDescent="0.2">
      <c r="A183" s="124">
        <v>14</v>
      </c>
      <c r="B183" s="221">
        <v>42156</v>
      </c>
      <c r="C183" s="201">
        <v>1507978.4157458188</v>
      </c>
      <c r="D183" s="201">
        <f>SUM($C$178:C183)</f>
        <v>4726846.4802267505</v>
      </c>
      <c r="E183" s="201"/>
      <c r="F183" s="201">
        <f t="shared" si="218"/>
        <v>4726846.4802267505</v>
      </c>
      <c r="G183" s="201">
        <f t="shared" si="219"/>
        <v>0</v>
      </c>
      <c r="H183" s="201">
        <f t="shared" si="220"/>
        <v>0</v>
      </c>
      <c r="I183" s="201">
        <f t="shared" si="221"/>
        <v>0</v>
      </c>
      <c r="J183" s="201">
        <f t="shared" si="222"/>
        <v>0</v>
      </c>
      <c r="K183" s="201">
        <f t="shared" si="223"/>
        <v>0</v>
      </c>
      <c r="L183" s="201">
        <f t="shared" si="224"/>
        <v>0</v>
      </c>
      <c r="M183" s="130">
        <f t="shared" si="225"/>
        <v>3454344.5702202637</v>
      </c>
      <c r="N183" s="130">
        <v>0</v>
      </c>
      <c r="O183" s="201">
        <f t="shared" si="226"/>
        <v>3454344.5702202637</v>
      </c>
      <c r="P183" s="201">
        <f t="shared" si="232"/>
        <v>0</v>
      </c>
      <c r="Q183" s="201"/>
      <c r="R183" s="215"/>
      <c r="S183" s="201">
        <f t="shared" si="227"/>
        <v>4726846.4802267505</v>
      </c>
      <c r="T183" s="201">
        <f t="shared" si="228"/>
        <v>0</v>
      </c>
      <c r="U183" s="220">
        <f t="shared" si="228"/>
        <v>0</v>
      </c>
      <c r="V183" s="220">
        <f t="shared" si="228"/>
        <v>0</v>
      </c>
      <c r="W183" s="201"/>
      <c r="X183" s="201"/>
      <c r="Y183" s="201"/>
      <c r="Z183" s="201"/>
      <c r="AA183" s="201">
        <f t="shared" si="229"/>
        <v>5155604.39228494</v>
      </c>
      <c r="AB183" s="130">
        <v>0</v>
      </c>
      <c r="AC183" s="130">
        <f t="shared" si="230"/>
        <v>5155604.39228494</v>
      </c>
      <c r="AD183" s="130">
        <v>0</v>
      </c>
      <c r="AE183" s="201">
        <f t="shared" si="231"/>
        <v>5155604.39228494</v>
      </c>
      <c r="AF183" s="201">
        <f t="shared" si="233"/>
        <v>1507978.415745819</v>
      </c>
    </row>
    <row r="184" spans="1:32" hidden="1" outlineLevel="1" x14ac:dyDescent="0.2">
      <c r="A184" s="124">
        <v>14</v>
      </c>
      <c r="B184" s="221">
        <v>42186</v>
      </c>
      <c r="C184" s="201">
        <v>3059161.5232390077</v>
      </c>
      <c r="D184" s="201">
        <f>SUM($C$178:C184)</f>
        <v>7786008.0034657586</v>
      </c>
      <c r="E184" s="201"/>
      <c r="F184" s="201">
        <f t="shared" si="218"/>
        <v>7786008.0034657586</v>
      </c>
      <c r="G184" s="201">
        <f t="shared" si="219"/>
        <v>0</v>
      </c>
      <c r="H184" s="201">
        <f t="shared" si="220"/>
        <v>0</v>
      </c>
      <c r="I184" s="201">
        <f t="shared" si="221"/>
        <v>0</v>
      </c>
      <c r="J184" s="201">
        <f t="shared" si="222"/>
        <v>0</v>
      </c>
      <c r="K184" s="201">
        <f t="shared" si="223"/>
        <v>0</v>
      </c>
      <c r="L184" s="201">
        <f t="shared" si="224"/>
        <v>0</v>
      </c>
      <c r="M184" s="130">
        <f t="shared" si="225"/>
        <v>3454344.5702202637</v>
      </c>
      <c r="N184" s="130">
        <v>0</v>
      </c>
      <c r="O184" s="201">
        <f t="shared" si="226"/>
        <v>3454344.5702202637</v>
      </c>
      <c r="P184" s="201">
        <f t="shared" si="232"/>
        <v>0</v>
      </c>
      <c r="Q184" s="201"/>
      <c r="R184" s="215"/>
      <c r="S184" s="201">
        <f t="shared" si="227"/>
        <v>7786008.0034657586</v>
      </c>
      <c r="T184" s="201">
        <f t="shared" si="228"/>
        <v>0</v>
      </c>
      <c r="U184" s="220">
        <f t="shared" si="228"/>
        <v>0</v>
      </c>
      <c r="V184" s="220">
        <f t="shared" si="228"/>
        <v>0</v>
      </c>
      <c r="W184" s="201"/>
      <c r="X184" s="201"/>
      <c r="Y184" s="201"/>
      <c r="Z184" s="201"/>
      <c r="AA184" s="201">
        <f t="shared" si="229"/>
        <v>8214765.9155239481</v>
      </c>
      <c r="AB184" s="130">
        <v>0</v>
      </c>
      <c r="AC184" s="130">
        <f t="shared" si="230"/>
        <v>8214765.9155239481</v>
      </c>
      <c r="AD184" s="130">
        <v>0</v>
      </c>
      <c r="AE184" s="201">
        <f t="shared" si="231"/>
        <v>8214765.9155239481</v>
      </c>
      <c r="AF184" s="201">
        <f t="shared" si="233"/>
        <v>3059161.5232390082</v>
      </c>
    </row>
    <row r="185" spans="1:32" hidden="1" outlineLevel="1" x14ac:dyDescent="0.2">
      <c r="A185" s="124">
        <v>14</v>
      </c>
      <c r="B185" s="221">
        <v>42217</v>
      </c>
      <c r="C185" s="201">
        <v>2821092.9608255094</v>
      </c>
      <c r="D185" s="201">
        <f>SUM($C$178:C185)</f>
        <v>10607100.964291267</v>
      </c>
      <c r="E185" s="201"/>
      <c r="F185" s="201">
        <f t="shared" si="218"/>
        <v>10607100.964291267</v>
      </c>
      <c r="G185" s="201">
        <f t="shared" si="219"/>
        <v>0</v>
      </c>
      <c r="H185" s="201">
        <f t="shared" si="220"/>
        <v>0</v>
      </c>
      <c r="I185" s="201">
        <f t="shared" si="221"/>
        <v>0</v>
      </c>
      <c r="J185" s="201">
        <f t="shared" si="222"/>
        <v>0</v>
      </c>
      <c r="K185" s="201">
        <f t="shared" si="223"/>
        <v>0</v>
      </c>
      <c r="L185" s="201">
        <f t="shared" si="224"/>
        <v>0</v>
      </c>
      <c r="M185" s="130">
        <f t="shared" si="225"/>
        <v>3454344.5702202637</v>
      </c>
      <c r="N185" s="130">
        <v>0</v>
      </c>
      <c r="O185" s="201">
        <f t="shared" si="226"/>
        <v>3454344.5702202637</v>
      </c>
      <c r="P185" s="201">
        <f t="shared" si="232"/>
        <v>0</v>
      </c>
      <c r="Q185" s="201"/>
      <c r="R185" s="215"/>
      <c r="S185" s="201">
        <f t="shared" si="227"/>
        <v>10607100.964291267</v>
      </c>
      <c r="T185" s="201">
        <f t="shared" si="228"/>
        <v>0</v>
      </c>
      <c r="U185" s="220">
        <f t="shared" si="228"/>
        <v>0</v>
      </c>
      <c r="V185" s="220">
        <f t="shared" si="228"/>
        <v>0</v>
      </c>
      <c r="W185" s="201"/>
      <c r="X185" s="201"/>
      <c r="Y185" s="201"/>
      <c r="Z185" s="201"/>
      <c r="AA185" s="201">
        <f t="shared" si="229"/>
        <v>11035858.876349457</v>
      </c>
      <c r="AB185" s="130">
        <v>0</v>
      </c>
      <c r="AC185" s="130">
        <f t="shared" si="230"/>
        <v>11035858.876349457</v>
      </c>
      <c r="AD185" s="130">
        <v>0</v>
      </c>
      <c r="AE185" s="201">
        <f t="shared" si="231"/>
        <v>11035858.876349457</v>
      </c>
      <c r="AF185" s="201">
        <f t="shared" si="233"/>
        <v>2821092.9608255085</v>
      </c>
    </row>
    <row r="186" spans="1:32" hidden="1" outlineLevel="1" x14ac:dyDescent="0.2">
      <c r="A186" s="124">
        <v>14</v>
      </c>
      <c r="B186" s="221">
        <v>42248</v>
      </c>
      <c r="C186" s="201">
        <v>3830834.1908092164</v>
      </c>
      <c r="D186" s="201">
        <f>SUM($C$178:C186)</f>
        <v>14437935.155100483</v>
      </c>
      <c r="E186" s="201"/>
      <c r="F186" s="201">
        <f t="shared" si="218"/>
        <v>14437935.155100483</v>
      </c>
      <c r="G186" s="201">
        <f t="shared" si="219"/>
        <v>0</v>
      </c>
      <c r="H186" s="201">
        <f t="shared" si="220"/>
        <v>0</v>
      </c>
      <c r="I186" s="201">
        <f t="shared" si="221"/>
        <v>0</v>
      </c>
      <c r="J186" s="201">
        <f t="shared" si="222"/>
        <v>0</v>
      </c>
      <c r="K186" s="201">
        <f t="shared" si="223"/>
        <v>0</v>
      </c>
      <c r="L186" s="201">
        <f t="shared" si="224"/>
        <v>0</v>
      </c>
      <c r="M186" s="130">
        <f t="shared" si="225"/>
        <v>3454344.5702202637</v>
      </c>
      <c r="N186" s="130">
        <v>0</v>
      </c>
      <c r="O186" s="201">
        <f t="shared" si="226"/>
        <v>3454344.5702202637</v>
      </c>
      <c r="P186" s="201">
        <f t="shared" si="232"/>
        <v>0</v>
      </c>
      <c r="Q186" s="201"/>
      <c r="R186" s="215"/>
      <c r="S186" s="201">
        <f t="shared" si="227"/>
        <v>14437935.155100483</v>
      </c>
      <c r="T186" s="201">
        <f t="shared" si="228"/>
        <v>0</v>
      </c>
      <c r="U186" s="220">
        <f t="shared" si="228"/>
        <v>0</v>
      </c>
      <c r="V186" s="220">
        <f t="shared" si="228"/>
        <v>0</v>
      </c>
      <c r="W186" s="201"/>
      <c r="X186" s="201"/>
      <c r="Y186" s="201"/>
      <c r="Z186" s="201"/>
      <c r="AA186" s="201">
        <f t="shared" si="229"/>
        <v>14866693.067158673</v>
      </c>
      <c r="AB186" s="130">
        <v>0</v>
      </c>
      <c r="AC186" s="130">
        <f t="shared" si="230"/>
        <v>14866693.067158673</v>
      </c>
      <c r="AD186" s="130">
        <v>0</v>
      </c>
      <c r="AE186" s="201">
        <f t="shared" si="231"/>
        <v>14866693.067158673</v>
      </c>
      <c r="AF186" s="201">
        <f t="shared" si="233"/>
        <v>3830834.1908092164</v>
      </c>
    </row>
    <row r="187" spans="1:32" ht="14.25" hidden="1" customHeight="1" outlineLevel="1" x14ac:dyDescent="0.2">
      <c r="A187" s="124">
        <v>14</v>
      </c>
      <c r="B187" s="221">
        <v>42278</v>
      </c>
      <c r="C187" s="201">
        <v>2730356.4423091975</v>
      </c>
      <c r="D187" s="201">
        <f>SUM($C$178:C187)</f>
        <v>17168291.59740968</v>
      </c>
      <c r="E187" s="201"/>
      <c r="F187" s="201">
        <f t="shared" si="218"/>
        <v>17168291.59740968</v>
      </c>
      <c r="G187" s="201">
        <f t="shared" si="219"/>
        <v>0</v>
      </c>
      <c r="H187" s="201">
        <f t="shared" si="220"/>
        <v>0</v>
      </c>
      <c r="I187" s="201">
        <f t="shared" si="221"/>
        <v>0</v>
      </c>
      <c r="J187" s="201">
        <f t="shared" si="222"/>
        <v>0</v>
      </c>
      <c r="K187" s="201">
        <f t="shared" si="223"/>
        <v>0</v>
      </c>
      <c r="L187" s="201">
        <f t="shared" si="224"/>
        <v>0</v>
      </c>
      <c r="M187" s="130">
        <f t="shared" si="225"/>
        <v>3454344.5702202637</v>
      </c>
      <c r="N187" s="130">
        <v>0</v>
      </c>
      <c r="O187" s="201">
        <f t="shared" si="226"/>
        <v>3454344.5702202637</v>
      </c>
      <c r="P187" s="201">
        <f t="shared" si="232"/>
        <v>0</v>
      </c>
      <c r="Q187" s="201"/>
      <c r="R187" s="215"/>
      <c r="S187" s="201">
        <f t="shared" si="227"/>
        <v>17168291.59740968</v>
      </c>
      <c r="T187" s="201">
        <f t="shared" si="228"/>
        <v>0</v>
      </c>
      <c r="U187" s="220">
        <f t="shared" si="228"/>
        <v>0</v>
      </c>
      <c r="V187" s="220">
        <f t="shared" si="228"/>
        <v>0</v>
      </c>
      <c r="W187" s="201"/>
      <c r="X187" s="201"/>
      <c r="Y187" s="201"/>
      <c r="Z187" s="201"/>
      <c r="AA187" s="201">
        <f t="shared" si="229"/>
        <v>17597049.50946787</v>
      </c>
      <c r="AB187" s="130">
        <v>0</v>
      </c>
      <c r="AC187" s="130">
        <f t="shared" si="230"/>
        <v>17597049.50946787</v>
      </c>
      <c r="AD187" s="130">
        <v>0</v>
      </c>
      <c r="AE187" s="201">
        <f t="shared" si="231"/>
        <v>17597049.50946787</v>
      </c>
      <c r="AF187" s="201">
        <f t="shared" si="233"/>
        <v>2730356.442309197</v>
      </c>
    </row>
    <row r="188" spans="1:32" hidden="1" outlineLevel="1" x14ac:dyDescent="0.2">
      <c r="A188" s="124">
        <v>14</v>
      </c>
      <c r="B188" s="221">
        <v>42309</v>
      </c>
      <c r="C188" s="201">
        <v>-3513937.7869010149</v>
      </c>
      <c r="D188" s="201">
        <f>SUM($C$178:C188)</f>
        <v>13654353.810508665</v>
      </c>
      <c r="E188" s="201"/>
      <c r="F188" s="201">
        <f t="shared" si="218"/>
        <v>13654353.810508665</v>
      </c>
      <c r="G188" s="201">
        <f t="shared" si="219"/>
        <v>0</v>
      </c>
      <c r="H188" s="201">
        <f t="shared" si="220"/>
        <v>0</v>
      </c>
      <c r="I188" s="201">
        <f t="shared" si="221"/>
        <v>0</v>
      </c>
      <c r="J188" s="201">
        <f t="shared" si="222"/>
        <v>0</v>
      </c>
      <c r="K188" s="201">
        <f t="shared" si="223"/>
        <v>0</v>
      </c>
      <c r="L188" s="201">
        <f t="shared" si="224"/>
        <v>0</v>
      </c>
      <c r="M188" s="130">
        <f t="shared" si="225"/>
        <v>3454344.5702202637</v>
      </c>
      <c r="N188" s="130">
        <v>0</v>
      </c>
      <c r="O188" s="201">
        <f t="shared" si="226"/>
        <v>3454344.5702202637</v>
      </c>
      <c r="P188" s="201">
        <f t="shared" si="232"/>
        <v>0</v>
      </c>
      <c r="Q188" s="201"/>
      <c r="R188" s="215"/>
      <c r="S188" s="201">
        <f t="shared" si="227"/>
        <v>13654353.810508665</v>
      </c>
      <c r="T188" s="201">
        <f t="shared" si="228"/>
        <v>0</v>
      </c>
      <c r="U188" s="220">
        <f t="shared" si="228"/>
        <v>0</v>
      </c>
      <c r="V188" s="220">
        <f t="shared" si="228"/>
        <v>0</v>
      </c>
      <c r="W188" s="201"/>
      <c r="X188" s="201"/>
      <c r="Y188" s="201"/>
      <c r="Z188" s="201"/>
      <c r="AA188" s="201">
        <f t="shared" si="229"/>
        <v>14083111.722566854</v>
      </c>
      <c r="AB188" s="130">
        <v>0</v>
      </c>
      <c r="AC188" s="130">
        <f t="shared" si="230"/>
        <v>14083111.722566854</v>
      </c>
      <c r="AD188" s="130">
        <v>0</v>
      </c>
      <c r="AE188" s="201">
        <f t="shared" si="231"/>
        <v>14083111.722566854</v>
      </c>
      <c r="AF188" s="201">
        <f t="shared" si="233"/>
        <v>-3513937.7869010158</v>
      </c>
    </row>
    <row r="189" spans="1:32" hidden="1" outlineLevel="1" x14ac:dyDescent="0.2">
      <c r="A189" s="124">
        <v>14</v>
      </c>
      <c r="B189" s="221">
        <v>42339</v>
      </c>
      <c r="C189" s="201">
        <v>-5421385.5547015285</v>
      </c>
      <c r="D189" s="201">
        <f>SUM($C$178:C189)</f>
        <v>8232968.2558071362</v>
      </c>
      <c r="E189" s="201"/>
      <c r="F189" s="201">
        <f t="shared" si="218"/>
        <v>8232968.2558071362</v>
      </c>
      <c r="G189" s="201">
        <f t="shared" si="219"/>
        <v>0</v>
      </c>
      <c r="H189" s="201">
        <f t="shared" si="220"/>
        <v>0</v>
      </c>
      <c r="I189" s="201">
        <f t="shared" si="221"/>
        <v>0</v>
      </c>
      <c r="J189" s="201">
        <f t="shared" si="222"/>
        <v>0</v>
      </c>
      <c r="K189" s="201">
        <f t="shared" si="223"/>
        <v>0</v>
      </c>
      <c r="L189" s="201">
        <f t="shared" si="224"/>
        <v>0</v>
      </c>
      <c r="M189" s="130">
        <f t="shared" si="225"/>
        <v>3454344.5702202637</v>
      </c>
      <c r="N189" s="130">
        <v>0</v>
      </c>
      <c r="O189" s="201">
        <f t="shared" si="226"/>
        <v>3454344.5702202637</v>
      </c>
      <c r="P189" s="201">
        <f t="shared" si="232"/>
        <v>0</v>
      </c>
      <c r="Q189" s="201"/>
      <c r="R189" s="215"/>
      <c r="S189" s="201">
        <f t="shared" si="227"/>
        <v>8232968.2558071362</v>
      </c>
      <c r="T189" s="201">
        <f t="shared" si="228"/>
        <v>0</v>
      </c>
      <c r="U189" s="220">
        <f t="shared" si="228"/>
        <v>0</v>
      </c>
      <c r="V189" s="220">
        <f t="shared" si="228"/>
        <v>0</v>
      </c>
      <c r="W189" s="201"/>
      <c r="X189" s="201"/>
      <c r="Y189" s="201"/>
      <c r="Z189" s="201"/>
      <c r="AA189" s="201">
        <f t="shared" si="229"/>
        <v>8661726.1678653248</v>
      </c>
      <c r="AB189" s="130">
        <v>0</v>
      </c>
      <c r="AC189" s="130">
        <f t="shared" si="230"/>
        <v>8661726.1678653248</v>
      </c>
      <c r="AD189" s="130">
        <v>0</v>
      </c>
      <c r="AE189" s="201">
        <f t="shared" si="231"/>
        <v>8661726.1678653248</v>
      </c>
      <c r="AF189" s="201">
        <f t="shared" si="233"/>
        <v>-5421385.5547015294</v>
      </c>
    </row>
    <row r="190" spans="1:32" hidden="1" outlineLevel="1" x14ac:dyDescent="0.2">
      <c r="A190" s="124"/>
      <c r="B190" s="221"/>
      <c r="C190" s="201"/>
      <c r="D190" s="201"/>
      <c r="E190" s="201"/>
      <c r="F190" s="201"/>
      <c r="G190" s="201"/>
      <c r="H190" s="201"/>
      <c r="I190" s="201"/>
      <c r="J190" s="201"/>
      <c r="K190" s="201"/>
      <c r="L190" s="201"/>
      <c r="M190" s="130"/>
      <c r="N190" s="130"/>
      <c r="O190" s="201"/>
      <c r="P190" s="201"/>
      <c r="Q190" s="201"/>
      <c r="R190" s="215"/>
      <c r="S190" s="201"/>
      <c r="T190" s="201"/>
      <c r="U190" s="220"/>
      <c r="V190" s="220"/>
      <c r="W190" s="201"/>
      <c r="X190" s="201"/>
      <c r="Y190" s="201"/>
      <c r="Z190" s="201"/>
      <c r="AA190" s="201"/>
      <c r="AB190" s="130"/>
      <c r="AC190" s="130"/>
      <c r="AD190" s="130"/>
      <c r="AE190" s="201"/>
      <c r="AF190" s="201"/>
    </row>
    <row r="191" spans="1:32" hidden="1" outlineLevel="1" x14ac:dyDescent="0.2">
      <c r="A191" s="124">
        <v>15</v>
      </c>
      <c r="B191" s="221">
        <v>42370</v>
      </c>
      <c r="C191" s="201">
        <v>-8200343.2179349856</v>
      </c>
      <c r="D191" s="201">
        <f>C191</f>
        <v>-8200343.2179349856</v>
      </c>
      <c r="E191" s="201"/>
      <c r="F191" s="201">
        <f t="shared" ref="F191:F202" si="234">IF(ABS(D191)&gt;+$F$9,IF(D191&lt;0,-$F$9,+$F$9),+D191)</f>
        <v>-8200343.2179349856</v>
      </c>
      <c r="G191" s="201">
        <f t="shared" ref="G191:G202" si="235">IF(ABS(D191)-ABS(F191)&gt;=$G$9,IF(D191&lt;=0,-$G$9,+$G$9),+D191-F191)</f>
        <v>0</v>
      </c>
      <c r="H191" s="201">
        <f t="shared" ref="H191:H202" si="236">IF(ABS(+D191)-ABS(SUM(F191:G191))&gt;=$H$9,IF(D191&lt;=0,-$H$9,+$H$9),+D191-SUM(F191:G191))</f>
        <v>0</v>
      </c>
      <c r="I191" s="201">
        <f t="shared" ref="I191:I202" si="237">IF(ABS(+D191)-ABS(SUM(F191:H191))&gt;=$I$9,IF(D191&lt;=0,$D191-SUM($F191:$H191),$D191-SUM($F191:$H191)),D191-SUM(F191:H191))</f>
        <v>0</v>
      </c>
      <c r="J191" s="201">
        <f t="shared" ref="J191:J202" si="238">+G191*$C$260</f>
        <v>0</v>
      </c>
      <c r="K191" s="201">
        <f t="shared" ref="K191:K202" si="239">+H191*$C$261</f>
        <v>0</v>
      </c>
      <c r="L191" s="201">
        <f t="shared" ref="L191:L202" si="240">+I191*$C$262</f>
        <v>0</v>
      </c>
      <c r="M191" s="130">
        <f t="shared" ref="M191:M202" si="241">SUM(J191:L191)+$M$189</f>
        <v>3454344.5702202637</v>
      </c>
      <c r="N191" s="130">
        <v>0</v>
      </c>
      <c r="O191" s="201">
        <f t="shared" ref="O191:O202" si="242">M191+N191</f>
        <v>3454344.5702202637</v>
      </c>
      <c r="P191" s="201">
        <f>O191-O189</f>
        <v>0</v>
      </c>
      <c r="Q191" s="201"/>
      <c r="R191" s="215"/>
      <c r="S191" s="201">
        <f t="shared" ref="S191:S202" si="243">+F191</f>
        <v>-8200343.2179349856</v>
      </c>
      <c r="T191" s="201">
        <f t="shared" ref="T191:V202" si="244">+G191-J191</f>
        <v>0</v>
      </c>
      <c r="U191" s="220">
        <f t="shared" si="244"/>
        <v>0</v>
      </c>
      <c r="V191" s="220">
        <f t="shared" si="244"/>
        <v>0</v>
      </c>
      <c r="W191" s="201"/>
      <c r="X191" s="201"/>
      <c r="Y191" s="201"/>
      <c r="Z191" s="201"/>
      <c r="AA191" s="201">
        <f t="shared" ref="AA191:AA202" si="245">SUM(S191:V191)+$AA$189</f>
        <v>461382.94993033912</v>
      </c>
      <c r="AB191" s="130">
        <v>0</v>
      </c>
      <c r="AC191" s="130">
        <f t="shared" ref="AC191:AC202" si="246">AA191-AB191</f>
        <v>461382.94993033912</v>
      </c>
      <c r="AD191" s="130">
        <v>0</v>
      </c>
      <c r="AE191" s="201">
        <f t="shared" ref="AE191:AE202" si="247">AA191-AB191+AD191</f>
        <v>461382.94993033912</v>
      </c>
      <c r="AF191" s="201">
        <f>AE191-AE189</f>
        <v>-8200343.2179349856</v>
      </c>
    </row>
    <row r="192" spans="1:32" hidden="1" outlineLevel="1" x14ac:dyDescent="0.2">
      <c r="A192" s="124">
        <f t="shared" ref="A192:A202" si="248">A191</f>
        <v>15</v>
      </c>
      <c r="B192" s="221">
        <v>42401</v>
      </c>
      <c r="C192" s="201">
        <v>-3176825.25542635</v>
      </c>
      <c r="D192" s="201">
        <f>SUM($C$191:C192)</f>
        <v>-11377168.473361336</v>
      </c>
      <c r="E192" s="201"/>
      <c r="F192" s="201">
        <f t="shared" si="234"/>
        <v>-11377168.473361336</v>
      </c>
      <c r="G192" s="201">
        <f t="shared" si="235"/>
        <v>0</v>
      </c>
      <c r="H192" s="201">
        <f t="shared" si="236"/>
        <v>0</v>
      </c>
      <c r="I192" s="201">
        <f t="shared" si="237"/>
        <v>0</v>
      </c>
      <c r="J192" s="201">
        <f t="shared" si="238"/>
        <v>0</v>
      </c>
      <c r="K192" s="201">
        <f t="shared" si="239"/>
        <v>0</v>
      </c>
      <c r="L192" s="201">
        <f t="shared" si="240"/>
        <v>0</v>
      </c>
      <c r="M192" s="130">
        <f t="shared" si="241"/>
        <v>3454344.5702202637</v>
      </c>
      <c r="N192" s="130">
        <v>0</v>
      </c>
      <c r="O192" s="201">
        <f t="shared" si="242"/>
        <v>3454344.5702202637</v>
      </c>
      <c r="P192" s="201">
        <f t="shared" ref="P192:P202" si="249">O192-O191</f>
        <v>0</v>
      </c>
      <c r="Q192" s="201"/>
      <c r="R192" s="215"/>
      <c r="S192" s="201">
        <f t="shared" si="243"/>
        <v>-11377168.473361336</v>
      </c>
      <c r="T192" s="201">
        <f t="shared" si="244"/>
        <v>0</v>
      </c>
      <c r="U192" s="220">
        <f t="shared" si="244"/>
        <v>0</v>
      </c>
      <c r="V192" s="220">
        <f t="shared" si="244"/>
        <v>0</v>
      </c>
      <c r="W192" s="201"/>
      <c r="X192" s="201"/>
      <c r="Y192" s="201"/>
      <c r="Z192" s="201"/>
      <c r="AA192" s="201">
        <f t="shared" si="245"/>
        <v>-2715442.3054960109</v>
      </c>
      <c r="AB192" s="130">
        <v>0</v>
      </c>
      <c r="AC192" s="130">
        <f t="shared" si="246"/>
        <v>-2715442.3054960109</v>
      </c>
      <c r="AD192" s="130">
        <v>0</v>
      </c>
      <c r="AE192" s="201">
        <f t="shared" si="247"/>
        <v>-2715442.3054960109</v>
      </c>
      <c r="AF192" s="201">
        <f t="shared" ref="AF192:AF202" si="250">AE192-AE191</f>
        <v>-3176825.25542635</v>
      </c>
    </row>
    <row r="193" spans="1:35" hidden="1" outlineLevel="1" x14ac:dyDescent="0.2">
      <c r="A193" s="124">
        <f t="shared" si="248"/>
        <v>15</v>
      </c>
      <c r="B193" s="221">
        <v>42430</v>
      </c>
      <c r="C193" s="201">
        <v>-540316.79507002677</v>
      </c>
      <c r="D193" s="201">
        <f>SUM($C$191:C193)</f>
        <v>-11917485.268431362</v>
      </c>
      <c r="E193" s="201"/>
      <c r="F193" s="201">
        <f t="shared" si="234"/>
        <v>-11917485.268431362</v>
      </c>
      <c r="G193" s="201">
        <f t="shared" si="235"/>
        <v>0</v>
      </c>
      <c r="H193" s="201">
        <f t="shared" si="236"/>
        <v>0</v>
      </c>
      <c r="I193" s="201">
        <f t="shared" si="237"/>
        <v>0</v>
      </c>
      <c r="J193" s="130">
        <f t="shared" si="238"/>
        <v>0</v>
      </c>
      <c r="K193" s="201">
        <f t="shared" si="239"/>
        <v>0</v>
      </c>
      <c r="L193" s="201">
        <f t="shared" si="240"/>
        <v>0</v>
      </c>
      <c r="M193" s="130">
        <f t="shared" si="241"/>
        <v>3454344.5702202637</v>
      </c>
      <c r="N193" s="130">
        <v>0</v>
      </c>
      <c r="O193" s="201">
        <f t="shared" si="242"/>
        <v>3454344.5702202637</v>
      </c>
      <c r="P193" s="201">
        <f t="shared" si="249"/>
        <v>0</v>
      </c>
      <c r="Q193" s="201"/>
      <c r="R193" s="215"/>
      <c r="S193" s="201">
        <f t="shared" si="243"/>
        <v>-11917485.268431362</v>
      </c>
      <c r="T193" s="201">
        <f t="shared" si="244"/>
        <v>0</v>
      </c>
      <c r="U193" s="220">
        <f t="shared" si="244"/>
        <v>0</v>
      </c>
      <c r="V193" s="220">
        <f t="shared" si="244"/>
        <v>0</v>
      </c>
      <c r="W193" s="201"/>
      <c r="X193" s="201"/>
      <c r="Y193" s="201"/>
      <c r="Z193" s="201"/>
      <c r="AA193" s="201">
        <f t="shared" si="245"/>
        <v>-3255759.100566037</v>
      </c>
      <c r="AB193" s="130">
        <v>0</v>
      </c>
      <c r="AC193" s="130">
        <f t="shared" si="246"/>
        <v>-3255759.100566037</v>
      </c>
      <c r="AD193" s="130">
        <v>0</v>
      </c>
      <c r="AE193" s="201">
        <f t="shared" si="247"/>
        <v>-3255759.100566037</v>
      </c>
      <c r="AF193" s="201">
        <f t="shared" si="250"/>
        <v>-540316.79507002607</v>
      </c>
    </row>
    <row r="194" spans="1:35" hidden="1" outlineLevel="1" x14ac:dyDescent="0.2">
      <c r="A194" s="124">
        <f t="shared" si="248"/>
        <v>15</v>
      </c>
      <c r="B194" s="221">
        <v>42461</v>
      </c>
      <c r="C194" s="201">
        <v>7210072.9235400651</v>
      </c>
      <c r="D194" s="201">
        <f>SUM($C$191:C194)</f>
        <v>-4707412.3448912967</v>
      </c>
      <c r="E194" s="201"/>
      <c r="F194" s="201">
        <f t="shared" si="234"/>
        <v>-4707412.3448912967</v>
      </c>
      <c r="G194" s="201">
        <f t="shared" si="235"/>
        <v>0</v>
      </c>
      <c r="H194" s="201">
        <f t="shared" si="236"/>
        <v>0</v>
      </c>
      <c r="I194" s="201">
        <f t="shared" si="237"/>
        <v>0</v>
      </c>
      <c r="J194" s="201">
        <f t="shared" si="238"/>
        <v>0</v>
      </c>
      <c r="K194" s="201">
        <f t="shared" si="239"/>
        <v>0</v>
      </c>
      <c r="L194" s="201">
        <f t="shared" si="240"/>
        <v>0</v>
      </c>
      <c r="M194" s="130">
        <f t="shared" si="241"/>
        <v>3454344.5702202637</v>
      </c>
      <c r="N194" s="130">
        <v>0</v>
      </c>
      <c r="O194" s="201">
        <f t="shared" si="242"/>
        <v>3454344.5702202637</v>
      </c>
      <c r="P194" s="201">
        <f t="shared" si="249"/>
        <v>0</v>
      </c>
      <c r="Q194" s="201"/>
      <c r="R194" s="215"/>
      <c r="S194" s="201">
        <f t="shared" si="243"/>
        <v>-4707412.3448912967</v>
      </c>
      <c r="T194" s="201">
        <f t="shared" si="244"/>
        <v>0</v>
      </c>
      <c r="U194" s="220">
        <f t="shared" si="244"/>
        <v>0</v>
      </c>
      <c r="V194" s="220">
        <f t="shared" si="244"/>
        <v>0</v>
      </c>
      <c r="W194" s="201"/>
      <c r="X194" s="201"/>
      <c r="Y194" s="201"/>
      <c r="Z194" s="201"/>
      <c r="AA194" s="201">
        <f t="shared" si="245"/>
        <v>3954313.8229740281</v>
      </c>
      <c r="AB194" s="130">
        <v>0</v>
      </c>
      <c r="AC194" s="130">
        <f t="shared" si="246"/>
        <v>3954313.8229740281</v>
      </c>
      <c r="AD194" s="130">
        <v>0</v>
      </c>
      <c r="AE194" s="201">
        <f t="shared" si="247"/>
        <v>3954313.8229740281</v>
      </c>
      <c r="AF194" s="201">
        <f t="shared" si="250"/>
        <v>7210072.9235400651</v>
      </c>
    </row>
    <row r="195" spans="1:35" hidden="1" outlineLevel="1" x14ac:dyDescent="0.2">
      <c r="A195" s="124">
        <f t="shared" si="248"/>
        <v>15</v>
      </c>
      <c r="B195" s="221">
        <v>42491</v>
      </c>
      <c r="C195" s="201">
        <v>3528955.1257910072</v>
      </c>
      <c r="D195" s="201">
        <f>SUM($C$191:C195)</f>
        <v>-1178457.2191002895</v>
      </c>
      <c r="E195" s="201"/>
      <c r="F195" s="201">
        <f t="shared" si="234"/>
        <v>-1178457.2191002895</v>
      </c>
      <c r="G195" s="201">
        <f t="shared" si="235"/>
        <v>0</v>
      </c>
      <c r="H195" s="201">
        <f t="shared" si="236"/>
        <v>0</v>
      </c>
      <c r="I195" s="201">
        <f t="shared" si="237"/>
        <v>0</v>
      </c>
      <c r="J195" s="201">
        <f t="shared" si="238"/>
        <v>0</v>
      </c>
      <c r="K195" s="201">
        <f t="shared" si="239"/>
        <v>0</v>
      </c>
      <c r="L195" s="201">
        <f t="shared" si="240"/>
        <v>0</v>
      </c>
      <c r="M195" s="130">
        <f t="shared" si="241"/>
        <v>3454344.5702202637</v>
      </c>
      <c r="N195" s="130">
        <v>0</v>
      </c>
      <c r="O195" s="201">
        <f t="shared" si="242"/>
        <v>3454344.5702202637</v>
      </c>
      <c r="P195" s="201">
        <f t="shared" si="249"/>
        <v>0</v>
      </c>
      <c r="Q195" s="201"/>
      <c r="R195" s="215"/>
      <c r="S195" s="201">
        <f t="shared" si="243"/>
        <v>-1178457.2191002895</v>
      </c>
      <c r="T195" s="201">
        <f t="shared" si="244"/>
        <v>0</v>
      </c>
      <c r="U195" s="220">
        <f t="shared" si="244"/>
        <v>0</v>
      </c>
      <c r="V195" s="220">
        <f t="shared" si="244"/>
        <v>0</v>
      </c>
      <c r="W195" s="201"/>
      <c r="X195" s="201"/>
      <c r="Y195" s="201"/>
      <c r="Z195" s="201"/>
      <c r="AA195" s="201">
        <f t="shared" si="245"/>
        <v>7483268.9487650357</v>
      </c>
      <c r="AB195" s="130">
        <v>0</v>
      </c>
      <c r="AC195" s="130">
        <f t="shared" si="246"/>
        <v>7483268.9487650357</v>
      </c>
      <c r="AD195" s="130">
        <v>0</v>
      </c>
      <c r="AE195" s="201">
        <f t="shared" si="247"/>
        <v>7483268.9487650357</v>
      </c>
      <c r="AF195" s="201">
        <f t="shared" si="250"/>
        <v>3528955.1257910077</v>
      </c>
    </row>
    <row r="196" spans="1:35" hidden="1" outlineLevel="1" x14ac:dyDescent="0.2">
      <c r="A196" s="124">
        <f t="shared" si="248"/>
        <v>15</v>
      </c>
      <c r="B196" s="221">
        <v>42522</v>
      </c>
      <c r="C196" s="201">
        <v>4021515.3541936241</v>
      </c>
      <c r="D196" s="201">
        <f>SUM($C$191:C196)</f>
        <v>2843058.1350933346</v>
      </c>
      <c r="E196" s="201"/>
      <c r="F196" s="201">
        <f t="shared" si="234"/>
        <v>2843058.1350933346</v>
      </c>
      <c r="G196" s="201">
        <f t="shared" si="235"/>
        <v>0</v>
      </c>
      <c r="H196" s="201">
        <f t="shared" si="236"/>
        <v>0</v>
      </c>
      <c r="I196" s="201">
        <f t="shared" si="237"/>
        <v>0</v>
      </c>
      <c r="J196" s="201">
        <f t="shared" si="238"/>
        <v>0</v>
      </c>
      <c r="K196" s="201">
        <f t="shared" si="239"/>
        <v>0</v>
      </c>
      <c r="L196" s="201">
        <f t="shared" si="240"/>
        <v>0</v>
      </c>
      <c r="M196" s="130">
        <f t="shared" si="241"/>
        <v>3454344.5702202637</v>
      </c>
      <c r="N196" s="130">
        <v>0</v>
      </c>
      <c r="O196" s="201">
        <f t="shared" si="242"/>
        <v>3454344.5702202637</v>
      </c>
      <c r="P196" s="201">
        <f t="shared" si="249"/>
        <v>0</v>
      </c>
      <c r="Q196" s="201"/>
      <c r="R196" s="215"/>
      <c r="S196" s="201">
        <f t="shared" si="243"/>
        <v>2843058.1350933346</v>
      </c>
      <c r="T196" s="201">
        <f t="shared" si="244"/>
        <v>0</v>
      </c>
      <c r="U196" s="220">
        <f t="shared" si="244"/>
        <v>0</v>
      </c>
      <c r="V196" s="220">
        <f t="shared" si="244"/>
        <v>0</v>
      </c>
      <c r="W196" s="201"/>
      <c r="X196" s="201"/>
      <c r="Y196" s="201"/>
      <c r="Z196" s="201"/>
      <c r="AA196" s="201">
        <f t="shared" si="245"/>
        <v>11504784.30295866</v>
      </c>
      <c r="AB196" s="130">
        <v>0</v>
      </c>
      <c r="AC196" s="130">
        <f t="shared" si="246"/>
        <v>11504784.30295866</v>
      </c>
      <c r="AD196" s="130">
        <v>0</v>
      </c>
      <c r="AE196" s="201">
        <f t="shared" si="247"/>
        <v>11504784.30295866</v>
      </c>
      <c r="AF196" s="201">
        <f t="shared" si="250"/>
        <v>4021515.3541936241</v>
      </c>
    </row>
    <row r="197" spans="1:35" hidden="1" outlineLevel="1" x14ac:dyDescent="0.2">
      <c r="A197" s="124">
        <f t="shared" si="248"/>
        <v>15</v>
      </c>
      <c r="B197" s="221">
        <v>42552</v>
      </c>
      <c r="C197" s="201">
        <v>-4723406.5050106244</v>
      </c>
      <c r="D197" s="201">
        <f>SUM($C$191:C197)</f>
        <v>-1880348.3699172898</v>
      </c>
      <c r="E197" s="201"/>
      <c r="F197" s="201">
        <f t="shared" si="234"/>
        <v>-1880348.3699172898</v>
      </c>
      <c r="G197" s="201">
        <f t="shared" si="235"/>
        <v>0</v>
      </c>
      <c r="H197" s="201">
        <f t="shared" si="236"/>
        <v>0</v>
      </c>
      <c r="I197" s="201">
        <f t="shared" si="237"/>
        <v>0</v>
      </c>
      <c r="J197" s="201">
        <f t="shared" si="238"/>
        <v>0</v>
      </c>
      <c r="K197" s="201">
        <f t="shared" si="239"/>
        <v>0</v>
      </c>
      <c r="L197" s="201">
        <f t="shared" si="240"/>
        <v>0</v>
      </c>
      <c r="M197" s="130">
        <f t="shared" si="241"/>
        <v>3454344.5702202637</v>
      </c>
      <c r="N197" s="130">
        <v>0</v>
      </c>
      <c r="O197" s="201">
        <f t="shared" si="242"/>
        <v>3454344.5702202637</v>
      </c>
      <c r="P197" s="201">
        <f t="shared" si="249"/>
        <v>0</v>
      </c>
      <c r="Q197" s="201"/>
      <c r="R197" s="215"/>
      <c r="S197" s="201">
        <f t="shared" si="243"/>
        <v>-1880348.3699172898</v>
      </c>
      <c r="T197" s="201">
        <f t="shared" si="244"/>
        <v>0</v>
      </c>
      <c r="U197" s="220">
        <f t="shared" si="244"/>
        <v>0</v>
      </c>
      <c r="V197" s="220">
        <f t="shared" si="244"/>
        <v>0</v>
      </c>
      <c r="W197" s="201"/>
      <c r="X197" s="201"/>
      <c r="Y197" s="201"/>
      <c r="Z197" s="201"/>
      <c r="AA197" s="201">
        <f t="shared" si="245"/>
        <v>6781377.7979480345</v>
      </c>
      <c r="AB197" s="130">
        <v>0</v>
      </c>
      <c r="AC197" s="130">
        <f t="shared" si="246"/>
        <v>6781377.7979480345</v>
      </c>
      <c r="AD197" s="130">
        <v>0</v>
      </c>
      <c r="AE197" s="201">
        <f t="shared" si="247"/>
        <v>6781377.7979480345</v>
      </c>
      <c r="AF197" s="201">
        <f t="shared" si="250"/>
        <v>-4723406.5050106253</v>
      </c>
    </row>
    <row r="198" spans="1:35" hidden="1" outlineLevel="1" x14ac:dyDescent="0.2">
      <c r="A198" s="124">
        <f t="shared" si="248"/>
        <v>15</v>
      </c>
      <c r="B198" s="221">
        <v>42583</v>
      </c>
      <c r="C198" s="201">
        <v>-1839283.5903631542</v>
      </c>
      <c r="D198" s="201">
        <f>SUM($C$191:C198)</f>
        <v>-3719631.960280444</v>
      </c>
      <c r="E198" s="201"/>
      <c r="F198" s="201">
        <f t="shared" si="234"/>
        <v>-3719631.960280444</v>
      </c>
      <c r="G198" s="201">
        <f t="shared" si="235"/>
        <v>0</v>
      </c>
      <c r="H198" s="201">
        <f t="shared" si="236"/>
        <v>0</v>
      </c>
      <c r="I198" s="201">
        <f t="shared" si="237"/>
        <v>0</v>
      </c>
      <c r="J198" s="201">
        <f t="shared" si="238"/>
        <v>0</v>
      </c>
      <c r="K198" s="201">
        <f t="shared" si="239"/>
        <v>0</v>
      </c>
      <c r="L198" s="201">
        <f t="shared" si="240"/>
        <v>0</v>
      </c>
      <c r="M198" s="130">
        <f t="shared" si="241"/>
        <v>3454344.5702202637</v>
      </c>
      <c r="N198" s="130">
        <v>0</v>
      </c>
      <c r="O198" s="201">
        <f t="shared" si="242"/>
        <v>3454344.5702202637</v>
      </c>
      <c r="P198" s="201">
        <f t="shared" si="249"/>
        <v>0</v>
      </c>
      <c r="Q198" s="201"/>
      <c r="R198" s="215"/>
      <c r="S198" s="201">
        <f t="shared" si="243"/>
        <v>-3719631.960280444</v>
      </c>
      <c r="T198" s="201">
        <f t="shared" si="244"/>
        <v>0</v>
      </c>
      <c r="U198" s="220">
        <f t="shared" si="244"/>
        <v>0</v>
      </c>
      <c r="V198" s="220">
        <f t="shared" si="244"/>
        <v>0</v>
      </c>
      <c r="W198" s="201"/>
      <c r="X198" s="201"/>
      <c r="Y198" s="201"/>
      <c r="Z198" s="201"/>
      <c r="AA198" s="201">
        <f t="shared" si="245"/>
        <v>4942094.2075848803</v>
      </c>
      <c r="AB198" s="130">
        <v>0</v>
      </c>
      <c r="AC198" s="130">
        <f t="shared" si="246"/>
        <v>4942094.2075848803</v>
      </c>
      <c r="AD198" s="130">
        <v>0</v>
      </c>
      <c r="AE198" s="201">
        <f t="shared" si="247"/>
        <v>4942094.2075848803</v>
      </c>
      <c r="AF198" s="201">
        <f t="shared" si="250"/>
        <v>-1839283.5903631542</v>
      </c>
    </row>
    <row r="199" spans="1:35" hidden="1" outlineLevel="1" x14ac:dyDescent="0.2">
      <c r="A199" s="124">
        <f t="shared" si="248"/>
        <v>15</v>
      </c>
      <c r="B199" s="221">
        <v>42614</v>
      </c>
      <c r="C199" s="201">
        <v>3354482.3468664098</v>
      </c>
      <c r="D199" s="201">
        <f>SUM($C$191:C199)</f>
        <v>-365149.61341403425</v>
      </c>
      <c r="E199" s="201"/>
      <c r="F199" s="201">
        <f t="shared" si="234"/>
        <v>-365149.61341403425</v>
      </c>
      <c r="G199" s="201">
        <f t="shared" si="235"/>
        <v>0</v>
      </c>
      <c r="H199" s="201">
        <f t="shared" si="236"/>
        <v>0</v>
      </c>
      <c r="I199" s="201">
        <f t="shared" si="237"/>
        <v>0</v>
      </c>
      <c r="J199" s="201">
        <f t="shared" si="238"/>
        <v>0</v>
      </c>
      <c r="K199" s="201">
        <f t="shared" si="239"/>
        <v>0</v>
      </c>
      <c r="L199" s="201">
        <f t="shared" si="240"/>
        <v>0</v>
      </c>
      <c r="M199" s="130">
        <f t="shared" si="241"/>
        <v>3454344.5702202637</v>
      </c>
      <c r="N199" s="130">
        <v>0</v>
      </c>
      <c r="O199" s="201">
        <f t="shared" si="242"/>
        <v>3454344.5702202637</v>
      </c>
      <c r="P199" s="201">
        <f t="shared" si="249"/>
        <v>0</v>
      </c>
      <c r="Q199" s="201"/>
      <c r="R199" s="215"/>
      <c r="S199" s="201">
        <f t="shared" si="243"/>
        <v>-365149.61341403425</v>
      </c>
      <c r="T199" s="201">
        <f t="shared" si="244"/>
        <v>0</v>
      </c>
      <c r="U199" s="220">
        <f t="shared" si="244"/>
        <v>0</v>
      </c>
      <c r="V199" s="220">
        <f t="shared" si="244"/>
        <v>0</v>
      </c>
      <c r="W199" s="201"/>
      <c r="X199" s="201"/>
      <c r="Y199" s="201"/>
      <c r="Z199" s="201"/>
      <c r="AA199" s="201">
        <f t="shared" si="245"/>
        <v>8296576.5544512905</v>
      </c>
      <c r="AB199" s="130">
        <v>0</v>
      </c>
      <c r="AC199" s="130">
        <f t="shared" si="246"/>
        <v>8296576.5544512905</v>
      </c>
      <c r="AD199" s="130">
        <v>0</v>
      </c>
      <c r="AE199" s="201">
        <f t="shared" si="247"/>
        <v>8296576.5544512905</v>
      </c>
      <c r="AF199" s="201">
        <f t="shared" si="250"/>
        <v>3354482.3468664102</v>
      </c>
    </row>
    <row r="200" spans="1:35" ht="14.25" hidden="1" customHeight="1" outlineLevel="1" x14ac:dyDescent="0.2">
      <c r="A200" s="124">
        <f t="shared" si="248"/>
        <v>15</v>
      </c>
      <c r="B200" s="221">
        <v>42644</v>
      </c>
      <c r="C200" s="201">
        <v>1269562.3288656068</v>
      </c>
      <c r="D200" s="201">
        <f>SUM($C$191:C200)</f>
        <v>904412.71545157256</v>
      </c>
      <c r="E200" s="201"/>
      <c r="F200" s="201">
        <f t="shared" si="234"/>
        <v>904412.71545157256</v>
      </c>
      <c r="G200" s="201">
        <f t="shared" si="235"/>
        <v>0</v>
      </c>
      <c r="H200" s="201">
        <f t="shared" si="236"/>
        <v>0</v>
      </c>
      <c r="I200" s="201">
        <f t="shared" si="237"/>
        <v>0</v>
      </c>
      <c r="J200" s="201">
        <f t="shared" si="238"/>
        <v>0</v>
      </c>
      <c r="K200" s="201">
        <f t="shared" si="239"/>
        <v>0</v>
      </c>
      <c r="L200" s="201">
        <f t="shared" si="240"/>
        <v>0</v>
      </c>
      <c r="M200" s="130">
        <f t="shared" si="241"/>
        <v>3454344.5702202637</v>
      </c>
      <c r="N200" s="130">
        <v>0</v>
      </c>
      <c r="O200" s="201">
        <f t="shared" si="242"/>
        <v>3454344.5702202637</v>
      </c>
      <c r="P200" s="201">
        <f t="shared" si="249"/>
        <v>0</v>
      </c>
      <c r="Q200" s="201"/>
      <c r="R200" s="215"/>
      <c r="S200" s="201">
        <f t="shared" si="243"/>
        <v>904412.71545157256</v>
      </c>
      <c r="T200" s="201">
        <f t="shared" si="244"/>
        <v>0</v>
      </c>
      <c r="U200" s="220">
        <f t="shared" si="244"/>
        <v>0</v>
      </c>
      <c r="V200" s="220">
        <f t="shared" si="244"/>
        <v>0</v>
      </c>
      <c r="W200" s="201"/>
      <c r="X200" s="201"/>
      <c r="Y200" s="201"/>
      <c r="Z200" s="201"/>
      <c r="AA200" s="201">
        <f t="shared" si="245"/>
        <v>9566138.8833168969</v>
      </c>
      <c r="AB200" s="130">
        <v>0</v>
      </c>
      <c r="AC200" s="130">
        <f t="shared" si="246"/>
        <v>9566138.8833168969</v>
      </c>
      <c r="AD200" s="130">
        <v>0</v>
      </c>
      <c r="AE200" s="201">
        <f t="shared" si="247"/>
        <v>9566138.8833168969</v>
      </c>
      <c r="AF200" s="201">
        <f t="shared" si="250"/>
        <v>1269562.3288656063</v>
      </c>
    </row>
    <row r="201" spans="1:35" hidden="1" outlineLevel="1" x14ac:dyDescent="0.2">
      <c r="A201" s="124">
        <f t="shared" si="248"/>
        <v>15</v>
      </c>
      <c r="B201" s="221">
        <v>42675</v>
      </c>
      <c r="C201" s="201">
        <v>7403718.5866934936</v>
      </c>
      <c r="D201" s="201">
        <f>SUM($C$191:C201)</f>
        <v>8308131.3021450657</v>
      </c>
      <c r="E201" s="201"/>
      <c r="F201" s="201">
        <f t="shared" si="234"/>
        <v>8308131.3021450657</v>
      </c>
      <c r="G201" s="201">
        <f t="shared" si="235"/>
        <v>0</v>
      </c>
      <c r="H201" s="201">
        <f t="shared" si="236"/>
        <v>0</v>
      </c>
      <c r="I201" s="201">
        <f t="shared" si="237"/>
        <v>0</v>
      </c>
      <c r="J201" s="201">
        <f t="shared" si="238"/>
        <v>0</v>
      </c>
      <c r="K201" s="201">
        <f t="shared" si="239"/>
        <v>0</v>
      </c>
      <c r="L201" s="201">
        <f t="shared" si="240"/>
        <v>0</v>
      </c>
      <c r="M201" s="130">
        <f t="shared" si="241"/>
        <v>3454344.5702202637</v>
      </c>
      <c r="N201" s="130">
        <v>0</v>
      </c>
      <c r="O201" s="201">
        <f t="shared" si="242"/>
        <v>3454344.5702202637</v>
      </c>
      <c r="P201" s="201">
        <f t="shared" si="249"/>
        <v>0</v>
      </c>
      <c r="Q201" s="201"/>
      <c r="R201" s="215"/>
      <c r="S201" s="201">
        <f t="shared" si="243"/>
        <v>8308131.3021450657</v>
      </c>
      <c r="T201" s="201">
        <f t="shared" si="244"/>
        <v>0</v>
      </c>
      <c r="U201" s="220">
        <f t="shared" si="244"/>
        <v>0</v>
      </c>
      <c r="V201" s="220">
        <f t="shared" si="244"/>
        <v>0</v>
      </c>
      <c r="W201" s="201"/>
      <c r="X201" s="201"/>
      <c r="Y201" s="201"/>
      <c r="Z201" s="201"/>
      <c r="AA201" s="201">
        <f t="shared" si="245"/>
        <v>16969857.470010392</v>
      </c>
      <c r="AB201" s="130">
        <v>0</v>
      </c>
      <c r="AC201" s="130">
        <f t="shared" si="246"/>
        <v>16969857.470010392</v>
      </c>
      <c r="AD201" s="130">
        <v>0</v>
      </c>
      <c r="AE201" s="201">
        <f t="shared" si="247"/>
        <v>16969857.470010392</v>
      </c>
      <c r="AF201" s="201">
        <f t="shared" si="250"/>
        <v>7403718.5866934955</v>
      </c>
    </row>
    <row r="202" spans="1:35" hidden="1" outlineLevel="1" x14ac:dyDescent="0.2">
      <c r="A202" s="124">
        <f t="shared" si="248"/>
        <v>15</v>
      </c>
      <c r="B202" s="221">
        <v>42705</v>
      </c>
      <c r="C202" s="201">
        <v>-6249749.280488262</v>
      </c>
      <c r="D202" s="201">
        <f>SUM($C$191:C202)</f>
        <v>2058382.0216568038</v>
      </c>
      <c r="E202" s="201"/>
      <c r="F202" s="201">
        <f t="shared" si="234"/>
        <v>2058382.0216568038</v>
      </c>
      <c r="G202" s="201">
        <f t="shared" si="235"/>
        <v>0</v>
      </c>
      <c r="H202" s="201">
        <f t="shared" si="236"/>
        <v>0</v>
      </c>
      <c r="I202" s="201">
        <f t="shared" si="237"/>
        <v>0</v>
      </c>
      <c r="J202" s="201">
        <f t="shared" si="238"/>
        <v>0</v>
      </c>
      <c r="K202" s="201">
        <f t="shared" si="239"/>
        <v>0</v>
      </c>
      <c r="L202" s="201">
        <f t="shared" si="240"/>
        <v>0</v>
      </c>
      <c r="M202" s="130">
        <f t="shared" si="241"/>
        <v>3454344.5702202637</v>
      </c>
      <c r="N202" s="130">
        <v>0</v>
      </c>
      <c r="O202" s="201">
        <f t="shared" si="242"/>
        <v>3454344.5702202637</v>
      </c>
      <c r="P202" s="201">
        <f t="shared" si="249"/>
        <v>0</v>
      </c>
      <c r="Q202" s="201"/>
      <c r="R202" s="215"/>
      <c r="S202" s="201">
        <f t="shared" si="243"/>
        <v>2058382.0216568038</v>
      </c>
      <c r="T202" s="201">
        <f t="shared" si="244"/>
        <v>0</v>
      </c>
      <c r="U202" s="220">
        <f t="shared" si="244"/>
        <v>0</v>
      </c>
      <c r="V202" s="220">
        <f t="shared" si="244"/>
        <v>0</v>
      </c>
      <c r="W202" s="201"/>
      <c r="X202" s="201"/>
      <c r="Y202" s="201"/>
      <c r="Z202" s="201"/>
      <c r="AA202" s="201">
        <f t="shared" si="245"/>
        <v>10720108.189522129</v>
      </c>
      <c r="AB202" s="130">
        <v>0</v>
      </c>
      <c r="AC202" s="130">
        <f t="shared" si="246"/>
        <v>10720108.189522129</v>
      </c>
      <c r="AD202" s="130">
        <v>0</v>
      </c>
      <c r="AE202" s="201">
        <f t="shared" si="247"/>
        <v>10720108.189522129</v>
      </c>
      <c r="AF202" s="201">
        <f t="shared" si="250"/>
        <v>-6249749.2804882638</v>
      </c>
    </row>
    <row r="203" spans="1:35" hidden="1" outlineLevel="1" x14ac:dyDescent="0.2">
      <c r="A203" s="124"/>
      <c r="B203" s="221"/>
      <c r="C203" s="201"/>
      <c r="D203" s="201"/>
      <c r="E203" s="201"/>
      <c r="F203" s="201"/>
      <c r="G203" s="201"/>
      <c r="H203" s="201"/>
      <c r="I203" s="201"/>
      <c r="J203" s="201"/>
      <c r="K203" s="201"/>
      <c r="L203" s="201"/>
      <c r="M203" s="130"/>
      <c r="N203" s="130"/>
      <c r="O203" s="201"/>
      <c r="P203" s="201"/>
      <c r="Q203" s="201"/>
      <c r="R203" s="215"/>
      <c r="S203" s="201"/>
      <c r="T203" s="201"/>
      <c r="U203" s="220"/>
      <c r="V203" s="220"/>
      <c r="W203" s="201"/>
      <c r="X203" s="201"/>
      <c r="Y203" s="201"/>
      <c r="Z203" s="201"/>
      <c r="AA203" s="130"/>
      <c r="AB203" s="130"/>
      <c r="AC203" s="130"/>
      <c r="AD203" s="130"/>
      <c r="AE203" s="201"/>
      <c r="AF203" s="201"/>
    </row>
    <row r="204" spans="1:35" hidden="1" outlineLevel="1" x14ac:dyDescent="0.2">
      <c r="A204" s="124">
        <v>16</v>
      </c>
      <c r="B204" s="221">
        <v>42736</v>
      </c>
      <c r="C204" s="201">
        <v>10111744.085678264</v>
      </c>
      <c r="D204" s="201">
        <f>C204</f>
        <v>10111744.085678264</v>
      </c>
      <c r="E204" s="201"/>
      <c r="F204" s="201">
        <f t="shared" ref="F204:F215" si="251">IF(ABS(D204)&gt;+$F$12,IF(D204&lt;0,-$F$12,+$F$12),+D204)</f>
        <v>10111744.085678264</v>
      </c>
      <c r="G204" s="201">
        <f t="shared" ref="G204:G215" si="252">IF(ABS(D204)-ABS(F204)&gt;=$G$12,IF(D204&lt;=0,-$G$12,+$G$12),+D204-F204)</f>
        <v>0</v>
      </c>
      <c r="H204" s="201">
        <f t="shared" ref="H204:H215" si="253">IF(ABS(+D204)-ABS(SUM(F204:G204))&gt;=$H$12,IF(D204&lt;=0,-$H$12,+$H$12),+D204-SUM(F204:G204))</f>
        <v>0</v>
      </c>
      <c r="I204" s="201"/>
      <c r="J204" s="130">
        <f t="shared" ref="J204:J215" si="254">IF(G204&gt;0,+G204*$C$269,G204*$C$270)</f>
        <v>0</v>
      </c>
      <c r="K204" s="201">
        <f t="shared" ref="K204:K215" si="255">+H204*$C$271</f>
        <v>0</v>
      </c>
      <c r="L204" s="201"/>
      <c r="M204" s="130">
        <f t="shared" ref="M204:M215" si="256">SUM(J204:L204)+$M$202</f>
        <v>3454344.5702202637</v>
      </c>
      <c r="N204" s="130">
        <v>0</v>
      </c>
      <c r="O204" s="201">
        <f t="shared" ref="O204:O215" si="257">M204+N204</f>
        <v>3454344.5702202637</v>
      </c>
      <c r="P204" s="201">
        <f>O204-O202</f>
        <v>0</v>
      </c>
      <c r="Q204" s="201"/>
      <c r="R204" s="215"/>
      <c r="S204" s="201">
        <f t="shared" ref="S204:S215" si="258">+F204</f>
        <v>10111744.085678264</v>
      </c>
      <c r="T204" s="201">
        <f t="shared" ref="T204:U215" si="259">+G204-J204</f>
        <v>0</v>
      </c>
      <c r="U204" s="220">
        <f t="shared" si="259"/>
        <v>0</v>
      </c>
      <c r="V204" s="220"/>
      <c r="W204" s="201"/>
      <c r="X204" s="201"/>
      <c r="Y204" s="201"/>
      <c r="Z204" s="201"/>
      <c r="AA204" s="130">
        <f t="shared" ref="AA204:AA215" si="260">SUM(S204:V204)+$AA$202</f>
        <v>20831852.275200393</v>
      </c>
      <c r="AB204" s="130">
        <v>0</v>
      </c>
      <c r="AC204" s="130">
        <f t="shared" ref="AC204:AC215" si="261">AA204-AB204</f>
        <v>20831852.275200393</v>
      </c>
      <c r="AD204" s="130">
        <v>0</v>
      </c>
      <c r="AE204" s="201">
        <f t="shared" ref="AE204:AE215" si="262">AA204-AB204+AD204</f>
        <v>20831852.275200393</v>
      </c>
      <c r="AF204" s="130">
        <f>AE204-AE202</f>
        <v>10111744.085678264</v>
      </c>
      <c r="AH204" s="68"/>
      <c r="AI204" s="225"/>
    </row>
    <row r="205" spans="1:35" hidden="1" outlineLevel="1" x14ac:dyDescent="0.2">
      <c r="A205" s="124">
        <f t="shared" ref="A205:A215" si="263">A204</f>
        <v>16</v>
      </c>
      <c r="B205" s="221">
        <v>42767</v>
      </c>
      <c r="C205" s="201">
        <v>596605.49546533462</v>
      </c>
      <c r="D205" s="201">
        <f>SUM($C$204:C205)</f>
        <v>10708349.581143599</v>
      </c>
      <c r="E205" s="201"/>
      <c r="F205" s="201">
        <f t="shared" si="251"/>
        <v>10708349.581143599</v>
      </c>
      <c r="G205" s="201">
        <f t="shared" si="252"/>
        <v>0</v>
      </c>
      <c r="H205" s="201">
        <f t="shared" si="253"/>
        <v>0</v>
      </c>
      <c r="I205" s="201">
        <f t="shared" ref="I205:I215" si="264">IF(ABS(+D205)-ABS(SUM(F205:H205))&gt;=$I$9,IF(D205&lt;=0,$D205-SUM($F205:$H205),$D205-SUM($F205:$H205)),D205-SUM(F205:H205))</f>
        <v>0</v>
      </c>
      <c r="J205" s="130">
        <f t="shared" si="254"/>
        <v>0</v>
      </c>
      <c r="K205" s="201">
        <f t="shared" si="255"/>
        <v>0</v>
      </c>
      <c r="L205" s="201"/>
      <c r="M205" s="130">
        <f t="shared" si="256"/>
        <v>3454344.5702202637</v>
      </c>
      <c r="N205" s="130">
        <v>0</v>
      </c>
      <c r="O205" s="201">
        <f t="shared" si="257"/>
        <v>3454344.5702202637</v>
      </c>
      <c r="P205" s="201">
        <f t="shared" ref="P205:P215" si="265">O205-O204</f>
        <v>0</v>
      </c>
      <c r="Q205" s="201"/>
      <c r="R205" s="215"/>
      <c r="S205" s="201">
        <f t="shared" si="258"/>
        <v>10708349.581143599</v>
      </c>
      <c r="T205" s="201">
        <f t="shared" si="259"/>
        <v>0</v>
      </c>
      <c r="U205" s="220">
        <f t="shared" si="259"/>
        <v>0</v>
      </c>
      <c r="V205" s="220"/>
      <c r="W205" s="201"/>
      <c r="X205" s="201"/>
      <c r="Y205" s="201"/>
      <c r="Z205" s="201"/>
      <c r="AA205" s="130">
        <f t="shared" si="260"/>
        <v>21428457.770665728</v>
      </c>
      <c r="AB205" s="130">
        <v>0</v>
      </c>
      <c r="AC205" s="130">
        <f t="shared" si="261"/>
        <v>21428457.770665728</v>
      </c>
      <c r="AD205" s="130">
        <v>0</v>
      </c>
      <c r="AE205" s="201">
        <f t="shared" si="262"/>
        <v>21428457.770665728</v>
      </c>
      <c r="AF205" s="201">
        <f t="shared" ref="AF205:AF215" si="266">AE205-AE204</f>
        <v>596605.4954653345</v>
      </c>
    </row>
    <row r="206" spans="1:35" hidden="1" outlineLevel="1" x14ac:dyDescent="0.2">
      <c r="A206" s="124">
        <f t="shared" si="263"/>
        <v>16</v>
      </c>
      <c r="B206" s="221">
        <v>42795</v>
      </c>
      <c r="C206" s="201">
        <v>-734383.09932177491</v>
      </c>
      <c r="D206" s="201">
        <f>SUM($C$204:C206)</f>
        <v>9973966.4818218239</v>
      </c>
      <c r="E206" s="201"/>
      <c r="F206" s="201">
        <f t="shared" si="251"/>
        <v>9973966.4818218239</v>
      </c>
      <c r="G206" s="201">
        <f t="shared" si="252"/>
        <v>0</v>
      </c>
      <c r="H206" s="201">
        <f t="shared" si="253"/>
        <v>0</v>
      </c>
      <c r="I206" s="201">
        <f t="shared" si="264"/>
        <v>0</v>
      </c>
      <c r="J206" s="130">
        <f t="shared" si="254"/>
        <v>0</v>
      </c>
      <c r="K206" s="201">
        <f t="shared" si="255"/>
        <v>0</v>
      </c>
      <c r="L206" s="201"/>
      <c r="M206" s="130">
        <f t="shared" si="256"/>
        <v>3454344.5702202637</v>
      </c>
      <c r="N206" s="130">
        <v>0</v>
      </c>
      <c r="O206" s="201">
        <f t="shared" si="257"/>
        <v>3454344.5702202637</v>
      </c>
      <c r="P206" s="201">
        <f t="shared" si="265"/>
        <v>0</v>
      </c>
      <c r="Q206" s="201"/>
      <c r="R206" s="215"/>
      <c r="S206" s="201">
        <f t="shared" si="258"/>
        <v>9973966.4818218239</v>
      </c>
      <c r="T206" s="201">
        <f t="shared" si="259"/>
        <v>0</v>
      </c>
      <c r="U206" s="220">
        <f t="shared" si="259"/>
        <v>0</v>
      </c>
      <c r="V206" s="220"/>
      <c r="W206" s="201"/>
      <c r="X206" s="201"/>
      <c r="Y206" s="201"/>
      <c r="Z206" s="201"/>
      <c r="AA206" s="130">
        <f t="shared" si="260"/>
        <v>20694074.671343952</v>
      </c>
      <c r="AB206" s="130">
        <v>0</v>
      </c>
      <c r="AC206" s="130">
        <f t="shared" si="261"/>
        <v>20694074.671343952</v>
      </c>
      <c r="AD206" s="130">
        <v>0</v>
      </c>
      <c r="AE206" s="201">
        <f t="shared" si="262"/>
        <v>20694074.671343952</v>
      </c>
      <c r="AF206" s="201">
        <f t="shared" si="266"/>
        <v>-734383.09932177514</v>
      </c>
    </row>
    <row r="207" spans="1:35" hidden="1" outlineLevel="1" x14ac:dyDescent="0.2">
      <c r="A207" s="124">
        <f t="shared" si="263"/>
        <v>16</v>
      </c>
      <c r="B207" s="221">
        <v>42826</v>
      </c>
      <c r="C207" s="201">
        <v>-1911316.909747282</v>
      </c>
      <c r="D207" s="201">
        <f>SUM($C$204:C207)</f>
        <v>8062649.5720745418</v>
      </c>
      <c r="E207" s="201"/>
      <c r="F207" s="201">
        <f t="shared" si="251"/>
        <v>8062649.5720745418</v>
      </c>
      <c r="G207" s="201">
        <f t="shared" si="252"/>
        <v>0</v>
      </c>
      <c r="H207" s="201">
        <f t="shared" si="253"/>
        <v>0</v>
      </c>
      <c r="I207" s="201">
        <f t="shared" si="264"/>
        <v>0</v>
      </c>
      <c r="J207" s="130">
        <f t="shared" si="254"/>
        <v>0</v>
      </c>
      <c r="K207" s="201">
        <f t="shared" si="255"/>
        <v>0</v>
      </c>
      <c r="L207" s="201"/>
      <c r="M207" s="130">
        <f t="shared" si="256"/>
        <v>3454344.5702202637</v>
      </c>
      <c r="N207" s="130">
        <v>0</v>
      </c>
      <c r="O207" s="201">
        <f t="shared" si="257"/>
        <v>3454344.5702202637</v>
      </c>
      <c r="P207" s="201">
        <f t="shared" si="265"/>
        <v>0</v>
      </c>
      <c r="Q207" s="201"/>
      <c r="R207" s="215"/>
      <c r="S207" s="201">
        <f t="shared" si="258"/>
        <v>8062649.5720745418</v>
      </c>
      <c r="T207" s="201">
        <f t="shared" si="259"/>
        <v>0</v>
      </c>
      <c r="U207" s="220">
        <f t="shared" si="259"/>
        <v>0</v>
      </c>
      <c r="V207" s="220"/>
      <c r="W207" s="201"/>
      <c r="X207" s="201"/>
      <c r="Y207" s="201"/>
      <c r="Z207" s="201"/>
      <c r="AA207" s="130">
        <f t="shared" si="260"/>
        <v>18782757.761596672</v>
      </c>
      <c r="AB207" s="130">
        <v>0</v>
      </c>
      <c r="AC207" s="130">
        <f t="shared" si="261"/>
        <v>18782757.761596672</v>
      </c>
      <c r="AD207" s="130">
        <v>0</v>
      </c>
      <c r="AE207" s="201">
        <f t="shared" si="262"/>
        <v>18782757.761596672</v>
      </c>
      <c r="AF207" s="201">
        <f t="shared" si="266"/>
        <v>-1911316.9097472802</v>
      </c>
    </row>
    <row r="208" spans="1:35" hidden="1" outlineLevel="1" x14ac:dyDescent="0.2">
      <c r="A208" s="124">
        <f t="shared" si="263"/>
        <v>16</v>
      </c>
      <c r="B208" s="221">
        <v>42856</v>
      </c>
      <c r="C208" s="201">
        <v>1732655.3117572339</v>
      </c>
      <c r="D208" s="201">
        <f>SUM($C$204:C208)</f>
        <v>9795304.8838317767</v>
      </c>
      <c r="E208" s="201"/>
      <c r="F208" s="201">
        <f t="shared" si="251"/>
        <v>9795304.8838317767</v>
      </c>
      <c r="G208" s="201">
        <f t="shared" si="252"/>
        <v>0</v>
      </c>
      <c r="H208" s="201">
        <f t="shared" si="253"/>
        <v>0</v>
      </c>
      <c r="I208" s="201">
        <f t="shared" si="264"/>
        <v>0</v>
      </c>
      <c r="J208" s="130">
        <f t="shared" si="254"/>
        <v>0</v>
      </c>
      <c r="K208" s="201">
        <f t="shared" si="255"/>
        <v>0</v>
      </c>
      <c r="L208" s="201"/>
      <c r="M208" s="130">
        <f t="shared" si="256"/>
        <v>3454344.5702202637</v>
      </c>
      <c r="N208" s="130">
        <v>0</v>
      </c>
      <c r="O208" s="201">
        <f t="shared" si="257"/>
        <v>3454344.5702202637</v>
      </c>
      <c r="P208" s="201">
        <f t="shared" si="265"/>
        <v>0</v>
      </c>
      <c r="Q208" s="201"/>
      <c r="R208" s="215"/>
      <c r="S208" s="201">
        <f t="shared" si="258"/>
        <v>9795304.8838317767</v>
      </c>
      <c r="T208" s="201">
        <f t="shared" si="259"/>
        <v>0</v>
      </c>
      <c r="U208" s="220">
        <f t="shared" si="259"/>
        <v>0</v>
      </c>
      <c r="V208" s="220"/>
      <c r="W208" s="201"/>
      <c r="X208" s="201"/>
      <c r="Y208" s="201"/>
      <c r="Z208" s="201"/>
      <c r="AA208" s="130">
        <f t="shared" si="260"/>
        <v>20515413.073353905</v>
      </c>
      <c r="AB208" s="130">
        <v>0</v>
      </c>
      <c r="AC208" s="130">
        <f t="shared" si="261"/>
        <v>20515413.073353905</v>
      </c>
      <c r="AD208" s="130">
        <v>0</v>
      </c>
      <c r="AE208" s="201">
        <f t="shared" si="262"/>
        <v>20515413.073353905</v>
      </c>
      <c r="AF208" s="201">
        <f t="shared" si="266"/>
        <v>1732655.311757233</v>
      </c>
    </row>
    <row r="209" spans="1:32" hidden="1" outlineLevel="1" x14ac:dyDescent="0.2">
      <c r="A209" s="124">
        <f t="shared" si="263"/>
        <v>16</v>
      </c>
      <c r="B209" s="221">
        <v>42887</v>
      </c>
      <c r="C209" s="201">
        <v>-1125295.7242896813</v>
      </c>
      <c r="D209" s="201">
        <f>SUM($C$204:C209)</f>
        <v>8670009.1595420949</v>
      </c>
      <c r="E209" s="201"/>
      <c r="F209" s="201">
        <f t="shared" si="251"/>
        <v>8670009.1595420949</v>
      </c>
      <c r="G209" s="201">
        <f t="shared" si="252"/>
        <v>0</v>
      </c>
      <c r="H209" s="201">
        <f t="shared" si="253"/>
        <v>0</v>
      </c>
      <c r="I209" s="201">
        <f t="shared" si="264"/>
        <v>0</v>
      </c>
      <c r="J209" s="130">
        <f t="shared" si="254"/>
        <v>0</v>
      </c>
      <c r="K209" s="201">
        <f t="shared" si="255"/>
        <v>0</v>
      </c>
      <c r="L209" s="201"/>
      <c r="M209" s="130">
        <f t="shared" si="256"/>
        <v>3454344.5702202637</v>
      </c>
      <c r="N209" s="130">
        <v>0</v>
      </c>
      <c r="O209" s="201">
        <f t="shared" si="257"/>
        <v>3454344.5702202637</v>
      </c>
      <c r="P209" s="201">
        <f t="shared" si="265"/>
        <v>0</v>
      </c>
      <c r="Q209" s="201"/>
      <c r="R209" s="215"/>
      <c r="S209" s="201">
        <f t="shared" si="258"/>
        <v>8670009.1595420949</v>
      </c>
      <c r="T209" s="201">
        <f t="shared" si="259"/>
        <v>0</v>
      </c>
      <c r="U209" s="220">
        <f t="shared" si="259"/>
        <v>0</v>
      </c>
      <c r="V209" s="220"/>
      <c r="W209" s="201"/>
      <c r="X209" s="201"/>
      <c r="Y209" s="201"/>
      <c r="Z209" s="201"/>
      <c r="AA209" s="130">
        <f t="shared" si="260"/>
        <v>19390117.349064223</v>
      </c>
      <c r="AB209" s="130">
        <v>0</v>
      </c>
      <c r="AC209" s="130">
        <f t="shared" si="261"/>
        <v>19390117.349064223</v>
      </c>
      <c r="AD209" s="130">
        <v>0</v>
      </c>
      <c r="AE209" s="201">
        <f t="shared" si="262"/>
        <v>19390117.349064223</v>
      </c>
      <c r="AF209" s="201">
        <f t="shared" si="266"/>
        <v>-1125295.7242896818</v>
      </c>
    </row>
    <row r="210" spans="1:32" hidden="1" outlineLevel="1" x14ac:dyDescent="0.2">
      <c r="A210" s="124">
        <f t="shared" si="263"/>
        <v>16</v>
      </c>
      <c r="B210" s="221">
        <v>42917</v>
      </c>
      <c r="C210" s="201">
        <v>-2986662.1752690882</v>
      </c>
      <c r="D210" s="201">
        <f>SUM($C$204:C210)</f>
        <v>5683346.9842730071</v>
      </c>
      <c r="E210" s="201"/>
      <c r="F210" s="201">
        <f t="shared" si="251"/>
        <v>5683346.9842730071</v>
      </c>
      <c r="G210" s="201">
        <f t="shared" si="252"/>
        <v>0</v>
      </c>
      <c r="H210" s="201">
        <f t="shared" si="253"/>
        <v>0</v>
      </c>
      <c r="I210" s="201">
        <f t="shared" si="264"/>
        <v>0</v>
      </c>
      <c r="J210" s="130">
        <f t="shared" si="254"/>
        <v>0</v>
      </c>
      <c r="K210" s="201">
        <f t="shared" si="255"/>
        <v>0</v>
      </c>
      <c r="L210" s="201"/>
      <c r="M210" s="130">
        <f t="shared" si="256"/>
        <v>3454344.5702202637</v>
      </c>
      <c r="N210" s="130">
        <v>0</v>
      </c>
      <c r="O210" s="201">
        <f t="shared" si="257"/>
        <v>3454344.5702202637</v>
      </c>
      <c r="P210" s="201">
        <f t="shared" si="265"/>
        <v>0</v>
      </c>
      <c r="Q210" s="201"/>
      <c r="R210" s="215"/>
      <c r="S210" s="201">
        <f t="shared" si="258"/>
        <v>5683346.9842730071</v>
      </c>
      <c r="T210" s="201">
        <f t="shared" si="259"/>
        <v>0</v>
      </c>
      <c r="U210" s="220">
        <f t="shared" si="259"/>
        <v>0</v>
      </c>
      <c r="V210" s="220"/>
      <c r="W210" s="201"/>
      <c r="X210" s="201"/>
      <c r="Y210" s="201"/>
      <c r="Z210" s="201"/>
      <c r="AA210" s="130">
        <f t="shared" si="260"/>
        <v>16403455.173795136</v>
      </c>
      <c r="AB210" s="130">
        <v>0</v>
      </c>
      <c r="AC210" s="130">
        <f t="shared" si="261"/>
        <v>16403455.173795136</v>
      </c>
      <c r="AD210" s="130">
        <v>0</v>
      </c>
      <c r="AE210" s="201">
        <f t="shared" si="262"/>
        <v>16403455.173795136</v>
      </c>
      <c r="AF210" s="201">
        <f t="shared" si="266"/>
        <v>-2986662.1752690878</v>
      </c>
    </row>
    <row r="211" spans="1:32" hidden="1" outlineLevel="1" x14ac:dyDescent="0.2">
      <c r="A211" s="124">
        <f t="shared" si="263"/>
        <v>16</v>
      </c>
      <c r="B211" s="221">
        <v>42948</v>
      </c>
      <c r="C211" s="201">
        <v>2216115.8709067525</v>
      </c>
      <c r="D211" s="201">
        <f>SUM($C$204:C211)</f>
        <v>7899462.8551797597</v>
      </c>
      <c r="E211" s="201"/>
      <c r="F211" s="201">
        <f t="shared" si="251"/>
        <v>7899462.8551797597</v>
      </c>
      <c r="G211" s="201">
        <f t="shared" si="252"/>
        <v>0</v>
      </c>
      <c r="H211" s="201">
        <f t="shared" si="253"/>
        <v>0</v>
      </c>
      <c r="I211" s="201">
        <f t="shared" si="264"/>
        <v>0</v>
      </c>
      <c r="J211" s="130">
        <f t="shared" si="254"/>
        <v>0</v>
      </c>
      <c r="K211" s="201">
        <f t="shared" si="255"/>
        <v>0</v>
      </c>
      <c r="L211" s="201"/>
      <c r="M211" s="130">
        <f t="shared" si="256"/>
        <v>3454344.5702202637</v>
      </c>
      <c r="N211" s="130">
        <v>0</v>
      </c>
      <c r="O211" s="201">
        <f t="shared" si="257"/>
        <v>3454344.5702202637</v>
      </c>
      <c r="P211" s="201">
        <f t="shared" si="265"/>
        <v>0</v>
      </c>
      <c r="Q211" s="201"/>
      <c r="R211" s="215"/>
      <c r="S211" s="201">
        <f t="shared" si="258"/>
        <v>7899462.8551797597</v>
      </c>
      <c r="T211" s="201">
        <f t="shared" si="259"/>
        <v>0</v>
      </c>
      <c r="U211" s="220">
        <f t="shared" si="259"/>
        <v>0</v>
      </c>
      <c r="V211" s="220"/>
      <c r="W211" s="201"/>
      <c r="X211" s="201"/>
      <c r="Y211" s="201"/>
      <c r="Z211" s="201"/>
      <c r="AA211" s="130">
        <f t="shared" si="260"/>
        <v>18619571.044701889</v>
      </c>
      <c r="AB211" s="130">
        <v>0</v>
      </c>
      <c r="AC211" s="130">
        <f t="shared" si="261"/>
        <v>18619571.044701889</v>
      </c>
      <c r="AD211" s="130">
        <v>0</v>
      </c>
      <c r="AE211" s="201">
        <f t="shared" si="262"/>
        <v>18619571.044701889</v>
      </c>
      <c r="AF211" s="201">
        <f t="shared" si="266"/>
        <v>2216115.8709067535</v>
      </c>
    </row>
    <row r="212" spans="1:32" hidden="1" outlineLevel="1" x14ac:dyDescent="0.2">
      <c r="A212" s="124">
        <f t="shared" si="263"/>
        <v>16</v>
      </c>
      <c r="B212" s="221">
        <v>42979</v>
      </c>
      <c r="C212" s="201">
        <v>1162831.7444500183</v>
      </c>
      <c r="D212" s="201">
        <f>SUM($C$204:C212)</f>
        <v>9062294.5996297784</v>
      </c>
      <c r="E212" s="201"/>
      <c r="F212" s="201">
        <f t="shared" si="251"/>
        <v>9062294.5996297784</v>
      </c>
      <c r="G212" s="201">
        <f t="shared" si="252"/>
        <v>0</v>
      </c>
      <c r="H212" s="201">
        <f t="shared" si="253"/>
        <v>0</v>
      </c>
      <c r="I212" s="201">
        <f t="shared" si="264"/>
        <v>0</v>
      </c>
      <c r="J212" s="130">
        <f t="shared" si="254"/>
        <v>0</v>
      </c>
      <c r="K212" s="201">
        <f t="shared" si="255"/>
        <v>0</v>
      </c>
      <c r="L212" s="201"/>
      <c r="M212" s="130">
        <f t="shared" si="256"/>
        <v>3454344.5702202637</v>
      </c>
      <c r="N212" s="130">
        <v>0</v>
      </c>
      <c r="O212" s="201">
        <f t="shared" si="257"/>
        <v>3454344.5702202637</v>
      </c>
      <c r="P212" s="201">
        <f t="shared" si="265"/>
        <v>0</v>
      </c>
      <c r="Q212" s="201"/>
      <c r="R212" s="215"/>
      <c r="S212" s="201">
        <f t="shared" si="258"/>
        <v>9062294.5996297784</v>
      </c>
      <c r="T212" s="201">
        <f t="shared" si="259"/>
        <v>0</v>
      </c>
      <c r="U212" s="220">
        <f t="shared" si="259"/>
        <v>0</v>
      </c>
      <c r="V212" s="220"/>
      <c r="W212" s="201"/>
      <c r="X212" s="201"/>
      <c r="Y212" s="201"/>
      <c r="Z212" s="201"/>
      <c r="AA212" s="130">
        <f t="shared" si="260"/>
        <v>19782402.789151907</v>
      </c>
      <c r="AB212" s="130">
        <v>0</v>
      </c>
      <c r="AC212" s="130">
        <f t="shared" si="261"/>
        <v>19782402.789151907</v>
      </c>
      <c r="AD212" s="130">
        <v>0</v>
      </c>
      <c r="AE212" s="201">
        <f t="shared" si="262"/>
        <v>19782402.789151907</v>
      </c>
      <c r="AF212" s="201">
        <f t="shared" si="266"/>
        <v>1162831.7444500178</v>
      </c>
    </row>
    <row r="213" spans="1:32" ht="14.25" hidden="1" customHeight="1" outlineLevel="1" x14ac:dyDescent="0.2">
      <c r="A213" s="124">
        <f t="shared" si="263"/>
        <v>16</v>
      </c>
      <c r="B213" s="221">
        <v>43009</v>
      </c>
      <c r="C213" s="201">
        <v>-306619.36559916672</v>
      </c>
      <c r="D213" s="201">
        <f>SUM($C$204:C213)</f>
        <v>8755675.2340306118</v>
      </c>
      <c r="E213" s="201"/>
      <c r="F213" s="201">
        <f t="shared" si="251"/>
        <v>8755675.2340306118</v>
      </c>
      <c r="G213" s="201">
        <f t="shared" si="252"/>
        <v>0</v>
      </c>
      <c r="H213" s="201">
        <f t="shared" si="253"/>
        <v>0</v>
      </c>
      <c r="I213" s="201">
        <f t="shared" si="264"/>
        <v>0</v>
      </c>
      <c r="J213" s="130">
        <f t="shared" si="254"/>
        <v>0</v>
      </c>
      <c r="K213" s="201">
        <f t="shared" si="255"/>
        <v>0</v>
      </c>
      <c r="L213" s="201"/>
      <c r="M213" s="130">
        <f t="shared" si="256"/>
        <v>3454344.5702202637</v>
      </c>
      <c r="N213" s="130">
        <v>0</v>
      </c>
      <c r="O213" s="201">
        <f t="shared" si="257"/>
        <v>3454344.5702202637</v>
      </c>
      <c r="P213" s="201">
        <f t="shared" si="265"/>
        <v>0</v>
      </c>
      <c r="Q213" s="201"/>
      <c r="R213" s="215"/>
      <c r="S213" s="201">
        <f t="shared" si="258"/>
        <v>8755675.2340306118</v>
      </c>
      <c r="T213" s="201">
        <f t="shared" si="259"/>
        <v>0</v>
      </c>
      <c r="U213" s="220">
        <f t="shared" si="259"/>
        <v>0</v>
      </c>
      <c r="V213" s="220"/>
      <c r="W213" s="201"/>
      <c r="X213" s="201"/>
      <c r="Y213" s="201"/>
      <c r="Z213" s="201"/>
      <c r="AA213" s="130">
        <f t="shared" si="260"/>
        <v>19475783.42355274</v>
      </c>
      <c r="AB213" s="130">
        <v>0</v>
      </c>
      <c r="AC213" s="130">
        <f t="shared" si="261"/>
        <v>19475783.42355274</v>
      </c>
      <c r="AD213" s="130">
        <v>0</v>
      </c>
      <c r="AE213" s="201">
        <f t="shared" si="262"/>
        <v>19475783.42355274</v>
      </c>
      <c r="AF213" s="201">
        <f t="shared" si="266"/>
        <v>-306619.3655991666</v>
      </c>
    </row>
    <row r="214" spans="1:32" hidden="1" outlineLevel="1" x14ac:dyDescent="0.2">
      <c r="A214" s="124">
        <f t="shared" si="263"/>
        <v>16</v>
      </c>
      <c r="B214" s="221">
        <v>43040</v>
      </c>
      <c r="C214" s="201">
        <v>2401165.9017115245</v>
      </c>
      <c r="D214" s="201">
        <f>SUM($C$204:C214)</f>
        <v>11156841.135742135</v>
      </c>
      <c r="E214" s="201"/>
      <c r="F214" s="201">
        <f t="shared" si="251"/>
        <v>11156841.135742135</v>
      </c>
      <c r="G214" s="201">
        <f t="shared" si="252"/>
        <v>0</v>
      </c>
      <c r="H214" s="201">
        <f t="shared" si="253"/>
        <v>0</v>
      </c>
      <c r="I214" s="201">
        <f t="shared" si="264"/>
        <v>0</v>
      </c>
      <c r="J214" s="130">
        <f t="shared" si="254"/>
        <v>0</v>
      </c>
      <c r="K214" s="201">
        <f t="shared" si="255"/>
        <v>0</v>
      </c>
      <c r="L214" s="201"/>
      <c r="M214" s="130">
        <f t="shared" si="256"/>
        <v>3454344.5702202637</v>
      </c>
      <c r="N214" s="130">
        <v>0</v>
      </c>
      <c r="O214" s="201">
        <f t="shared" si="257"/>
        <v>3454344.5702202637</v>
      </c>
      <c r="P214" s="201">
        <f t="shared" si="265"/>
        <v>0</v>
      </c>
      <c r="Q214" s="201"/>
      <c r="R214" s="215"/>
      <c r="S214" s="201">
        <f t="shared" si="258"/>
        <v>11156841.135742135</v>
      </c>
      <c r="T214" s="201">
        <f t="shared" si="259"/>
        <v>0</v>
      </c>
      <c r="U214" s="220">
        <f t="shared" si="259"/>
        <v>0</v>
      </c>
      <c r="V214" s="220"/>
      <c r="W214" s="201"/>
      <c r="X214" s="201"/>
      <c r="Y214" s="201"/>
      <c r="Z214" s="201"/>
      <c r="AA214" s="130">
        <f t="shared" si="260"/>
        <v>21876949.325264264</v>
      </c>
      <c r="AB214" s="130">
        <v>0</v>
      </c>
      <c r="AC214" s="130">
        <f t="shared" si="261"/>
        <v>21876949.325264264</v>
      </c>
      <c r="AD214" s="130">
        <v>0</v>
      </c>
      <c r="AE214" s="201">
        <f t="shared" si="262"/>
        <v>21876949.325264264</v>
      </c>
      <c r="AF214" s="201">
        <f t="shared" si="266"/>
        <v>2401165.9017115235</v>
      </c>
    </row>
    <row r="215" spans="1:32" hidden="1" outlineLevel="1" x14ac:dyDescent="0.2">
      <c r="A215" s="124">
        <f t="shared" si="263"/>
        <v>16</v>
      </c>
      <c r="B215" s="221">
        <v>43070</v>
      </c>
      <c r="C215" s="201">
        <v>537437.65022195282</v>
      </c>
      <c r="D215" s="201">
        <f>SUM($C$204:C215)</f>
        <v>11694278.785964089</v>
      </c>
      <c r="E215" s="201"/>
      <c r="F215" s="201">
        <f t="shared" si="251"/>
        <v>11694278.785964089</v>
      </c>
      <c r="G215" s="201">
        <f t="shared" si="252"/>
        <v>0</v>
      </c>
      <c r="H215" s="201">
        <f t="shared" si="253"/>
        <v>0</v>
      </c>
      <c r="I215" s="201">
        <f t="shared" si="264"/>
        <v>0</v>
      </c>
      <c r="J215" s="130">
        <f t="shared" si="254"/>
        <v>0</v>
      </c>
      <c r="K215" s="201">
        <f t="shared" si="255"/>
        <v>0</v>
      </c>
      <c r="L215" s="201"/>
      <c r="M215" s="130">
        <f t="shared" si="256"/>
        <v>3454344.5702202637</v>
      </c>
      <c r="N215" s="130">
        <v>0</v>
      </c>
      <c r="O215" s="201">
        <f t="shared" si="257"/>
        <v>3454344.5702202637</v>
      </c>
      <c r="P215" s="201">
        <f t="shared" si="265"/>
        <v>0</v>
      </c>
      <c r="Q215" s="201"/>
      <c r="R215" s="215"/>
      <c r="S215" s="201">
        <f t="shared" si="258"/>
        <v>11694278.785964089</v>
      </c>
      <c r="T215" s="201">
        <f t="shared" si="259"/>
        <v>0</v>
      </c>
      <c r="U215" s="220">
        <f t="shared" si="259"/>
        <v>0</v>
      </c>
      <c r="V215" s="220"/>
      <c r="W215" s="201"/>
      <c r="X215" s="201"/>
      <c r="Y215" s="201"/>
      <c r="Z215" s="201"/>
      <c r="AA215" s="130">
        <f t="shared" si="260"/>
        <v>22414386.975486219</v>
      </c>
      <c r="AB215" s="130">
        <v>0</v>
      </c>
      <c r="AC215" s="130">
        <f t="shared" si="261"/>
        <v>22414386.975486219</v>
      </c>
      <c r="AD215" s="130">
        <v>0</v>
      </c>
      <c r="AE215" s="201">
        <f t="shared" si="262"/>
        <v>22414386.975486219</v>
      </c>
      <c r="AF215" s="201">
        <f t="shared" si="266"/>
        <v>537437.65022195503</v>
      </c>
    </row>
    <row r="216" spans="1:32" hidden="1" outlineLevel="1" x14ac:dyDescent="0.2">
      <c r="A216" s="124"/>
      <c r="B216" s="221"/>
      <c r="C216" s="201"/>
      <c r="D216" s="201"/>
      <c r="E216" s="201"/>
      <c r="F216" s="201"/>
      <c r="G216" s="201"/>
      <c r="H216" s="201"/>
      <c r="I216" s="201"/>
      <c r="J216" s="130"/>
      <c r="K216" s="201"/>
      <c r="L216" s="201"/>
      <c r="M216" s="130"/>
      <c r="N216" s="130"/>
      <c r="O216" s="201"/>
      <c r="P216" s="201"/>
      <c r="Q216" s="201"/>
      <c r="R216" s="215"/>
      <c r="S216" s="201"/>
      <c r="T216" s="201"/>
      <c r="U216" s="220"/>
      <c r="V216" s="220"/>
      <c r="W216" s="201"/>
      <c r="X216" s="201"/>
      <c r="Y216" s="201"/>
      <c r="Z216" s="201"/>
      <c r="AA216" s="201"/>
      <c r="AB216" s="130"/>
      <c r="AC216" s="130"/>
      <c r="AD216" s="130"/>
      <c r="AE216" s="201"/>
      <c r="AF216" s="201"/>
    </row>
    <row r="217" spans="1:32" hidden="1" outlineLevel="1" x14ac:dyDescent="0.2">
      <c r="A217" s="124">
        <v>17</v>
      </c>
      <c r="B217" s="221">
        <v>43101</v>
      </c>
      <c r="C217" s="201">
        <v>-1159096.6241614411</v>
      </c>
      <c r="D217" s="201">
        <f>C217</f>
        <v>-1159096.6241614411</v>
      </c>
      <c r="E217" s="201"/>
      <c r="F217" s="201">
        <f t="shared" ref="F217:F228" si="267">IF(ABS(D217)&gt;+$F$12,IF(D217&lt;0,-$F$12,+$F$12),+D217)</f>
        <v>-1159096.6241614411</v>
      </c>
      <c r="G217" s="201">
        <f t="shared" ref="G217:G228" si="268">IF(ABS(D217)-ABS(F217)&gt;=$G$12,IF(D217&lt;=0,-$G$12,+$G$12),+D217-F217)</f>
        <v>0</v>
      </c>
      <c r="H217" s="201">
        <f t="shared" ref="H217:H228" si="269">IF(ABS(+D217)-ABS(SUM(F217:G217))&gt;=$H$12,IF(D217&lt;=0,-$H$12,+$H$12),+D217-SUM(F217:G217))</f>
        <v>0</v>
      </c>
      <c r="I217" s="201"/>
      <c r="J217" s="130">
        <f t="shared" ref="J217:J228" si="270">IF(G217&gt;0,+G217*$C$269,G217*$C$270)</f>
        <v>0</v>
      </c>
      <c r="K217" s="201">
        <f t="shared" ref="K217:K228" si="271">+H217*$C$271</f>
        <v>0</v>
      </c>
      <c r="L217" s="201"/>
      <c r="M217" s="130">
        <f t="shared" ref="M217:M228" si="272">SUM(J217:L217)+$M$215</f>
        <v>3454344.5702202637</v>
      </c>
      <c r="N217" s="130">
        <v>0</v>
      </c>
      <c r="O217" s="201">
        <f t="shared" ref="O217:O228" si="273">M217+N217</f>
        <v>3454344.5702202637</v>
      </c>
      <c r="P217" s="201">
        <f>O217-O215</f>
        <v>0</v>
      </c>
      <c r="Q217" s="201"/>
      <c r="R217" s="215"/>
      <c r="S217" s="201">
        <f t="shared" ref="S217:S228" si="274">+F217</f>
        <v>-1159096.6241614411</v>
      </c>
      <c r="T217" s="201">
        <f t="shared" ref="T217:U228" si="275">+G217-J217</f>
        <v>0</v>
      </c>
      <c r="U217" s="220">
        <f t="shared" si="275"/>
        <v>0</v>
      </c>
      <c r="V217" s="220"/>
      <c r="W217" s="201"/>
      <c r="X217" s="201"/>
      <c r="Y217" s="201"/>
      <c r="Z217" s="201"/>
      <c r="AA217" s="130">
        <f t="shared" ref="AA217:AA228" si="276">SUM(S217:V217)+$AA$215</f>
        <v>21255290.351324778</v>
      </c>
      <c r="AB217" s="130">
        <v>0</v>
      </c>
      <c r="AC217" s="130">
        <f t="shared" ref="AC217:AC228" si="277">AA217-AB217</f>
        <v>21255290.351324778</v>
      </c>
      <c r="AD217" s="130">
        <v>0</v>
      </c>
      <c r="AE217" s="201">
        <f t="shared" ref="AE217:AE228" si="278">AA217-AB217+AD217</f>
        <v>21255290.351324778</v>
      </c>
      <c r="AF217" s="130">
        <f>AE217-AE215</f>
        <v>-1159096.6241614409</v>
      </c>
    </row>
    <row r="218" spans="1:32" hidden="1" outlineLevel="1" x14ac:dyDescent="0.2">
      <c r="A218" s="124">
        <f t="shared" ref="A218:A228" si="279">A217</f>
        <v>17</v>
      </c>
      <c r="B218" s="221">
        <v>43132</v>
      </c>
      <c r="C218" s="201">
        <v>-4510200.7405628478</v>
      </c>
      <c r="D218" s="201">
        <f>SUM($C$217:C218)</f>
        <v>-5669297.3647242887</v>
      </c>
      <c r="E218" s="201"/>
      <c r="F218" s="201">
        <f t="shared" si="267"/>
        <v>-5669297.3647242887</v>
      </c>
      <c r="G218" s="201">
        <f t="shared" si="268"/>
        <v>0</v>
      </c>
      <c r="H218" s="201">
        <f t="shared" si="269"/>
        <v>0</v>
      </c>
      <c r="I218" s="201"/>
      <c r="J218" s="130">
        <f t="shared" si="270"/>
        <v>0</v>
      </c>
      <c r="K218" s="201">
        <f t="shared" si="271"/>
        <v>0</v>
      </c>
      <c r="L218" s="201"/>
      <c r="M218" s="130">
        <f t="shared" si="272"/>
        <v>3454344.5702202637</v>
      </c>
      <c r="N218" s="130">
        <v>0</v>
      </c>
      <c r="O218" s="201">
        <f t="shared" si="273"/>
        <v>3454344.5702202637</v>
      </c>
      <c r="P218" s="201">
        <f t="shared" ref="P218:P228" si="280">O218-O217</f>
        <v>0</v>
      </c>
      <c r="Q218" s="201"/>
      <c r="R218" s="215"/>
      <c r="S218" s="201">
        <f t="shared" si="274"/>
        <v>-5669297.3647242887</v>
      </c>
      <c r="T218" s="201">
        <f t="shared" si="275"/>
        <v>0</v>
      </c>
      <c r="U218" s="220">
        <f t="shared" si="275"/>
        <v>0</v>
      </c>
      <c r="V218" s="220"/>
      <c r="W218" s="201"/>
      <c r="X218" s="201"/>
      <c r="Y218" s="201"/>
      <c r="Z218" s="201"/>
      <c r="AA218" s="130">
        <f t="shared" si="276"/>
        <v>16745089.610761929</v>
      </c>
      <c r="AB218" s="130">
        <v>0</v>
      </c>
      <c r="AC218" s="130">
        <f t="shared" si="277"/>
        <v>16745089.610761929</v>
      </c>
      <c r="AD218" s="130">
        <v>0</v>
      </c>
      <c r="AE218" s="201">
        <f t="shared" si="278"/>
        <v>16745089.610761929</v>
      </c>
      <c r="AF218" s="201">
        <f t="shared" ref="AF218:AF228" si="281">AE218-AE217</f>
        <v>-4510200.7405628487</v>
      </c>
    </row>
    <row r="219" spans="1:32" hidden="1" outlineLevel="1" x14ac:dyDescent="0.2">
      <c r="A219" s="124">
        <f t="shared" si="279"/>
        <v>17</v>
      </c>
      <c r="B219" s="221">
        <v>43160</v>
      </c>
      <c r="C219" s="201">
        <v>-1819951.498367775</v>
      </c>
      <c r="D219" s="201">
        <f>SUM($C$217:C219)</f>
        <v>-7489248.8630920639</v>
      </c>
      <c r="E219" s="201"/>
      <c r="F219" s="201">
        <f t="shared" si="267"/>
        <v>-7489248.8630920639</v>
      </c>
      <c r="G219" s="201">
        <f t="shared" si="268"/>
        <v>0</v>
      </c>
      <c r="H219" s="201">
        <f t="shared" si="269"/>
        <v>0</v>
      </c>
      <c r="I219" s="201"/>
      <c r="J219" s="130">
        <f t="shared" si="270"/>
        <v>0</v>
      </c>
      <c r="K219" s="201">
        <f t="shared" si="271"/>
        <v>0</v>
      </c>
      <c r="L219" s="201"/>
      <c r="M219" s="130">
        <f t="shared" si="272"/>
        <v>3454344.5702202637</v>
      </c>
      <c r="N219" s="130">
        <v>0</v>
      </c>
      <c r="O219" s="201">
        <f t="shared" si="273"/>
        <v>3454344.5702202637</v>
      </c>
      <c r="P219" s="201">
        <f t="shared" si="280"/>
        <v>0</v>
      </c>
      <c r="Q219" s="201"/>
      <c r="R219" s="215"/>
      <c r="S219" s="201">
        <f t="shared" si="274"/>
        <v>-7489248.8630920639</v>
      </c>
      <c r="T219" s="201">
        <f t="shared" si="275"/>
        <v>0</v>
      </c>
      <c r="U219" s="220">
        <f t="shared" si="275"/>
        <v>0</v>
      </c>
      <c r="V219" s="220"/>
      <c r="W219" s="201"/>
      <c r="X219" s="201"/>
      <c r="Y219" s="201"/>
      <c r="Z219" s="201"/>
      <c r="AA219" s="130">
        <f t="shared" si="276"/>
        <v>14925138.112394154</v>
      </c>
      <c r="AB219" s="130">
        <v>0</v>
      </c>
      <c r="AC219" s="130">
        <f t="shared" si="277"/>
        <v>14925138.112394154</v>
      </c>
      <c r="AD219" s="130">
        <v>0</v>
      </c>
      <c r="AE219" s="201">
        <f t="shared" si="278"/>
        <v>14925138.112394154</v>
      </c>
      <c r="AF219" s="201">
        <f t="shared" si="281"/>
        <v>-1819951.4983677752</v>
      </c>
    </row>
    <row r="220" spans="1:32" hidden="1" outlineLevel="1" x14ac:dyDescent="0.2">
      <c r="A220" s="124">
        <f t="shared" si="279"/>
        <v>17</v>
      </c>
      <c r="B220" s="221">
        <v>43191</v>
      </c>
      <c r="C220" s="201">
        <v>-3094283.4525845423</v>
      </c>
      <c r="D220" s="201">
        <f>SUM($C$217:C220)</f>
        <v>-10583532.315676607</v>
      </c>
      <c r="E220" s="201"/>
      <c r="F220" s="201">
        <f t="shared" si="267"/>
        <v>-10583532.315676607</v>
      </c>
      <c r="G220" s="201">
        <f t="shared" si="268"/>
        <v>0</v>
      </c>
      <c r="H220" s="201">
        <f t="shared" si="269"/>
        <v>0</v>
      </c>
      <c r="I220" s="201"/>
      <c r="J220" s="130">
        <f t="shared" si="270"/>
        <v>0</v>
      </c>
      <c r="K220" s="201">
        <f t="shared" si="271"/>
        <v>0</v>
      </c>
      <c r="L220" s="201"/>
      <c r="M220" s="130">
        <f t="shared" si="272"/>
        <v>3454344.5702202637</v>
      </c>
      <c r="N220" s="130">
        <v>0</v>
      </c>
      <c r="O220" s="201">
        <f t="shared" si="273"/>
        <v>3454344.5702202637</v>
      </c>
      <c r="P220" s="201">
        <f t="shared" si="280"/>
        <v>0</v>
      </c>
      <c r="Q220" s="201"/>
      <c r="R220" s="215"/>
      <c r="S220" s="201">
        <f t="shared" si="274"/>
        <v>-10583532.315676607</v>
      </c>
      <c r="T220" s="201">
        <f t="shared" si="275"/>
        <v>0</v>
      </c>
      <c r="U220" s="220">
        <f t="shared" si="275"/>
        <v>0</v>
      </c>
      <c r="V220" s="220"/>
      <c r="W220" s="201"/>
      <c r="X220" s="201"/>
      <c r="Y220" s="201"/>
      <c r="Z220" s="201"/>
      <c r="AA220" s="130">
        <f t="shared" si="276"/>
        <v>11830854.659809612</v>
      </c>
      <c r="AB220" s="130">
        <v>0</v>
      </c>
      <c r="AC220" s="130">
        <f t="shared" si="277"/>
        <v>11830854.659809612</v>
      </c>
      <c r="AD220" s="130">
        <v>0</v>
      </c>
      <c r="AE220" s="201">
        <f t="shared" si="278"/>
        <v>11830854.659809612</v>
      </c>
      <c r="AF220" s="201">
        <f t="shared" si="281"/>
        <v>-3094283.4525845423</v>
      </c>
    </row>
    <row r="221" spans="1:32" hidden="1" outlineLevel="1" x14ac:dyDescent="0.2">
      <c r="A221" s="124">
        <f t="shared" si="279"/>
        <v>17</v>
      </c>
      <c r="B221" s="221">
        <v>43221</v>
      </c>
      <c r="C221" s="201">
        <v>-1714076.7782624061</v>
      </c>
      <c r="D221" s="201">
        <f>SUM($C$217:C221)</f>
        <v>-12297609.093939014</v>
      </c>
      <c r="E221" s="201"/>
      <c r="F221" s="201">
        <f t="shared" si="267"/>
        <v>-12297609.093939014</v>
      </c>
      <c r="G221" s="201">
        <f t="shared" si="268"/>
        <v>0</v>
      </c>
      <c r="H221" s="201">
        <f t="shared" si="269"/>
        <v>0</v>
      </c>
      <c r="I221" s="201"/>
      <c r="J221" s="130">
        <f t="shared" si="270"/>
        <v>0</v>
      </c>
      <c r="K221" s="201">
        <f t="shared" si="271"/>
        <v>0</v>
      </c>
      <c r="L221" s="201"/>
      <c r="M221" s="130">
        <f t="shared" si="272"/>
        <v>3454344.5702202637</v>
      </c>
      <c r="N221" s="130">
        <v>0</v>
      </c>
      <c r="O221" s="201">
        <f t="shared" si="273"/>
        <v>3454344.5702202637</v>
      </c>
      <c r="P221" s="201">
        <f t="shared" si="280"/>
        <v>0</v>
      </c>
      <c r="Q221" s="201"/>
      <c r="R221" s="215"/>
      <c r="S221" s="201">
        <f t="shared" si="274"/>
        <v>-12297609.093939014</v>
      </c>
      <c r="T221" s="201">
        <f t="shared" si="275"/>
        <v>0</v>
      </c>
      <c r="U221" s="220">
        <f t="shared" si="275"/>
        <v>0</v>
      </c>
      <c r="V221" s="220"/>
      <c r="W221" s="201"/>
      <c r="X221" s="201"/>
      <c r="Y221" s="201"/>
      <c r="Z221" s="201"/>
      <c r="AA221" s="130">
        <f t="shared" si="276"/>
        <v>10116777.881547205</v>
      </c>
      <c r="AB221" s="130">
        <v>0</v>
      </c>
      <c r="AC221" s="130">
        <f t="shared" si="277"/>
        <v>10116777.881547205</v>
      </c>
      <c r="AD221" s="130">
        <v>0</v>
      </c>
      <c r="AE221" s="201">
        <f t="shared" si="278"/>
        <v>10116777.881547205</v>
      </c>
      <c r="AF221" s="201">
        <f t="shared" si="281"/>
        <v>-1714076.7782624066</v>
      </c>
    </row>
    <row r="222" spans="1:32" hidden="1" outlineLevel="1" x14ac:dyDescent="0.2">
      <c r="A222" s="124">
        <f t="shared" si="279"/>
        <v>17</v>
      </c>
      <c r="B222" s="221">
        <v>43252</v>
      </c>
      <c r="C222" s="201">
        <v>-3046318.8314641989</v>
      </c>
      <c r="D222" s="201">
        <f>SUM($C$217:C222)</f>
        <v>-15343927.925403213</v>
      </c>
      <c r="E222" s="201"/>
      <c r="F222" s="201">
        <f t="shared" si="267"/>
        <v>-15343927.925403213</v>
      </c>
      <c r="G222" s="201">
        <f t="shared" si="268"/>
        <v>0</v>
      </c>
      <c r="H222" s="201">
        <f t="shared" si="269"/>
        <v>0</v>
      </c>
      <c r="I222" s="201"/>
      <c r="J222" s="130">
        <f t="shared" si="270"/>
        <v>0</v>
      </c>
      <c r="K222" s="201">
        <f t="shared" si="271"/>
        <v>0</v>
      </c>
      <c r="L222" s="201"/>
      <c r="M222" s="130">
        <f t="shared" si="272"/>
        <v>3454344.5702202637</v>
      </c>
      <c r="N222" s="130">
        <v>0</v>
      </c>
      <c r="O222" s="201">
        <f t="shared" si="273"/>
        <v>3454344.5702202637</v>
      </c>
      <c r="P222" s="201">
        <f t="shared" si="280"/>
        <v>0</v>
      </c>
      <c r="Q222" s="201"/>
      <c r="R222" s="215"/>
      <c r="S222" s="201">
        <f t="shared" si="274"/>
        <v>-15343927.925403213</v>
      </c>
      <c r="T222" s="201">
        <f t="shared" si="275"/>
        <v>0</v>
      </c>
      <c r="U222" s="220">
        <f t="shared" si="275"/>
        <v>0</v>
      </c>
      <c r="V222" s="220"/>
      <c r="W222" s="201"/>
      <c r="X222" s="201"/>
      <c r="Y222" s="201"/>
      <c r="Z222" s="201"/>
      <c r="AA222" s="130">
        <f t="shared" si="276"/>
        <v>7070459.0500830058</v>
      </c>
      <c r="AB222" s="130">
        <v>0</v>
      </c>
      <c r="AC222" s="130">
        <f t="shared" si="277"/>
        <v>7070459.0500830058</v>
      </c>
      <c r="AD222" s="130">
        <v>0</v>
      </c>
      <c r="AE222" s="201">
        <f t="shared" si="278"/>
        <v>7070459.0500830058</v>
      </c>
      <c r="AF222" s="201">
        <f t="shared" si="281"/>
        <v>-3046318.8314641993</v>
      </c>
    </row>
    <row r="223" spans="1:32" hidden="1" outlineLevel="1" x14ac:dyDescent="0.2">
      <c r="A223" s="124">
        <f t="shared" si="279"/>
        <v>17</v>
      </c>
      <c r="B223" s="221">
        <v>43282</v>
      </c>
      <c r="C223" s="201">
        <v>4791247.7506745281</v>
      </c>
      <c r="D223" s="201">
        <f>SUM($C$217:C223)</f>
        <v>-10552680.174728684</v>
      </c>
      <c r="E223" s="201"/>
      <c r="F223" s="201">
        <f t="shared" si="267"/>
        <v>-10552680.174728684</v>
      </c>
      <c r="G223" s="201">
        <f t="shared" si="268"/>
        <v>0</v>
      </c>
      <c r="H223" s="201">
        <f t="shared" si="269"/>
        <v>0</v>
      </c>
      <c r="I223" s="201"/>
      <c r="J223" s="130">
        <f t="shared" si="270"/>
        <v>0</v>
      </c>
      <c r="K223" s="201">
        <f t="shared" si="271"/>
        <v>0</v>
      </c>
      <c r="L223" s="201"/>
      <c r="M223" s="130">
        <f t="shared" si="272"/>
        <v>3454344.5702202637</v>
      </c>
      <c r="N223" s="130">
        <v>0</v>
      </c>
      <c r="O223" s="201">
        <f t="shared" si="273"/>
        <v>3454344.5702202637</v>
      </c>
      <c r="P223" s="201">
        <f t="shared" si="280"/>
        <v>0</v>
      </c>
      <c r="Q223" s="201"/>
      <c r="R223" s="215"/>
      <c r="S223" s="201">
        <f t="shared" si="274"/>
        <v>-10552680.174728684</v>
      </c>
      <c r="T223" s="201">
        <f t="shared" si="275"/>
        <v>0</v>
      </c>
      <c r="U223" s="220">
        <f t="shared" si="275"/>
        <v>0</v>
      </c>
      <c r="V223" s="220"/>
      <c r="W223" s="201"/>
      <c r="X223" s="201"/>
      <c r="Y223" s="201"/>
      <c r="Z223" s="201"/>
      <c r="AA223" s="130">
        <f t="shared" si="276"/>
        <v>11861706.800757535</v>
      </c>
      <c r="AB223" s="130">
        <v>0</v>
      </c>
      <c r="AC223" s="130">
        <f t="shared" si="277"/>
        <v>11861706.800757535</v>
      </c>
      <c r="AD223" s="130">
        <v>0</v>
      </c>
      <c r="AE223" s="201">
        <f t="shared" si="278"/>
        <v>11861706.800757535</v>
      </c>
      <c r="AF223" s="201">
        <f t="shared" si="281"/>
        <v>4791247.750674529</v>
      </c>
    </row>
    <row r="224" spans="1:32" hidden="1" outlineLevel="1" x14ac:dyDescent="0.2">
      <c r="A224" s="124">
        <f t="shared" si="279"/>
        <v>17</v>
      </c>
      <c r="B224" s="221">
        <v>43313</v>
      </c>
      <c r="C224" s="201">
        <v>7462752.246269661</v>
      </c>
      <c r="D224" s="201">
        <f>SUM($C$217:C224)</f>
        <v>-3089927.9284590231</v>
      </c>
      <c r="E224" s="201"/>
      <c r="F224" s="201">
        <f t="shared" si="267"/>
        <v>-3089927.9284590231</v>
      </c>
      <c r="G224" s="201">
        <f t="shared" si="268"/>
        <v>0</v>
      </c>
      <c r="H224" s="201">
        <f t="shared" si="269"/>
        <v>0</v>
      </c>
      <c r="I224" s="201"/>
      <c r="J224" s="130">
        <f t="shared" si="270"/>
        <v>0</v>
      </c>
      <c r="K224" s="201">
        <f t="shared" si="271"/>
        <v>0</v>
      </c>
      <c r="L224" s="201"/>
      <c r="M224" s="130">
        <f t="shared" si="272"/>
        <v>3454344.5702202637</v>
      </c>
      <c r="N224" s="130">
        <v>0</v>
      </c>
      <c r="O224" s="201">
        <f t="shared" si="273"/>
        <v>3454344.5702202637</v>
      </c>
      <c r="P224" s="201">
        <f t="shared" si="280"/>
        <v>0</v>
      </c>
      <c r="Q224" s="201"/>
      <c r="R224" s="215"/>
      <c r="S224" s="201">
        <f t="shared" si="274"/>
        <v>-3089927.9284590231</v>
      </c>
      <c r="T224" s="201">
        <f t="shared" si="275"/>
        <v>0</v>
      </c>
      <c r="U224" s="220">
        <f t="shared" si="275"/>
        <v>0</v>
      </c>
      <c r="V224" s="220"/>
      <c r="W224" s="201"/>
      <c r="X224" s="201"/>
      <c r="Y224" s="201"/>
      <c r="Z224" s="201"/>
      <c r="AA224" s="130">
        <f t="shared" si="276"/>
        <v>19324459.047027197</v>
      </c>
      <c r="AB224" s="130">
        <v>0</v>
      </c>
      <c r="AC224" s="130">
        <f t="shared" si="277"/>
        <v>19324459.047027197</v>
      </c>
      <c r="AD224" s="130">
        <v>0</v>
      </c>
      <c r="AE224" s="201">
        <f t="shared" si="278"/>
        <v>19324459.047027197</v>
      </c>
      <c r="AF224" s="201">
        <f t="shared" si="281"/>
        <v>7462752.2462696619</v>
      </c>
    </row>
    <row r="225" spans="1:32" hidden="1" outlineLevel="1" x14ac:dyDescent="0.2">
      <c r="A225" s="124">
        <f t="shared" si="279"/>
        <v>17</v>
      </c>
      <c r="B225" s="221">
        <v>43344</v>
      </c>
      <c r="C225" s="201">
        <v>-927532.24866658181</v>
      </c>
      <c r="D225" s="201">
        <f>SUM($C$217:C225)</f>
        <v>-4017460.1771256048</v>
      </c>
      <c r="E225" s="201"/>
      <c r="F225" s="201">
        <f t="shared" si="267"/>
        <v>-4017460.1771256048</v>
      </c>
      <c r="G225" s="201">
        <f t="shared" si="268"/>
        <v>0</v>
      </c>
      <c r="H225" s="201">
        <f t="shared" si="269"/>
        <v>0</v>
      </c>
      <c r="I225" s="201"/>
      <c r="J225" s="130">
        <f t="shared" si="270"/>
        <v>0</v>
      </c>
      <c r="K225" s="201">
        <f t="shared" si="271"/>
        <v>0</v>
      </c>
      <c r="L225" s="201"/>
      <c r="M225" s="130">
        <f t="shared" si="272"/>
        <v>3454344.5702202637</v>
      </c>
      <c r="N225" s="130">
        <v>0</v>
      </c>
      <c r="O225" s="201">
        <f t="shared" si="273"/>
        <v>3454344.5702202637</v>
      </c>
      <c r="P225" s="201">
        <f t="shared" si="280"/>
        <v>0</v>
      </c>
      <c r="Q225" s="201"/>
      <c r="R225" s="215"/>
      <c r="S225" s="201">
        <f t="shared" si="274"/>
        <v>-4017460.1771256048</v>
      </c>
      <c r="T225" s="201">
        <f t="shared" si="275"/>
        <v>0</v>
      </c>
      <c r="U225" s="220">
        <f t="shared" si="275"/>
        <v>0</v>
      </c>
      <c r="V225" s="220"/>
      <c r="W225" s="201"/>
      <c r="X225" s="201"/>
      <c r="Y225" s="201"/>
      <c r="Z225" s="201"/>
      <c r="AA225" s="130">
        <f t="shared" si="276"/>
        <v>18396926.798360616</v>
      </c>
      <c r="AB225" s="130">
        <v>0</v>
      </c>
      <c r="AC225" s="130">
        <f t="shared" si="277"/>
        <v>18396926.798360616</v>
      </c>
      <c r="AD225" s="130">
        <v>0</v>
      </c>
      <c r="AE225" s="201">
        <f t="shared" si="278"/>
        <v>18396926.798360616</v>
      </c>
      <c r="AF225" s="201">
        <f t="shared" si="281"/>
        <v>-927532.24866658077</v>
      </c>
    </row>
    <row r="226" spans="1:32" hidden="1" outlineLevel="1" x14ac:dyDescent="0.2">
      <c r="A226" s="124">
        <f t="shared" si="279"/>
        <v>17</v>
      </c>
      <c r="B226" s="221">
        <v>43374</v>
      </c>
      <c r="C226" s="201">
        <v>4869117.1131042046</v>
      </c>
      <c r="D226" s="201">
        <f>SUM($C$217:C226)</f>
        <v>851656.93597859982</v>
      </c>
      <c r="E226" s="201"/>
      <c r="F226" s="201">
        <f t="shared" si="267"/>
        <v>851656.93597859982</v>
      </c>
      <c r="G226" s="201">
        <f t="shared" si="268"/>
        <v>0</v>
      </c>
      <c r="H226" s="201">
        <f t="shared" si="269"/>
        <v>0</v>
      </c>
      <c r="I226" s="201"/>
      <c r="J226" s="130">
        <f t="shared" si="270"/>
        <v>0</v>
      </c>
      <c r="K226" s="201">
        <f t="shared" si="271"/>
        <v>0</v>
      </c>
      <c r="L226" s="201"/>
      <c r="M226" s="130">
        <f t="shared" si="272"/>
        <v>3454344.5702202637</v>
      </c>
      <c r="N226" s="130">
        <v>0</v>
      </c>
      <c r="O226" s="201">
        <f t="shared" si="273"/>
        <v>3454344.5702202637</v>
      </c>
      <c r="P226" s="201">
        <f t="shared" si="280"/>
        <v>0</v>
      </c>
      <c r="Q226" s="201"/>
      <c r="R226" s="215"/>
      <c r="S226" s="201">
        <f t="shared" si="274"/>
        <v>851656.93597859982</v>
      </c>
      <c r="T226" s="201">
        <f t="shared" si="275"/>
        <v>0</v>
      </c>
      <c r="U226" s="220">
        <f t="shared" si="275"/>
        <v>0</v>
      </c>
      <c r="V226" s="220"/>
      <c r="W226" s="201"/>
      <c r="X226" s="201"/>
      <c r="Y226" s="201"/>
      <c r="Z226" s="201"/>
      <c r="AA226" s="130">
        <f t="shared" si="276"/>
        <v>23266043.911464818</v>
      </c>
      <c r="AB226" s="130">
        <v>0</v>
      </c>
      <c r="AC226" s="130">
        <f t="shared" si="277"/>
        <v>23266043.911464818</v>
      </c>
      <c r="AD226" s="130">
        <v>0</v>
      </c>
      <c r="AE226" s="201">
        <f t="shared" si="278"/>
        <v>23266043.911464818</v>
      </c>
      <c r="AF226" s="201">
        <f t="shared" si="281"/>
        <v>4869117.1131042019</v>
      </c>
    </row>
    <row r="227" spans="1:32" hidden="1" outlineLevel="1" x14ac:dyDescent="0.2">
      <c r="A227" s="124">
        <f t="shared" si="279"/>
        <v>17</v>
      </c>
      <c r="B227" s="221">
        <v>43405</v>
      </c>
      <c r="C227" s="201">
        <v>-12938347.984385502</v>
      </c>
      <c r="D227" s="201">
        <f>SUM($C$217:C227)</f>
        <v>-12086691.048406903</v>
      </c>
      <c r="E227" s="201"/>
      <c r="F227" s="201">
        <f t="shared" si="267"/>
        <v>-12086691.048406903</v>
      </c>
      <c r="G227" s="201">
        <f t="shared" si="268"/>
        <v>0</v>
      </c>
      <c r="H227" s="201">
        <f t="shared" si="269"/>
        <v>0</v>
      </c>
      <c r="I227" s="201"/>
      <c r="J227" s="130">
        <f t="shared" si="270"/>
        <v>0</v>
      </c>
      <c r="K227" s="201">
        <f t="shared" si="271"/>
        <v>0</v>
      </c>
      <c r="L227" s="201"/>
      <c r="M227" s="130">
        <f t="shared" si="272"/>
        <v>3454344.5702202637</v>
      </c>
      <c r="N227" s="130">
        <v>0</v>
      </c>
      <c r="O227" s="201">
        <f t="shared" si="273"/>
        <v>3454344.5702202637</v>
      </c>
      <c r="P227" s="201">
        <f t="shared" si="280"/>
        <v>0</v>
      </c>
      <c r="Q227" s="201"/>
      <c r="R227" s="215"/>
      <c r="S227" s="201">
        <f t="shared" si="274"/>
        <v>-12086691.048406903</v>
      </c>
      <c r="T227" s="201">
        <f t="shared" si="275"/>
        <v>0</v>
      </c>
      <c r="U227" s="220">
        <f t="shared" si="275"/>
        <v>0</v>
      </c>
      <c r="V227" s="220"/>
      <c r="W227" s="201"/>
      <c r="X227" s="201"/>
      <c r="Y227" s="201"/>
      <c r="Z227" s="201"/>
      <c r="AA227" s="130">
        <f t="shared" si="276"/>
        <v>10327695.927079316</v>
      </c>
      <c r="AB227" s="130">
        <v>0</v>
      </c>
      <c r="AC227" s="130">
        <f t="shared" si="277"/>
        <v>10327695.927079316</v>
      </c>
      <c r="AD227" s="130">
        <v>0</v>
      </c>
      <c r="AE227" s="201">
        <f t="shared" si="278"/>
        <v>10327695.927079316</v>
      </c>
      <c r="AF227" s="201">
        <f t="shared" si="281"/>
        <v>-12938347.984385502</v>
      </c>
    </row>
    <row r="228" spans="1:32" hidden="1" outlineLevel="1" x14ac:dyDescent="0.2">
      <c r="A228" s="124">
        <f t="shared" si="279"/>
        <v>17</v>
      </c>
      <c r="B228" s="221">
        <v>43435</v>
      </c>
      <c r="C228" s="201">
        <v>3842229.774268717</v>
      </c>
      <c r="D228" s="201">
        <f>SUM($C$217:C228)</f>
        <v>-8244461.2741381861</v>
      </c>
      <c r="E228" s="201"/>
      <c r="F228" s="201">
        <f t="shared" si="267"/>
        <v>-8244461.2741381861</v>
      </c>
      <c r="G228" s="201">
        <f t="shared" si="268"/>
        <v>0</v>
      </c>
      <c r="H228" s="201">
        <f t="shared" si="269"/>
        <v>0</v>
      </c>
      <c r="I228" s="201"/>
      <c r="J228" s="130">
        <f t="shared" si="270"/>
        <v>0</v>
      </c>
      <c r="K228" s="201">
        <f t="shared" si="271"/>
        <v>0</v>
      </c>
      <c r="L228" s="201"/>
      <c r="M228" s="130">
        <f t="shared" si="272"/>
        <v>3454344.5702202637</v>
      </c>
      <c r="N228" s="130">
        <v>0</v>
      </c>
      <c r="O228" s="201">
        <f t="shared" si="273"/>
        <v>3454344.5702202637</v>
      </c>
      <c r="P228" s="201">
        <f t="shared" si="280"/>
        <v>0</v>
      </c>
      <c r="Q228" s="201"/>
      <c r="R228" s="215"/>
      <c r="S228" s="201">
        <f t="shared" si="274"/>
        <v>-8244461.2741381861</v>
      </c>
      <c r="T228" s="201">
        <f t="shared" si="275"/>
        <v>0</v>
      </c>
      <c r="U228" s="220">
        <f t="shared" si="275"/>
        <v>0</v>
      </c>
      <c r="V228" s="220"/>
      <c r="W228" s="201"/>
      <c r="X228" s="201"/>
      <c r="Y228" s="201"/>
      <c r="Z228" s="201"/>
      <c r="AA228" s="130">
        <f t="shared" si="276"/>
        <v>14169925.701348033</v>
      </c>
      <c r="AB228" s="130">
        <v>0</v>
      </c>
      <c r="AC228" s="130">
        <f t="shared" si="277"/>
        <v>14169925.701348033</v>
      </c>
      <c r="AD228" s="130">
        <v>0</v>
      </c>
      <c r="AE228" s="201">
        <f t="shared" si="278"/>
        <v>14169925.701348033</v>
      </c>
      <c r="AF228" s="201">
        <f t="shared" si="281"/>
        <v>3842229.7742687166</v>
      </c>
    </row>
    <row r="229" spans="1:32" hidden="1" outlineLevel="1" x14ac:dyDescent="0.2">
      <c r="A229" s="124"/>
      <c r="B229" s="221"/>
      <c r="C229" s="201"/>
      <c r="D229" s="201"/>
      <c r="E229" s="201"/>
      <c r="F229" s="201"/>
      <c r="G229" s="201"/>
      <c r="H229" s="201"/>
      <c r="I229" s="201"/>
      <c r="J229" s="130"/>
      <c r="K229" s="201"/>
      <c r="L229" s="201"/>
      <c r="M229" s="130"/>
      <c r="N229" s="130"/>
      <c r="O229" s="201"/>
      <c r="P229" s="201"/>
      <c r="Q229" s="201"/>
      <c r="R229" s="215"/>
      <c r="S229" s="201"/>
      <c r="T229" s="201"/>
      <c r="U229" s="220"/>
      <c r="V229" s="220"/>
      <c r="W229" s="201"/>
      <c r="X229" s="201"/>
      <c r="Y229" s="201"/>
      <c r="Z229" s="201"/>
      <c r="AA229" s="130"/>
      <c r="AB229" s="130"/>
      <c r="AC229" s="130"/>
      <c r="AD229" s="130"/>
      <c r="AE229" s="201"/>
      <c r="AF229" s="201"/>
    </row>
    <row r="230" spans="1:32" s="24" customFormat="1" hidden="1" outlineLevel="1" x14ac:dyDescent="0.2">
      <c r="A230" s="39">
        <v>18</v>
      </c>
      <c r="B230" s="226">
        <v>43466</v>
      </c>
      <c r="C230" s="147">
        <v>3508130.4749470195</v>
      </c>
      <c r="D230" s="194">
        <f>C230</f>
        <v>3508130.4749470195</v>
      </c>
      <c r="E230" s="227"/>
      <c r="F230" s="147">
        <f t="shared" ref="F230:F241" si="282">IF(ABS(D230)&gt;+$F$12,IF(D230&lt;0,-$F$12,+$F$12),+D230)</f>
        <v>3508130.4749470195</v>
      </c>
      <c r="G230" s="147">
        <f t="shared" ref="G230:G241" si="283">IF(ABS(D230)-ABS(F230)&gt;=$G$12,IF(D230&lt;=0,-$G$12,+$G$12),+D230-F230)</f>
        <v>0</v>
      </c>
      <c r="H230" s="147">
        <f t="shared" ref="H230:H241" si="284">IF(ABS(+D230)-ABS(SUM(F230:G230))&gt;=$H$12,IF(D230&lt;=0,-$H$12,+$H$12),+D230-SUM(F230:G230))</f>
        <v>0</v>
      </c>
      <c r="I230" s="147"/>
      <c r="J230" s="155">
        <f>IF(G230&gt;0,+G230*$C$269,G230*$C$270)</f>
        <v>0</v>
      </c>
      <c r="K230" s="147">
        <f>+H230*$C$271</f>
        <v>0</v>
      </c>
      <c r="L230" s="147"/>
      <c r="M230" s="155">
        <f t="shared" ref="M230:M241" si="285">SUM(J230:L230)+$M$228</f>
        <v>3454344.5702202637</v>
      </c>
      <c r="N230" s="155">
        <v>0</v>
      </c>
      <c r="O230" s="147">
        <f t="shared" ref="O230:O241" si="286">M230+N230</f>
        <v>3454344.5702202637</v>
      </c>
      <c r="P230" s="147">
        <f>O230-O228</f>
        <v>0</v>
      </c>
      <c r="Q230" s="147"/>
      <c r="R230" s="163"/>
      <c r="S230" s="147">
        <f t="shared" ref="S230:S241" si="287">+F230</f>
        <v>3508130.4749470195</v>
      </c>
      <c r="T230" s="147">
        <f t="shared" ref="T230:U241" si="288">+G230-J230</f>
        <v>0</v>
      </c>
      <c r="U230" s="228">
        <f t="shared" si="288"/>
        <v>0</v>
      </c>
      <c r="V230" s="228"/>
      <c r="W230" s="147"/>
      <c r="X230" s="147"/>
      <c r="Y230" s="147"/>
      <c r="Z230" s="147"/>
      <c r="AA230" s="155">
        <f t="shared" ref="AA230:AA241" si="289">SUM(S230:V230)+$AA$228</f>
        <v>17678056.176295053</v>
      </c>
      <c r="AB230" s="155">
        <v>0</v>
      </c>
      <c r="AC230" s="155">
        <f t="shared" ref="AC230:AC241" si="290">AA230-AB230</f>
        <v>17678056.176295053</v>
      </c>
      <c r="AD230" s="155">
        <v>0</v>
      </c>
      <c r="AE230" s="147">
        <f t="shared" ref="AE230:AE241" si="291">AA230-AB230+AD230</f>
        <v>17678056.176295053</v>
      </c>
      <c r="AF230" s="155">
        <f>AE230-AE228</f>
        <v>3508130.4749470204</v>
      </c>
    </row>
    <row r="231" spans="1:32" s="24" customFormat="1" hidden="1" outlineLevel="1" x14ac:dyDescent="0.2">
      <c r="A231" s="39">
        <f>A230</f>
        <v>18</v>
      </c>
      <c r="B231" s="226">
        <v>43497</v>
      </c>
      <c r="C231" s="147">
        <v>17406781.3645408</v>
      </c>
      <c r="D231" s="194">
        <f>SUM($C$230:C231)</f>
        <v>20914911.839487821</v>
      </c>
      <c r="E231" s="227"/>
      <c r="F231" s="147">
        <f t="shared" si="282"/>
        <v>17000000</v>
      </c>
      <c r="G231" s="147">
        <f t="shared" si="283"/>
        <v>3914911.8394878209</v>
      </c>
      <c r="H231" s="147">
        <f t="shared" si="284"/>
        <v>0</v>
      </c>
      <c r="I231" s="147"/>
      <c r="J231" s="155">
        <f>IF(G231&gt;0,+G231*$C$269,G231*$C$270)</f>
        <v>1957455.9197439104</v>
      </c>
      <c r="K231" s="147">
        <f t="shared" ref="K231:K241" si="292">+H231*$C$271</f>
        <v>0</v>
      </c>
      <c r="L231" s="147"/>
      <c r="M231" s="155">
        <f t="shared" si="285"/>
        <v>5411800.4899641741</v>
      </c>
      <c r="N231" s="155">
        <v>0</v>
      </c>
      <c r="O231" s="147">
        <f t="shared" si="286"/>
        <v>5411800.4899641741</v>
      </c>
      <c r="P231" s="147">
        <f t="shared" ref="P231:P236" si="293">O231-O230</f>
        <v>1957455.9197439104</v>
      </c>
      <c r="Q231" s="147"/>
      <c r="R231" s="163"/>
      <c r="S231" s="147">
        <f t="shared" si="287"/>
        <v>17000000</v>
      </c>
      <c r="T231" s="147">
        <f t="shared" si="288"/>
        <v>1957455.9197439104</v>
      </c>
      <c r="U231" s="228">
        <f t="shared" si="288"/>
        <v>0</v>
      </c>
      <c r="V231" s="228"/>
      <c r="W231" s="147"/>
      <c r="X231" s="147"/>
      <c r="Y231" s="147"/>
      <c r="Z231" s="147"/>
      <c r="AA231" s="155">
        <f t="shared" si="289"/>
        <v>33127381.621091943</v>
      </c>
      <c r="AB231" s="155">
        <v>0</v>
      </c>
      <c r="AC231" s="155">
        <f t="shared" si="290"/>
        <v>33127381.621091943</v>
      </c>
      <c r="AD231" s="155">
        <v>0</v>
      </c>
      <c r="AE231" s="147">
        <f t="shared" si="291"/>
        <v>33127381.621091943</v>
      </c>
      <c r="AF231" s="147">
        <f t="shared" ref="AF231:AF241" si="294">AE231-AE230</f>
        <v>15449325.44479689</v>
      </c>
    </row>
    <row r="232" spans="1:32" s="24" customFormat="1" hidden="1" outlineLevel="1" x14ac:dyDescent="0.2">
      <c r="A232" s="39">
        <f t="shared" ref="A232:A241" si="295">A231</f>
        <v>18</v>
      </c>
      <c r="B232" s="226">
        <v>43525</v>
      </c>
      <c r="C232" s="147">
        <v>22233699.323867448</v>
      </c>
      <c r="D232" s="194">
        <f>SUM($C$230:C232)</f>
        <v>43148611.163355269</v>
      </c>
      <c r="E232" s="227"/>
      <c r="F232" s="147">
        <f t="shared" si="282"/>
        <v>17000000</v>
      </c>
      <c r="G232" s="147">
        <f t="shared" si="283"/>
        <v>23000000</v>
      </c>
      <c r="H232" s="147">
        <f t="shared" si="284"/>
        <v>3148611.1633552685</v>
      </c>
      <c r="I232" s="147"/>
      <c r="J232" s="155">
        <f t="shared" ref="J232:J241" si="296">IF(G232&gt;0,+G232*$C$269,G232*$C$270)</f>
        <v>11500000</v>
      </c>
      <c r="K232" s="147">
        <f t="shared" si="292"/>
        <v>2833750.047019742</v>
      </c>
      <c r="L232" s="147"/>
      <c r="M232" s="155">
        <f t="shared" si="285"/>
        <v>17788094.617240004</v>
      </c>
      <c r="N232" s="155">
        <v>0</v>
      </c>
      <c r="O232" s="147">
        <f t="shared" si="286"/>
        <v>17788094.617240004</v>
      </c>
      <c r="P232" s="147">
        <f t="shared" si="293"/>
        <v>12376294.12727583</v>
      </c>
      <c r="Q232" s="147"/>
      <c r="R232" s="163"/>
      <c r="S232" s="147">
        <f t="shared" si="287"/>
        <v>17000000</v>
      </c>
      <c r="T232" s="147">
        <f t="shared" si="288"/>
        <v>11500000</v>
      </c>
      <c r="U232" s="228">
        <f t="shared" si="288"/>
        <v>314861.11633552657</v>
      </c>
      <c r="V232" s="228"/>
      <c r="W232" s="147"/>
      <c r="X232" s="147"/>
      <c r="Y232" s="147"/>
      <c r="Z232" s="147"/>
      <c r="AA232" s="155">
        <f t="shared" si="289"/>
        <v>42984786.817683563</v>
      </c>
      <c r="AB232" s="155">
        <v>0</v>
      </c>
      <c r="AC232" s="155">
        <f t="shared" si="290"/>
        <v>42984786.817683563</v>
      </c>
      <c r="AD232" s="155">
        <v>0</v>
      </c>
      <c r="AE232" s="147">
        <f t="shared" si="291"/>
        <v>42984786.817683563</v>
      </c>
      <c r="AF232" s="147">
        <f t="shared" si="294"/>
        <v>9857405.1965916194</v>
      </c>
    </row>
    <row r="233" spans="1:32" s="24" customFormat="1" hidden="1" outlineLevel="1" x14ac:dyDescent="0.2">
      <c r="A233" s="39">
        <f t="shared" si="295"/>
        <v>18</v>
      </c>
      <c r="B233" s="226">
        <v>43556</v>
      </c>
      <c r="C233" s="147">
        <v>1968917.6702014408</v>
      </c>
      <c r="D233" s="194">
        <f>SUM($C$230:C233)</f>
        <v>45117528.833556712</v>
      </c>
      <c r="E233" s="227"/>
      <c r="F233" s="147">
        <f t="shared" si="282"/>
        <v>17000000</v>
      </c>
      <c r="G233" s="147">
        <f t="shared" si="283"/>
        <v>23000000</v>
      </c>
      <c r="H233" s="147">
        <f t="shared" si="284"/>
        <v>5117528.8335567117</v>
      </c>
      <c r="I233" s="147"/>
      <c r="J233" s="155">
        <f t="shared" si="296"/>
        <v>11500000</v>
      </c>
      <c r="K233" s="147">
        <f t="shared" si="292"/>
        <v>4605775.9502010411</v>
      </c>
      <c r="L233" s="147"/>
      <c r="M233" s="155">
        <f t="shared" si="285"/>
        <v>19560120.520421304</v>
      </c>
      <c r="N233" s="155">
        <v>0</v>
      </c>
      <c r="O233" s="147">
        <f t="shared" si="286"/>
        <v>19560120.520421304</v>
      </c>
      <c r="P233" s="147">
        <f t="shared" si="293"/>
        <v>1772025.9031812996</v>
      </c>
      <c r="Q233" s="147"/>
      <c r="R233" s="163"/>
      <c r="S233" s="147">
        <f t="shared" si="287"/>
        <v>17000000</v>
      </c>
      <c r="T233" s="147">
        <f t="shared" si="288"/>
        <v>11500000</v>
      </c>
      <c r="U233" s="228">
        <f t="shared" si="288"/>
        <v>511752.88335567061</v>
      </c>
      <c r="V233" s="228"/>
      <c r="W233" s="147"/>
      <c r="X233" s="147"/>
      <c r="Y233" s="147"/>
      <c r="Z233" s="147"/>
      <c r="AA233" s="155">
        <f t="shared" si="289"/>
        <v>43181678.584703699</v>
      </c>
      <c r="AB233" s="155">
        <v>0</v>
      </c>
      <c r="AC233" s="155">
        <f t="shared" si="290"/>
        <v>43181678.584703699</v>
      </c>
      <c r="AD233" s="155">
        <v>0</v>
      </c>
      <c r="AE233" s="147">
        <f t="shared" si="291"/>
        <v>43181678.584703699</v>
      </c>
      <c r="AF233" s="147">
        <f t="shared" si="294"/>
        <v>196891.76702013612</v>
      </c>
    </row>
    <row r="234" spans="1:32" s="24" customFormat="1" hidden="1" outlineLevel="1" x14ac:dyDescent="0.2">
      <c r="A234" s="39">
        <f t="shared" si="295"/>
        <v>18</v>
      </c>
      <c r="B234" s="226">
        <v>43586</v>
      </c>
      <c r="C234" s="147">
        <v>945341.58317195531</v>
      </c>
      <c r="D234" s="194">
        <f>SUM($C$230:C234)</f>
        <v>46062870.416728668</v>
      </c>
      <c r="E234" s="227"/>
      <c r="F234" s="147">
        <f t="shared" si="282"/>
        <v>17000000</v>
      </c>
      <c r="G234" s="147">
        <f t="shared" si="283"/>
        <v>23000000</v>
      </c>
      <c r="H234" s="147">
        <f t="shared" si="284"/>
        <v>6062870.4167286679</v>
      </c>
      <c r="I234" s="147"/>
      <c r="J234" s="155">
        <f t="shared" si="296"/>
        <v>11500000</v>
      </c>
      <c r="K234" s="147">
        <f t="shared" si="292"/>
        <v>5456583.3750558011</v>
      </c>
      <c r="L234" s="147"/>
      <c r="M234" s="155">
        <f t="shared" si="285"/>
        <v>20410927.945276067</v>
      </c>
      <c r="N234" s="155">
        <v>0</v>
      </c>
      <c r="O234" s="147">
        <f t="shared" si="286"/>
        <v>20410927.945276067</v>
      </c>
      <c r="P234" s="147">
        <f t="shared" si="293"/>
        <v>850807.42485476285</v>
      </c>
      <c r="Q234" s="147"/>
      <c r="R234" s="163"/>
      <c r="S234" s="147">
        <f t="shared" si="287"/>
        <v>17000000</v>
      </c>
      <c r="T234" s="147">
        <f t="shared" si="288"/>
        <v>11500000</v>
      </c>
      <c r="U234" s="228">
        <f t="shared" si="288"/>
        <v>606287.04167286679</v>
      </c>
      <c r="V234" s="228"/>
      <c r="W234" s="147"/>
      <c r="X234" s="147"/>
      <c r="Y234" s="147"/>
      <c r="Z234" s="147"/>
      <c r="AA234" s="155">
        <f t="shared" si="289"/>
        <v>43276212.7430209</v>
      </c>
      <c r="AB234" s="155">
        <v>0</v>
      </c>
      <c r="AC234" s="155">
        <f t="shared" si="290"/>
        <v>43276212.7430209</v>
      </c>
      <c r="AD234" s="155">
        <v>0</v>
      </c>
      <c r="AE234" s="147">
        <f t="shared" si="291"/>
        <v>43276212.7430209</v>
      </c>
      <c r="AF234" s="147">
        <f t="shared" si="294"/>
        <v>94534.15831720084</v>
      </c>
    </row>
    <row r="235" spans="1:32" s="24" customFormat="1" hidden="1" outlineLevel="1" x14ac:dyDescent="0.2">
      <c r="A235" s="39">
        <f t="shared" si="295"/>
        <v>18</v>
      </c>
      <c r="B235" s="226">
        <v>43617</v>
      </c>
      <c r="C235" s="147">
        <v>335110.25910366501</v>
      </c>
      <c r="D235" s="194">
        <f>SUM($C$230:C235)</f>
        <v>46397980.675832331</v>
      </c>
      <c r="E235" s="227"/>
      <c r="F235" s="147">
        <f t="shared" si="282"/>
        <v>17000000</v>
      </c>
      <c r="G235" s="147">
        <f t="shared" si="283"/>
        <v>23000000</v>
      </c>
      <c r="H235" s="147">
        <f t="shared" si="284"/>
        <v>6397980.6758323312</v>
      </c>
      <c r="I235" s="147"/>
      <c r="J235" s="155">
        <f t="shared" si="296"/>
        <v>11500000</v>
      </c>
      <c r="K235" s="147">
        <f t="shared" si="292"/>
        <v>5758182.6082490981</v>
      </c>
      <c r="L235" s="147"/>
      <c r="M235" s="155">
        <f t="shared" si="285"/>
        <v>20712527.17846936</v>
      </c>
      <c r="N235" s="155">
        <v>0</v>
      </c>
      <c r="O235" s="147">
        <f t="shared" si="286"/>
        <v>20712527.17846936</v>
      </c>
      <c r="P235" s="147">
        <f t="shared" si="293"/>
        <v>301599.23319329321</v>
      </c>
      <c r="Q235" s="147"/>
      <c r="R235" s="163"/>
      <c r="S235" s="147">
        <f t="shared" si="287"/>
        <v>17000000</v>
      </c>
      <c r="T235" s="147">
        <f t="shared" si="288"/>
        <v>11500000</v>
      </c>
      <c r="U235" s="228">
        <f t="shared" si="288"/>
        <v>639798.06758323312</v>
      </c>
      <c r="V235" s="228"/>
      <c r="W235" s="147"/>
      <c r="X235" s="147"/>
      <c r="Y235" s="147"/>
      <c r="Z235" s="147"/>
      <c r="AA235" s="155">
        <f t="shared" si="289"/>
        <v>43309723.76893127</v>
      </c>
      <c r="AB235" s="155">
        <v>0</v>
      </c>
      <c r="AC235" s="155">
        <f t="shared" si="290"/>
        <v>43309723.76893127</v>
      </c>
      <c r="AD235" s="155">
        <v>0</v>
      </c>
      <c r="AE235" s="147">
        <f t="shared" si="291"/>
        <v>43309723.76893127</v>
      </c>
      <c r="AF235" s="147">
        <f t="shared" si="294"/>
        <v>33511.025910370052</v>
      </c>
    </row>
    <row r="236" spans="1:32" s="24" customFormat="1" hidden="1" outlineLevel="1" x14ac:dyDescent="0.2">
      <c r="A236" s="39">
        <f t="shared" si="295"/>
        <v>18</v>
      </c>
      <c r="B236" s="226">
        <v>43647</v>
      </c>
      <c r="C236" s="147">
        <v>887039.31325675081</v>
      </c>
      <c r="D236" s="194">
        <f>SUM($C$230:C236)</f>
        <v>47285019.989089079</v>
      </c>
      <c r="E236" s="227"/>
      <c r="F236" s="147">
        <f t="shared" si="282"/>
        <v>17000000</v>
      </c>
      <c r="G236" s="147">
        <f t="shared" si="283"/>
        <v>23000000</v>
      </c>
      <c r="H236" s="147">
        <f t="shared" si="284"/>
        <v>7285019.9890890792</v>
      </c>
      <c r="I236" s="147"/>
      <c r="J236" s="155">
        <f t="shared" si="296"/>
        <v>11500000</v>
      </c>
      <c r="K236" s="147">
        <f t="shared" si="292"/>
        <v>6556517.9901801711</v>
      </c>
      <c r="L236" s="147"/>
      <c r="M236" s="155">
        <f t="shared" si="285"/>
        <v>21510862.560400434</v>
      </c>
      <c r="N236" s="155">
        <v>0</v>
      </c>
      <c r="O236" s="147">
        <f t="shared" si="286"/>
        <v>21510862.560400434</v>
      </c>
      <c r="P236" s="147">
        <f t="shared" si="293"/>
        <v>798335.38193107396</v>
      </c>
      <c r="Q236" s="147"/>
      <c r="R236" s="163"/>
      <c r="S236" s="147">
        <f t="shared" si="287"/>
        <v>17000000</v>
      </c>
      <c r="T236" s="147">
        <f t="shared" si="288"/>
        <v>11500000</v>
      </c>
      <c r="U236" s="228">
        <f t="shared" si="288"/>
        <v>728501.99890890811</v>
      </c>
      <c r="V236" s="228"/>
      <c r="W236" s="147"/>
      <c r="X236" s="147"/>
      <c r="Y236" s="147"/>
      <c r="Z236" s="147"/>
      <c r="AA236" s="155">
        <f t="shared" si="289"/>
        <v>43398427.700256944</v>
      </c>
      <c r="AB236" s="155">
        <v>0</v>
      </c>
      <c r="AC236" s="155">
        <f t="shared" si="290"/>
        <v>43398427.700256944</v>
      </c>
      <c r="AD236" s="155">
        <v>0</v>
      </c>
      <c r="AE236" s="147">
        <f t="shared" si="291"/>
        <v>43398427.700256944</v>
      </c>
      <c r="AF236" s="147">
        <f t="shared" si="294"/>
        <v>88703.931325674057</v>
      </c>
    </row>
    <row r="237" spans="1:32" s="24" customFormat="1" hidden="1" outlineLevel="1" x14ac:dyDescent="0.2">
      <c r="A237" s="39">
        <f t="shared" si="295"/>
        <v>18</v>
      </c>
      <c r="B237" s="226">
        <v>43678</v>
      </c>
      <c r="C237" s="147">
        <v>-1771446.5784407977</v>
      </c>
      <c r="D237" s="194">
        <f>SUM($C$230:C237)</f>
        <v>45513573.410648279</v>
      </c>
      <c r="E237" s="227"/>
      <c r="F237" s="147">
        <f t="shared" si="282"/>
        <v>17000000</v>
      </c>
      <c r="G237" s="147">
        <f t="shared" si="283"/>
        <v>23000000</v>
      </c>
      <c r="H237" s="147">
        <f t="shared" si="284"/>
        <v>5513573.4106482789</v>
      </c>
      <c r="I237" s="147"/>
      <c r="J237" s="155">
        <f t="shared" si="296"/>
        <v>11500000</v>
      </c>
      <c r="K237" s="147">
        <f t="shared" si="292"/>
        <v>4962216.0695834514</v>
      </c>
      <c r="L237" s="147"/>
      <c r="M237" s="155">
        <f t="shared" si="285"/>
        <v>19916560.639803715</v>
      </c>
      <c r="N237" s="155">
        <v>0</v>
      </c>
      <c r="O237" s="147">
        <f t="shared" si="286"/>
        <v>19916560.639803715</v>
      </c>
      <c r="P237" s="147">
        <f>O237-O236</f>
        <v>-1594301.9205967188</v>
      </c>
      <c r="Q237" s="147"/>
      <c r="R237" s="163"/>
      <c r="S237" s="147">
        <f t="shared" si="287"/>
        <v>17000000</v>
      </c>
      <c r="T237" s="147">
        <f t="shared" si="288"/>
        <v>11500000</v>
      </c>
      <c r="U237" s="228">
        <f t="shared" si="288"/>
        <v>551357.34106482752</v>
      </c>
      <c r="V237" s="228"/>
      <c r="W237" s="147"/>
      <c r="X237" s="147"/>
      <c r="Y237" s="147"/>
      <c r="Z237" s="147"/>
      <c r="AA237" s="155">
        <f t="shared" si="289"/>
        <v>43221283.042412862</v>
      </c>
      <c r="AB237" s="155">
        <v>0</v>
      </c>
      <c r="AC237" s="155">
        <f t="shared" si="290"/>
        <v>43221283.042412862</v>
      </c>
      <c r="AD237" s="155">
        <v>0</v>
      </c>
      <c r="AE237" s="147">
        <f t="shared" si="291"/>
        <v>43221283.042412862</v>
      </c>
      <c r="AF237" s="147">
        <f t="shared" si="294"/>
        <v>-177144.65784408152</v>
      </c>
    </row>
    <row r="238" spans="1:32" s="24" customFormat="1" hidden="1" outlineLevel="1" x14ac:dyDescent="0.2">
      <c r="A238" s="39">
        <f t="shared" si="295"/>
        <v>18</v>
      </c>
      <c r="B238" s="226">
        <v>43709</v>
      </c>
      <c r="C238" s="147">
        <v>3342746.5929271295</v>
      </c>
      <c r="D238" s="194">
        <f>SUM($C$230:C238)</f>
        <v>48856320.003575407</v>
      </c>
      <c r="E238" s="227"/>
      <c r="F238" s="147">
        <f t="shared" si="282"/>
        <v>17000000</v>
      </c>
      <c r="G238" s="147">
        <f t="shared" si="283"/>
        <v>23000000</v>
      </c>
      <c r="H238" s="147">
        <f t="shared" si="284"/>
        <v>8856320.003575407</v>
      </c>
      <c r="I238" s="147"/>
      <c r="J238" s="155">
        <f t="shared" si="296"/>
        <v>11500000</v>
      </c>
      <c r="K238" s="147">
        <f t="shared" si="292"/>
        <v>7970688.0032178666</v>
      </c>
      <c r="L238" s="147"/>
      <c r="M238" s="155">
        <f t="shared" si="285"/>
        <v>22925032.57343813</v>
      </c>
      <c r="N238" s="155">
        <v>0</v>
      </c>
      <c r="O238" s="147">
        <f t="shared" si="286"/>
        <v>22925032.57343813</v>
      </c>
      <c r="P238" s="147">
        <f>O238-O237</f>
        <v>3008471.9336344153</v>
      </c>
      <c r="Q238" s="147"/>
      <c r="R238" s="163"/>
      <c r="S238" s="147">
        <f t="shared" si="287"/>
        <v>17000000</v>
      </c>
      <c r="T238" s="147">
        <f t="shared" si="288"/>
        <v>11500000</v>
      </c>
      <c r="U238" s="228">
        <f t="shared" si="288"/>
        <v>885632.00035754032</v>
      </c>
      <c r="V238" s="228"/>
      <c r="W238" s="147"/>
      <c r="X238" s="147"/>
      <c r="Y238" s="147"/>
      <c r="Z238" s="147"/>
      <c r="AA238" s="155">
        <f t="shared" si="289"/>
        <v>43555557.701705575</v>
      </c>
      <c r="AB238" s="155">
        <v>0</v>
      </c>
      <c r="AC238" s="155">
        <f t="shared" si="290"/>
        <v>43555557.701705575</v>
      </c>
      <c r="AD238" s="155">
        <v>0</v>
      </c>
      <c r="AE238" s="147">
        <f t="shared" si="291"/>
        <v>43555557.701705575</v>
      </c>
      <c r="AF238" s="147">
        <f t="shared" si="294"/>
        <v>334274.65929271281</v>
      </c>
    </row>
    <row r="239" spans="1:32" s="24" customFormat="1" hidden="1" outlineLevel="1" x14ac:dyDescent="0.2">
      <c r="A239" s="39">
        <f t="shared" si="295"/>
        <v>18</v>
      </c>
      <c r="B239" s="226">
        <v>43739</v>
      </c>
      <c r="C239" s="147">
        <v>7195869.8546710806</v>
      </c>
      <c r="D239" s="194">
        <f>SUM($C$230:C239)</f>
        <v>56052189.85824649</v>
      </c>
      <c r="E239" s="227"/>
      <c r="F239" s="147">
        <f t="shared" si="282"/>
        <v>17000000</v>
      </c>
      <c r="G239" s="147">
        <f t="shared" si="283"/>
        <v>23000000</v>
      </c>
      <c r="H239" s="147">
        <f t="shared" si="284"/>
        <v>16052189.85824649</v>
      </c>
      <c r="I239" s="147"/>
      <c r="J239" s="155">
        <f t="shared" si="296"/>
        <v>11500000</v>
      </c>
      <c r="K239" s="147">
        <f t="shared" si="292"/>
        <v>14446970.872421842</v>
      </c>
      <c r="L239" s="147"/>
      <c r="M239" s="155">
        <f t="shared" si="285"/>
        <v>29401315.442642108</v>
      </c>
      <c r="N239" s="155">
        <v>0</v>
      </c>
      <c r="O239" s="147">
        <f t="shared" si="286"/>
        <v>29401315.442642108</v>
      </c>
      <c r="P239" s="147">
        <f t="shared" ref="P239:P241" si="297">O239-O238</f>
        <v>6476282.8692039773</v>
      </c>
      <c r="Q239" s="147"/>
      <c r="R239" s="163"/>
      <c r="S239" s="147">
        <f t="shared" si="287"/>
        <v>17000000</v>
      </c>
      <c r="T239" s="147">
        <f t="shared" si="288"/>
        <v>11500000</v>
      </c>
      <c r="U239" s="228">
        <f t="shared" si="288"/>
        <v>1605218.9858246483</v>
      </c>
      <c r="V239" s="228"/>
      <c r="W239" s="147"/>
      <c r="X239" s="147"/>
      <c r="Y239" s="147"/>
      <c r="Z239" s="147"/>
      <c r="AA239" s="155">
        <f t="shared" si="289"/>
        <v>44275144.687172681</v>
      </c>
      <c r="AB239" s="155">
        <v>0</v>
      </c>
      <c r="AC239" s="155">
        <f t="shared" si="290"/>
        <v>44275144.687172681</v>
      </c>
      <c r="AD239" s="155">
        <v>0</v>
      </c>
      <c r="AE239" s="147">
        <f t="shared" si="291"/>
        <v>44275144.687172681</v>
      </c>
      <c r="AF239" s="147">
        <f t="shared" si="294"/>
        <v>719586.9854671061</v>
      </c>
    </row>
    <row r="240" spans="1:32" s="24" customFormat="1" hidden="1" outlineLevel="1" x14ac:dyDescent="0.2">
      <c r="A240" s="39">
        <f t="shared" si="295"/>
        <v>18</v>
      </c>
      <c r="B240" s="226">
        <v>43770</v>
      </c>
      <c r="C240" s="147">
        <v>5381743.0402654381</v>
      </c>
      <c r="D240" s="194">
        <f>SUM($C$230:C240)</f>
        <v>61433932.898511931</v>
      </c>
      <c r="E240" s="227"/>
      <c r="F240" s="147">
        <f t="shared" si="282"/>
        <v>17000000</v>
      </c>
      <c r="G240" s="147">
        <f t="shared" si="283"/>
        <v>23000000</v>
      </c>
      <c r="H240" s="147">
        <f t="shared" si="284"/>
        <v>21433932.898511931</v>
      </c>
      <c r="I240" s="147"/>
      <c r="J240" s="155">
        <f t="shared" si="296"/>
        <v>11500000</v>
      </c>
      <c r="K240" s="147">
        <f t="shared" si="292"/>
        <v>19290539.608660739</v>
      </c>
      <c r="L240" s="147"/>
      <c r="M240" s="155">
        <f t="shared" si="285"/>
        <v>34244884.178881004</v>
      </c>
      <c r="N240" s="155">
        <v>0</v>
      </c>
      <c r="O240" s="147">
        <f t="shared" si="286"/>
        <v>34244884.178881004</v>
      </c>
      <c r="P240" s="147">
        <f t="shared" si="297"/>
        <v>4843568.7362388968</v>
      </c>
      <c r="Q240" s="147"/>
      <c r="R240" s="163"/>
      <c r="S240" s="147">
        <f t="shared" si="287"/>
        <v>17000000</v>
      </c>
      <c r="T240" s="147">
        <f t="shared" si="288"/>
        <v>11500000</v>
      </c>
      <c r="U240" s="228">
        <f t="shared" si="288"/>
        <v>2143393.2898511924</v>
      </c>
      <c r="V240" s="228"/>
      <c r="W240" s="147"/>
      <c r="X240" s="147"/>
      <c r="Y240" s="147"/>
      <c r="Z240" s="147"/>
      <c r="AA240" s="155">
        <f t="shared" si="289"/>
        <v>44813318.991199225</v>
      </c>
      <c r="AB240" s="155">
        <v>0</v>
      </c>
      <c r="AC240" s="155">
        <f t="shared" si="290"/>
        <v>44813318.991199225</v>
      </c>
      <c r="AD240" s="155">
        <v>0</v>
      </c>
      <c r="AE240" s="147">
        <f t="shared" si="291"/>
        <v>44813318.991199225</v>
      </c>
      <c r="AF240" s="147">
        <f t="shared" si="294"/>
        <v>538174.30402654409</v>
      </c>
    </row>
    <row r="241" spans="1:34" s="24" customFormat="1" collapsed="1" x14ac:dyDescent="0.2">
      <c r="A241" s="39">
        <f t="shared" si="295"/>
        <v>18</v>
      </c>
      <c r="B241" s="226">
        <v>43800</v>
      </c>
      <c r="C241" s="147">
        <v>5798201.8831929462</v>
      </c>
      <c r="D241" s="194">
        <f>SUM($C$230:C241)</f>
        <v>67232134.781704873</v>
      </c>
      <c r="E241" s="227"/>
      <c r="F241" s="147">
        <f t="shared" si="282"/>
        <v>17000000</v>
      </c>
      <c r="G241" s="147">
        <f t="shared" si="283"/>
        <v>23000000</v>
      </c>
      <c r="H241" s="147">
        <f t="shared" si="284"/>
        <v>27232134.781704873</v>
      </c>
      <c r="I241" s="147"/>
      <c r="J241" s="155">
        <f t="shared" si="296"/>
        <v>11500000</v>
      </c>
      <c r="K241" s="147">
        <f t="shared" si="292"/>
        <v>24508921.303534385</v>
      </c>
      <c r="L241" s="147"/>
      <c r="M241" s="155">
        <f t="shared" si="285"/>
        <v>39463265.87375465</v>
      </c>
      <c r="N241" s="155">
        <v>0</v>
      </c>
      <c r="O241" s="147">
        <f t="shared" si="286"/>
        <v>39463265.87375465</v>
      </c>
      <c r="P241" s="147">
        <f t="shared" si="297"/>
        <v>5218381.6948736459</v>
      </c>
      <c r="Q241" s="147"/>
      <c r="R241" s="163"/>
      <c r="S241" s="147">
        <f t="shared" si="287"/>
        <v>17000000</v>
      </c>
      <c r="T241" s="147">
        <f t="shared" si="288"/>
        <v>11500000</v>
      </c>
      <c r="U241" s="228">
        <f t="shared" si="288"/>
        <v>2723213.478170488</v>
      </c>
      <c r="V241" s="228"/>
      <c r="W241" s="147"/>
      <c r="X241" s="147"/>
      <c r="Y241" s="147"/>
      <c r="Z241" s="147"/>
      <c r="AA241" s="155">
        <f t="shared" si="289"/>
        <v>45393139.179518521</v>
      </c>
      <c r="AB241" s="155">
        <v>0</v>
      </c>
      <c r="AC241" s="155">
        <f t="shared" si="290"/>
        <v>45393139.179518521</v>
      </c>
      <c r="AD241" s="155">
        <v>0</v>
      </c>
      <c r="AE241" s="147">
        <f t="shared" si="291"/>
        <v>45393139.179518521</v>
      </c>
      <c r="AF241" s="147">
        <f t="shared" si="294"/>
        <v>579820.18831929564</v>
      </c>
    </row>
    <row r="242" spans="1:34" x14ac:dyDescent="0.2">
      <c r="A242" s="124"/>
      <c r="B242" s="221"/>
      <c r="C242" s="201"/>
      <c r="D242" s="201"/>
      <c r="E242" s="201"/>
      <c r="F242" s="201"/>
      <c r="G242" s="201"/>
      <c r="H242" s="201"/>
      <c r="I242" s="201"/>
      <c r="J242" s="201"/>
      <c r="K242" s="201"/>
      <c r="L242" s="201"/>
      <c r="M242" s="130"/>
      <c r="N242" s="130"/>
      <c r="O242" s="201"/>
      <c r="P242" s="201"/>
      <c r="Q242" s="201"/>
      <c r="R242" s="215"/>
      <c r="S242" s="201"/>
      <c r="T242" s="201"/>
      <c r="U242" s="220"/>
      <c r="V242" s="220"/>
      <c r="W242" s="201"/>
      <c r="X242" s="201"/>
      <c r="Y242" s="201"/>
      <c r="Z242" s="201"/>
      <c r="AA242" s="201"/>
      <c r="AB242" s="130"/>
      <c r="AC242" s="130"/>
      <c r="AD242" s="130"/>
      <c r="AE242" s="201"/>
      <c r="AF242" s="201"/>
    </row>
    <row r="243" spans="1:34" s="24" customFormat="1" x14ac:dyDescent="0.2">
      <c r="A243" s="39" t="s">
        <v>76</v>
      </c>
      <c r="B243" s="221" t="s">
        <v>202</v>
      </c>
      <c r="C243" s="147"/>
      <c r="D243" s="194"/>
      <c r="E243" s="227"/>
      <c r="F243" s="147"/>
      <c r="G243" s="147"/>
      <c r="H243" s="147"/>
      <c r="I243" s="147"/>
      <c r="J243" s="155"/>
      <c r="K243" s="147"/>
      <c r="L243" s="147"/>
      <c r="M243" s="155">
        <f>-M241</f>
        <v>-39463265.87375465</v>
      </c>
      <c r="N243" s="155"/>
      <c r="O243" s="147">
        <f>-O241</f>
        <v>-39463265.87375465</v>
      </c>
      <c r="P243" s="147">
        <f>O243+O241</f>
        <v>0</v>
      </c>
      <c r="Q243" s="147"/>
      <c r="R243" s="163"/>
      <c r="S243" s="147"/>
      <c r="T243" s="147"/>
      <c r="U243" s="228"/>
      <c r="V243" s="228"/>
      <c r="W243" s="147"/>
      <c r="X243" s="147"/>
      <c r="Y243" s="147"/>
      <c r="Z243" s="147"/>
      <c r="AA243" s="155"/>
      <c r="AB243" s="155"/>
      <c r="AC243" s="155"/>
      <c r="AD243" s="155"/>
      <c r="AE243" s="147"/>
      <c r="AF243" s="147"/>
    </row>
    <row r="244" spans="1:34" s="24" customFormat="1" x14ac:dyDescent="0.2">
      <c r="A244" s="39"/>
      <c r="B244" s="221"/>
      <c r="C244" s="147"/>
      <c r="D244" s="194"/>
      <c r="E244" s="227"/>
      <c r="F244" s="147"/>
      <c r="G244" s="147"/>
      <c r="H244" s="147"/>
      <c r="I244" s="147"/>
      <c r="J244" s="155"/>
      <c r="K244" s="147"/>
      <c r="L244" s="147"/>
      <c r="M244" s="155"/>
      <c r="N244" s="155"/>
      <c r="O244" s="147"/>
      <c r="P244" s="147"/>
      <c r="Q244" s="147"/>
      <c r="R244" s="163"/>
      <c r="S244" s="147"/>
      <c r="T244" s="147"/>
      <c r="U244" s="228"/>
      <c r="V244" s="228"/>
      <c r="W244" s="147"/>
      <c r="X244" s="147"/>
      <c r="Y244" s="147"/>
      <c r="Z244" s="147"/>
      <c r="AA244" s="155"/>
      <c r="AB244" s="155"/>
      <c r="AC244" s="155"/>
      <c r="AD244" s="155"/>
      <c r="AE244" s="147"/>
      <c r="AF244" s="147"/>
    </row>
    <row r="245" spans="1:34" s="236" customFormat="1" x14ac:dyDescent="0.2">
      <c r="A245" s="229">
        <v>19</v>
      </c>
      <c r="B245" s="230">
        <v>43831</v>
      </c>
      <c r="C245" s="231">
        <f>'SEF-3 p 3 Sch B'!F41</f>
        <v>9804714.9394020252</v>
      </c>
      <c r="D245" s="232">
        <f>C245</f>
        <v>9804714.9394020252</v>
      </c>
      <c r="E245" s="233"/>
      <c r="F245" s="231">
        <f t="shared" ref="F245:F256" si="298">IF(ABS(D245)&gt;+$F$12,IF(D245&lt;0,-$F$12,+$F$12),+D245)</f>
        <v>9804714.9394020252</v>
      </c>
      <c r="G245" s="231">
        <f t="shared" ref="G245:G256" si="299">IF(ABS(D245)-ABS(F245)&gt;=$G$12,IF(D245&lt;=0,-$G$12,+$G$12),+D245-F245)</f>
        <v>0</v>
      </c>
      <c r="H245" s="231">
        <f t="shared" ref="H245:H256" si="300">IF(ABS(+D245)-ABS(SUM(F245:G245))&gt;=$H$12,IF(D245&lt;=0,-$H$12,+$H$12),+D245-SUM(F245:G245))</f>
        <v>0</v>
      </c>
      <c r="I245" s="231"/>
      <c r="J245" s="231">
        <f t="shared" ref="J245:J256" si="301">IF(G245&gt;0,+G245*$C$269,G245*$C$270)</f>
        <v>0</v>
      </c>
      <c r="K245" s="231">
        <f t="shared" ref="K245:K256" si="302">+H245*$C$271</f>
        <v>0</v>
      </c>
      <c r="L245" s="231"/>
      <c r="M245" s="231">
        <f>SUM(J245:L245)+$M$241+M243</f>
        <v>0</v>
      </c>
      <c r="N245" s="231">
        <v>0</v>
      </c>
      <c r="O245" s="231">
        <f t="shared" ref="O245:O256" si="303">M245+N245</f>
        <v>0</v>
      </c>
      <c r="P245" s="231">
        <f>O245-O241-O243</f>
        <v>0</v>
      </c>
      <c r="Q245" s="231"/>
      <c r="R245" s="234"/>
      <c r="S245" s="231">
        <f t="shared" ref="S245:S256" si="304">+F245</f>
        <v>9804714.9394020252</v>
      </c>
      <c r="T245" s="231">
        <f t="shared" ref="T245:U256" si="305">+G245-J245</f>
        <v>0</v>
      </c>
      <c r="U245" s="235">
        <f t="shared" si="305"/>
        <v>0</v>
      </c>
      <c r="V245" s="235"/>
      <c r="W245" s="231"/>
      <c r="X245" s="231"/>
      <c r="Y245" s="231"/>
      <c r="Z245" s="231"/>
      <c r="AA245" s="231">
        <f t="shared" ref="AA245:AA255" si="306">SUM(S245:V245)+$AA$241</f>
        <v>55197854.11892055</v>
      </c>
      <c r="AB245" s="231">
        <v>0</v>
      </c>
      <c r="AC245" s="231">
        <f t="shared" ref="AC245:AC256" si="307">AA245-AB245</f>
        <v>55197854.11892055</v>
      </c>
      <c r="AD245" s="231">
        <v>0</v>
      </c>
      <c r="AE245" s="231">
        <f t="shared" ref="AE245:AE256" si="308">AA245-AB245+AD245</f>
        <v>55197854.11892055</v>
      </c>
      <c r="AF245" s="231">
        <f>AE245-AE241</f>
        <v>9804714.9394020289</v>
      </c>
      <c r="AH245" s="232"/>
    </row>
    <row r="246" spans="1:34" s="236" customFormat="1" x14ac:dyDescent="0.2">
      <c r="A246" s="229">
        <f>A245</f>
        <v>19</v>
      </c>
      <c r="B246" s="230">
        <v>43862</v>
      </c>
      <c r="C246" s="231">
        <f>'SEF-3 p 3 Sch B'!G41</f>
        <v>5302015.6080358233</v>
      </c>
      <c r="D246" s="232">
        <f>SUM($C$245:C246)</f>
        <v>15106730.547437849</v>
      </c>
      <c r="E246" s="233"/>
      <c r="F246" s="231">
        <f t="shared" si="298"/>
        <v>15106730.547437849</v>
      </c>
      <c r="G246" s="231">
        <f t="shared" si="299"/>
        <v>0</v>
      </c>
      <c r="H246" s="231">
        <f t="shared" si="300"/>
        <v>0</v>
      </c>
      <c r="I246" s="231"/>
      <c r="J246" s="231">
        <f t="shared" si="301"/>
        <v>0</v>
      </c>
      <c r="K246" s="231">
        <f t="shared" si="302"/>
        <v>0</v>
      </c>
      <c r="L246" s="231"/>
      <c r="M246" s="231">
        <f>SUM(J246:L246)+$M$241+M243</f>
        <v>0</v>
      </c>
      <c r="N246" s="231">
        <v>0</v>
      </c>
      <c r="O246" s="231">
        <f t="shared" si="303"/>
        <v>0</v>
      </c>
      <c r="P246" s="231">
        <f t="shared" ref="P246:P251" si="309">O246-O245</f>
        <v>0</v>
      </c>
      <c r="Q246" s="231"/>
      <c r="R246" s="234"/>
      <c r="S246" s="231">
        <f t="shared" si="304"/>
        <v>15106730.547437849</v>
      </c>
      <c r="T246" s="231">
        <f t="shared" si="305"/>
        <v>0</v>
      </c>
      <c r="U246" s="235">
        <f t="shared" si="305"/>
        <v>0</v>
      </c>
      <c r="V246" s="235"/>
      <c r="W246" s="231"/>
      <c r="X246" s="231"/>
      <c r="Y246" s="231"/>
      <c r="Z246" s="231"/>
      <c r="AA246" s="231">
        <f t="shared" si="306"/>
        <v>60499869.726956367</v>
      </c>
      <c r="AB246" s="231">
        <v>0</v>
      </c>
      <c r="AC246" s="231">
        <f t="shared" si="307"/>
        <v>60499869.726956367</v>
      </c>
      <c r="AD246" s="231">
        <v>0</v>
      </c>
      <c r="AE246" s="231">
        <f t="shared" si="308"/>
        <v>60499869.726956367</v>
      </c>
      <c r="AF246" s="231">
        <f t="shared" ref="AF246:AF255" si="310">AE246-AE245</f>
        <v>5302015.6080358177</v>
      </c>
    </row>
    <row r="247" spans="1:34" s="236" customFormat="1" ht="15.75" x14ac:dyDescent="0.25">
      <c r="A247" s="229">
        <f t="shared" ref="A247:A255" si="311">A246</f>
        <v>19</v>
      </c>
      <c r="B247" s="230">
        <v>43891</v>
      </c>
      <c r="C247" s="231">
        <f>'SEF-3 p 3 Sch B'!H41</f>
        <v>9983216.1775986794</v>
      </c>
      <c r="D247" s="232">
        <f>SUM($C$245:C247)</f>
        <v>25089946.725036528</v>
      </c>
      <c r="E247" s="233"/>
      <c r="F247" s="231">
        <f t="shared" si="298"/>
        <v>17000000</v>
      </c>
      <c r="G247" s="231">
        <f t="shared" si="299"/>
        <v>8089946.725036528</v>
      </c>
      <c r="H247" s="231">
        <f t="shared" si="300"/>
        <v>0</v>
      </c>
      <c r="I247" s="231"/>
      <c r="J247" s="231">
        <f t="shared" si="301"/>
        <v>4044973.362518264</v>
      </c>
      <c r="K247" s="231">
        <f t="shared" si="302"/>
        <v>0</v>
      </c>
      <c r="L247" s="231"/>
      <c r="M247" s="231">
        <f>SUM(J247:L247)+$M$241+M243</f>
        <v>4044973.3625182658</v>
      </c>
      <c r="N247" s="231">
        <v>0</v>
      </c>
      <c r="O247" s="231">
        <f t="shared" si="303"/>
        <v>4044973.3625182658</v>
      </c>
      <c r="P247" s="231">
        <f t="shared" si="309"/>
        <v>4044973.3625182658</v>
      </c>
      <c r="R247" s="234"/>
      <c r="S247" s="231">
        <f t="shared" si="304"/>
        <v>17000000</v>
      </c>
      <c r="T247" s="231">
        <f t="shared" si="305"/>
        <v>4044973.362518264</v>
      </c>
      <c r="U247" s="235">
        <f t="shared" si="305"/>
        <v>0</v>
      </c>
      <c r="V247" s="235"/>
      <c r="W247" s="231"/>
      <c r="X247" s="231"/>
      <c r="Y247" s="231"/>
      <c r="Z247" s="231"/>
      <c r="AA247" s="231">
        <f t="shared" si="306"/>
        <v>66438112.542036787</v>
      </c>
      <c r="AB247" s="231">
        <v>0</v>
      </c>
      <c r="AC247" s="231">
        <f t="shared" si="307"/>
        <v>66438112.542036787</v>
      </c>
      <c r="AD247" s="231">
        <v>0</v>
      </c>
      <c r="AE247" s="231">
        <f t="shared" si="308"/>
        <v>66438112.542036787</v>
      </c>
      <c r="AF247" s="231">
        <f t="shared" si="310"/>
        <v>5938242.8150804192</v>
      </c>
      <c r="AG247" s="237"/>
    </row>
    <row r="248" spans="1:34" s="236" customFormat="1" ht="15.75" x14ac:dyDescent="0.25">
      <c r="A248" s="229">
        <f t="shared" si="311"/>
        <v>19</v>
      </c>
      <c r="B248" s="230">
        <v>43922</v>
      </c>
      <c r="C248" s="231">
        <f>'SEF-3 p 3 Sch B'!I41</f>
        <v>8247124.0141907213</v>
      </c>
      <c r="D248" s="232">
        <f>SUM($C$245:C248)</f>
        <v>33337070.73922725</v>
      </c>
      <c r="E248" s="233"/>
      <c r="F248" s="231">
        <f t="shared" si="298"/>
        <v>17000000</v>
      </c>
      <c r="G248" s="231">
        <f t="shared" si="299"/>
        <v>16337070.73922725</v>
      </c>
      <c r="H248" s="231">
        <f t="shared" si="300"/>
        <v>0</v>
      </c>
      <c r="I248" s="231"/>
      <c r="J248" s="231">
        <f t="shared" si="301"/>
        <v>8168535.3696136251</v>
      </c>
      <c r="K248" s="231">
        <f t="shared" si="302"/>
        <v>0</v>
      </c>
      <c r="L248" s="231"/>
      <c r="M248" s="231">
        <f>SUM(J248:L248)+$M$241+M243</f>
        <v>8168535.3696136251</v>
      </c>
      <c r="N248" s="231">
        <v>0</v>
      </c>
      <c r="O248" s="231">
        <f t="shared" si="303"/>
        <v>8168535.3696136251</v>
      </c>
      <c r="P248" s="231">
        <f t="shared" si="309"/>
        <v>4123562.0070953593</v>
      </c>
      <c r="Q248" s="237"/>
      <c r="R248" s="234"/>
      <c r="S248" s="231">
        <f t="shared" si="304"/>
        <v>17000000</v>
      </c>
      <c r="T248" s="231">
        <f t="shared" si="305"/>
        <v>8168535.3696136251</v>
      </c>
      <c r="U248" s="235">
        <f t="shared" si="305"/>
        <v>0</v>
      </c>
      <c r="V248" s="235"/>
      <c r="W248" s="231"/>
      <c r="X248" s="231"/>
      <c r="Y248" s="231"/>
      <c r="Z248" s="231"/>
      <c r="AA248" s="231">
        <f t="shared" si="306"/>
        <v>70561674.549132138</v>
      </c>
      <c r="AB248" s="231">
        <v>0</v>
      </c>
      <c r="AC248" s="231">
        <f t="shared" si="307"/>
        <v>70561674.549132138</v>
      </c>
      <c r="AD248" s="231">
        <v>0</v>
      </c>
      <c r="AE248" s="231">
        <f t="shared" si="308"/>
        <v>70561674.549132138</v>
      </c>
      <c r="AF248" s="231">
        <f t="shared" si="310"/>
        <v>4123562.0070953518</v>
      </c>
      <c r="AG248" s="237"/>
    </row>
    <row r="249" spans="1:34" s="236" customFormat="1" ht="15.75" x14ac:dyDescent="0.25">
      <c r="A249" s="229">
        <f t="shared" si="311"/>
        <v>19</v>
      </c>
      <c r="B249" s="230">
        <v>43952</v>
      </c>
      <c r="C249" s="231">
        <f>'SEF-3 p 3 Sch B'!J41</f>
        <v>8988168.4031712506</v>
      </c>
      <c r="D249" s="232">
        <f>SUM($C$245:C249)</f>
        <v>42325239.142398499</v>
      </c>
      <c r="E249" s="233"/>
      <c r="F249" s="231">
        <f t="shared" si="298"/>
        <v>17000000</v>
      </c>
      <c r="G249" s="231">
        <f t="shared" si="299"/>
        <v>23000000</v>
      </c>
      <c r="H249" s="231">
        <f t="shared" si="300"/>
        <v>2325239.142398499</v>
      </c>
      <c r="I249" s="231"/>
      <c r="J249" s="231">
        <f t="shared" si="301"/>
        <v>11500000</v>
      </c>
      <c r="K249" s="231">
        <f t="shared" si="302"/>
        <v>2092715.2281586491</v>
      </c>
      <c r="L249" s="231"/>
      <c r="M249" s="231">
        <f>SUM(J249:L249)+$M$241+M243</f>
        <v>13592715.228158653</v>
      </c>
      <c r="N249" s="231">
        <v>0</v>
      </c>
      <c r="O249" s="231">
        <f t="shared" si="303"/>
        <v>13592715.228158653</v>
      </c>
      <c r="P249" s="231">
        <f t="shared" si="309"/>
        <v>5424179.8585450277</v>
      </c>
      <c r="Q249" s="237"/>
      <c r="R249" s="234"/>
      <c r="S249" s="231">
        <f t="shared" si="304"/>
        <v>17000000</v>
      </c>
      <c r="T249" s="231">
        <f t="shared" si="305"/>
        <v>11500000</v>
      </c>
      <c r="U249" s="235">
        <f t="shared" si="305"/>
        <v>232523.9142398499</v>
      </c>
      <c r="V249" s="235"/>
      <c r="W249" s="231"/>
      <c r="X249" s="231"/>
      <c r="Y249" s="231"/>
      <c r="Z249" s="231"/>
      <c r="AA249" s="231">
        <f t="shared" si="306"/>
        <v>74125663.093758374</v>
      </c>
      <c r="AB249" s="231">
        <v>0</v>
      </c>
      <c r="AC249" s="231">
        <f t="shared" si="307"/>
        <v>74125663.093758374</v>
      </c>
      <c r="AD249" s="231">
        <v>0</v>
      </c>
      <c r="AE249" s="231">
        <f t="shared" si="308"/>
        <v>74125663.093758374</v>
      </c>
      <c r="AF249" s="231">
        <f t="shared" si="310"/>
        <v>3563988.544626236</v>
      </c>
      <c r="AG249" s="237"/>
    </row>
    <row r="250" spans="1:34" s="236" customFormat="1" ht="15.75" x14ac:dyDescent="0.25">
      <c r="A250" s="229">
        <f t="shared" si="311"/>
        <v>19</v>
      </c>
      <c r="B250" s="230">
        <v>43983</v>
      </c>
      <c r="C250" s="231">
        <f>'SEF-3 p 3 Sch B'!K41</f>
        <v>6524255.3410024391</v>
      </c>
      <c r="D250" s="232">
        <f>SUM($C$245:C250)</f>
        <v>48849494.483400941</v>
      </c>
      <c r="E250" s="233"/>
      <c r="F250" s="231">
        <f t="shared" si="298"/>
        <v>17000000</v>
      </c>
      <c r="G250" s="231">
        <f t="shared" si="299"/>
        <v>23000000</v>
      </c>
      <c r="H250" s="231">
        <f t="shared" si="300"/>
        <v>8849494.4834009409</v>
      </c>
      <c r="I250" s="231"/>
      <c r="J250" s="231">
        <f t="shared" si="301"/>
        <v>11500000</v>
      </c>
      <c r="K250" s="231">
        <f t="shared" si="302"/>
        <v>7964545.0350608472</v>
      </c>
      <c r="L250" s="231"/>
      <c r="M250" s="231">
        <f>SUM(J250:L250)+$M$241+M243</f>
        <v>19464545.035060845</v>
      </c>
      <c r="N250" s="231">
        <v>0</v>
      </c>
      <c r="O250" s="231">
        <f t="shared" si="303"/>
        <v>19464545.035060845</v>
      </c>
      <c r="P250" s="231">
        <f t="shared" si="309"/>
        <v>5871829.8069021925</v>
      </c>
      <c r="Q250" s="237"/>
      <c r="R250" s="234"/>
      <c r="S250" s="231">
        <f t="shared" si="304"/>
        <v>17000000</v>
      </c>
      <c r="T250" s="231">
        <f t="shared" si="305"/>
        <v>11500000</v>
      </c>
      <c r="U250" s="235">
        <f t="shared" si="305"/>
        <v>884949.44834009372</v>
      </c>
      <c r="V250" s="235"/>
      <c r="W250" s="231"/>
      <c r="X250" s="231"/>
      <c r="Y250" s="231"/>
      <c r="Z250" s="231"/>
      <c r="AA250" s="231">
        <f t="shared" si="306"/>
        <v>74778088.627858609</v>
      </c>
      <c r="AB250" s="231">
        <v>0</v>
      </c>
      <c r="AC250" s="231">
        <f t="shared" si="307"/>
        <v>74778088.627858609</v>
      </c>
      <c r="AD250" s="231">
        <v>0</v>
      </c>
      <c r="AE250" s="231">
        <f t="shared" si="308"/>
        <v>74778088.627858609</v>
      </c>
      <c r="AF250" s="231">
        <f t="shared" si="310"/>
        <v>652425.53410023451</v>
      </c>
      <c r="AG250" s="237"/>
    </row>
    <row r="251" spans="1:34" s="236" customFormat="1" ht="15.75" x14ac:dyDescent="0.25">
      <c r="A251" s="229">
        <f t="shared" si="311"/>
        <v>19</v>
      </c>
      <c r="B251" s="230">
        <v>44013</v>
      </c>
      <c r="C251" s="231">
        <f>'SEF-3 p 3 Sch B'!L41</f>
        <v>332103.57859662623</v>
      </c>
      <c r="D251" s="232">
        <f>SUM($C$245:C251)</f>
        <v>49181598.06199757</v>
      </c>
      <c r="E251" s="233"/>
      <c r="F251" s="231">
        <f t="shared" si="298"/>
        <v>17000000</v>
      </c>
      <c r="G251" s="231">
        <f t="shared" si="299"/>
        <v>23000000</v>
      </c>
      <c r="H251" s="231">
        <f t="shared" si="300"/>
        <v>9181598.0619975701</v>
      </c>
      <c r="I251" s="231"/>
      <c r="J251" s="231">
        <f t="shared" si="301"/>
        <v>11500000</v>
      </c>
      <c r="K251" s="231">
        <f t="shared" si="302"/>
        <v>8263438.2557978136</v>
      </c>
      <c r="L251" s="231"/>
      <c r="M251" s="231">
        <f>SUM(J251:L251)+$M$241+M243</f>
        <v>19763438.255797818</v>
      </c>
      <c r="N251" s="231">
        <v>0</v>
      </c>
      <c r="O251" s="231">
        <f t="shared" si="303"/>
        <v>19763438.255797818</v>
      </c>
      <c r="P251" s="231">
        <f t="shared" si="309"/>
        <v>298893.22073697299</v>
      </c>
      <c r="Q251" s="237"/>
      <c r="R251" s="234"/>
      <c r="S251" s="231">
        <f t="shared" si="304"/>
        <v>17000000</v>
      </c>
      <c r="T251" s="231">
        <f t="shared" si="305"/>
        <v>11500000</v>
      </c>
      <c r="U251" s="235">
        <f t="shared" si="305"/>
        <v>918159.80619975645</v>
      </c>
      <c r="V251" s="235"/>
      <c r="W251" s="231"/>
      <c r="X251" s="231"/>
      <c r="Y251" s="231"/>
      <c r="Z251" s="231"/>
      <c r="AA251" s="231">
        <f t="shared" si="306"/>
        <v>74811298.98571828</v>
      </c>
      <c r="AB251" s="231">
        <v>0</v>
      </c>
      <c r="AC251" s="231">
        <f t="shared" si="307"/>
        <v>74811298.98571828</v>
      </c>
      <c r="AD251" s="231">
        <v>0</v>
      </c>
      <c r="AE251" s="231">
        <f t="shared" si="308"/>
        <v>74811298.98571828</v>
      </c>
      <c r="AF251" s="231">
        <f t="shared" si="310"/>
        <v>33210.357859671116</v>
      </c>
      <c r="AG251" s="237"/>
    </row>
    <row r="252" spans="1:34" s="236" customFormat="1" ht="15.75" x14ac:dyDescent="0.25">
      <c r="A252" s="229">
        <f t="shared" si="311"/>
        <v>19</v>
      </c>
      <c r="B252" s="230">
        <v>44044</v>
      </c>
      <c r="C252" s="231">
        <f>'SEF-3 p 3 Sch B'!M41</f>
        <v>104089.36236038452</v>
      </c>
      <c r="D252" s="232">
        <f>SUM($C$245:C252)</f>
        <v>49285687.424357958</v>
      </c>
      <c r="E252" s="233"/>
      <c r="F252" s="231">
        <f t="shared" si="298"/>
        <v>17000000</v>
      </c>
      <c r="G252" s="231">
        <f t="shared" si="299"/>
        <v>23000000</v>
      </c>
      <c r="H252" s="231">
        <f t="shared" si="300"/>
        <v>9285687.4243579581</v>
      </c>
      <c r="I252" s="231"/>
      <c r="J252" s="231">
        <f t="shared" si="301"/>
        <v>11500000</v>
      </c>
      <c r="K252" s="231">
        <f t="shared" si="302"/>
        <v>8357118.6819221629</v>
      </c>
      <c r="L252" s="231"/>
      <c r="M252" s="231">
        <f>SUM(J252:L252)+$M$241+M243</f>
        <v>19857118.681922168</v>
      </c>
      <c r="N252" s="231">
        <v>0</v>
      </c>
      <c r="O252" s="231">
        <f t="shared" si="303"/>
        <v>19857118.681922168</v>
      </c>
      <c r="P252" s="231">
        <f>O252-O251</f>
        <v>93680.426124349236</v>
      </c>
      <c r="Q252" s="237"/>
      <c r="R252" s="234"/>
      <c r="S252" s="231">
        <f t="shared" si="304"/>
        <v>17000000</v>
      </c>
      <c r="T252" s="231">
        <f t="shared" si="305"/>
        <v>11500000</v>
      </c>
      <c r="U252" s="235">
        <f t="shared" si="305"/>
        <v>928568.74243579526</v>
      </c>
      <c r="V252" s="235"/>
      <c r="W252" s="231"/>
      <c r="X252" s="231"/>
      <c r="Y252" s="231"/>
      <c r="Z252" s="231"/>
      <c r="AA252" s="231">
        <f t="shared" si="306"/>
        <v>74821707.921954319</v>
      </c>
      <c r="AB252" s="231">
        <v>0</v>
      </c>
      <c r="AC252" s="231">
        <f t="shared" si="307"/>
        <v>74821707.921954319</v>
      </c>
      <c r="AD252" s="231">
        <v>0</v>
      </c>
      <c r="AE252" s="231">
        <f t="shared" si="308"/>
        <v>74821707.921954319</v>
      </c>
      <c r="AF252" s="231">
        <f t="shared" si="310"/>
        <v>10408.936236038804</v>
      </c>
      <c r="AG252" s="237"/>
    </row>
    <row r="253" spans="1:34" s="236" customFormat="1" ht="15.75" x14ac:dyDescent="0.25">
      <c r="A253" s="229">
        <f t="shared" si="311"/>
        <v>19</v>
      </c>
      <c r="B253" s="230">
        <v>44075</v>
      </c>
      <c r="C253" s="231">
        <f>'SEF-3 p 3 Sch B'!N41</f>
        <v>2217369.1037237868</v>
      </c>
      <c r="D253" s="232">
        <f>SUM($C$245:C253)</f>
        <v>51503056.528081745</v>
      </c>
      <c r="E253" s="233"/>
      <c r="F253" s="231">
        <f t="shared" si="298"/>
        <v>17000000</v>
      </c>
      <c r="G253" s="231">
        <f t="shared" si="299"/>
        <v>23000000</v>
      </c>
      <c r="H253" s="231">
        <f t="shared" si="300"/>
        <v>11503056.528081745</v>
      </c>
      <c r="I253" s="231"/>
      <c r="J253" s="231">
        <f t="shared" si="301"/>
        <v>11500000</v>
      </c>
      <c r="K253" s="231">
        <f t="shared" si="302"/>
        <v>10352750.87527357</v>
      </c>
      <c r="L253" s="231"/>
      <c r="M253" s="231">
        <f>SUM(J253:L253)+$M$241+M243</f>
        <v>21852750.87527357</v>
      </c>
      <c r="N253" s="231">
        <v>0</v>
      </c>
      <c r="O253" s="231">
        <f t="shared" si="303"/>
        <v>21852750.87527357</v>
      </c>
      <c r="P253" s="231">
        <f>O253-O252</f>
        <v>1995632.1933514029</v>
      </c>
      <c r="Q253" s="237"/>
      <c r="R253" s="234"/>
      <c r="S253" s="231">
        <f t="shared" si="304"/>
        <v>17000000</v>
      </c>
      <c r="T253" s="231">
        <f t="shared" si="305"/>
        <v>11500000</v>
      </c>
      <c r="U253" s="235">
        <f t="shared" si="305"/>
        <v>1150305.6528081745</v>
      </c>
      <c r="V253" s="235"/>
      <c r="W253" s="231"/>
      <c r="X253" s="231"/>
      <c r="Y253" s="231"/>
      <c r="Z253" s="231"/>
      <c r="AA253" s="231">
        <f t="shared" si="306"/>
        <v>75043444.832326695</v>
      </c>
      <c r="AB253" s="231">
        <v>0</v>
      </c>
      <c r="AC253" s="231">
        <f t="shared" si="307"/>
        <v>75043444.832326695</v>
      </c>
      <c r="AD253" s="231">
        <v>0</v>
      </c>
      <c r="AE253" s="231">
        <f t="shared" si="308"/>
        <v>75043444.832326695</v>
      </c>
      <c r="AF253" s="231">
        <f t="shared" si="310"/>
        <v>221736.91037237644</v>
      </c>
      <c r="AG253" s="237"/>
    </row>
    <row r="254" spans="1:34" s="236" customFormat="1" ht="15.75" x14ac:dyDescent="0.25">
      <c r="A254" s="229">
        <f t="shared" si="311"/>
        <v>19</v>
      </c>
      <c r="B254" s="230">
        <v>44105</v>
      </c>
      <c r="C254" s="231">
        <f>'SEF-3 p 3 Sch B'!O41</f>
        <v>3663401.3567632241</v>
      </c>
      <c r="D254" s="232">
        <f>SUM($C$245:C254)</f>
        <v>55166457.884844966</v>
      </c>
      <c r="E254" s="233"/>
      <c r="F254" s="231">
        <f t="shared" si="298"/>
        <v>17000000</v>
      </c>
      <c r="G254" s="231">
        <f t="shared" si="299"/>
        <v>23000000</v>
      </c>
      <c r="H254" s="231">
        <f t="shared" si="300"/>
        <v>15166457.884844966</v>
      </c>
      <c r="I254" s="231"/>
      <c r="J254" s="231">
        <f t="shared" si="301"/>
        <v>11500000</v>
      </c>
      <c r="K254" s="231">
        <f t="shared" si="302"/>
        <v>13649812.096360469</v>
      </c>
      <c r="L254" s="231"/>
      <c r="M254" s="231">
        <f>SUM(J254:L254)+$M$241+M243</f>
        <v>25149812.096360467</v>
      </c>
      <c r="N254" s="231">
        <v>0</v>
      </c>
      <c r="O254" s="231">
        <f t="shared" si="303"/>
        <v>25149812.096360467</v>
      </c>
      <c r="P254" s="231">
        <f>O254-O253</f>
        <v>3297061.221086897</v>
      </c>
      <c r="Q254" s="238"/>
      <c r="R254" s="234"/>
      <c r="S254" s="231">
        <f t="shared" si="304"/>
        <v>17000000</v>
      </c>
      <c r="T254" s="231">
        <f t="shared" si="305"/>
        <v>11500000</v>
      </c>
      <c r="U254" s="235">
        <f t="shared" si="305"/>
        <v>1516645.788484497</v>
      </c>
      <c r="V254" s="235"/>
      <c r="W254" s="231"/>
      <c r="X254" s="231"/>
      <c r="Y254" s="231"/>
      <c r="Z254" s="231"/>
      <c r="AA254" s="231">
        <f t="shared" si="306"/>
        <v>75409784.96800302</v>
      </c>
      <c r="AB254" s="231">
        <v>0</v>
      </c>
      <c r="AC254" s="231">
        <f t="shared" si="307"/>
        <v>75409784.96800302</v>
      </c>
      <c r="AD254" s="231">
        <v>0</v>
      </c>
      <c r="AE254" s="231">
        <f t="shared" si="308"/>
        <v>75409784.96800302</v>
      </c>
      <c r="AF254" s="231">
        <f t="shared" si="310"/>
        <v>366340.13567632437</v>
      </c>
      <c r="AG254" s="237"/>
    </row>
    <row r="255" spans="1:34" s="236" customFormat="1" ht="15.75" x14ac:dyDescent="0.25">
      <c r="A255" s="229">
        <f t="shared" si="311"/>
        <v>19</v>
      </c>
      <c r="B255" s="230">
        <v>44136</v>
      </c>
      <c r="C255" s="231">
        <f>'SEF-3 p 3 Sch B'!P41</f>
        <v>7197268.8899169937</v>
      </c>
      <c r="D255" s="232">
        <f>SUM($C$245:C255)</f>
        <v>62363726.77476196</v>
      </c>
      <c r="E255" s="233"/>
      <c r="F255" s="231">
        <f t="shared" si="298"/>
        <v>17000000</v>
      </c>
      <c r="G255" s="231">
        <f t="shared" si="299"/>
        <v>23000000</v>
      </c>
      <c r="H255" s="231">
        <f t="shared" si="300"/>
        <v>22363726.77476196</v>
      </c>
      <c r="I255" s="231"/>
      <c r="J255" s="231">
        <f t="shared" si="301"/>
        <v>11500000</v>
      </c>
      <c r="K255" s="231">
        <f t="shared" si="302"/>
        <v>20127354.097285766</v>
      </c>
      <c r="L255" s="231"/>
      <c r="M255" s="231">
        <f>SUM(J255:L255)+$M$241+M243</f>
        <v>31627354.097285762</v>
      </c>
      <c r="N255" s="231">
        <v>0</v>
      </c>
      <c r="O255" s="231">
        <f t="shared" si="303"/>
        <v>31627354.097285762</v>
      </c>
      <c r="P255" s="231">
        <f>O255-O254</f>
        <v>6477542.0009252951</v>
      </c>
      <c r="Q255" s="237"/>
      <c r="R255" s="234"/>
      <c r="S255" s="231">
        <f t="shared" si="304"/>
        <v>17000000</v>
      </c>
      <c r="T255" s="231">
        <f t="shared" si="305"/>
        <v>11500000</v>
      </c>
      <c r="U255" s="235">
        <f t="shared" si="305"/>
        <v>2236372.6774761938</v>
      </c>
      <c r="V255" s="235"/>
      <c r="W255" s="231"/>
      <c r="X255" s="231"/>
      <c r="Y255" s="231"/>
      <c r="Z255" s="231"/>
      <c r="AA255" s="231">
        <f t="shared" si="306"/>
        <v>76129511.856994718</v>
      </c>
      <c r="AB255" s="231">
        <v>0</v>
      </c>
      <c r="AC255" s="231">
        <f t="shared" si="307"/>
        <v>76129511.856994718</v>
      </c>
      <c r="AD255" s="231">
        <v>0</v>
      </c>
      <c r="AE255" s="231">
        <f t="shared" si="308"/>
        <v>76129511.856994718</v>
      </c>
      <c r="AF255" s="231">
        <f t="shared" si="310"/>
        <v>719726.88899169862</v>
      </c>
      <c r="AG255" s="237"/>
    </row>
    <row r="256" spans="1:34" s="236" customFormat="1" ht="15.75" x14ac:dyDescent="0.25">
      <c r="A256" s="229">
        <f>A255</f>
        <v>19</v>
      </c>
      <c r="B256" s="230">
        <v>44166</v>
      </c>
      <c r="C256" s="231">
        <f>'SEF-3 p 3 Sch B'!Q41</f>
        <v>13754932.350835145</v>
      </c>
      <c r="D256" s="232">
        <f>SUM($C$245:C256)</f>
        <v>76118659.125597104</v>
      </c>
      <c r="E256" s="233"/>
      <c r="F256" s="231">
        <f t="shared" si="298"/>
        <v>17000000</v>
      </c>
      <c r="G256" s="231">
        <f t="shared" si="299"/>
        <v>23000000</v>
      </c>
      <c r="H256" s="231">
        <f t="shared" si="300"/>
        <v>36118659.125597104</v>
      </c>
      <c r="I256" s="231"/>
      <c r="J256" s="231">
        <f t="shared" si="301"/>
        <v>11500000</v>
      </c>
      <c r="K256" s="231">
        <f t="shared" si="302"/>
        <v>32506793.213037394</v>
      </c>
      <c r="L256" s="231"/>
      <c r="M256" s="231">
        <f>SUM(J256:L256)+$M$241+M243</f>
        <v>44006793.213037401</v>
      </c>
      <c r="N256" s="231">
        <v>0</v>
      </c>
      <c r="O256" s="231">
        <f t="shared" si="303"/>
        <v>44006793.213037401</v>
      </c>
      <c r="P256" s="231">
        <f>O256-O255</f>
        <v>12379439.115751639</v>
      </c>
      <c r="Q256" s="359"/>
      <c r="R256" s="234"/>
      <c r="S256" s="231">
        <f t="shared" si="304"/>
        <v>17000000</v>
      </c>
      <c r="T256" s="231">
        <f t="shared" si="305"/>
        <v>11500000</v>
      </c>
      <c r="U256" s="235">
        <f t="shared" si="305"/>
        <v>3611865.9125597104</v>
      </c>
      <c r="V256" s="235"/>
      <c r="W256" s="231"/>
      <c r="X256" s="231"/>
      <c r="Y256" s="231"/>
      <c r="Z256" s="231"/>
      <c r="AA256" s="231">
        <f>SUM(S256:V256)+$AA$241</f>
        <v>77505005.092078239</v>
      </c>
      <c r="AB256" s="231">
        <v>0</v>
      </c>
      <c r="AC256" s="231">
        <f t="shared" si="307"/>
        <v>77505005.092078239</v>
      </c>
      <c r="AD256" s="231">
        <v>0</v>
      </c>
      <c r="AE256" s="231">
        <f t="shared" si="308"/>
        <v>77505005.092078239</v>
      </c>
      <c r="AF256" s="231">
        <f>AE256-AE255</f>
        <v>1375493.2350835204</v>
      </c>
      <c r="AG256" s="237"/>
    </row>
    <row r="257" spans="1:32" ht="18" customHeight="1" x14ac:dyDescent="0.2">
      <c r="A257" s="124"/>
      <c r="C257" s="201"/>
      <c r="D257" s="201"/>
      <c r="E257" s="201"/>
      <c r="F257" s="201"/>
      <c r="G257" s="201"/>
      <c r="H257" s="201"/>
      <c r="I257" s="201"/>
      <c r="J257" s="201"/>
      <c r="K257" s="201"/>
      <c r="L257" s="201"/>
      <c r="M257" s="201"/>
      <c r="N257" s="201"/>
      <c r="O257" s="201"/>
      <c r="P257" s="201"/>
      <c r="Q257" s="201"/>
      <c r="R257" s="215"/>
      <c r="S257" s="201"/>
      <c r="T257" s="201"/>
      <c r="U257" s="201"/>
      <c r="V257" s="201"/>
      <c r="W257" s="201"/>
      <c r="X257" s="201"/>
      <c r="Y257" s="201"/>
      <c r="Z257" s="201"/>
      <c r="AA257" s="201"/>
      <c r="AB257" s="130"/>
      <c r="AC257" s="130"/>
      <c r="AD257" s="130"/>
      <c r="AE257" s="201"/>
      <c r="AF257" s="201"/>
    </row>
    <row r="258" spans="1:32" ht="15.75" x14ac:dyDescent="0.25">
      <c r="B258" s="73" t="s">
        <v>203</v>
      </c>
      <c r="C258" s="73" t="s">
        <v>162</v>
      </c>
      <c r="D258" s="73" t="s">
        <v>36</v>
      </c>
      <c r="J258" s="239"/>
      <c r="N258" s="385" t="s">
        <v>311</v>
      </c>
      <c r="O258" s="385" t="s">
        <v>312</v>
      </c>
      <c r="P258" s="385" t="s">
        <v>313</v>
      </c>
      <c r="Q258" s="385" t="s">
        <v>314</v>
      </c>
      <c r="AB258" s="68"/>
      <c r="AC258" s="68"/>
      <c r="AD258" s="68"/>
      <c r="AE258" s="201"/>
      <c r="AF258" s="201"/>
    </row>
    <row r="259" spans="1:32" x14ac:dyDescent="0.2">
      <c r="B259" s="68">
        <v>1</v>
      </c>
      <c r="C259" s="241">
        <v>0</v>
      </c>
      <c r="D259" s="241">
        <v>1</v>
      </c>
      <c r="E259" s="240"/>
      <c r="F259" s="240"/>
      <c r="G259" s="240"/>
      <c r="H259" s="240"/>
      <c r="I259" s="240"/>
      <c r="N259" s="230">
        <v>43831</v>
      </c>
      <c r="O259" s="201">
        <f>P245+'SEF-3 p 5 Interest'!N414</f>
        <v>166243.06</v>
      </c>
      <c r="P259" s="387">
        <f>O259/0.951115</f>
        <v>174787.54934997344</v>
      </c>
      <c r="AB259" s="68"/>
      <c r="AC259" s="68"/>
      <c r="AD259" s="68"/>
      <c r="AE259" s="201"/>
      <c r="AF259" s="201"/>
    </row>
    <row r="260" spans="1:32" x14ac:dyDescent="0.2">
      <c r="B260" s="68">
        <v>2</v>
      </c>
      <c r="C260" s="241">
        <v>0.5</v>
      </c>
      <c r="D260" s="241">
        <v>0.5</v>
      </c>
      <c r="E260" s="240"/>
      <c r="F260" s="240"/>
      <c r="G260" s="240"/>
      <c r="H260" s="240"/>
      <c r="I260" s="240"/>
      <c r="N260" s="230">
        <v>43862</v>
      </c>
      <c r="O260" s="201">
        <f>P246+'SEF-3 p 5 Interest'!N416</f>
        <v>155517.69999999998</v>
      </c>
      <c r="P260" s="387">
        <f t="shared" ref="P260:P270" si="312">O260/0.951115</f>
        <v>163510.93190623634</v>
      </c>
      <c r="AE260" s="201"/>
      <c r="AF260" s="201"/>
    </row>
    <row r="261" spans="1:32" x14ac:dyDescent="0.2">
      <c r="B261" s="68">
        <v>3</v>
      </c>
      <c r="C261" s="241">
        <v>0.9</v>
      </c>
      <c r="D261" s="241">
        <v>0.1</v>
      </c>
      <c r="E261" s="240"/>
      <c r="F261" s="240"/>
      <c r="G261" s="240"/>
      <c r="H261" s="240"/>
      <c r="I261" s="240"/>
      <c r="N261" s="230">
        <v>43891</v>
      </c>
      <c r="O261" s="201">
        <f>P247+'SEF-3 p 5 Interest'!N418</f>
        <v>4211766.0925182663</v>
      </c>
      <c r="P261" s="387">
        <f t="shared" si="312"/>
        <v>4428240.6360095954</v>
      </c>
    </row>
    <row r="262" spans="1:32" x14ac:dyDescent="0.2">
      <c r="B262" s="68">
        <v>4</v>
      </c>
      <c r="C262" s="241">
        <v>0.95</v>
      </c>
      <c r="D262" s="241">
        <v>0.05</v>
      </c>
      <c r="E262" s="240"/>
      <c r="F262" s="240"/>
      <c r="G262" s="240"/>
      <c r="H262" s="240"/>
      <c r="I262" s="240"/>
      <c r="N262" s="230">
        <v>43922</v>
      </c>
      <c r="O262" s="201">
        <f>P248+'SEF-3 p 5 Interest'!N420</f>
        <v>4293959.5670953589</v>
      </c>
      <c r="P262" s="387">
        <f t="shared" si="312"/>
        <v>4514658.655467907</v>
      </c>
    </row>
    <row r="263" spans="1:32" x14ac:dyDescent="0.2">
      <c r="B263" s="68"/>
      <c r="C263" s="241"/>
      <c r="D263" s="241"/>
      <c r="E263" s="240"/>
      <c r="F263" s="240"/>
      <c r="G263" s="240"/>
      <c r="H263" s="240"/>
      <c r="I263" s="240"/>
      <c r="N263" s="230">
        <v>43952</v>
      </c>
      <c r="O263" s="201">
        <f>P249+'SEF-3 p 5 Interest'!N422</f>
        <v>5617044.178545028</v>
      </c>
      <c r="P263" s="387">
        <f t="shared" si="312"/>
        <v>5905746.6011418467</v>
      </c>
    </row>
    <row r="264" spans="1:32" x14ac:dyDescent="0.2">
      <c r="B264" s="68" t="s">
        <v>204</v>
      </c>
      <c r="C264" s="241">
        <v>0.99</v>
      </c>
      <c r="D264" s="241">
        <v>0.01</v>
      </c>
      <c r="E264" s="240"/>
      <c r="F264" s="240"/>
      <c r="G264" s="240"/>
      <c r="H264" s="240"/>
      <c r="I264" s="240"/>
      <c r="N264" s="230">
        <v>43983</v>
      </c>
      <c r="O264" s="201">
        <f>P250+'SEF-3 p 5 Interest'!N424</f>
        <v>6079730.3169021923</v>
      </c>
      <c r="P264" s="387">
        <f t="shared" si="312"/>
        <v>6392213.6827851441</v>
      </c>
    </row>
    <row r="265" spans="1:32" ht="17.25" customHeight="1" x14ac:dyDescent="0.2">
      <c r="B265" s="68"/>
      <c r="C265" s="241"/>
      <c r="D265" s="241"/>
      <c r="E265" s="240"/>
      <c r="F265" s="240"/>
      <c r="G265" s="240"/>
      <c r="H265" s="240"/>
      <c r="I265" s="240"/>
      <c r="N265" s="230">
        <v>44013</v>
      </c>
      <c r="O265" s="201">
        <f>P251+'SEF-3 p 5 Interest'!N426</f>
        <v>470586.90073697298</v>
      </c>
      <c r="P265" s="387">
        <f t="shared" si="312"/>
        <v>494773.92401231499</v>
      </c>
    </row>
    <row r="266" spans="1:32" x14ac:dyDescent="0.2">
      <c r="B266" s="338" t="s">
        <v>205</v>
      </c>
      <c r="C266" s="241"/>
      <c r="D266" s="241"/>
      <c r="E266" s="240"/>
      <c r="F266" s="240"/>
      <c r="G266" s="240"/>
      <c r="H266" s="240"/>
      <c r="I266" s="240"/>
      <c r="N266" s="230">
        <v>44044</v>
      </c>
      <c r="O266" s="201">
        <f>P252+'SEF-3 p 5 Interest'!N428</f>
        <v>266225.53612434922</v>
      </c>
      <c r="P266" s="387">
        <f t="shared" si="312"/>
        <v>279908.88181171491</v>
      </c>
    </row>
    <row r="267" spans="1:32" x14ac:dyDescent="0.2">
      <c r="B267" s="73" t="s">
        <v>203</v>
      </c>
      <c r="C267" s="73" t="s">
        <v>162</v>
      </c>
      <c r="D267" s="73" t="s">
        <v>36</v>
      </c>
      <c r="E267" s="240"/>
      <c r="F267" s="240"/>
      <c r="G267" s="240"/>
      <c r="H267" s="240"/>
      <c r="I267" s="240"/>
      <c r="N267" s="230">
        <v>44075</v>
      </c>
      <c r="O267" s="201">
        <f>P253+'SEF-3 p 5 Interest'!N430</f>
        <v>2163054.4533514027</v>
      </c>
      <c r="P267" s="387">
        <f t="shared" si="312"/>
        <v>2274230.1965076807</v>
      </c>
    </row>
    <row r="268" spans="1:32" x14ac:dyDescent="0.2">
      <c r="B268" s="68">
        <v>1</v>
      </c>
      <c r="C268" s="339">
        <v>0</v>
      </c>
      <c r="D268" s="339">
        <v>1</v>
      </c>
      <c r="E268" s="240"/>
      <c r="F268" s="240"/>
      <c r="G268" s="240"/>
      <c r="H268" s="240"/>
      <c r="I268" s="240"/>
      <c r="N268" s="230">
        <v>44105</v>
      </c>
      <c r="O268" s="201">
        <f>P254+'SEF-3 p 5 Interest'!N432</f>
        <v>3466603.801086897</v>
      </c>
      <c r="P268" s="387">
        <f t="shared" si="312"/>
        <v>3644778.8133789254</v>
      </c>
      <c r="Q268" s="386">
        <f>(SUM(P259:P268))/SUM(P259:P270)</f>
        <v>0.58446310463463458</v>
      </c>
    </row>
    <row r="269" spans="1:32" x14ac:dyDescent="0.2">
      <c r="B269" s="340" t="s">
        <v>206</v>
      </c>
      <c r="C269" s="339">
        <v>0.5</v>
      </c>
      <c r="D269" s="339">
        <v>0.5</v>
      </c>
      <c r="E269" s="240"/>
      <c r="F269" s="240"/>
      <c r="G269" s="240"/>
      <c r="H269" s="240"/>
      <c r="I269" s="240"/>
      <c r="N269" s="230">
        <v>44136</v>
      </c>
      <c r="O269" s="201">
        <f>P255+'SEF-3 p 5 Interest'!N434</f>
        <v>6650715.3509252947</v>
      </c>
      <c r="P269" s="387">
        <f t="shared" si="312"/>
        <v>6992545.9601891404</v>
      </c>
    </row>
    <row r="270" spans="1:32" x14ac:dyDescent="0.2">
      <c r="B270" s="340" t="s">
        <v>207</v>
      </c>
      <c r="C270" s="339">
        <v>0.65</v>
      </c>
      <c r="D270" s="339">
        <v>0.35</v>
      </c>
      <c r="E270" s="240"/>
      <c r="F270" s="240"/>
      <c r="G270" s="240"/>
      <c r="H270" s="240"/>
      <c r="I270" s="240"/>
      <c r="N270" s="230">
        <v>44166</v>
      </c>
      <c r="O270" s="201">
        <f>P256+'SEF-3 p 5 Interest'!N437</f>
        <v>12467841.555751638</v>
      </c>
      <c r="P270" s="387">
        <f t="shared" si="312"/>
        <v>13108658.3176079</v>
      </c>
      <c r="Q270" s="386">
        <f>(P269+P270)/SUM(P259:P270)</f>
        <v>0.41553689536536542</v>
      </c>
    </row>
    <row r="271" spans="1:32" x14ac:dyDescent="0.2">
      <c r="B271" s="68">
        <v>3</v>
      </c>
      <c r="C271" s="339">
        <v>0.9</v>
      </c>
      <c r="D271" s="339">
        <v>0.1</v>
      </c>
      <c r="E271" s="240"/>
      <c r="F271" s="240"/>
      <c r="G271" s="240"/>
      <c r="H271" s="240"/>
      <c r="I271" s="240"/>
    </row>
    <row r="272" spans="1:32" s="68" customFormat="1" x14ac:dyDescent="0.2">
      <c r="C272" s="241"/>
      <c r="D272" s="241"/>
    </row>
    <row r="273" spans="2:32" s="68" customFormat="1" x14ac:dyDescent="0.2">
      <c r="C273" s="241"/>
      <c r="D273" s="241"/>
    </row>
    <row r="274" spans="2:32" s="68" customFormat="1" x14ac:dyDescent="0.2">
      <c r="C274" s="241"/>
      <c r="D274" s="241"/>
    </row>
    <row r="275" spans="2:32" x14ac:dyDescent="0.2">
      <c r="B275" s="64" t="s">
        <v>208</v>
      </c>
    </row>
    <row r="276" spans="2:32" x14ac:dyDescent="0.2">
      <c r="B276" s="64" t="s">
        <v>209</v>
      </c>
      <c r="G276" s="240"/>
      <c r="H276" s="240"/>
      <c r="I276" s="240"/>
    </row>
    <row r="277" spans="2:32" x14ac:dyDescent="0.2">
      <c r="B277" s="64" t="s">
        <v>210</v>
      </c>
      <c r="G277" s="240"/>
      <c r="H277" s="240"/>
      <c r="I277" s="240"/>
    </row>
    <row r="278" spans="2:32" x14ac:dyDescent="0.2">
      <c r="B278" s="68" t="s">
        <v>211</v>
      </c>
      <c r="C278" s="68"/>
      <c r="D278" s="68"/>
      <c r="E278" s="68"/>
      <c r="F278" s="68"/>
      <c r="G278" s="241"/>
      <c r="H278" s="241"/>
      <c r="I278" s="241"/>
      <c r="J278" s="72"/>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row>
    <row r="279" spans="2:32" x14ac:dyDescent="0.2">
      <c r="B279" s="68" t="s">
        <v>212</v>
      </c>
      <c r="C279" s="68"/>
      <c r="D279" s="68"/>
      <c r="E279" s="68"/>
      <c r="F279" s="68"/>
      <c r="G279" s="241"/>
      <c r="H279" s="241"/>
      <c r="I279" s="241"/>
      <c r="J279" s="68"/>
      <c r="K279" s="68"/>
    </row>
    <row r="280" spans="2:32" x14ac:dyDescent="0.2">
      <c r="B280" s="64" t="s">
        <v>213</v>
      </c>
    </row>
    <row r="281" spans="2:32" x14ac:dyDescent="0.2">
      <c r="B281" s="64" t="s">
        <v>214</v>
      </c>
    </row>
    <row r="282" spans="2:32" ht="15.75" x14ac:dyDescent="0.25">
      <c r="I282" s="242"/>
    </row>
  </sheetData>
  <pageMargins left="0" right="0" top="0.3" bottom="0.3" header="0.5" footer="0.2"/>
  <pageSetup scale="58" orientation="landscape" blackAndWhite="1" r:id="rId1"/>
  <headerFooter alignWithMargins="0">
    <oddFooter>&amp;LPrepared By: Annette Moore &amp;D&amp;R&amp;F &amp;A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40"/>
  <sheetViews>
    <sheetView topLeftCell="A2" zoomScaleNormal="100" workbookViewId="0">
      <pane xSplit="2" ySplit="12" topLeftCell="C14" activePane="bottomRight" state="frozen"/>
      <selection activeCell="N280" sqref="N280"/>
      <selection pane="topRight" activeCell="N280" sqref="N280"/>
      <selection pane="bottomLeft" activeCell="N280" sqref="N280"/>
      <selection pane="bottomRight" activeCell="O3" sqref="O3"/>
    </sheetView>
  </sheetViews>
  <sheetFormatPr defaultColWidth="9.140625" defaultRowHeight="12" outlineLevelRow="1" x14ac:dyDescent="0.2"/>
  <cols>
    <col min="1" max="1" width="11.85546875" style="361" customWidth="1"/>
    <col min="2" max="2" width="14.140625" style="361" customWidth="1"/>
    <col min="3" max="3" width="15.5703125" style="361" bestFit="1" customWidth="1"/>
    <col min="4" max="4" width="12" style="361" customWidth="1"/>
    <col min="5" max="5" width="14.85546875" style="361" bestFit="1" customWidth="1"/>
    <col min="6" max="6" width="16.140625" style="361" customWidth="1"/>
    <col min="7" max="7" width="16.5703125" style="361" bestFit="1" customWidth="1"/>
    <col min="8" max="8" width="3.28515625" style="361" customWidth="1"/>
    <col min="9" max="10" width="15.42578125" style="361" customWidth="1"/>
    <col min="11" max="11" width="9.7109375" style="361" customWidth="1"/>
    <col min="12" max="12" width="12.5703125" style="361" customWidth="1"/>
    <col min="13" max="13" width="15.140625" style="351" bestFit="1" customWidth="1"/>
    <col min="14" max="14" width="13.28515625" style="361" customWidth="1"/>
    <col min="15" max="15" width="16.7109375" style="361" customWidth="1"/>
    <col min="16" max="16" width="11.7109375" style="361" bestFit="1" customWidth="1"/>
    <col min="17" max="16384" width="9.140625" style="361"/>
  </cols>
  <sheetData>
    <row r="1" spans="1:16" x14ac:dyDescent="0.2">
      <c r="A1" s="360" t="s">
        <v>158</v>
      </c>
    </row>
    <row r="2" spans="1:16" x14ac:dyDescent="0.2">
      <c r="A2" s="364" t="str">
        <f ca="1">MID(CELL("filename",A2),FIND("]",CELL("filename",A2))+1,255)</f>
        <v>SEF-3 p 5 Interest</v>
      </c>
      <c r="O2" s="200" t="s">
        <v>322</v>
      </c>
    </row>
    <row r="3" spans="1:16" x14ac:dyDescent="0.2">
      <c r="A3" s="360" t="s">
        <v>316</v>
      </c>
    </row>
    <row r="5" spans="1:16" x14ac:dyDescent="0.2">
      <c r="A5" s="360"/>
      <c r="D5" s="362"/>
    </row>
    <row r="6" spans="1:16" x14ac:dyDescent="0.2">
      <c r="A6" s="360"/>
    </row>
    <row r="7" spans="1:16" x14ac:dyDescent="0.2">
      <c r="P7" s="363"/>
    </row>
    <row r="8" spans="1:16" x14ac:dyDescent="0.2">
      <c r="B8" s="364" t="s">
        <v>258</v>
      </c>
      <c r="C8" s="364"/>
    </row>
    <row r="9" spans="1:16" x14ac:dyDescent="0.2">
      <c r="B9" s="364" t="s">
        <v>259</v>
      </c>
      <c r="C9" s="364">
        <v>18239061</v>
      </c>
    </row>
    <row r="10" spans="1:16" x14ac:dyDescent="0.2">
      <c r="B10" s="364" t="s">
        <v>260</v>
      </c>
      <c r="C10" s="365" t="s">
        <v>261</v>
      </c>
      <c r="F10" s="366" t="s">
        <v>165</v>
      </c>
      <c r="G10" s="366" t="s">
        <v>262</v>
      </c>
      <c r="L10" s="366" t="s">
        <v>263</v>
      </c>
      <c r="M10" s="367" t="s">
        <v>121</v>
      </c>
      <c r="N10" s="366" t="s">
        <v>165</v>
      </c>
      <c r="O10" s="366" t="s">
        <v>60</v>
      </c>
    </row>
    <row r="11" spans="1:16" hidden="1" x14ac:dyDescent="0.2">
      <c r="B11" s="364"/>
      <c r="C11" s="365"/>
      <c r="F11" s="366"/>
      <c r="G11" s="366"/>
      <c r="L11" s="366"/>
      <c r="M11" s="367"/>
      <c r="N11" s="366"/>
      <c r="O11" s="366"/>
    </row>
    <row r="12" spans="1:16" hidden="1" x14ac:dyDescent="0.2">
      <c r="B12" s="364"/>
      <c r="C12" s="365"/>
      <c r="F12" s="366"/>
      <c r="G12" s="366"/>
      <c r="L12" s="366"/>
      <c r="M12" s="367"/>
      <c r="N12" s="366"/>
      <c r="O12" s="366"/>
    </row>
    <row r="13" spans="1:16" x14ac:dyDescent="0.2">
      <c r="C13" s="366" t="s">
        <v>264</v>
      </c>
      <c r="D13" s="366" t="s">
        <v>265</v>
      </c>
      <c r="E13" s="366" t="s">
        <v>266</v>
      </c>
      <c r="F13" s="366" t="s">
        <v>267</v>
      </c>
      <c r="G13" s="366" t="s">
        <v>268</v>
      </c>
      <c r="I13" s="366" t="s">
        <v>269</v>
      </c>
      <c r="J13" s="366" t="s">
        <v>270</v>
      </c>
      <c r="K13" s="366" t="s">
        <v>271</v>
      </c>
      <c r="L13" s="366" t="s">
        <v>272</v>
      </c>
      <c r="M13" s="367" t="s">
        <v>273</v>
      </c>
      <c r="N13" s="366" t="s">
        <v>274</v>
      </c>
      <c r="O13" s="366" t="s">
        <v>273</v>
      </c>
    </row>
    <row r="14" spans="1:16" hidden="1" outlineLevel="1" x14ac:dyDescent="0.2">
      <c r="C14" s="366"/>
      <c r="D14" s="366"/>
      <c r="E14" s="366"/>
      <c r="F14" s="366"/>
      <c r="G14" s="366"/>
      <c r="I14" s="366"/>
      <c r="J14" s="366"/>
      <c r="K14" s="366"/>
      <c r="L14" s="366"/>
      <c r="M14" s="367"/>
      <c r="N14" s="366"/>
    </row>
    <row r="15" spans="1:16" hidden="1" outlineLevel="1" x14ac:dyDescent="0.2">
      <c r="A15" s="361" t="s">
        <v>275</v>
      </c>
      <c r="B15" s="361" t="s">
        <v>201</v>
      </c>
      <c r="C15" s="220"/>
      <c r="D15" s="366"/>
      <c r="E15" s="366"/>
      <c r="F15" s="366"/>
      <c r="G15" s="220">
        <f t="shared" ref="G15:G40" si="0">+G14+F15</f>
        <v>0</v>
      </c>
      <c r="I15" s="368">
        <v>37773</v>
      </c>
      <c r="J15" s="368">
        <f>IF(I15=I16,"",+I16-1)</f>
        <v>37801</v>
      </c>
      <c r="K15" s="369">
        <f>+IF(+J15="","",+J15-(I15-1))</f>
        <v>29</v>
      </c>
      <c r="L15" s="370"/>
      <c r="M15" s="224">
        <f t="shared" ref="M15:M42" si="1">+IF(+K15&lt;&gt;" ", ROUND(L15*(K15/365)*G15,2),0)</f>
        <v>0</v>
      </c>
      <c r="N15" s="220">
        <f>IF(MONTH(+I15)&lt;&gt;MONTH(+I14),M15,+N14+M15)</f>
        <v>0</v>
      </c>
    </row>
    <row r="16" spans="1:16" hidden="1" outlineLevel="1" x14ac:dyDescent="0.2">
      <c r="C16" s="220">
        <v>0</v>
      </c>
      <c r="D16" s="366"/>
      <c r="E16" s="366"/>
      <c r="F16" s="220">
        <f>+C16</f>
        <v>0</v>
      </c>
      <c r="G16" s="220">
        <f t="shared" si="0"/>
        <v>0</v>
      </c>
      <c r="I16" s="368">
        <v>37802</v>
      </c>
      <c r="J16" s="368">
        <f>IF(I16=I17,"",+I17-1)</f>
        <v>37802</v>
      </c>
      <c r="K16" s="369">
        <f>+IF(+J16="","",+J16-(I16-1))</f>
        <v>1</v>
      </c>
      <c r="L16" s="370">
        <v>4.2500000000000003E-2</v>
      </c>
      <c r="M16" s="224">
        <f t="shared" si="1"/>
        <v>0</v>
      </c>
      <c r="N16" s="220">
        <f t="shared" ref="N16:N41" si="2">+M16</f>
        <v>0</v>
      </c>
      <c r="O16" s="220">
        <f t="shared" ref="O16:O42" si="3">+O15+M16</f>
        <v>0</v>
      </c>
    </row>
    <row r="17" spans="1:15" hidden="1" outlineLevel="1" x14ac:dyDescent="0.2">
      <c r="A17" s="361" t="s">
        <v>276</v>
      </c>
      <c r="B17" s="361" t="s">
        <v>190</v>
      </c>
      <c r="C17" s="220"/>
      <c r="D17" s="220"/>
      <c r="E17" s="220"/>
      <c r="F17" s="220"/>
      <c r="G17" s="220">
        <f t="shared" si="0"/>
        <v>0</v>
      </c>
      <c r="I17" s="368">
        <v>37803</v>
      </c>
      <c r="J17" s="368">
        <v>37832</v>
      </c>
      <c r="K17" s="369">
        <v>30</v>
      </c>
      <c r="L17" s="370">
        <v>4.2500000000000003E-2</v>
      </c>
      <c r="M17" s="224">
        <f t="shared" si="1"/>
        <v>0</v>
      </c>
      <c r="N17" s="220">
        <f t="shared" si="2"/>
        <v>0</v>
      </c>
      <c r="O17" s="220">
        <f t="shared" si="3"/>
        <v>0</v>
      </c>
    </row>
    <row r="18" spans="1:15" hidden="1" outlineLevel="1" x14ac:dyDescent="0.2">
      <c r="C18" s="220">
        <v>0</v>
      </c>
      <c r="D18" s="220"/>
      <c r="E18" s="220"/>
      <c r="F18" s="220">
        <f>+C18</f>
        <v>0</v>
      </c>
      <c r="G18" s="220">
        <f t="shared" si="0"/>
        <v>0</v>
      </c>
      <c r="I18" s="368">
        <v>37833</v>
      </c>
      <c r="J18" s="368">
        <v>37833</v>
      </c>
      <c r="K18" s="369">
        <v>1</v>
      </c>
      <c r="L18" s="370">
        <v>4.2500000000000003E-2</v>
      </c>
      <c r="M18" s="224">
        <f t="shared" si="1"/>
        <v>0</v>
      </c>
      <c r="N18" s="220">
        <f t="shared" si="2"/>
        <v>0</v>
      </c>
      <c r="O18" s="220">
        <f t="shared" si="3"/>
        <v>0</v>
      </c>
    </row>
    <row r="19" spans="1:15" hidden="1" outlineLevel="1" x14ac:dyDescent="0.2">
      <c r="A19" s="366" t="s">
        <v>277</v>
      </c>
      <c r="B19" s="361" t="s">
        <v>191</v>
      </c>
      <c r="C19" s="220"/>
      <c r="D19" s="220"/>
      <c r="E19" s="220"/>
      <c r="F19" s="220"/>
      <c r="G19" s="220">
        <f t="shared" si="0"/>
        <v>0</v>
      </c>
      <c r="I19" s="368">
        <v>37834</v>
      </c>
      <c r="J19" s="368">
        <v>37863</v>
      </c>
      <c r="K19" s="369">
        <v>30</v>
      </c>
      <c r="L19" s="370">
        <v>4.2500000000000003E-2</v>
      </c>
      <c r="M19" s="224">
        <f t="shared" si="1"/>
        <v>0</v>
      </c>
      <c r="N19" s="220">
        <f t="shared" si="2"/>
        <v>0</v>
      </c>
      <c r="O19" s="220">
        <f t="shared" si="3"/>
        <v>0</v>
      </c>
    </row>
    <row r="20" spans="1:15" hidden="1" outlineLevel="1" x14ac:dyDescent="0.2">
      <c r="A20" s="366"/>
      <c r="C20" s="220">
        <v>0</v>
      </c>
      <c r="D20" s="220"/>
      <c r="E20" s="220"/>
      <c r="F20" s="220">
        <f>+C20</f>
        <v>0</v>
      </c>
      <c r="G20" s="220">
        <f t="shared" si="0"/>
        <v>0</v>
      </c>
      <c r="I20" s="368">
        <v>37864</v>
      </c>
      <c r="J20" s="368">
        <v>37864</v>
      </c>
      <c r="K20" s="369">
        <v>1</v>
      </c>
      <c r="L20" s="370">
        <v>4.2500000000000003E-2</v>
      </c>
      <c r="M20" s="224">
        <f t="shared" si="1"/>
        <v>0</v>
      </c>
      <c r="N20" s="220">
        <f t="shared" si="2"/>
        <v>0</v>
      </c>
      <c r="O20" s="220">
        <f t="shared" si="3"/>
        <v>0</v>
      </c>
    </row>
    <row r="21" spans="1:15" hidden="1" outlineLevel="1" x14ac:dyDescent="0.2">
      <c r="A21" s="366"/>
      <c r="B21" s="361" t="s">
        <v>192</v>
      </c>
      <c r="C21" s="220"/>
      <c r="D21" s="220"/>
      <c r="E21" s="220"/>
      <c r="F21" s="220"/>
      <c r="G21" s="220">
        <f t="shared" si="0"/>
        <v>0</v>
      </c>
      <c r="I21" s="368">
        <v>37865</v>
      </c>
      <c r="J21" s="368">
        <v>37893</v>
      </c>
      <c r="K21" s="369">
        <v>29</v>
      </c>
      <c r="L21" s="370">
        <v>4.2500000000000003E-2</v>
      </c>
      <c r="M21" s="224">
        <f t="shared" si="1"/>
        <v>0</v>
      </c>
      <c r="N21" s="220">
        <f t="shared" si="2"/>
        <v>0</v>
      </c>
      <c r="O21" s="220">
        <f t="shared" si="3"/>
        <v>0</v>
      </c>
    </row>
    <row r="22" spans="1:15" hidden="1" outlineLevel="1" x14ac:dyDescent="0.2">
      <c r="A22" s="366"/>
      <c r="C22" s="220">
        <v>0</v>
      </c>
      <c r="D22" s="220"/>
      <c r="E22" s="220"/>
      <c r="F22" s="220">
        <f>+C22</f>
        <v>0</v>
      </c>
      <c r="G22" s="220">
        <f t="shared" si="0"/>
        <v>0</v>
      </c>
      <c r="I22" s="368">
        <v>37894</v>
      </c>
      <c r="J22" s="368">
        <v>37894</v>
      </c>
      <c r="K22" s="369">
        <v>1</v>
      </c>
      <c r="L22" s="370">
        <v>4.2500000000000003E-2</v>
      </c>
      <c r="M22" s="224">
        <f t="shared" si="1"/>
        <v>0</v>
      </c>
      <c r="N22" s="220">
        <f t="shared" si="2"/>
        <v>0</v>
      </c>
      <c r="O22" s="220">
        <f t="shared" si="3"/>
        <v>0</v>
      </c>
    </row>
    <row r="23" spans="1:15" hidden="1" outlineLevel="1" x14ac:dyDescent="0.2">
      <c r="A23" s="366"/>
      <c r="B23" s="361" t="s">
        <v>193</v>
      </c>
      <c r="C23" s="220"/>
      <c r="D23" s="220"/>
      <c r="E23" s="220"/>
      <c r="F23" s="220"/>
      <c r="G23" s="220">
        <f t="shared" si="0"/>
        <v>0</v>
      </c>
      <c r="I23" s="368">
        <v>37895</v>
      </c>
      <c r="J23" s="368">
        <v>37924</v>
      </c>
      <c r="K23" s="369">
        <v>30</v>
      </c>
      <c r="L23" s="370">
        <v>4.07E-2</v>
      </c>
      <c r="M23" s="224">
        <f t="shared" si="1"/>
        <v>0</v>
      </c>
      <c r="N23" s="220">
        <f t="shared" si="2"/>
        <v>0</v>
      </c>
      <c r="O23" s="220">
        <f t="shared" si="3"/>
        <v>0</v>
      </c>
    </row>
    <row r="24" spans="1:15" hidden="1" outlineLevel="1" x14ac:dyDescent="0.2">
      <c r="A24" s="366"/>
      <c r="C24" s="220">
        <v>0</v>
      </c>
      <c r="D24" s="220"/>
      <c r="E24" s="220"/>
      <c r="F24" s="220">
        <f>+C24</f>
        <v>0</v>
      </c>
      <c r="G24" s="220">
        <f t="shared" si="0"/>
        <v>0</v>
      </c>
      <c r="I24" s="368">
        <v>37925</v>
      </c>
      <c r="J24" s="368">
        <v>37925</v>
      </c>
      <c r="K24" s="369">
        <v>1</v>
      </c>
      <c r="L24" s="370">
        <v>4.07E-2</v>
      </c>
      <c r="M24" s="224">
        <f t="shared" si="1"/>
        <v>0</v>
      </c>
      <c r="N24" s="220">
        <f t="shared" si="2"/>
        <v>0</v>
      </c>
      <c r="O24" s="220">
        <f t="shared" si="3"/>
        <v>0</v>
      </c>
    </row>
    <row r="25" spans="1:15" hidden="1" outlineLevel="1" x14ac:dyDescent="0.2">
      <c r="A25" s="366"/>
      <c r="B25" s="361" t="s">
        <v>194</v>
      </c>
      <c r="C25" s="220"/>
      <c r="D25" s="220"/>
      <c r="E25" s="220"/>
      <c r="F25" s="220"/>
      <c r="G25" s="220">
        <f t="shared" si="0"/>
        <v>0</v>
      </c>
      <c r="I25" s="368">
        <v>37926</v>
      </c>
      <c r="J25" s="368">
        <v>37954</v>
      </c>
      <c r="K25" s="369">
        <v>29</v>
      </c>
      <c r="L25" s="370">
        <v>4.07E-2</v>
      </c>
      <c r="M25" s="224">
        <f t="shared" si="1"/>
        <v>0</v>
      </c>
      <c r="N25" s="220">
        <f t="shared" si="2"/>
        <v>0</v>
      </c>
      <c r="O25" s="220">
        <f t="shared" si="3"/>
        <v>0</v>
      </c>
    </row>
    <row r="26" spans="1:15" hidden="1" outlineLevel="1" x14ac:dyDescent="0.2">
      <c r="A26" s="366"/>
      <c r="C26" s="220">
        <v>0</v>
      </c>
      <c r="D26" s="220"/>
      <c r="E26" s="220"/>
      <c r="F26" s="220">
        <f>+C26</f>
        <v>0</v>
      </c>
      <c r="G26" s="220">
        <f t="shared" si="0"/>
        <v>0</v>
      </c>
      <c r="I26" s="368">
        <v>37955</v>
      </c>
      <c r="J26" s="368">
        <v>37955</v>
      </c>
      <c r="K26" s="369">
        <v>1</v>
      </c>
      <c r="L26" s="370">
        <v>4.07E-2</v>
      </c>
      <c r="M26" s="224">
        <f t="shared" si="1"/>
        <v>0</v>
      </c>
      <c r="N26" s="220">
        <f t="shared" si="2"/>
        <v>0</v>
      </c>
      <c r="O26" s="220">
        <f t="shared" si="3"/>
        <v>0</v>
      </c>
    </row>
    <row r="27" spans="1:15" hidden="1" outlineLevel="1" x14ac:dyDescent="0.2">
      <c r="A27" s="366"/>
      <c r="B27" s="361" t="s">
        <v>195</v>
      </c>
      <c r="C27" s="220"/>
      <c r="D27" s="220"/>
      <c r="E27" s="220"/>
      <c r="F27" s="220"/>
      <c r="G27" s="220">
        <f t="shared" si="0"/>
        <v>0</v>
      </c>
      <c r="I27" s="368">
        <v>37956</v>
      </c>
      <c r="J27" s="368">
        <v>37985</v>
      </c>
      <c r="K27" s="369">
        <v>30</v>
      </c>
      <c r="L27" s="370">
        <v>4.07E-2</v>
      </c>
      <c r="M27" s="224">
        <f t="shared" si="1"/>
        <v>0</v>
      </c>
      <c r="N27" s="220">
        <f t="shared" si="2"/>
        <v>0</v>
      </c>
      <c r="O27" s="220">
        <f t="shared" si="3"/>
        <v>0</v>
      </c>
    </row>
    <row r="28" spans="1:15" hidden="1" outlineLevel="1" x14ac:dyDescent="0.2">
      <c r="A28" s="366"/>
      <c r="C28" s="220">
        <v>0</v>
      </c>
      <c r="D28" s="220"/>
      <c r="E28" s="220"/>
      <c r="F28" s="220">
        <f>+C28</f>
        <v>0</v>
      </c>
      <c r="G28" s="220">
        <f t="shared" si="0"/>
        <v>0</v>
      </c>
      <c r="I28" s="368">
        <v>37986</v>
      </c>
      <c r="J28" s="368">
        <v>37986</v>
      </c>
      <c r="K28" s="369">
        <v>1</v>
      </c>
      <c r="L28" s="370">
        <v>4.07E-2</v>
      </c>
      <c r="M28" s="224">
        <f t="shared" si="1"/>
        <v>0</v>
      </c>
      <c r="N28" s="220">
        <f t="shared" si="2"/>
        <v>0</v>
      </c>
      <c r="O28" s="220">
        <f t="shared" si="3"/>
        <v>0</v>
      </c>
    </row>
    <row r="29" spans="1:15" hidden="1" outlineLevel="1" x14ac:dyDescent="0.2">
      <c r="A29" s="366"/>
      <c r="B29" s="361" t="s">
        <v>196</v>
      </c>
      <c r="C29" s="220"/>
      <c r="D29" s="220"/>
      <c r="E29" s="220"/>
      <c r="F29" s="220"/>
      <c r="G29" s="220">
        <f t="shared" si="0"/>
        <v>0</v>
      </c>
      <c r="I29" s="368">
        <v>37987</v>
      </c>
      <c r="J29" s="368">
        <v>38016</v>
      </c>
      <c r="K29" s="369">
        <v>30</v>
      </c>
      <c r="L29" s="370">
        <v>0.04</v>
      </c>
      <c r="M29" s="224">
        <f t="shared" si="1"/>
        <v>0</v>
      </c>
      <c r="N29" s="220">
        <f t="shared" si="2"/>
        <v>0</v>
      </c>
      <c r="O29" s="220">
        <f t="shared" si="3"/>
        <v>0</v>
      </c>
    </row>
    <row r="30" spans="1:15" hidden="1" outlineLevel="1" x14ac:dyDescent="0.2">
      <c r="A30" s="366"/>
      <c r="C30" s="220">
        <v>0</v>
      </c>
      <c r="D30" s="220"/>
      <c r="E30" s="220"/>
      <c r="F30" s="220">
        <f>+C30</f>
        <v>0</v>
      </c>
      <c r="G30" s="220">
        <f t="shared" si="0"/>
        <v>0</v>
      </c>
      <c r="I30" s="368">
        <v>38017</v>
      </c>
      <c r="J30" s="368">
        <v>38017</v>
      </c>
      <c r="K30" s="369">
        <v>1</v>
      </c>
      <c r="L30" s="370">
        <v>0.04</v>
      </c>
      <c r="M30" s="224">
        <f t="shared" si="1"/>
        <v>0</v>
      </c>
      <c r="N30" s="220">
        <f t="shared" si="2"/>
        <v>0</v>
      </c>
      <c r="O30" s="220">
        <f t="shared" si="3"/>
        <v>0</v>
      </c>
    </row>
    <row r="31" spans="1:15" hidden="1" outlineLevel="1" x14ac:dyDescent="0.2">
      <c r="A31" s="366"/>
      <c r="B31" s="361" t="s">
        <v>197</v>
      </c>
      <c r="C31" s="220"/>
      <c r="D31" s="220"/>
      <c r="E31" s="220"/>
      <c r="F31" s="220"/>
      <c r="G31" s="220">
        <f t="shared" si="0"/>
        <v>0</v>
      </c>
      <c r="I31" s="368">
        <v>38018</v>
      </c>
      <c r="J31" s="368">
        <v>38045</v>
      </c>
      <c r="K31" s="369">
        <v>28</v>
      </c>
      <c r="L31" s="370">
        <v>0.04</v>
      </c>
      <c r="M31" s="224">
        <f t="shared" si="1"/>
        <v>0</v>
      </c>
      <c r="N31" s="220">
        <f t="shared" si="2"/>
        <v>0</v>
      </c>
      <c r="O31" s="220">
        <f t="shared" si="3"/>
        <v>0</v>
      </c>
    </row>
    <row r="32" spans="1:15" hidden="1" outlineLevel="1" x14ac:dyDescent="0.2">
      <c r="A32" s="366"/>
      <c r="C32" s="220">
        <v>2896218.4739398919</v>
      </c>
      <c r="D32" s="220"/>
      <c r="E32" s="220"/>
      <c r="F32" s="220">
        <f>+C32</f>
        <v>2896218.4739398919</v>
      </c>
      <c r="G32" s="220">
        <f t="shared" si="0"/>
        <v>2896218.4739398919</v>
      </c>
      <c r="I32" s="368">
        <v>38046</v>
      </c>
      <c r="J32" s="368">
        <v>38046</v>
      </c>
      <c r="K32" s="369">
        <v>1</v>
      </c>
      <c r="L32" s="370">
        <v>0.04</v>
      </c>
      <c r="M32" s="224">
        <f t="shared" si="1"/>
        <v>317.39</v>
      </c>
      <c r="N32" s="220">
        <f t="shared" si="2"/>
        <v>317.39</v>
      </c>
      <c r="O32" s="220">
        <f t="shared" si="3"/>
        <v>317.39</v>
      </c>
    </row>
    <row r="33" spans="1:15" hidden="1" outlineLevel="1" x14ac:dyDescent="0.2">
      <c r="A33" s="366"/>
      <c r="B33" s="361" t="s">
        <v>198</v>
      </c>
      <c r="C33" s="220"/>
      <c r="D33" s="220"/>
      <c r="E33" s="220"/>
      <c r="F33" s="220"/>
      <c r="G33" s="220">
        <f t="shared" si="0"/>
        <v>2896218.4739398919</v>
      </c>
      <c r="I33" s="368">
        <v>38047</v>
      </c>
      <c r="J33" s="368">
        <v>38076</v>
      </c>
      <c r="K33" s="369">
        <v>30</v>
      </c>
      <c r="L33" s="370">
        <v>0.04</v>
      </c>
      <c r="M33" s="224">
        <f t="shared" si="1"/>
        <v>9521.81</v>
      </c>
      <c r="N33" s="220">
        <f t="shared" si="2"/>
        <v>9521.81</v>
      </c>
      <c r="O33" s="220">
        <f t="shared" si="3"/>
        <v>9839.1999999999989</v>
      </c>
    </row>
    <row r="34" spans="1:15" hidden="1" outlineLevel="1" x14ac:dyDescent="0.2">
      <c r="A34" s="366"/>
      <c r="C34" s="220">
        <v>2054459.922957819</v>
      </c>
      <c r="D34" s="220"/>
      <c r="E34" s="220"/>
      <c r="F34" s="220">
        <f>+C34</f>
        <v>2054459.922957819</v>
      </c>
      <c r="G34" s="220">
        <f t="shared" si="0"/>
        <v>4950678.3968977109</v>
      </c>
      <c r="I34" s="368">
        <v>38077</v>
      </c>
      <c r="J34" s="368">
        <v>38077</v>
      </c>
      <c r="K34" s="369">
        <v>1</v>
      </c>
      <c r="L34" s="370">
        <v>0.04</v>
      </c>
      <c r="M34" s="224">
        <f t="shared" si="1"/>
        <v>542.54</v>
      </c>
      <c r="N34" s="220">
        <f t="shared" si="2"/>
        <v>542.54</v>
      </c>
      <c r="O34" s="220">
        <f t="shared" si="3"/>
        <v>10381.739999999998</v>
      </c>
    </row>
    <row r="35" spans="1:15" hidden="1" outlineLevel="1" x14ac:dyDescent="0.2">
      <c r="A35" s="366"/>
      <c r="B35" s="361" t="s">
        <v>199</v>
      </c>
      <c r="C35" s="220"/>
      <c r="D35" s="220"/>
      <c r="E35" s="220"/>
      <c r="F35" s="220"/>
      <c r="G35" s="220">
        <f t="shared" si="0"/>
        <v>4950678.3968977109</v>
      </c>
      <c r="I35" s="368">
        <v>38078</v>
      </c>
      <c r="J35" s="368">
        <v>38107</v>
      </c>
      <c r="K35" s="369">
        <v>30</v>
      </c>
      <c r="L35" s="370">
        <v>0.04</v>
      </c>
      <c r="M35" s="224">
        <f t="shared" si="1"/>
        <v>16276.2</v>
      </c>
      <c r="N35" s="220">
        <f t="shared" si="2"/>
        <v>16276.2</v>
      </c>
      <c r="O35" s="220">
        <f t="shared" si="3"/>
        <v>26657.94</v>
      </c>
    </row>
    <row r="36" spans="1:15" hidden="1" outlineLevel="1" x14ac:dyDescent="0.2">
      <c r="A36" s="366"/>
      <c r="C36" s="220">
        <v>1384038.611795241</v>
      </c>
      <c r="D36" s="220"/>
      <c r="E36" s="220"/>
      <c r="F36" s="220">
        <f>+C36</f>
        <v>1384038.611795241</v>
      </c>
      <c r="G36" s="220">
        <f t="shared" si="0"/>
        <v>6334717.0086929519</v>
      </c>
      <c r="I36" s="368">
        <v>38107</v>
      </c>
      <c r="J36" s="368">
        <v>38107</v>
      </c>
      <c r="K36" s="369">
        <v>1</v>
      </c>
      <c r="L36" s="370">
        <v>0.04</v>
      </c>
      <c r="M36" s="224">
        <f t="shared" si="1"/>
        <v>694.22</v>
      </c>
      <c r="N36" s="220">
        <f t="shared" si="2"/>
        <v>694.22</v>
      </c>
      <c r="O36" s="220">
        <f t="shared" si="3"/>
        <v>27352.16</v>
      </c>
    </row>
    <row r="37" spans="1:15" hidden="1" outlineLevel="1" x14ac:dyDescent="0.2">
      <c r="A37" s="366"/>
      <c r="B37" s="361" t="s">
        <v>200</v>
      </c>
      <c r="D37" s="220"/>
      <c r="E37" s="220"/>
      <c r="F37" s="220"/>
      <c r="G37" s="220">
        <f t="shared" si="0"/>
        <v>6334717.0086929519</v>
      </c>
      <c r="I37" s="368">
        <v>38108</v>
      </c>
      <c r="J37" s="368">
        <v>38138</v>
      </c>
      <c r="K37" s="369">
        <v>30</v>
      </c>
      <c r="L37" s="370">
        <v>0.04</v>
      </c>
      <c r="M37" s="224">
        <f t="shared" si="1"/>
        <v>20826.47</v>
      </c>
      <c r="N37" s="220">
        <f t="shared" si="2"/>
        <v>20826.47</v>
      </c>
      <c r="O37" s="220">
        <f t="shared" si="3"/>
        <v>48178.630000000005</v>
      </c>
    </row>
    <row r="38" spans="1:15" hidden="1" outlineLevel="1" x14ac:dyDescent="0.2">
      <c r="A38" s="366"/>
      <c r="C38" s="220">
        <v>-3053086.7957935128</v>
      </c>
      <c r="D38" s="220"/>
      <c r="E38" s="220"/>
      <c r="F38" s="220">
        <f>+C38</f>
        <v>-3053086.7957935128</v>
      </c>
      <c r="G38" s="220">
        <f t="shared" si="0"/>
        <v>3281630.212899439</v>
      </c>
      <c r="I38" s="368">
        <v>38138</v>
      </c>
      <c r="J38" s="368">
        <v>38138</v>
      </c>
      <c r="K38" s="369">
        <v>1</v>
      </c>
      <c r="L38" s="370">
        <v>0.04</v>
      </c>
      <c r="M38" s="224">
        <f t="shared" si="1"/>
        <v>359.63</v>
      </c>
      <c r="N38" s="220">
        <f t="shared" si="2"/>
        <v>359.63</v>
      </c>
      <c r="O38" s="220">
        <f t="shared" si="3"/>
        <v>48538.26</v>
      </c>
    </row>
    <row r="39" spans="1:15" hidden="1" outlineLevel="1" x14ac:dyDescent="0.2">
      <c r="A39" s="366"/>
      <c r="B39" s="361" t="s">
        <v>201</v>
      </c>
      <c r="D39" s="220"/>
      <c r="E39" s="220"/>
      <c r="F39" s="220"/>
      <c r="G39" s="220">
        <f t="shared" si="0"/>
        <v>3281630.212899439</v>
      </c>
      <c r="I39" s="368">
        <v>38139</v>
      </c>
      <c r="J39" s="368">
        <v>38168</v>
      </c>
      <c r="K39" s="369">
        <v>30</v>
      </c>
      <c r="L39" s="370">
        <v>0.04</v>
      </c>
      <c r="M39" s="224">
        <f t="shared" si="1"/>
        <v>10788.92</v>
      </c>
      <c r="N39" s="220">
        <f t="shared" si="2"/>
        <v>10788.92</v>
      </c>
      <c r="O39" s="220">
        <f t="shared" si="3"/>
        <v>59327.18</v>
      </c>
    </row>
    <row r="40" spans="1:15" hidden="1" outlineLevel="1" x14ac:dyDescent="0.2">
      <c r="A40" s="366"/>
      <c r="C40" s="220">
        <v>1494031.693027759</v>
      </c>
      <c r="D40" s="220"/>
      <c r="E40" s="220"/>
      <c r="F40" s="220">
        <f>+C40</f>
        <v>1494031.693027759</v>
      </c>
      <c r="G40" s="220">
        <f t="shared" si="0"/>
        <v>4775661.905927198</v>
      </c>
      <c r="I40" s="368">
        <v>38168</v>
      </c>
      <c r="J40" s="368">
        <v>38168</v>
      </c>
      <c r="K40" s="369">
        <v>1</v>
      </c>
      <c r="L40" s="370">
        <v>0.04</v>
      </c>
      <c r="M40" s="224">
        <f t="shared" si="1"/>
        <v>523.36</v>
      </c>
      <c r="N40" s="220">
        <f t="shared" si="2"/>
        <v>523.36</v>
      </c>
      <c r="O40" s="220">
        <f t="shared" si="3"/>
        <v>59850.54</v>
      </c>
    </row>
    <row r="41" spans="1:15" hidden="1" outlineLevel="1" x14ac:dyDescent="0.2">
      <c r="A41" s="361" t="s">
        <v>278</v>
      </c>
      <c r="B41" s="361" t="s">
        <v>190</v>
      </c>
      <c r="C41" s="220"/>
      <c r="D41" s="220"/>
      <c r="E41" s="220"/>
      <c r="F41" s="220"/>
      <c r="G41" s="220">
        <f>+G40</f>
        <v>4775661.905927198</v>
      </c>
      <c r="I41" s="368">
        <v>38169</v>
      </c>
      <c r="J41" s="368">
        <f>+I42-1</f>
        <v>38198</v>
      </c>
      <c r="K41" s="369">
        <f t="shared" ref="K41:K58" si="4">+IF(+J41="","",+J41-(I41-1))</f>
        <v>30</v>
      </c>
      <c r="L41" s="370">
        <v>4.2500000000000003E-2</v>
      </c>
      <c r="M41" s="224">
        <f t="shared" si="1"/>
        <v>16682.11</v>
      </c>
      <c r="N41" s="220">
        <f t="shared" si="2"/>
        <v>16682.11</v>
      </c>
      <c r="O41" s="220">
        <f t="shared" si="3"/>
        <v>76532.649999999994</v>
      </c>
    </row>
    <row r="42" spans="1:15" hidden="1" outlineLevel="1" x14ac:dyDescent="0.2">
      <c r="C42" s="220">
        <v>0</v>
      </c>
      <c r="D42" s="220"/>
      <c r="E42" s="220"/>
      <c r="F42" s="220">
        <v>0</v>
      </c>
      <c r="G42" s="220">
        <f t="shared" ref="G42:G105" si="5">+G41+F42</f>
        <v>4775661.905927198</v>
      </c>
      <c r="I42" s="368">
        <v>38199</v>
      </c>
      <c r="J42" s="368">
        <f t="shared" ref="J42:J63" si="6">IF(I42=I43,"",+I43-1)</f>
        <v>38199</v>
      </c>
      <c r="K42" s="369">
        <f t="shared" si="4"/>
        <v>1</v>
      </c>
      <c r="L42" s="370">
        <v>4.2500000000000003E-2</v>
      </c>
      <c r="M42" s="224">
        <f t="shared" si="1"/>
        <v>556.07000000000005</v>
      </c>
      <c r="N42" s="220">
        <f t="shared" ref="N42:N64" si="7">IF(MONTH(+I42)&lt;&gt;MONTH(+I41),M42,+N41+M42)</f>
        <v>17238.18</v>
      </c>
      <c r="O42" s="220">
        <f t="shared" si="3"/>
        <v>77088.72</v>
      </c>
    </row>
    <row r="43" spans="1:15" hidden="1" outlineLevel="1" x14ac:dyDescent="0.2">
      <c r="A43" s="366" t="s">
        <v>277</v>
      </c>
      <c r="B43" s="361" t="s">
        <v>191</v>
      </c>
      <c r="C43" s="220"/>
      <c r="D43" s="220"/>
      <c r="E43" s="220"/>
      <c r="F43" s="220"/>
      <c r="G43" s="220">
        <f t="shared" si="5"/>
        <v>4775661.905927198</v>
      </c>
      <c r="I43" s="368">
        <v>38200</v>
      </c>
      <c r="J43" s="368">
        <f t="shared" si="6"/>
        <v>38229</v>
      </c>
      <c r="K43" s="369">
        <f t="shared" si="4"/>
        <v>30</v>
      </c>
      <c r="L43" s="370">
        <v>0.04</v>
      </c>
      <c r="M43" s="224">
        <f>+IF(+K43&lt;&gt;" ", ROUND(L43*(K43/365)*G43,2),0)-437.54</f>
        <v>15263.269999999999</v>
      </c>
      <c r="N43" s="220">
        <f t="shared" si="7"/>
        <v>15263.269999999999</v>
      </c>
      <c r="O43" s="220">
        <f t="shared" ref="O43:O64" si="8">O42+M43</f>
        <v>92351.99</v>
      </c>
    </row>
    <row r="44" spans="1:15" hidden="1" outlineLevel="1" x14ac:dyDescent="0.2">
      <c r="A44" s="366"/>
      <c r="C44" s="220">
        <v>0</v>
      </c>
      <c r="D44" s="220"/>
      <c r="E44" s="220"/>
      <c r="F44" s="220">
        <f>+F42+C44+D44+E44</f>
        <v>0</v>
      </c>
      <c r="G44" s="220">
        <f t="shared" si="5"/>
        <v>4775661.905927198</v>
      </c>
      <c r="I44" s="368">
        <v>38230</v>
      </c>
      <c r="J44" s="368">
        <f t="shared" si="6"/>
        <v>38230</v>
      </c>
      <c r="K44" s="369">
        <f t="shared" si="4"/>
        <v>1</v>
      </c>
      <c r="L44" s="370">
        <v>0.04</v>
      </c>
      <c r="M44" s="224">
        <f>+IF(+K44&lt;&gt;" ", ROUND(L44*(K44/365)*G44,2),0)-14.59</f>
        <v>508.77000000000004</v>
      </c>
      <c r="N44" s="220">
        <f t="shared" si="7"/>
        <v>15772.039999999999</v>
      </c>
      <c r="O44" s="220">
        <f t="shared" si="8"/>
        <v>92860.760000000009</v>
      </c>
    </row>
    <row r="45" spans="1:15" hidden="1" outlineLevel="1" x14ac:dyDescent="0.2">
      <c r="A45" s="366"/>
      <c r="B45" s="361" t="s">
        <v>192</v>
      </c>
      <c r="C45" s="220"/>
      <c r="D45" s="220"/>
      <c r="E45" s="220"/>
      <c r="F45" s="220"/>
      <c r="G45" s="220">
        <f t="shared" si="5"/>
        <v>4775661.905927198</v>
      </c>
      <c r="I45" s="368">
        <v>38231</v>
      </c>
      <c r="J45" s="368">
        <f t="shared" si="6"/>
        <v>38259</v>
      </c>
      <c r="K45" s="369">
        <f t="shared" si="4"/>
        <v>29</v>
      </c>
      <c r="L45" s="370">
        <v>0.04</v>
      </c>
      <c r="M45" s="224">
        <f t="shared" ref="M45:M66" si="9">+IF(+K45&lt;&gt;" ", ROUND(L45*(K45/365)*G45,2),0)</f>
        <v>15177.45</v>
      </c>
      <c r="N45" s="220">
        <f t="shared" si="7"/>
        <v>15177.45</v>
      </c>
      <c r="O45" s="220">
        <f t="shared" si="8"/>
        <v>108038.21</v>
      </c>
    </row>
    <row r="46" spans="1:15" hidden="1" outlineLevel="1" x14ac:dyDescent="0.2">
      <c r="A46" s="366"/>
      <c r="C46" s="220">
        <v>0</v>
      </c>
      <c r="D46" s="220"/>
      <c r="E46" s="220"/>
      <c r="F46" s="220"/>
      <c r="G46" s="220">
        <f t="shared" si="5"/>
        <v>4775661.905927198</v>
      </c>
      <c r="I46" s="368">
        <v>38260</v>
      </c>
      <c r="J46" s="368">
        <f t="shared" si="6"/>
        <v>38260</v>
      </c>
      <c r="K46" s="369">
        <f t="shared" si="4"/>
        <v>1</v>
      </c>
      <c r="L46" s="370">
        <v>0.04</v>
      </c>
      <c r="M46" s="224">
        <f t="shared" si="9"/>
        <v>523.36</v>
      </c>
      <c r="N46" s="220">
        <f t="shared" si="7"/>
        <v>15700.810000000001</v>
      </c>
      <c r="O46" s="220">
        <f t="shared" si="8"/>
        <v>108561.57</v>
      </c>
    </row>
    <row r="47" spans="1:15" hidden="1" outlineLevel="1" x14ac:dyDescent="0.2">
      <c r="A47" s="366"/>
      <c r="B47" s="361" t="s">
        <v>193</v>
      </c>
      <c r="C47" s="220"/>
      <c r="D47" s="220"/>
      <c r="E47" s="220"/>
      <c r="F47" s="220"/>
      <c r="G47" s="220">
        <f t="shared" si="5"/>
        <v>4775661.905927198</v>
      </c>
      <c r="I47" s="368">
        <v>38261</v>
      </c>
      <c r="J47" s="368">
        <f t="shared" si="6"/>
        <v>38290</v>
      </c>
      <c r="K47" s="369">
        <f t="shared" si="4"/>
        <v>30</v>
      </c>
      <c r="L47" s="370">
        <v>4.2200000000000001E-2</v>
      </c>
      <c r="M47" s="224">
        <f t="shared" si="9"/>
        <v>16564.349999999999</v>
      </c>
      <c r="N47" s="220">
        <f t="shared" si="7"/>
        <v>16564.349999999999</v>
      </c>
      <c r="O47" s="220">
        <f t="shared" si="8"/>
        <v>125125.92000000001</v>
      </c>
    </row>
    <row r="48" spans="1:15" hidden="1" outlineLevel="1" x14ac:dyDescent="0.2">
      <c r="A48" s="366"/>
      <c r="C48" s="220">
        <v>0</v>
      </c>
      <c r="D48" s="220"/>
      <c r="E48" s="220"/>
      <c r="F48" s="220"/>
      <c r="G48" s="220">
        <f t="shared" si="5"/>
        <v>4775661.905927198</v>
      </c>
      <c r="I48" s="368">
        <v>38291</v>
      </c>
      <c r="J48" s="368">
        <f t="shared" si="6"/>
        <v>38291</v>
      </c>
      <c r="K48" s="369">
        <f t="shared" si="4"/>
        <v>1</v>
      </c>
      <c r="L48" s="370">
        <v>4.2200000000000001E-2</v>
      </c>
      <c r="M48" s="224">
        <f t="shared" si="9"/>
        <v>552.15</v>
      </c>
      <c r="N48" s="220">
        <f t="shared" si="7"/>
        <v>17116.5</v>
      </c>
      <c r="O48" s="220">
        <f t="shared" si="8"/>
        <v>125678.07</v>
      </c>
    </row>
    <row r="49" spans="1:15" hidden="1" outlineLevel="1" x14ac:dyDescent="0.2">
      <c r="A49" s="366"/>
      <c r="B49" s="361" t="s">
        <v>194</v>
      </c>
      <c r="C49" s="220"/>
      <c r="D49" s="220"/>
      <c r="E49" s="220"/>
      <c r="F49" s="220"/>
      <c r="G49" s="220">
        <f t="shared" si="5"/>
        <v>4775661.905927198</v>
      </c>
      <c r="I49" s="368">
        <v>38292</v>
      </c>
      <c r="J49" s="368">
        <f t="shared" si="6"/>
        <v>38320</v>
      </c>
      <c r="K49" s="369">
        <f t="shared" si="4"/>
        <v>29</v>
      </c>
      <c r="L49" s="370">
        <v>4.2200000000000001E-2</v>
      </c>
      <c r="M49" s="224">
        <f t="shared" si="9"/>
        <v>16012.21</v>
      </c>
      <c r="N49" s="220">
        <f t="shared" si="7"/>
        <v>16012.21</v>
      </c>
      <c r="O49" s="220">
        <f t="shared" si="8"/>
        <v>141690.28</v>
      </c>
    </row>
    <row r="50" spans="1:15" hidden="1" outlineLevel="1" x14ac:dyDescent="0.2">
      <c r="A50" s="366"/>
      <c r="C50" s="220">
        <v>0</v>
      </c>
      <c r="D50" s="220"/>
      <c r="E50" s="220"/>
      <c r="F50" s="220"/>
      <c r="G50" s="220">
        <f t="shared" si="5"/>
        <v>4775661.905927198</v>
      </c>
      <c r="I50" s="368">
        <v>38321</v>
      </c>
      <c r="J50" s="368">
        <f t="shared" si="6"/>
        <v>38321</v>
      </c>
      <c r="K50" s="369">
        <f t="shared" si="4"/>
        <v>1</v>
      </c>
      <c r="L50" s="370">
        <v>4.2200000000000001E-2</v>
      </c>
      <c r="M50" s="224">
        <f t="shared" si="9"/>
        <v>552.15</v>
      </c>
      <c r="N50" s="220">
        <f t="shared" si="7"/>
        <v>16564.36</v>
      </c>
      <c r="O50" s="220">
        <f t="shared" si="8"/>
        <v>142242.43</v>
      </c>
    </row>
    <row r="51" spans="1:15" hidden="1" outlineLevel="1" x14ac:dyDescent="0.2">
      <c r="A51" s="366"/>
      <c r="B51" s="361" t="s">
        <v>195</v>
      </c>
      <c r="C51" s="220"/>
      <c r="D51" s="220"/>
      <c r="E51" s="220"/>
      <c r="F51" s="220"/>
      <c r="G51" s="220">
        <f t="shared" si="5"/>
        <v>4775661.905927198</v>
      </c>
      <c r="I51" s="368">
        <v>38322</v>
      </c>
      <c r="J51" s="368">
        <f t="shared" si="6"/>
        <v>38351</v>
      </c>
      <c r="K51" s="369">
        <f t="shared" si="4"/>
        <v>30</v>
      </c>
      <c r="L51" s="370">
        <v>4.2200000000000001E-2</v>
      </c>
      <c r="M51" s="224">
        <f t="shared" si="9"/>
        <v>16564.349999999999</v>
      </c>
      <c r="N51" s="220">
        <f t="shared" si="7"/>
        <v>16564.349999999999</v>
      </c>
      <c r="O51" s="220">
        <f t="shared" si="8"/>
        <v>158806.78</v>
      </c>
    </row>
    <row r="52" spans="1:15" hidden="1" outlineLevel="1" x14ac:dyDescent="0.2">
      <c r="A52" s="366"/>
      <c r="C52" s="220">
        <v>0</v>
      </c>
      <c r="D52" s="220"/>
      <c r="E52" s="220"/>
      <c r="F52" s="220">
        <f>+C52</f>
        <v>0</v>
      </c>
      <c r="G52" s="220">
        <f t="shared" si="5"/>
        <v>4775661.905927198</v>
      </c>
      <c r="I52" s="368">
        <v>38352</v>
      </c>
      <c r="J52" s="368">
        <f t="shared" si="6"/>
        <v>38352</v>
      </c>
      <c r="K52" s="369">
        <f t="shared" si="4"/>
        <v>1</v>
      </c>
      <c r="L52" s="370">
        <v>4.2200000000000001E-2</v>
      </c>
      <c r="M52" s="224">
        <f t="shared" si="9"/>
        <v>552.15</v>
      </c>
      <c r="N52" s="220">
        <f t="shared" si="7"/>
        <v>17116.5</v>
      </c>
      <c r="O52" s="220">
        <f t="shared" si="8"/>
        <v>159358.93</v>
      </c>
    </row>
    <row r="53" spans="1:15" hidden="1" outlineLevel="1" x14ac:dyDescent="0.2">
      <c r="A53" s="366"/>
      <c r="B53" s="361" t="s">
        <v>196</v>
      </c>
      <c r="C53" s="220"/>
      <c r="D53" s="220"/>
      <c r="E53" s="220"/>
      <c r="F53" s="220"/>
      <c r="G53" s="220">
        <f t="shared" si="5"/>
        <v>4775661.905927198</v>
      </c>
      <c r="I53" s="368">
        <v>38353</v>
      </c>
      <c r="J53" s="368">
        <f t="shared" si="6"/>
        <v>38382</v>
      </c>
      <c r="K53" s="369">
        <f t="shared" si="4"/>
        <v>30</v>
      </c>
      <c r="L53" s="370">
        <v>4.7500000000000001E-2</v>
      </c>
      <c r="M53" s="224">
        <f t="shared" si="9"/>
        <v>18644.71</v>
      </c>
      <c r="N53" s="220">
        <f t="shared" si="7"/>
        <v>18644.71</v>
      </c>
      <c r="O53" s="220">
        <f t="shared" si="8"/>
        <v>178003.63999999998</v>
      </c>
    </row>
    <row r="54" spans="1:15" hidden="1" outlineLevel="1" x14ac:dyDescent="0.2">
      <c r="A54" s="366"/>
      <c r="C54" s="220">
        <v>219640.65749740321</v>
      </c>
      <c r="D54" s="220"/>
      <c r="E54" s="220"/>
      <c r="F54" s="220">
        <f>+C54</f>
        <v>219640.65749740321</v>
      </c>
      <c r="G54" s="220">
        <f t="shared" si="5"/>
        <v>4995302.5634246012</v>
      </c>
      <c r="I54" s="368">
        <v>38383</v>
      </c>
      <c r="J54" s="368">
        <f t="shared" si="6"/>
        <v>38383</v>
      </c>
      <c r="K54" s="369">
        <f t="shared" si="4"/>
        <v>1</v>
      </c>
      <c r="L54" s="370">
        <v>4.7500000000000001E-2</v>
      </c>
      <c r="M54" s="224">
        <f t="shared" si="9"/>
        <v>650.07000000000005</v>
      </c>
      <c r="N54" s="220">
        <f t="shared" si="7"/>
        <v>19294.78</v>
      </c>
      <c r="O54" s="220">
        <f t="shared" si="8"/>
        <v>178653.71</v>
      </c>
    </row>
    <row r="55" spans="1:15" hidden="1" outlineLevel="1" x14ac:dyDescent="0.2">
      <c r="A55" s="366"/>
      <c r="B55" s="361" t="s">
        <v>197</v>
      </c>
      <c r="C55" s="220"/>
      <c r="D55" s="220"/>
      <c r="E55" s="220"/>
      <c r="F55" s="220"/>
      <c r="G55" s="220">
        <f t="shared" si="5"/>
        <v>4995302.5634246012</v>
      </c>
      <c r="I55" s="368">
        <v>38384</v>
      </c>
      <c r="J55" s="368">
        <f t="shared" si="6"/>
        <v>38410</v>
      </c>
      <c r="K55" s="369">
        <f t="shared" si="4"/>
        <v>27</v>
      </c>
      <c r="L55" s="370">
        <v>4.7500000000000001E-2</v>
      </c>
      <c r="M55" s="224">
        <f t="shared" si="9"/>
        <v>17551.990000000002</v>
      </c>
      <c r="N55" s="220">
        <f t="shared" si="7"/>
        <v>17551.990000000002</v>
      </c>
      <c r="O55" s="220">
        <f t="shared" si="8"/>
        <v>196205.69999999998</v>
      </c>
    </row>
    <row r="56" spans="1:15" hidden="1" outlineLevel="1" x14ac:dyDescent="0.2">
      <c r="A56" s="366"/>
      <c r="C56" s="220">
        <v>5073090.4930073181</v>
      </c>
      <c r="D56" s="220"/>
      <c r="E56" s="220"/>
      <c r="F56" s="220">
        <f>+C56</f>
        <v>5073090.4930073181</v>
      </c>
      <c r="G56" s="220">
        <f t="shared" si="5"/>
        <v>10068393.056431919</v>
      </c>
      <c r="I56" s="371">
        <v>38411</v>
      </c>
      <c r="J56" s="368">
        <f t="shared" si="6"/>
        <v>38411</v>
      </c>
      <c r="K56" s="369">
        <f t="shared" si="4"/>
        <v>1</v>
      </c>
      <c r="L56" s="370">
        <v>4.7500000000000001E-2</v>
      </c>
      <c r="M56" s="224">
        <f t="shared" si="9"/>
        <v>1310.27</v>
      </c>
      <c r="N56" s="220">
        <f t="shared" si="7"/>
        <v>18862.260000000002</v>
      </c>
      <c r="O56" s="220">
        <f t="shared" si="8"/>
        <v>197515.96999999997</v>
      </c>
    </row>
    <row r="57" spans="1:15" hidden="1" outlineLevel="1" x14ac:dyDescent="0.2">
      <c r="A57" s="366"/>
      <c r="B57" s="361" t="s">
        <v>198</v>
      </c>
      <c r="C57" s="220"/>
      <c r="D57" s="220"/>
      <c r="E57" s="220"/>
      <c r="F57" s="220"/>
      <c r="G57" s="220">
        <f t="shared" si="5"/>
        <v>10068393.056431919</v>
      </c>
      <c r="I57" s="368">
        <v>38412</v>
      </c>
      <c r="J57" s="368">
        <f t="shared" si="6"/>
        <v>38441</v>
      </c>
      <c r="K57" s="369">
        <f t="shared" si="4"/>
        <v>30</v>
      </c>
      <c r="L57" s="370">
        <v>4.7500000000000001E-2</v>
      </c>
      <c r="M57" s="224">
        <f t="shared" si="9"/>
        <v>39308.11</v>
      </c>
      <c r="N57" s="220">
        <f t="shared" si="7"/>
        <v>39308.11</v>
      </c>
      <c r="O57" s="220">
        <f t="shared" si="8"/>
        <v>236824.07999999996</v>
      </c>
    </row>
    <row r="58" spans="1:15" hidden="1" outlineLevel="1" x14ac:dyDescent="0.2">
      <c r="A58" s="366"/>
      <c r="C58" s="220">
        <v>3017976.5229971185</v>
      </c>
      <c r="D58" s="220"/>
      <c r="E58" s="220"/>
      <c r="F58" s="220">
        <f>+C58</f>
        <v>3017976.5229971185</v>
      </c>
      <c r="G58" s="220">
        <f t="shared" si="5"/>
        <v>13086369.579429038</v>
      </c>
      <c r="I58" s="368">
        <v>38442</v>
      </c>
      <c r="J58" s="368">
        <f t="shared" si="6"/>
        <v>38442</v>
      </c>
      <c r="K58" s="369">
        <f t="shared" si="4"/>
        <v>1</v>
      </c>
      <c r="L58" s="370">
        <v>4.7500000000000001E-2</v>
      </c>
      <c r="M58" s="224">
        <f t="shared" si="9"/>
        <v>1703.02</v>
      </c>
      <c r="N58" s="220">
        <f t="shared" si="7"/>
        <v>41011.129999999997</v>
      </c>
      <c r="O58" s="220">
        <f t="shared" si="8"/>
        <v>238527.09999999995</v>
      </c>
    </row>
    <row r="59" spans="1:15" hidden="1" outlineLevel="1" x14ac:dyDescent="0.2">
      <c r="A59" s="366"/>
      <c r="B59" s="361" t="s">
        <v>199</v>
      </c>
      <c r="C59" s="220"/>
      <c r="D59" s="220"/>
      <c r="E59" s="220"/>
      <c r="F59" s="220"/>
      <c r="G59" s="220">
        <f t="shared" si="5"/>
        <v>13086369.579429038</v>
      </c>
      <c r="I59" s="368">
        <v>38443</v>
      </c>
      <c r="J59" s="368">
        <f t="shared" si="6"/>
        <v>38471</v>
      </c>
      <c r="K59" s="369">
        <v>30</v>
      </c>
      <c r="L59" s="370">
        <v>5.2999999999999999E-2</v>
      </c>
      <c r="M59" s="224">
        <f t="shared" si="9"/>
        <v>57006.38</v>
      </c>
      <c r="N59" s="220">
        <f t="shared" si="7"/>
        <v>57006.38</v>
      </c>
      <c r="O59" s="220">
        <f t="shared" si="8"/>
        <v>295533.47999999992</v>
      </c>
    </row>
    <row r="60" spans="1:15" hidden="1" outlineLevel="1" x14ac:dyDescent="0.2">
      <c r="A60" s="366"/>
      <c r="C60" s="220">
        <v>529756.43968590908</v>
      </c>
      <c r="D60" s="220"/>
      <c r="E60" s="220"/>
      <c r="F60" s="220">
        <f>+C60</f>
        <v>529756.43968590908</v>
      </c>
      <c r="G60" s="220">
        <f t="shared" si="5"/>
        <v>13616126.019114947</v>
      </c>
      <c r="I60" s="368">
        <v>38472</v>
      </c>
      <c r="J60" s="368">
        <f t="shared" si="6"/>
        <v>38472</v>
      </c>
      <c r="K60" s="369">
        <f t="shared" ref="K60:K82" si="10">+IF(+J60="","",+J60-(I60-1))</f>
        <v>1</v>
      </c>
      <c r="L60" s="370">
        <v>5.2999999999999999E-2</v>
      </c>
      <c r="M60" s="224">
        <f t="shared" si="9"/>
        <v>1977.14</v>
      </c>
      <c r="N60" s="220">
        <f t="shared" si="7"/>
        <v>58983.519999999997</v>
      </c>
      <c r="O60" s="220">
        <f t="shared" si="8"/>
        <v>297510.61999999994</v>
      </c>
    </row>
    <row r="61" spans="1:15" hidden="1" outlineLevel="1" x14ac:dyDescent="0.2">
      <c r="A61" s="366"/>
      <c r="B61" s="361" t="s">
        <v>200</v>
      </c>
      <c r="D61" s="220"/>
      <c r="E61" s="220"/>
      <c r="F61" s="220"/>
      <c r="G61" s="220">
        <f t="shared" si="5"/>
        <v>13616126.019114947</v>
      </c>
      <c r="I61" s="368">
        <v>38473</v>
      </c>
      <c r="J61" s="368">
        <f t="shared" si="6"/>
        <v>38502</v>
      </c>
      <c r="K61" s="369">
        <f t="shared" si="10"/>
        <v>30</v>
      </c>
      <c r="L61" s="370">
        <v>5.2999999999999999E-2</v>
      </c>
      <c r="M61" s="224">
        <f t="shared" si="9"/>
        <v>59314.080000000002</v>
      </c>
      <c r="N61" s="220">
        <f t="shared" si="7"/>
        <v>59314.080000000002</v>
      </c>
      <c r="O61" s="220">
        <f t="shared" si="8"/>
        <v>356824.69999999995</v>
      </c>
    </row>
    <row r="62" spans="1:15" hidden="1" outlineLevel="1" x14ac:dyDescent="0.2">
      <c r="A62" s="366"/>
      <c r="C62" s="220">
        <v>-8840464.1131877489</v>
      </c>
      <c r="D62" s="220"/>
      <c r="E62" s="220"/>
      <c r="F62" s="220">
        <f>+C62</f>
        <v>-8840464.1131877489</v>
      </c>
      <c r="G62" s="220">
        <f t="shared" si="5"/>
        <v>4775661.905927198</v>
      </c>
      <c r="I62" s="368">
        <v>38503</v>
      </c>
      <c r="J62" s="368">
        <f t="shared" si="6"/>
        <v>38503</v>
      </c>
      <c r="K62" s="369">
        <f t="shared" si="10"/>
        <v>1</v>
      </c>
      <c r="L62" s="370">
        <v>5.2999999999999999E-2</v>
      </c>
      <c r="M62" s="224">
        <f t="shared" si="9"/>
        <v>693.45</v>
      </c>
      <c r="N62" s="220">
        <f t="shared" si="7"/>
        <v>60007.53</v>
      </c>
      <c r="O62" s="220">
        <f t="shared" si="8"/>
        <v>357518.14999999997</v>
      </c>
    </row>
    <row r="63" spans="1:15" hidden="1" outlineLevel="1" x14ac:dyDescent="0.2">
      <c r="A63" s="366"/>
      <c r="B63" s="361" t="s">
        <v>201</v>
      </c>
      <c r="D63" s="220"/>
      <c r="E63" s="220"/>
      <c r="F63" s="220"/>
      <c r="G63" s="220">
        <f t="shared" si="5"/>
        <v>4775661.905927198</v>
      </c>
      <c r="I63" s="368">
        <v>38504</v>
      </c>
      <c r="J63" s="368">
        <f t="shared" si="6"/>
        <v>38532</v>
      </c>
      <c r="K63" s="369">
        <f t="shared" si="10"/>
        <v>29</v>
      </c>
      <c r="L63" s="370">
        <v>5.2999999999999999E-2</v>
      </c>
      <c r="M63" s="224">
        <f t="shared" si="9"/>
        <v>20110.12</v>
      </c>
      <c r="N63" s="220">
        <f t="shared" si="7"/>
        <v>20110.12</v>
      </c>
      <c r="O63" s="220">
        <f t="shared" si="8"/>
        <v>377628.26999999996</v>
      </c>
    </row>
    <row r="64" spans="1:15" hidden="1" outlineLevel="1" x14ac:dyDescent="0.2">
      <c r="A64" s="366"/>
      <c r="C64" s="220">
        <v>0</v>
      </c>
      <c r="D64" s="220"/>
      <c r="E64" s="220"/>
      <c r="F64" s="220">
        <f>+C64</f>
        <v>0</v>
      </c>
      <c r="G64" s="220">
        <f t="shared" si="5"/>
        <v>4775661.905927198</v>
      </c>
      <c r="I64" s="368">
        <v>38533</v>
      </c>
      <c r="J64" s="368">
        <v>38533</v>
      </c>
      <c r="K64" s="369">
        <f t="shared" si="10"/>
        <v>1</v>
      </c>
      <c r="L64" s="370">
        <v>5.2999999999999999E-2</v>
      </c>
      <c r="M64" s="224">
        <f t="shared" si="9"/>
        <v>693.45</v>
      </c>
      <c r="N64" s="220">
        <f t="shared" si="7"/>
        <v>20803.57</v>
      </c>
      <c r="O64" s="220">
        <f t="shared" si="8"/>
        <v>378321.72</v>
      </c>
    </row>
    <row r="65" spans="1:15" hidden="1" outlineLevel="1" x14ac:dyDescent="0.2">
      <c r="A65" s="361" t="s">
        <v>279</v>
      </c>
      <c r="B65" s="361" t="s">
        <v>190</v>
      </c>
      <c r="C65" s="220"/>
      <c r="D65" s="220"/>
      <c r="E65" s="220"/>
      <c r="F65" s="220"/>
      <c r="G65" s="220">
        <f t="shared" si="5"/>
        <v>4775661.905927198</v>
      </c>
      <c r="I65" s="368">
        <v>38534</v>
      </c>
      <c r="J65" s="368">
        <f>+I66-1</f>
        <v>38563</v>
      </c>
      <c r="K65" s="369">
        <f t="shared" si="10"/>
        <v>30</v>
      </c>
      <c r="L65" s="370">
        <v>5.7700000000000001E-2</v>
      </c>
      <c r="M65" s="224">
        <f t="shared" si="9"/>
        <v>22648.41</v>
      </c>
      <c r="N65" s="220">
        <f>+M65</f>
        <v>22648.41</v>
      </c>
      <c r="O65" s="220">
        <f>+O64+M65</f>
        <v>400970.12999999995</v>
      </c>
    </row>
    <row r="66" spans="1:15" hidden="1" outlineLevel="1" x14ac:dyDescent="0.2">
      <c r="C66" s="220">
        <v>0</v>
      </c>
      <c r="D66" s="220"/>
      <c r="E66" s="220"/>
      <c r="F66" s="220">
        <v>0</v>
      </c>
      <c r="G66" s="220">
        <f t="shared" si="5"/>
        <v>4775661.905927198</v>
      </c>
      <c r="I66" s="368">
        <v>38564</v>
      </c>
      <c r="J66" s="368">
        <f t="shared" ref="J66:J87" si="11">IF(I66=I67,"",+I67-1)</f>
        <v>38564</v>
      </c>
      <c r="K66" s="369">
        <f t="shared" si="10"/>
        <v>1</v>
      </c>
      <c r="L66" s="370">
        <v>5.7700000000000001E-2</v>
      </c>
      <c r="M66" s="224">
        <f t="shared" si="9"/>
        <v>754.95</v>
      </c>
      <c r="N66" s="220">
        <f t="shared" ref="N66:N88" si="12">IF(MONTH(+I66)&lt;&gt;MONTH(+I65),M66,+N65+M66)</f>
        <v>23403.360000000001</v>
      </c>
      <c r="O66" s="220">
        <f>+O65+M66</f>
        <v>401725.07999999996</v>
      </c>
    </row>
    <row r="67" spans="1:15" hidden="1" outlineLevel="1" x14ac:dyDescent="0.2">
      <c r="A67" s="366" t="s">
        <v>277</v>
      </c>
      <c r="B67" s="361" t="s">
        <v>191</v>
      </c>
      <c r="C67" s="220"/>
      <c r="D67" s="220"/>
      <c r="E67" s="220"/>
      <c r="F67" s="220"/>
      <c r="G67" s="220">
        <f t="shared" si="5"/>
        <v>4775661.905927198</v>
      </c>
      <c r="I67" s="368">
        <v>38565</v>
      </c>
      <c r="J67" s="368">
        <f t="shared" si="11"/>
        <v>38594</v>
      </c>
      <c r="K67" s="369">
        <f t="shared" si="10"/>
        <v>30</v>
      </c>
      <c r="L67" s="370">
        <v>5.7700000000000001E-2</v>
      </c>
      <c r="M67" s="224">
        <f>+IF(+K67&lt;&gt;" ", ROUND(L67*(K67/365)*G67,2),0)-437.54</f>
        <v>22210.87</v>
      </c>
      <c r="N67" s="220">
        <f t="shared" si="12"/>
        <v>22210.87</v>
      </c>
      <c r="O67" s="220">
        <f t="shared" ref="O67:O88" si="13">O66+M67</f>
        <v>423935.94999999995</v>
      </c>
    </row>
    <row r="68" spans="1:15" hidden="1" outlineLevel="1" x14ac:dyDescent="0.2">
      <c r="A68" s="366"/>
      <c r="C68" s="220">
        <v>0</v>
      </c>
      <c r="D68" s="220"/>
      <c r="E68" s="220"/>
      <c r="F68" s="220">
        <f>+F66+C68+D68+E68</f>
        <v>0</v>
      </c>
      <c r="G68" s="220">
        <f t="shared" si="5"/>
        <v>4775661.905927198</v>
      </c>
      <c r="I68" s="368">
        <v>38595</v>
      </c>
      <c r="J68" s="368">
        <f t="shared" si="11"/>
        <v>38595</v>
      </c>
      <c r="K68" s="369">
        <f t="shared" si="10"/>
        <v>1</v>
      </c>
      <c r="L68" s="370">
        <v>5.7700000000000001E-2</v>
      </c>
      <c r="M68" s="224">
        <f>+IF(+K68&lt;&gt;" ", ROUND(L68*(K68/365)*G68,2),0)-14.59</f>
        <v>740.36</v>
      </c>
      <c r="N68" s="220">
        <f t="shared" si="12"/>
        <v>22951.23</v>
      </c>
      <c r="O68" s="220">
        <f t="shared" si="13"/>
        <v>424676.30999999994</v>
      </c>
    </row>
    <row r="69" spans="1:15" hidden="1" outlineLevel="1" x14ac:dyDescent="0.2">
      <c r="A69" s="366"/>
      <c r="B69" s="361" t="s">
        <v>192</v>
      </c>
      <c r="C69" s="220"/>
      <c r="D69" s="220"/>
      <c r="E69" s="220"/>
      <c r="F69" s="220"/>
      <c r="G69" s="220">
        <f t="shared" si="5"/>
        <v>4775661.905927198</v>
      </c>
      <c r="I69" s="368">
        <v>38596</v>
      </c>
      <c r="J69" s="368">
        <f t="shared" si="11"/>
        <v>38624</v>
      </c>
      <c r="K69" s="369">
        <f t="shared" si="10"/>
        <v>29</v>
      </c>
      <c r="L69" s="370">
        <v>5.7700000000000001E-2</v>
      </c>
      <c r="M69" s="224">
        <f t="shared" ref="M69:M84" si="14">+IF(+K69&lt;&gt;" ", ROUND(L69*(K69/365)*G69,2),0)</f>
        <v>21893.47</v>
      </c>
      <c r="N69" s="220">
        <f t="shared" si="12"/>
        <v>21893.47</v>
      </c>
      <c r="O69" s="220">
        <f t="shared" si="13"/>
        <v>446569.77999999991</v>
      </c>
    </row>
    <row r="70" spans="1:15" hidden="1" outlineLevel="1" x14ac:dyDescent="0.2">
      <c r="A70" s="366"/>
      <c r="C70" s="220">
        <v>0</v>
      </c>
      <c r="D70" s="220"/>
      <c r="E70" s="220"/>
      <c r="F70" s="220">
        <f>+F68+C70+D70+E70</f>
        <v>0</v>
      </c>
      <c r="G70" s="220">
        <f t="shared" si="5"/>
        <v>4775661.905927198</v>
      </c>
      <c r="I70" s="368">
        <v>38625</v>
      </c>
      <c r="J70" s="368">
        <f t="shared" si="11"/>
        <v>38625</v>
      </c>
      <c r="K70" s="369">
        <f t="shared" si="10"/>
        <v>1</v>
      </c>
      <c r="L70" s="370">
        <v>5.7700000000000001E-2</v>
      </c>
      <c r="M70" s="224">
        <f t="shared" si="14"/>
        <v>754.95</v>
      </c>
      <c r="N70" s="220">
        <f t="shared" si="12"/>
        <v>22648.420000000002</v>
      </c>
      <c r="O70" s="220">
        <f t="shared" si="13"/>
        <v>447324.72999999992</v>
      </c>
    </row>
    <row r="71" spans="1:15" hidden="1" outlineLevel="1" x14ac:dyDescent="0.2">
      <c r="A71" s="366"/>
      <c r="B71" s="361" t="s">
        <v>193</v>
      </c>
      <c r="C71" s="220"/>
      <c r="D71" s="220"/>
      <c r="E71" s="220"/>
      <c r="F71" s="220"/>
      <c r="G71" s="220">
        <f t="shared" si="5"/>
        <v>4775661.905927198</v>
      </c>
      <c r="I71" s="368">
        <v>38626</v>
      </c>
      <c r="J71" s="368">
        <f t="shared" si="11"/>
        <v>38655</v>
      </c>
      <c r="K71" s="369">
        <f t="shared" si="10"/>
        <v>30</v>
      </c>
      <c r="L71" s="370">
        <v>6.2300000000000001E-2</v>
      </c>
      <c r="M71" s="224">
        <f t="shared" si="14"/>
        <v>24454.01</v>
      </c>
      <c r="N71" s="220">
        <f t="shared" si="12"/>
        <v>24454.01</v>
      </c>
      <c r="O71" s="220">
        <f t="shared" si="13"/>
        <v>471778.73999999993</v>
      </c>
    </row>
    <row r="72" spans="1:15" hidden="1" outlineLevel="1" x14ac:dyDescent="0.2">
      <c r="A72" s="366"/>
      <c r="C72" s="220">
        <v>1035111.0738349855</v>
      </c>
      <c r="D72" s="220"/>
      <c r="E72" s="220"/>
      <c r="F72" s="220">
        <f>+F70+C72+D72+E72</f>
        <v>1035111.0738349855</v>
      </c>
      <c r="G72" s="220">
        <f t="shared" si="5"/>
        <v>5810772.9797621835</v>
      </c>
      <c r="I72" s="368">
        <v>38656</v>
      </c>
      <c r="J72" s="368">
        <f t="shared" si="11"/>
        <v>38656</v>
      </c>
      <c r="K72" s="369">
        <f t="shared" si="10"/>
        <v>1</v>
      </c>
      <c r="L72" s="370">
        <v>6.2300000000000001E-2</v>
      </c>
      <c r="M72" s="224">
        <f t="shared" si="14"/>
        <v>991.81</v>
      </c>
      <c r="N72" s="220">
        <f t="shared" si="12"/>
        <v>25445.82</v>
      </c>
      <c r="O72" s="220">
        <f t="shared" si="13"/>
        <v>472770.54999999993</v>
      </c>
    </row>
    <row r="73" spans="1:15" hidden="1" outlineLevel="1" x14ac:dyDescent="0.2">
      <c r="A73" s="366"/>
      <c r="B73" s="361" t="s">
        <v>194</v>
      </c>
      <c r="C73" s="220"/>
      <c r="D73" s="220"/>
      <c r="E73" s="220"/>
      <c r="F73" s="220"/>
      <c r="G73" s="220">
        <f t="shared" si="5"/>
        <v>5810772.9797621835</v>
      </c>
      <c r="I73" s="368">
        <v>38657</v>
      </c>
      <c r="J73" s="368">
        <f t="shared" si="11"/>
        <v>38685</v>
      </c>
      <c r="K73" s="369">
        <f t="shared" si="10"/>
        <v>29</v>
      </c>
      <c r="L73" s="370">
        <v>6.2300000000000001E-2</v>
      </c>
      <c r="M73" s="224">
        <f t="shared" si="14"/>
        <v>28762.53</v>
      </c>
      <c r="N73" s="220">
        <f t="shared" si="12"/>
        <v>28762.53</v>
      </c>
      <c r="O73" s="220">
        <f t="shared" si="13"/>
        <v>501533.07999999996</v>
      </c>
    </row>
    <row r="74" spans="1:15" hidden="1" outlineLevel="1" x14ac:dyDescent="0.2">
      <c r="A74" s="366"/>
      <c r="C74" s="220">
        <v>-485597.40796025749</v>
      </c>
      <c r="D74" s="220"/>
      <c r="E74" s="220"/>
      <c r="F74" s="220">
        <f>C74</f>
        <v>-485597.40796025749</v>
      </c>
      <c r="G74" s="220">
        <f t="shared" si="5"/>
        <v>5325175.571801926</v>
      </c>
      <c r="I74" s="368">
        <v>38686</v>
      </c>
      <c r="J74" s="368">
        <f t="shared" si="11"/>
        <v>38686</v>
      </c>
      <c r="K74" s="369">
        <f t="shared" si="10"/>
        <v>1</v>
      </c>
      <c r="L74" s="370">
        <v>6.2300000000000001E-2</v>
      </c>
      <c r="M74" s="224">
        <f t="shared" si="14"/>
        <v>908.93</v>
      </c>
      <c r="N74" s="220">
        <f t="shared" si="12"/>
        <v>29671.46</v>
      </c>
      <c r="O74" s="220">
        <f t="shared" si="13"/>
        <v>502442.00999999995</v>
      </c>
    </row>
    <row r="75" spans="1:15" hidden="1" outlineLevel="1" x14ac:dyDescent="0.2">
      <c r="A75" s="366"/>
      <c r="B75" s="361" t="s">
        <v>195</v>
      </c>
      <c r="C75" s="220"/>
      <c r="D75" s="220"/>
      <c r="E75" s="220"/>
      <c r="F75" s="220"/>
      <c r="G75" s="220">
        <f t="shared" si="5"/>
        <v>5325175.571801926</v>
      </c>
      <c r="I75" s="368">
        <v>38687</v>
      </c>
      <c r="J75" s="368">
        <f t="shared" si="11"/>
        <v>38716</v>
      </c>
      <c r="K75" s="369">
        <f t="shared" si="10"/>
        <v>30</v>
      </c>
      <c r="L75" s="370">
        <v>6.2300000000000001E-2</v>
      </c>
      <c r="M75" s="224">
        <f t="shared" si="14"/>
        <v>27267.82</v>
      </c>
      <c r="N75" s="220">
        <f t="shared" si="12"/>
        <v>27267.82</v>
      </c>
      <c r="O75" s="220">
        <f t="shared" si="13"/>
        <v>529709.82999999996</v>
      </c>
    </row>
    <row r="76" spans="1:15" hidden="1" outlineLevel="1" x14ac:dyDescent="0.2">
      <c r="A76" s="366"/>
      <c r="C76" s="220">
        <v>10321984.536463212</v>
      </c>
      <c r="D76" s="220"/>
      <c r="E76" s="220"/>
      <c r="F76" s="220">
        <f>C76</f>
        <v>10321984.536463212</v>
      </c>
      <c r="G76" s="220">
        <f t="shared" si="5"/>
        <v>15647160.108265139</v>
      </c>
      <c r="I76" s="368">
        <v>38717</v>
      </c>
      <c r="J76" s="368">
        <f t="shared" si="11"/>
        <v>38717</v>
      </c>
      <c r="K76" s="369">
        <f t="shared" si="10"/>
        <v>1</v>
      </c>
      <c r="L76" s="370">
        <v>6.2300000000000001E-2</v>
      </c>
      <c r="M76" s="224">
        <f t="shared" si="14"/>
        <v>2670.73</v>
      </c>
      <c r="N76" s="220">
        <f t="shared" si="12"/>
        <v>29938.55</v>
      </c>
      <c r="O76" s="220">
        <f t="shared" si="13"/>
        <v>532380.55999999994</v>
      </c>
    </row>
    <row r="77" spans="1:15" hidden="1" outlineLevel="1" x14ac:dyDescent="0.2">
      <c r="A77" s="366"/>
      <c r="B77" s="361" t="s">
        <v>196</v>
      </c>
      <c r="C77" s="220"/>
      <c r="D77" s="220"/>
      <c r="E77" s="220"/>
      <c r="F77" s="220"/>
      <c r="G77" s="220">
        <f t="shared" si="5"/>
        <v>15647160.108265139</v>
      </c>
      <c r="I77" s="368">
        <v>38718</v>
      </c>
      <c r="J77" s="368">
        <f t="shared" si="11"/>
        <v>38747</v>
      </c>
      <c r="K77" s="369">
        <f t="shared" si="10"/>
        <v>30</v>
      </c>
      <c r="L77" s="370">
        <v>6.7799999999999999E-2</v>
      </c>
      <c r="M77" s="224">
        <f t="shared" si="14"/>
        <v>87195.41</v>
      </c>
      <c r="N77" s="220">
        <f t="shared" si="12"/>
        <v>87195.41</v>
      </c>
      <c r="O77" s="220">
        <f t="shared" si="13"/>
        <v>619575.97</v>
      </c>
    </row>
    <row r="78" spans="1:15" hidden="1" outlineLevel="1" x14ac:dyDescent="0.2">
      <c r="A78" s="366"/>
      <c r="C78" s="220">
        <v>-2633303.9994967449</v>
      </c>
      <c r="D78" s="220"/>
      <c r="E78" s="220"/>
      <c r="F78" s="220">
        <f>+C78</f>
        <v>-2633303.9994967449</v>
      </c>
      <c r="G78" s="220">
        <f t="shared" si="5"/>
        <v>13013856.108768394</v>
      </c>
      <c r="I78" s="368">
        <v>38748</v>
      </c>
      <c r="J78" s="368">
        <f t="shared" si="11"/>
        <v>38748</v>
      </c>
      <c r="K78" s="369">
        <f t="shared" si="10"/>
        <v>1</v>
      </c>
      <c r="L78" s="370">
        <v>6.7799999999999999E-2</v>
      </c>
      <c r="M78" s="224">
        <f t="shared" si="14"/>
        <v>2417.37</v>
      </c>
      <c r="N78" s="220">
        <f t="shared" si="12"/>
        <v>89612.78</v>
      </c>
      <c r="O78" s="220">
        <f t="shared" si="13"/>
        <v>621993.34</v>
      </c>
    </row>
    <row r="79" spans="1:15" hidden="1" outlineLevel="1" x14ac:dyDescent="0.2">
      <c r="A79" s="366"/>
      <c r="B79" s="361" t="s">
        <v>197</v>
      </c>
      <c r="C79" s="220"/>
      <c r="D79" s="220"/>
      <c r="E79" s="220"/>
      <c r="F79" s="220"/>
      <c r="G79" s="220">
        <f t="shared" si="5"/>
        <v>13013856.108768394</v>
      </c>
      <c r="I79" s="368">
        <v>38749</v>
      </c>
      <c r="J79" s="368">
        <f t="shared" si="11"/>
        <v>38775</v>
      </c>
      <c r="K79" s="369">
        <f t="shared" si="10"/>
        <v>27</v>
      </c>
      <c r="L79" s="370">
        <v>6.7799999999999999E-2</v>
      </c>
      <c r="M79" s="224">
        <f t="shared" si="14"/>
        <v>65268.95</v>
      </c>
      <c r="N79" s="220">
        <f t="shared" si="12"/>
        <v>65268.95</v>
      </c>
      <c r="O79" s="220">
        <f t="shared" si="13"/>
        <v>687262.28999999992</v>
      </c>
    </row>
    <row r="80" spans="1:15" hidden="1" outlineLevel="1" x14ac:dyDescent="0.2">
      <c r="A80" s="366"/>
      <c r="C80" s="220">
        <v>2195554.6378052663</v>
      </c>
      <c r="D80" s="220"/>
      <c r="E80" s="220"/>
      <c r="F80" s="220">
        <f>+C80</f>
        <v>2195554.6378052663</v>
      </c>
      <c r="G80" s="220">
        <f t="shared" si="5"/>
        <v>15209410.746573661</v>
      </c>
      <c r="I80" s="371">
        <v>38776</v>
      </c>
      <c r="J80" s="368">
        <f t="shared" si="11"/>
        <v>38776</v>
      </c>
      <c r="K80" s="369">
        <f t="shared" si="10"/>
        <v>1</v>
      </c>
      <c r="L80" s="370">
        <v>6.7799999999999999E-2</v>
      </c>
      <c r="M80" s="224">
        <f t="shared" si="14"/>
        <v>2825.2</v>
      </c>
      <c r="N80" s="220">
        <f t="shared" si="12"/>
        <v>68094.149999999994</v>
      </c>
      <c r="O80" s="220">
        <f t="shared" si="13"/>
        <v>690087.48999999987</v>
      </c>
    </row>
    <row r="81" spans="1:15" hidden="1" outlineLevel="1" x14ac:dyDescent="0.2">
      <c r="A81" s="366"/>
      <c r="B81" s="361" t="s">
        <v>198</v>
      </c>
      <c r="C81" s="220"/>
      <c r="D81" s="220"/>
      <c r="E81" s="220"/>
      <c r="F81" s="220"/>
      <c r="G81" s="220">
        <f t="shared" si="5"/>
        <v>15209410.746573661</v>
      </c>
      <c r="I81" s="368">
        <v>38777</v>
      </c>
      <c r="J81" s="368">
        <f t="shared" si="11"/>
        <v>38806</v>
      </c>
      <c r="K81" s="369">
        <f t="shared" si="10"/>
        <v>30</v>
      </c>
      <c r="L81" s="370">
        <v>6.7799999999999999E-2</v>
      </c>
      <c r="M81" s="224">
        <f t="shared" si="14"/>
        <v>84756</v>
      </c>
      <c r="N81" s="220">
        <f t="shared" si="12"/>
        <v>84756</v>
      </c>
      <c r="O81" s="220">
        <f t="shared" si="13"/>
        <v>774843.48999999987</v>
      </c>
    </row>
    <row r="82" spans="1:15" hidden="1" outlineLevel="1" x14ac:dyDescent="0.2">
      <c r="A82" s="366"/>
      <c r="C82" s="220">
        <v>6977521.9056016635</v>
      </c>
      <c r="D82" s="220"/>
      <c r="E82" s="220"/>
      <c r="F82" s="220">
        <f>+C82</f>
        <v>6977521.9056016635</v>
      </c>
      <c r="G82" s="220">
        <f t="shared" si="5"/>
        <v>22186932.652175322</v>
      </c>
      <c r="I82" s="368">
        <v>38807</v>
      </c>
      <c r="J82" s="368">
        <f t="shared" si="11"/>
        <v>38807</v>
      </c>
      <c r="K82" s="369">
        <f t="shared" si="10"/>
        <v>1</v>
      </c>
      <c r="L82" s="370">
        <v>6.7799999999999999E-2</v>
      </c>
      <c r="M82" s="224">
        <f t="shared" si="14"/>
        <v>4121.3</v>
      </c>
      <c r="N82" s="220">
        <f t="shared" si="12"/>
        <v>88877.3</v>
      </c>
      <c r="O82" s="220">
        <f t="shared" si="13"/>
        <v>778964.78999999992</v>
      </c>
    </row>
    <row r="83" spans="1:15" hidden="1" outlineLevel="1" x14ac:dyDescent="0.2">
      <c r="A83" s="366"/>
      <c r="B83" s="361" t="s">
        <v>199</v>
      </c>
      <c r="C83" s="220"/>
      <c r="D83" s="220"/>
      <c r="E83" s="220"/>
      <c r="F83" s="220"/>
      <c r="G83" s="220">
        <f t="shared" si="5"/>
        <v>22186932.652175322</v>
      </c>
      <c r="I83" s="368">
        <v>38808</v>
      </c>
      <c r="J83" s="368">
        <f t="shared" si="11"/>
        <v>38836</v>
      </c>
      <c r="K83" s="369">
        <v>30</v>
      </c>
      <c r="L83" s="372">
        <v>7.2999999999999995E-2</v>
      </c>
      <c r="M83" s="224">
        <f t="shared" si="14"/>
        <v>133121.60000000001</v>
      </c>
      <c r="N83" s="220">
        <f t="shared" si="12"/>
        <v>133121.60000000001</v>
      </c>
      <c r="O83" s="220">
        <f t="shared" si="13"/>
        <v>912086.3899999999</v>
      </c>
    </row>
    <row r="84" spans="1:15" hidden="1" outlineLevel="1" x14ac:dyDescent="0.2">
      <c r="A84" s="366"/>
      <c r="C84" s="220">
        <v>-9427218.1285901181</v>
      </c>
      <c r="D84" s="220"/>
      <c r="E84" s="220"/>
      <c r="F84" s="220">
        <f>+C84</f>
        <v>-9427218.1285901181</v>
      </c>
      <c r="G84" s="220">
        <f t="shared" si="5"/>
        <v>12759714.523585204</v>
      </c>
      <c r="I84" s="368">
        <v>38837</v>
      </c>
      <c r="J84" s="368">
        <f t="shared" si="11"/>
        <v>38837</v>
      </c>
      <c r="K84" s="369">
        <f t="shared" ref="K84:K147" si="15">+IF(+J84="","",+J84-(I84-1))</f>
        <v>1</v>
      </c>
      <c r="L84" s="372">
        <v>7.2999999999999995E-2</v>
      </c>
      <c r="M84" s="224">
        <f t="shared" si="14"/>
        <v>2551.94</v>
      </c>
      <c r="N84" s="220">
        <f t="shared" si="12"/>
        <v>135673.54</v>
      </c>
      <c r="O84" s="220">
        <f t="shared" si="13"/>
        <v>914638.32999999984</v>
      </c>
    </row>
    <row r="85" spans="1:15" hidden="1" outlineLevel="1" x14ac:dyDescent="0.2">
      <c r="A85" s="366"/>
      <c r="B85" s="361" t="s">
        <v>200</v>
      </c>
      <c r="D85" s="220"/>
      <c r="E85" s="220"/>
      <c r="F85" s="220"/>
      <c r="G85" s="220">
        <f t="shared" si="5"/>
        <v>12759714.523585204</v>
      </c>
      <c r="I85" s="368">
        <v>38838</v>
      </c>
      <c r="J85" s="368">
        <f t="shared" si="11"/>
        <v>38867</v>
      </c>
      <c r="K85" s="369">
        <f t="shared" si="15"/>
        <v>30</v>
      </c>
      <c r="L85" s="370">
        <v>7.2999999999999995E-2</v>
      </c>
      <c r="M85" s="224">
        <f>+IF(+K85&lt;&gt;" ", ROUND(L85*(K85/365)*G85,2),0)-7999.01</f>
        <v>68559.28</v>
      </c>
      <c r="N85" s="220">
        <f t="shared" si="12"/>
        <v>68559.28</v>
      </c>
      <c r="O85" s="220">
        <f t="shared" si="13"/>
        <v>983197.60999999987</v>
      </c>
    </row>
    <row r="86" spans="1:15" hidden="1" outlineLevel="1" x14ac:dyDescent="0.2">
      <c r="A86" s="366"/>
      <c r="C86" s="220">
        <v>-7984052.617658006</v>
      </c>
      <c r="D86" s="220"/>
      <c r="E86" s="220"/>
      <c r="F86" s="220">
        <f>+C86</f>
        <v>-7984052.617658006</v>
      </c>
      <c r="G86" s="220">
        <f t="shared" si="5"/>
        <v>4775661.905927198</v>
      </c>
      <c r="I86" s="368">
        <v>38868</v>
      </c>
      <c r="J86" s="368">
        <f t="shared" si="11"/>
        <v>38868</v>
      </c>
      <c r="K86" s="369">
        <f t="shared" si="15"/>
        <v>1</v>
      </c>
      <c r="L86" s="370">
        <v>7.2999999999999995E-2</v>
      </c>
      <c r="M86" s="224">
        <f>+IF(+K86&lt;&gt;" ", ROUND(L86*(K86/365)*G86,2),0)</f>
        <v>955.13</v>
      </c>
      <c r="N86" s="220">
        <f t="shared" si="12"/>
        <v>69514.41</v>
      </c>
      <c r="O86" s="220">
        <f t="shared" si="13"/>
        <v>984152.73999999987</v>
      </c>
    </row>
    <row r="87" spans="1:15" hidden="1" outlineLevel="1" x14ac:dyDescent="0.2">
      <c r="A87" s="366"/>
      <c r="B87" s="361" t="s">
        <v>201</v>
      </c>
      <c r="D87" s="220"/>
      <c r="E87" s="220"/>
      <c r="F87" s="220"/>
      <c r="G87" s="220">
        <f t="shared" si="5"/>
        <v>4775661.905927198</v>
      </c>
      <c r="I87" s="368">
        <v>38869</v>
      </c>
      <c r="J87" s="368">
        <f t="shared" si="11"/>
        <v>38897</v>
      </c>
      <c r="K87" s="369">
        <f t="shared" si="15"/>
        <v>29</v>
      </c>
      <c r="L87" s="370">
        <v>7.2999999999999995E-2</v>
      </c>
      <c r="M87" s="224">
        <f>+IF(+K87&lt;&gt;" ", ROUND(L87*(K87/365)*G87,2),0)-1472</f>
        <v>26226.84</v>
      </c>
      <c r="N87" s="220">
        <f t="shared" si="12"/>
        <v>26226.84</v>
      </c>
      <c r="O87" s="220">
        <f t="shared" si="13"/>
        <v>1010379.5799999998</v>
      </c>
    </row>
    <row r="88" spans="1:15" hidden="1" outlineLevel="1" x14ac:dyDescent="0.2">
      <c r="A88" s="366"/>
      <c r="C88" s="220">
        <v>0</v>
      </c>
      <c r="D88" s="220"/>
      <c r="E88" s="220"/>
      <c r="F88" s="220">
        <f>+C88</f>
        <v>0</v>
      </c>
      <c r="G88" s="220">
        <f t="shared" si="5"/>
        <v>4775661.905927198</v>
      </c>
      <c r="I88" s="368">
        <v>38898</v>
      </c>
      <c r="J88" s="368">
        <v>38898</v>
      </c>
      <c r="K88" s="369">
        <f t="shared" si="15"/>
        <v>1</v>
      </c>
      <c r="L88" s="370">
        <v>7.2999999999999995E-2</v>
      </c>
      <c r="M88" s="224">
        <f t="shared" ref="M88:M151" si="16">+IF(+K88&lt;&gt;" ", ROUND(L88*(K88/365)*G88,2),0)</f>
        <v>955.13</v>
      </c>
      <c r="N88" s="220">
        <f t="shared" si="12"/>
        <v>27181.97</v>
      </c>
      <c r="O88" s="220">
        <f t="shared" si="13"/>
        <v>1011334.7099999998</v>
      </c>
    </row>
    <row r="89" spans="1:15" hidden="1" outlineLevel="1" x14ac:dyDescent="0.2">
      <c r="A89" s="361" t="s">
        <v>280</v>
      </c>
      <c r="B89" s="361" t="s">
        <v>190</v>
      </c>
      <c r="C89" s="220"/>
      <c r="D89" s="220"/>
      <c r="E89" s="220"/>
      <c r="F89" s="220"/>
      <c r="G89" s="220">
        <f t="shared" si="5"/>
        <v>4775661.905927198</v>
      </c>
      <c r="I89" s="368">
        <v>38899</v>
      </c>
      <c r="J89" s="368">
        <f>+I90-1</f>
        <v>38928</v>
      </c>
      <c r="K89" s="369">
        <f t="shared" si="15"/>
        <v>30</v>
      </c>
      <c r="L89" s="370">
        <v>7.7399999999999997E-2</v>
      </c>
      <c r="M89" s="224">
        <f t="shared" si="16"/>
        <v>30381.06</v>
      </c>
      <c r="N89" s="220">
        <f>+M89</f>
        <v>30381.06</v>
      </c>
      <c r="O89" s="220">
        <f>+O88+M89</f>
        <v>1041715.7699999999</v>
      </c>
    </row>
    <row r="90" spans="1:15" hidden="1" outlineLevel="1" x14ac:dyDescent="0.2">
      <c r="C90" s="220">
        <v>-2880448.2629797561</v>
      </c>
      <c r="D90" s="220"/>
      <c r="E90" s="220"/>
      <c r="F90" s="220">
        <f>+C90</f>
        <v>-2880448.2629797561</v>
      </c>
      <c r="G90" s="220">
        <f t="shared" si="5"/>
        <v>1895213.6429474419</v>
      </c>
      <c r="I90" s="368">
        <v>38929</v>
      </c>
      <c r="J90" s="368">
        <f t="shared" ref="J90:J99" si="17">IF(I90=I91,"",+I91-1)</f>
        <v>38929</v>
      </c>
      <c r="K90" s="369">
        <f t="shared" si="15"/>
        <v>1</v>
      </c>
      <c r="L90" s="370">
        <v>7.7399999999999997E-2</v>
      </c>
      <c r="M90" s="224">
        <f t="shared" si="16"/>
        <v>401.89</v>
      </c>
      <c r="N90" s="220">
        <f t="shared" ref="N90:N153" si="18">IF(MONTH(+I90)&lt;&gt;MONTH(+I89),M90,+N89+M90)</f>
        <v>30782.95</v>
      </c>
      <c r="O90" s="220">
        <f>+O89+M90</f>
        <v>1042117.6599999999</v>
      </c>
    </row>
    <row r="91" spans="1:15" hidden="1" outlineLevel="1" x14ac:dyDescent="0.2">
      <c r="B91" s="361" t="s">
        <v>191</v>
      </c>
      <c r="C91" s="220"/>
      <c r="D91" s="220"/>
      <c r="E91" s="220"/>
      <c r="F91" s="220"/>
      <c r="G91" s="220">
        <f t="shared" si="5"/>
        <v>1895213.6429474419</v>
      </c>
      <c r="I91" s="368">
        <v>38930</v>
      </c>
      <c r="J91" s="368">
        <f t="shared" si="17"/>
        <v>38959</v>
      </c>
      <c r="K91" s="369">
        <f t="shared" si="15"/>
        <v>30</v>
      </c>
      <c r="L91" s="370">
        <v>7.7399999999999997E-2</v>
      </c>
      <c r="M91" s="224">
        <f t="shared" si="16"/>
        <v>12056.67</v>
      </c>
      <c r="N91" s="220">
        <f t="shared" si="18"/>
        <v>12056.67</v>
      </c>
      <c r="O91" s="220">
        <f t="shared" ref="O91:O154" si="19">O90+M91</f>
        <v>1054174.3299999998</v>
      </c>
    </row>
    <row r="92" spans="1:15" hidden="1" outlineLevel="1" x14ac:dyDescent="0.2">
      <c r="C92" s="220">
        <v>-4677347.5255082687</v>
      </c>
      <c r="D92" s="220"/>
      <c r="E92" s="220"/>
      <c r="F92" s="220">
        <f>C92</f>
        <v>-4677347.5255082687</v>
      </c>
      <c r="G92" s="220">
        <f t="shared" si="5"/>
        <v>-2782133.8825608268</v>
      </c>
      <c r="I92" s="368">
        <v>38960</v>
      </c>
      <c r="J92" s="368">
        <f t="shared" si="17"/>
        <v>38960</v>
      </c>
      <c r="K92" s="369">
        <f t="shared" si="15"/>
        <v>1</v>
      </c>
      <c r="L92" s="370">
        <v>7.7399999999999997E-2</v>
      </c>
      <c r="M92" s="224">
        <f t="shared" si="16"/>
        <v>-589.96</v>
      </c>
      <c r="N92" s="220">
        <f t="shared" si="18"/>
        <v>11466.71</v>
      </c>
      <c r="O92" s="220">
        <f t="shared" si="19"/>
        <v>1053584.3699999999</v>
      </c>
    </row>
    <row r="93" spans="1:15" hidden="1" outlineLevel="1" x14ac:dyDescent="0.2">
      <c r="B93" s="361" t="s">
        <v>192</v>
      </c>
      <c r="C93" s="220"/>
      <c r="D93" s="220"/>
      <c r="E93" s="220"/>
      <c r="F93" s="220"/>
      <c r="G93" s="220">
        <f t="shared" si="5"/>
        <v>-2782133.8825608268</v>
      </c>
      <c r="I93" s="368">
        <v>38961</v>
      </c>
      <c r="J93" s="368">
        <f t="shared" si="17"/>
        <v>38989</v>
      </c>
      <c r="K93" s="369">
        <f t="shared" si="15"/>
        <v>29</v>
      </c>
      <c r="L93" s="370">
        <v>7.7399999999999997E-2</v>
      </c>
      <c r="M93" s="224">
        <f t="shared" si="16"/>
        <v>-17108.98</v>
      </c>
      <c r="N93" s="220">
        <f t="shared" si="18"/>
        <v>-17108.98</v>
      </c>
      <c r="O93" s="220">
        <f t="shared" si="19"/>
        <v>1036475.3899999999</v>
      </c>
    </row>
    <row r="94" spans="1:15" hidden="1" outlineLevel="1" x14ac:dyDescent="0.2">
      <c r="C94" s="220">
        <v>3667420.8745055292</v>
      </c>
      <c r="D94" s="220"/>
      <c r="E94" s="220"/>
      <c r="F94" s="220">
        <f>C94</f>
        <v>3667420.8745055292</v>
      </c>
      <c r="G94" s="220">
        <f t="shared" si="5"/>
        <v>885286.99194470234</v>
      </c>
      <c r="I94" s="368">
        <v>38990</v>
      </c>
      <c r="J94" s="368">
        <f t="shared" si="17"/>
        <v>38990</v>
      </c>
      <c r="K94" s="369">
        <f t="shared" si="15"/>
        <v>1</v>
      </c>
      <c r="L94" s="370">
        <v>7.7399999999999997E-2</v>
      </c>
      <c r="M94" s="224">
        <f t="shared" si="16"/>
        <v>187.73</v>
      </c>
      <c r="N94" s="220">
        <f t="shared" si="18"/>
        <v>-16921.25</v>
      </c>
      <c r="O94" s="220">
        <f t="shared" si="19"/>
        <v>1036663.1199999999</v>
      </c>
    </row>
    <row r="95" spans="1:15" hidden="1" outlineLevel="1" x14ac:dyDescent="0.2">
      <c r="B95" s="361" t="s">
        <v>193</v>
      </c>
      <c r="C95" s="220"/>
      <c r="D95" s="220"/>
      <c r="E95" s="220"/>
      <c r="F95" s="220"/>
      <c r="G95" s="220">
        <f t="shared" si="5"/>
        <v>885286.99194470234</v>
      </c>
      <c r="I95" s="368">
        <v>38991</v>
      </c>
      <c r="J95" s="368">
        <f t="shared" si="17"/>
        <v>39020</v>
      </c>
      <c r="K95" s="369">
        <f t="shared" si="15"/>
        <v>30</v>
      </c>
      <c r="L95" s="370">
        <v>8.1699999999999995E-2</v>
      </c>
      <c r="M95" s="224">
        <f t="shared" si="16"/>
        <v>5944.76</v>
      </c>
      <c r="N95" s="220">
        <f t="shared" si="18"/>
        <v>5944.76</v>
      </c>
      <c r="O95" s="220">
        <f t="shared" si="19"/>
        <v>1042607.8799999999</v>
      </c>
    </row>
    <row r="96" spans="1:15" hidden="1" outlineLevel="1" x14ac:dyDescent="0.2">
      <c r="C96" s="220">
        <v>3890374.9139824957</v>
      </c>
      <c r="D96" s="220"/>
      <c r="E96" s="220"/>
      <c r="F96" s="220">
        <f>C96</f>
        <v>3890374.9139824957</v>
      </c>
      <c r="G96" s="220">
        <f t="shared" si="5"/>
        <v>4775661.905927198</v>
      </c>
      <c r="I96" s="368">
        <v>39021</v>
      </c>
      <c r="J96" s="368">
        <f t="shared" si="17"/>
        <v>39021</v>
      </c>
      <c r="K96" s="369">
        <f t="shared" si="15"/>
        <v>1</v>
      </c>
      <c r="L96" s="370">
        <v>8.1699999999999995E-2</v>
      </c>
      <c r="M96" s="224">
        <f t="shared" si="16"/>
        <v>1068.96</v>
      </c>
      <c r="N96" s="220">
        <f t="shared" si="18"/>
        <v>7013.72</v>
      </c>
      <c r="O96" s="220">
        <f t="shared" si="19"/>
        <v>1043676.8399999999</v>
      </c>
    </row>
    <row r="97" spans="1:15" hidden="1" outlineLevel="1" x14ac:dyDescent="0.2">
      <c r="B97" s="361" t="s">
        <v>194</v>
      </c>
      <c r="C97" s="220"/>
      <c r="D97" s="220"/>
      <c r="E97" s="220"/>
      <c r="F97" s="220"/>
      <c r="G97" s="220">
        <f t="shared" si="5"/>
        <v>4775661.905927198</v>
      </c>
      <c r="I97" s="368">
        <v>39022</v>
      </c>
      <c r="J97" s="368">
        <f t="shared" si="17"/>
        <v>39050</v>
      </c>
      <c r="K97" s="369">
        <f t="shared" si="15"/>
        <v>29</v>
      </c>
      <c r="L97" s="370">
        <v>8.1699999999999995E-2</v>
      </c>
      <c r="M97" s="224">
        <f t="shared" si="16"/>
        <v>30999.93</v>
      </c>
      <c r="N97" s="220">
        <f t="shared" si="18"/>
        <v>30999.93</v>
      </c>
      <c r="O97" s="220">
        <f t="shared" si="19"/>
        <v>1074676.7699999998</v>
      </c>
    </row>
    <row r="98" spans="1:15" hidden="1" outlineLevel="1" x14ac:dyDescent="0.2">
      <c r="C98" s="220">
        <v>0</v>
      </c>
      <c r="D98" s="220"/>
      <c r="E98" s="220"/>
      <c r="F98" s="220">
        <f>C98</f>
        <v>0</v>
      </c>
      <c r="G98" s="220">
        <f t="shared" si="5"/>
        <v>4775661.905927198</v>
      </c>
      <c r="I98" s="368">
        <v>39051</v>
      </c>
      <c r="J98" s="368">
        <f t="shared" si="17"/>
        <v>39051</v>
      </c>
      <c r="K98" s="369">
        <f t="shared" si="15"/>
        <v>1</v>
      </c>
      <c r="L98" s="370">
        <v>8.1699999999999995E-2</v>
      </c>
      <c r="M98" s="224">
        <f t="shared" si="16"/>
        <v>1068.96</v>
      </c>
      <c r="N98" s="220">
        <f t="shared" si="18"/>
        <v>32068.89</v>
      </c>
      <c r="O98" s="220">
        <f t="shared" si="19"/>
        <v>1075745.7299999997</v>
      </c>
    </row>
    <row r="99" spans="1:15" hidden="1" outlineLevel="1" x14ac:dyDescent="0.2">
      <c r="B99" s="361" t="s">
        <v>195</v>
      </c>
      <c r="C99" s="220"/>
      <c r="D99" s="220"/>
      <c r="E99" s="220"/>
      <c r="F99" s="220"/>
      <c r="G99" s="220">
        <f t="shared" si="5"/>
        <v>4775661.905927198</v>
      </c>
      <c r="I99" s="368">
        <v>39052</v>
      </c>
      <c r="J99" s="368">
        <f t="shared" si="17"/>
        <v>39081</v>
      </c>
      <c r="K99" s="369">
        <f t="shared" si="15"/>
        <v>30</v>
      </c>
      <c r="L99" s="370">
        <v>8.1699999999999995E-2</v>
      </c>
      <c r="M99" s="224">
        <f t="shared" si="16"/>
        <v>32068.9</v>
      </c>
      <c r="N99" s="220">
        <f t="shared" si="18"/>
        <v>32068.9</v>
      </c>
      <c r="O99" s="220">
        <f t="shared" si="19"/>
        <v>1107814.6299999997</v>
      </c>
    </row>
    <row r="100" spans="1:15" hidden="1" outlineLevel="1" x14ac:dyDescent="0.2">
      <c r="C100" s="220">
        <v>0</v>
      </c>
      <c r="D100" s="220"/>
      <c r="E100" s="220"/>
      <c r="F100" s="220">
        <f>C100</f>
        <v>0</v>
      </c>
      <c r="G100" s="220">
        <f t="shared" si="5"/>
        <v>4775661.905927198</v>
      </c>
      <c r="I100" s="368">
        <v>39082</v>
      </c>
      <c r="J100" s="368">
        <v>39082</v>
      </c>
      <c r="K100" s="369">
        <f t="shared" si="15"/>
        <v>1</v>
      </c>
      <c r="L100" s="370">
        <v>8.1699999999999995E-2</v>
      </c>
      <c r="M100" s="224">
        <f t="shared" si="16"/>
        <v>1068.96</v>
      </c>
      <c r="N100" s="220">
        <f t="shared" si="18"/>
        <v>33137.86</v>
      </c>
      <c r="O100" s="220">
        <f t="shared" si="19"/>
        <v>1108883.5899999996</v>
      </c>
    </row>
    <row r="101" spans="1:15" hidden="1" outlineLevel="1" x14ac:dyDescent="0.2">
      <c r="A101" s="361" t="s">
        <v>281</v>
      </c>
      <c r="B101" s="361" t="s">
        <v>196</v>
      </c>
      <c r="G101" s="220">
        <f t="shared" si="5"/>
        <v>4775661.905927198</v>
      </c>
      <c r="I101" s="373">
        <v>39083</v>
      </c>
      <c r="J101" s="373">
        <v>39112</v>
      </c>
      <c r="K101" s="369">
        <f t="shared" si="15"/>
        <v>30</v>
      </c>
      <c r="L101" s="370">
        <v>8.2500000000000004E-2</v>
      </c>
      <c r="M101" s="224">
        <f t="shared" si="16"/>
        <v>32382.91</v>
      </c>
      <c r="N101" s="220">
        <f t="shared" si="18"/>
        <v>32382.91</v>
      </c>
      <c r="O101" s="220">
        <f t="shared" si="19"/>
        <v>1141266.4999999995</v>
      </c>
    </row>
    <row r="102" spans="1:15" hidden="1" outlineLevel="1" x14ac:dyDescent="0.2">
      <c r="A102" s="374" t="s">
        <v>282</v>
      </c>
      <c r="C102" s="220">
        <v>0</v>
      </c>
      <c r="F102" s="220">
        <f>C102</f>
        <v>0</v>
      </c>
      <c r="G102" s="220">
        <f t="shared" si="5"/>
        <v>4775661.905927198</v>
      </c>
      <c r="I102" s="373">
        <v>39113</v>
      </c>
      <c r="J102" s="373">
        <v>39113</v>
      </c>
      <c r="K102" s="369">
        <f t="shared" si="15"/>
        <v>1</v>
      </c>
      <c r="L102" s="370">
        <v>8.2500000000000004E-2</v>
      </c>
      <c r="M102" s="224">
        <f t="shared" si="16"/>
        <v>1079.43</v>
      </c>
      <c r="N102" s="220">
        <f t="shared" si="18"/>
        <v>33462.339999999997</v>
      </c>
      <c r="O102" s="220">
        <f t="shared" si="19"/>
        <v>1142345.9299999995</v>
      </c>
    </row>
    <row r="103" spans="1:15" hidden="1" outlineLevel="1" x14ac:dyDescent="0.2">
      <c r="B103" s="361" t="s">
        <v>197</v>
      </c>
      <c r="C103" s="220"/>
      <c r="G103" s="220">
        <f t="shared" si="5"/>
        <v>4775661.905927198</v>
      </c>
      <c r="I103" s="373">
        <v>39114</v>
      </c>
      <c r="J103" s="373">
        <v>39140</v>
      </c>
      <c r="K103" s="369">
        <f t="shared" si="15"/>
        <v>27</v>
      </c>
      <c r="L103" s="370">
        <v>8.2500000000000004E-2</v>
      </c>
      <c r="M103" s="224">
        <f t="shared" si="16"/>
        <v>29144.62</v>
      </c>
      <c r="N103" s="220">
        <f t="shared" si="18"/>
        <v>29144.62</v>
      </c>
      <c r="O103" s="220">
        <f t="shared" si="19"/>
        <v>1171490.5499999996</v>
      </c>
    </row>
    <row r="104" spans="1:15" hidden="1" outlineLevel="1" x14ac:dyDescent="0.2">
      <c r="C104" s="220">
        <v>0</v>
      </c>
      <c r="F104" s="220">
        <f>C104</f>
        <v>0</v>
      </c>
      <c r="G104" s="220">
        <f t="shared" si="5"/>
        <v>4775661.905927198</v>
      </c>
      <c r="I104" s="373">
        <v>39141</v>
      </c>
      <c r="J104" s="373">
        <v>39141</v>
      </c>
      <c r="K104" s="369">
        <f t="shared" si="15"/>
        <v>1</v>
      </c>
      <c r="L104" s="370">
        <v>8.2500000000000004E-2</v>
      </c>
      <c r="M104" s="224">
        <f t="shared" si="16"/>
        <v>1079.43</v>
      </c>
      <c r="N104" s="220">
        <f t="shared" si="18"/>
        <v>30224.05</v>
      </c>
      <c r="O104" s="220">
        <f t="shared" si="19"/>
        <v>1172569.9799999995</v>
      </c>
    </row>
    <row r="105" spans="1:15" hidden="1" outlineLevel="1" x14ac:dyDescent="0.2">
      <c r="B105" s="361" t="s">
        <v>198</v>
      </c>
      <c r="C105" s="220"/>
      <c r="G105" s="220">
        <f t="shared" si="5"/>
        <v>4775661.905927198</v>
      </c>
      <c r="I105" s="373">
        <v>39142</v>
      </c>
      <c r="J105" s="373">
        <v>39171</v>
      </c>
      <c r="K105" s="369">
        <f t="shared" si="15"/>
        <v>30</v>
      </c>
      <c r="L105" s="370">
        <v>8.2500000000000004E-2</v>
      </c>
      <c r="M105" s="224">
        <f t="shared" si="16"/>
        <v>32382.91</v>
      </c>
      <c r="N105" s="220">
        <f t="shared" si="18"/>
        <v>32382.91</v>
      </c>
      <c r="O105" s="220">
        <f t="shared" si="19"/>
        <v>1204952.8899999994</v>
      </c>
    </row>
    <row r="106" spans="1:15" hidden="1" outlineLevel="1" x14ac:dyDescent="0.2">
      <c r="C106" s="220">
        <v>0</v>
      </c>
      <c r="F106" s="220">
        <f>C106</f>
        <v>0</v>
      </c>
      <c r="G106" s="220">
        <f t="shared" ref="G106:G169" si="20">+G105+F106</f>
        <v>4775661.905927198</v>
      </c>
      <c r="I106" s="373">
        <v>39172</v>
      </c>
      <c r="J106" s="373">
        <v>39172</v>
      </c>
      <c r="K106" s="369">
        <f t="shared" si="15"/>
        <v>1</v>
      </c>
      <c r="L106" s="370">
        <v>8.2500000000000004E-2</v>
      </c>
      <c r="M106" s="224">
        <f t="shared" si="16"/>
        <v>1079.43</v>
      </c>
      <c r="N106" s="220">
        <f t="shared" si="18"/>
        <v>33462.339999999997</v>
      </c>
      <c r="O106" s="220">
        <f t="shared" si="19"/>
        <v>1206032.3199999994</v>
      </c>
    </row>
    <row r="107" spans="1:15" hidden="1" outlineLevel="1" x14ac:dyDescent="0.2">
      <c r="B107" s="361" t="s">
        <v>199</v>
      </c>
      <c r="C107" s="220"/>
      <c r="G107" s="220">
        <f t="shared" si="20"/>
        <v>4775661.905927198</v>
      </c>
      <c r="I107" s="373">
        <v>39173</v>
      </c>
      <c r="J107" s="373">
        <v>39201</v>
      </c>
      <c r="K107" s="369">
        <f t="shared" si="15"/>
        <v>29</v>
      </c>
      <c r="L107" s="370">
        <v>8.2500000000000004E-2</v>
      </c>
      <c r="M107" s="224">
        <f t="shared" si="16"/>
        <v>31303.48</v>
      </c>
      <c r="N107" s="220">
        <f t="shared" si="18"/>
        <v>31303.48</v>
      </c>
      <c r="O107" s="220">
        <f t="shared" si="19"/>
        <v>1237335.7999999993</v>
      </c>
    </row>
    <row r="108" spans="1:15" hidden="1" outlineLevel="1" x14ac:dyDescent="0.2">
      <c r="C108" s="220">
        <v>0</v>
      </c>
      <c r="F108" s="220">
        <f>C108</f>
        <v>0</v>
      </c>
      <c r="G108" s="220">
        <f t="shared" si="20"/>
        <v>4775661.905927198</v>
      </c>
      <c r="I108" s="373">
        <v>39202</v>
      </c>
      <c r="J108" s="373">
        <v>39202</v>
      </c>
      <c r="K108" s="369">
        <f t="shared" si="15"/>
        <v>1</v>
      </c>
      <c r="L108" s="370">
        <v>8.2500000000000004E-2</v>
      </c>
      <c r="M108" s="224">
        <f t="shared" si="16"/>
        <v>1079.43</v>
      </c>
      <c r="N108" s="220">
        <f t="shared" si="18"/>
        <v>32382.91</v>
      </c>
      <c r="O108" s="220">
        <f t="shared" si="19"/>
        <v>1238415.2299999993</v>
      </c>
    </row>
    <row r="109" spans="1:15" hidden="1" outlineLevel="1" x14ac:dyDescent="0.2">
      <c r="B109" s="361" t="s">
        <v>200</v>
      </c>
      <c r="C109" s="220"/>
      <c r="G109" s="220">
        <f t="shared" si="20"/>
        <v>4775661.905927198</v>
      </c>
      <c r="I109" s="373">
        <v>39203</v>
      </c>
      <c r="J109" s="373">
        <v>39232</v>
      </c>
      <c r="K109" s="369">
        <f t="shared" si="15"/>
        <v>30</v>
      </c>
      <c r="L109" s="370">
        <v>8.2500000000000004E-2</v>
      </c>
      <c r="M109" s="224">
        <f t="shared" si="16"/>
        <v>32382.91</v>
      </c>
      <c r="N109" s="220">
        <f t="shared" si="18"/>
        <v>32382.91</v>
      </c>
      <c r="O109" s="220">
        <f t="shared" si="19"/>
        <v>1270798.1399999992</v>
      </c>
    </row>
    <row r="110" spans="1:15" hidden="1" outlineLevel="1" x14ac:dyDescent="0.2">
      <c r="C110" s="220">
        <v>-481438.99310121685</v>
      </c>
      <c r="F110" s="220">
        <f>C110</f>
        <v>-481438.99310121685</v>
      </c>
      <c r="G110" s="220">
        <f t="shared" si="20"/>
        <v>4294222.9128259812</v>
      </c>
      <c r="I110" s="373">
        <v>39233</v>
      </c>
      <c r="J110" s="373">
        <v>39233</v>
      </c>
      <c r="K110" s="369">
        <f t="shared" si="15"/>
        <v>1</v>
      </c>
      <c r="L110" s="370">
        <v>8.2500000000000004E-2</v>
      </c>
      <c r="M110" s="224">
        <f t="shared" si="16"/>
        <v>970.61</v>
      </c>
      <c r="N110" s="220">
        <f t="shared" si="18"/>
        <v>33353.519999999997</v>
      </c>
      <c r="O110" s="220">
        <f t="shared" si="19"/>
        <v>1271768.7499999993</v>
      </c>
    </row>
    <row r="111" spans="1:15" hidden="1" outlineLevel="1" x14ac:dyDescent="0.2">
      <c r="B111" s="361" t="s">
        <v>201</v>
      </c>
      <c r="C111" s="220"/>
      <c r="G111" s="220">
        <f t="shared" si="20"/>
        <v>4294222.9128259812</v>
      </c>
      <c r="I111" s="373">
        <v>39234</v>
      </c>
      <c r="J111" s="373">
        <v>39262</v>
      </c>
      <c r="K111" s="369">
        <f t="shared" si="15"/>
        <v>29</v>
      </c>
      <c r="L111" s="370">
        <v>8.2500000000000004E-2</v>
      </c>
      <c r="M111" s="224">
        <f t="shared" si="16"/>
        <v>28147.75</v>
      </c>
      <c r="N111" s="220">
        <f t="shared" si="18"/>
        <v>28147.75</v>
      </c>
      <c r="O111" s="220">
        <f t="shared" si="19"/>
        <v>1299916.4999999993</v>
      </c>
    </row>
    <row r="112" spans="1:15" hidden="1" outlineLevel="1" x14ac:dyDescent="0.2">
      <c r="C112" s="220">
        <v>-3562728.1680413913</v>
      </c>
      <c r="F112" s="220">
        <f>C112</f>
        <v>-3562728.1680413913</v>
      </c>
      <c r="G112" s="220">
        <f t="shared" si="20"/>
        <v>731494.74478458986</v>
      </c>
      <c r="I112" s="373">
        <v>39263</v>
      </c>
      <c r="J112" s="373">
        <v>39263</v>
      </c>
      <c r="K112" s="369">
        <f t="shared" si="15"/>
        <v>1</v>
      </c>
      <c r="L112" s="370">
        <v>8.2500000000000004E-2</v>
      </c>
      <c r="M112" s="224">
        <f t="shared" si="16"/>
        <v>165.34</v>
      </c>
      <c r="N112" s="220">
        <f t="shared" si="18"/>
        <v>28313.09</v>
      </c>
      <c r="O112" s="220">
        <f t="shared" si="19"/>
        <v>1300081.8399999994</v>
      </c>
    </row>
    <row r="113" spans="1:15" hidden="1" outlineLevel="1" x14ac:dyDescent="0.2">
      <c r="B113" s="361" t="s">
        <v>190</v>
      </c>
      <c r="C113" s="220"/>
      <c r="G113" s="220">
        <f t="shared" si="20"/>
        <v>731494.74478458986</v>
      </c>
      <c r="I113" s="373">
        <v>39264</v>
      </c>
      <c r="J113" s="373">
        <v>39293</v>
      </c>
      <c r="K113" s="369">
        <f t="shared" si="15"/>
        <v>30</v>
      </c>
      <c r="L113" s="370">
        <v>8.2500000000000004E-2</v>
      </c>
      <c r="M113" s="224">
        <f t="shared" si="16"/>
        <v>4960.1400000000003</v>
      </c>
      <c r="N113" s="220">
        <f t="shared" si="18"/>
        <v>4960.1400000000003</v>
      </c>
      <c r="O113" s="220">
        <f t="shared" si="19"/>
        <v>1305041.9799999993</v>
      </c>
    </row>
    <row r="114" spans="1:15" hidden="1" outlineLevel="1" x14ac:dyDescent="0.2">
      <c r="C114" s="220">
        <v>-8578055.2410668563</v>
      </c>
      <c r="F114" s="220">
        <f>C114</f>
        <v>-8578055.2410668563</v>
      </c>
      <c r="G114" s="220">
        <f t="shared" si="20"/>
        <v>-7846560.4962822665</v>
      </c>
      <c r="I114" s="373">
        <v>39294</v>
      </c>
      <c r="J114" s="373">
        <v>39294</v>
      </c>
      <c r="K114" s="369">
        <f t="shared" si="15"/>
        <v>1</v>
      </c>
      <c r="L114" s="370">
        <v>8.2500000000000004E-2</v>
      </c>
      <c r="M114" s="224">
        <f t="shared" si="16"/>
        <v>-1773.54</v>
      </c>
      <c r="N114" s="220">
        <f t="shared" si="18"/>
        <v>3186.6000000000004</v>
      </c>
      <c r="O114" s="220">
        <f t="shared" si="19"/>
        <v>1303268.4399999992</v>
      </c>
    </row>
    <row r="115" spans="1:15" hidden="1" outlineLevel="1" x14ac:dyDescent="0.2">
      <c r="B115" s="361" t="s">
        <v>191</v>
      </c>
      <c r="C115" s="220"/>
      <c r="G115" s="220">
        <f t="shared" si="20"/>
        <v>-7846560.4962822665</v>
      </c>
      <c r="I115" s="373">
        <v>39295</v>
      </c>
      <c r="J115" s="373">
        <v>39324</v>
      </c>
      <c r="K115" s="369">
        <f t="shared" si="15"/>
        <v>30</v>
      </c>
      <c r="L115" s="370">
        <v>8.2500000000000004E-2</v>
      </c>
      <c r="M115" s="224">
        <f t="shared" si="16"/>
        <v>-53206.13</v>
      </c>
      <c r="N115" s="220">
        <f t="shared" si="18"/>
        <v>-53206.13</v>
      </c>
      <c r="O115" s="220">
        <f t="shared" si="19"/>
        <v>1250062.3099999994</v>
      </c>
    </row>
    <row r="116" spans="1:15" hidden="1" outlineLevel="1" x14ac:dyDescent="0.2">
      <c r="C116" s="220">
        <v>-3112395.4220868051</v>
      </c>
      <c r="F116" s="220">
        <f>C116</f>
        <v>-3112395.4220868051</v>
      </c>
      <c r="G116" s="220">
        <f t="shared" si="20"/>
        <v>-10958955.918369072</v>
      </c>
      <c r="I116" s="373">
        <v>39325</v>
      </c>
      <c r="J116" s="373">
        <v>39325</v>
      </c>
      <c r="K116" s="369">
        <f t="shared" si="15"/>
        <v>1</v>
      </c>
      <c r="L116" s="370">
        <v>8.2500000000000004E-2</v>
      </c>
      <c r="M116" s="224">
        <f t="shared" si="16"/>
        <v>-2477.02</v>
      </c>
      <c r="N116" s="220">
        <f t="shared" si="18"/>
        <v>-55683.149999999994</v>
      </c>
      <c r="O116" s="220">
        <f t="shared" si="19"/>
        <v>1247585.2899999993</v>
      </c>
    </row>
    <row r="117" spans="1:15" hidden="1" outlineLevel="1" x14ac:dyDescent="0.2">
      <c r="B117" s="361" t="s">
        <v>192</v>
      </c>
      <c r="C117" s="220"/>
      <c r="G117" s="220">
        <f t="shared" si="20"/>
        <v>-10958955.918369072</v>
      </c>
      <c r="I117" s="373">
        <v>39326</v>
      </c>
      <c r="J117" s="373">
        <v>39354</v>
      </c>
      <c r="K117" s="369">
        <f t="shared" si="15"/>
        <v>29</v>
      </c>
      <c r="L117" s="370">
        <v>8.2500000000000004E-2</v>
      </c>
      <c r="M117" s="224">
        <f t="shared" si="16"/>
        <v>-71833.7</v>
      </c>
      <c r="N117" s="220">
        <f t="shared" si="18"/>
        <v>-71833.7</v>
      </c>
      <c r="O117" s="220">
        <f t="shared" si="19"/>
        <v>1175751.5899999994</v>
      </c>
    </row>
    <row r="118" spans="1:15" hidden="1" outlineLevel="1" x14ac:dyDescent="0.2">
      <c r="C118" s="220">
        <v>1703889.809350837</v>
      </c>
      <c r="F118" s="220">
        <f>C118</f>
        <v>1703889.809350837</v>
      </c>
      <c r="G118" s="220">
        <f t="shared" si="20"/>
        <v>-9255066.1090182345</v>
      </c>
      <c r="I118" s="373">
        <v>39355</v>
      </c>
      <c r="J118" s="373">
        <v>39355</v>
      </c>
      <c r="K118" s="369">
        <f t="shared" si="15"/>
        <v>1</v>
      </c>
      <c r="L118" s="370">
        <v>8.2500000000000004E-2</v>
      </c>
      <c r="M118" s="224">
        <f t="shared" si="16"/>
        <v>-2091.9</v>
      </c>
      <c r="N118" s="220">
        <f t="shared" si="18"/>
        <v>-73925.599999999991</v>
      </c>
      <c r="O118" s="220">
        <f t="shared" si="19"/>
        <v>1173659.6899999995</v>
      </c>
    </row>
    <row r="119" spans="1:15" hidden="1" outlineLevel="1" x14ac:dyDescent="0.2">
      <c r="B119" s="361" t="s">
        <v>193</v>
      </c>
      <c r="C119" s="220"/>
      <c r="G119" s="220">
        <f t="shared" si="20"/>
        <v>-9255066.1090182345</v>
      </c>
      <c r="I119" s="373">
        <v>39356</v>
      </c>
      <c r="J119" s="373">
        <v>39385</v>
      </c>
      <c r="K119" s="369">
        <f t="shared" si="15"/>
        <v>30</v>
      </c>
      <c r="L119" s="370">
        <v>8.2500000000000004E-2</v>
      </c>
      <c r="M119" s="224">
        <f t="shared" si="16"/>
        <v>-62756.959999999999</v>
      </c>
      <c r="N119" s="220">
        <f t="shared" si="18"/>
        <v>-62756.959999999999</v>
      </c>
      <c r="O119" s="220">
        <f t="shared" si="19"/>
        <v>1110902.7299999995</v>
      </c>
    </row>
    <row r="120" spans="1:15" hidden="1" outlineLevel="1" x14ac:dyDescent="0.2">
      <c r="C120" s="220">
        <v>3938892.4819418266</v>
      </c>
      <c r="F120" s="220">
        <f>C120</f>
        <v>3938892.4819418266</v>
      </c>
      <c r="G120" s="220">
        <f t="shared" si="20"/>
        <v>-5316173.6270764079</v>
      </c>
      <c r="I120" s="373">
        <v>39386</v>
      </c>
      <c r="J120" s="373">
        <v>39386</v>
      </c>
      <c r="K120" s="369">
        <f t="shared" si="15"/>
        <v>1</v>
      </c>
      <c r="L120" s="370">
        <v>8.2500000000000004E-2</v>
      </c>
      <c r="M120" s="224">
        <f t="shared" si="16"/>
        <v>-1201.5999999999999</v>
      </c>
      <c r="N120" s="220">
        <f t="shared" si="18"/>
        <v>-63958.559999999998</v>
      </c>
      <c r="O120" s="220">
        <f t="shared" si="19"/>
        <v>1109701.1299999994</v>
      </c>
    </row>
    <row r="121" spans="1:15" hidden="1" outlineLevel="1" x14ac:dyDescent="0.2">
      <c r="B121" s="361" t="s">
        <v>194</v>
      </c>
      <c r="C121" s="220"/>
      <c r="G121" s="220">
        <f t="shared" si="20"/>
        <v>-5316173.6270764079</v>
      </c>
      <c r="I121" s="373">
        <v>39387</v>
      </c>
      <c r="J121" s="373">
        <v>39415</v>
      </c>
      <c r="K121" s="369">
        <f t="shared" si="15"/>
        <v>29</v>
      </c>
      <c r="L121" s="370">
        <v>8.2500000000000004E-2</v>
      </c>
      <c r="M121" s="224">
        <f t="shared" si="16"/>
        <v>-34846.43</v>
      </c>
      <c r="N121" s="220">
        <f t="shared" si="18"/>
        <v>-34846.43</v>
      </c>
      <c r="O121" s="220">
        <f t="shared" si="19"/>
        <v>1074854.6999999995</v>
      </c>
    </row>
    <row r="122" spans="1:15" hidden="1" outlineLevel="1" x14ac:dyDescent="0.2">
      <c r="C122" s="220">
        <v>1967072.8264042512</v>
      </c>
      <c r="F122" s="220">
        <f>C122</f>
        <v>1967072.8264042512</v>
      </c>
      <c r="G122" s="220">
        <f t="shared" si="20"/>
        <v>-3349100.8006721567</v>
      </c>
      <c r="I122" s="373">
        <v>39416</v>
      </c>
      <c r="J122" s="373">
        <v>39416</v>
      </c>
      <c r="K122" s="369">
        <f t="shared" si="15"/>
        <v>1</v>
      </c>
      <c r="L122" s="370">
        <v>8.2500000000000004E-2</v>
      </c>
      <c r="M122" s="224">
        <f t="shared" si="16"/>
        <v>-756.99</v>
      </c>
      <c r="N122" s="220">
        <f t="shared" si="18"/>
        <v>-35603.42</v>
      </c>
      <c r="O122" s="220">
        <f t="shared" si="19"/>
        <v>1074097.7099999995</v>
      </c>
    </row>
    <row r="123" spans="1:15" hidden="1" outlineLevel="1" x14ac:dyDescent="0.2">
      <c r="B123" s="361" t="s">
        <v>195</v>
      </c>
      <c r="C123" s="220"/>
      <c r="G123" s="220">
        <f t="shared" si="20"/>
        <v>-3349100.8006721567</v>
      </c>
      <c r="I123" s="373">
        <v>39417</v>
      </c>
      <c r="J123" s="373">
        <v>39446</v>
      </c>
      <c r="K123" s="369">
        <f t="shared" si="15"/>
        <v>30</v>
      </c>
      <c r="L123" s="370">
        <v>8.2500000000000004E-2</v>
      </c>
      <c r="M123" s="224">
        <f t="shared" si="16"/>
        <v>-22709.66</v>
      </c>
      <c r="N123" s="220">
        <f t="shared" si="18"/>
        <v>-22709.66</v>
      </c>
      <c r="O123" s="220">
        <f t="shared" si="19"/>
        <v>1051388.0499999996</v>
      </c>
    </row>
    <row r="124" spans="1:15" hidden="1" outlineLevel="1" x14ac:dyDescent="0.2">
      <c r="C124" s="220">
        <v>3018426.460826423</v>
      </c>
      <c r="F124" s="220">
        <f>C124</f>
        <v>3018426.460826423</v>
      </c>
      <c r="G124" s="220">
        <f t="shared" si="20"/>
        <v>-330674.33984573372</v>
      </c>
      <c r="I124" s="373">
        <v>39447</v>
      </c>
      <c r="J124" s="373">
        <v>39447</v>
      </c>
      <c r="K124" s="369">
        <f t="shared" si="15"/>
        <v>1</v>
      </c>
      <c r="L124" s="370">
        <v>8.2500000000000004E-2</v>
      </c>
      <c r="M124" s="224">
        <f t="shared" si="16"/>
        <v>-74.739999999999995</v>
      </c>
      <c r="N124" s="220">
        <f t="shared" si="18"/>
        <v>-22784.400000000001</v>
      </c>
      <c r="O124" s="220">
        <f t="shared" si="19"/>
        <v>1051313.3099999996</v>
      </c>
    </row>
    <row r="125" spans="1:15" hidden="1" outlineLevel="1" x14ac:dyDescent="0.2">
      <c r="A125" s="361" t="s">
        <v>283</v>
      </c>
      <c r="B125" s="361" t="s">
        <v>196</v>
      </c>
      <c r="G125" s="220">
        <f t="shared" si="20"/>
        <v>-330674.33984573372</v>
      </c>
      <c r="I125" s="373">
        <v>39448</v>
      </c>
      <c r="J125" s="373">
        <v>39477</v>
      </c>
      <c r="K125" s="369">
        <f t="shared" si="15"/>
        <v>30</v>
      </c>
      <c r="L125" s="370">
        <v>7.7600000000000002E-2</v>
      </c>
      <c r="M125" s="224">
        <f t="shared" si="16"/>
        <v>-2109.0700000000002</v>
      </c>
      <c r="N125" s="220">
        <f t="shared" si="18"/>
        <v>-2109.0700000000002</v>
      </c>
      <c r="O125" s="220">
        <f t="shared" si="19"/>
        <v>1049204.2399999995</v>
      </c>
    </row>
    <row r="126" spans="1:15" hidden="1" outlineLevel="1" x14ac:dyDescent="0.2">
      <c r="A126" s="374" t="s">
        <v>284</v>
      </c>
      <c r="C126" s="220">
        <v>0</v>
      </c>
      <c r="F126" s="220">
        <f>C126</f>
        <v>0</v>
      </c>
      <c r="G126" s="220">
        <f t="shared" si="20"/>
        <v>-330674.33984573372</v>
      </c>
      <c r="I126" s="373">
        <v>39478</v>
      </c>
      <c r="J126" s="373">
        <v>39478</v>
      </c>
      <c r="K126" s="369">
        <f t="shared" si="15"/>
        <v>1</v>
      </c>
      <c r="L126" s="370">
        <v>7.7600000000000002E-2</v>
      </c>
      <c r="M126" s="224">
        <f t="shared" si="16"/>
        <v>-70.3</v>
      </c>
      <c r="N126" s="220">
        <f t="shared" si="18"/>
        <v>-2179.3700000000003</v>
      </c>
      <c r="O126" s="220">
        <f t="shared" si="19"/>
        <v>1049133.9399999995</v>
      </c>
    </row>
    <row r="127" spans="1:15" hidden="1" outlineLevel="1" x14ac:dyDescent="0.2">
      <c r="B127" s="361" t="s">
        <v>197</v>
      </c>
      <c r="C127" s="220"/>
      <c r="G127" s="220">
        <f t="shared" si="20"/>
        <v>-330674.33984573372</v>
      </c>
      <c r="I127" s="373">
        <v>39479</v>
      </c>
      <c r="J127" s="373">
        <v>39506</v>
      </c>
      <c r="K127" s="369">
        <f t="shared" si="15"/>
        <v>28</v>
      </c>
      <c r="L127" s="370">
        <v>7.7600000000000002E-2</v>
      </c>
      <c r="M127" s="224">
        <f t="shared" si="16"/>
        <v>-1968.46</v>
      </c>
      <c r="N127" s="220">
        <f t="shared" si="18"/>
        <v>-1968.46</v>
      </c>
      <c r="O127" s="220">
        <f t="shared" si="19"/>
        <v>1047165.4799999995</v>
      </c>
    </row>
    <row r="128" spans="1:15" hidden="1" outlineLevel="1" x14ac:dyDescent="0.2">
      <c r="C128" s="220">
        <v>0</v>
      </c>
      <c r="F128" s="220">
        <f>C128</f>
        <v>0</v>
      </c>
      <c r="G128" s="220">
        <f t="shared" si="20"/>
        <v>-330674.33984573372</v>
      </c>
      <c r="I128" s="373">
        <v>39507</v>
      </c>
      <c r="J128" s="373">
        <v>39507</v>
      </c>
      <c r="K128" s="369">
        <f t="shared" si="15"/>
        <v>1</v>
      </c>
      <c r="L128" s="370">
        <v>7.7600000000000002E-2</v>
      </c>
      <c r="M128" s="224">
        <f t="shared" si="16"/>
        <v>-70.3</v>
      </c>
      <c r="N128" s="220">
        <f t="shared" si="18"/>
        <v>-2038.76</v>
      </c>
      <c r="O128" s="220">
        <f t="shared" si="19"/>
        <v>1047095.1799999995</v>
      </c>
    </row>
    <row r="129" spans="2:15" hidden="1" outlineLevel="1" x14ac:dyDescent="0.2">
      <c r="B129" s="361" t="s">
        <v>198</v>
      </c>
      <c r="C129" s="220"/>
      <c r="G129" s="220">
        <f t="shared" si="20"/>
        <v>-330674.33984573372</v>
      </c>
      <c r="I129" s="373">
        <v>39508</v>
      </c>
      <c r="J129" s="373">
        <v>39537</v>
      </c>
      <c r="K129" s="369">
        <f t="shared" si="15"/>
        <v>30</v>
      </c>
      <c r="L129" s="370">
        <v>7.7600000000000002E-2</v>
      </c>
      <c r="M129" s="224">
        <f t="shared" si="16"/>
        <v>-2109.0700000000002</v>
      </c>
      <c r="N129" s="220">
        <f t="shared" si="18"/>
        <v>-2109.0700000000002</v>
      </c>
      <c r="O129" s="220">
        <f t="shared" si="19"/>
        <v>1044986.1099999995</v>
      </c>
    </row>
    <row r="130" spans="2:15" hidden="1" outlineLevel="1" x14ac:dyDescent="0.2">
      <c r="C130" s="220">
        <v>0</v>
      </c>
      <c r="F130" s="220">
        <f>C130</f>
        <v>0</v>
      </c>
      <c r="G130" s="220">
        <f t="shared" si="20"/>
        <v>-330674.33984573372</v>
      </c>
      <c r="I130" s="373">
        <v>39538</v>
      </c>
      <c r="J130" s="373">
        <v>39538</v>
      </c>
      <c r="K130" s="369">
        <f t="shared" si="15"/>
        <v>1</v>
      </c>
      <c r="L130" s="370">
        <v>7.7600000000000002E-2</v>
      </c>
      <c r="M130" s="224">
        <f t="shared" si="16"/>
        <v>-70.3</v>
      </c>
      <c r="N130" s="220">
        <f t="shared" si="18"/>
        <v>-2179.3700000000003</v>
      </c>
      <c r="O130" s="220">
        <f t="shared" si="19"/>
        <v>1044915.8099999995</v>
      </c>
    </row>
    <row r="131" spans="2:15" hidden="1" outlineLevel="1" x14ac:dyDescent="0.2">
      <c r="B131" s="361" t="s">
        <v>199</v>
      </c>
      <c r="C131" s="220"/>
      <c r="G131" s="220">
        <f t="shared" si="20"/>
        <v>-330674.33984573372</v>
      </c>
      <c r="I131" s="373">
        <v>39539</v>
      </c>
      <c r="J131" s="373">
        <v>39567</v>
      </c>
      <c r="K131" s="369">
        <f t="shared" si="15"/>
        <v>29</v>
      </c>
      <c r="L131" s="370">
        <v>6.7699999999999996E-2</v>
      </c>
      <c r="M131" s="224">
        <f t="shared" si="16"/>
        <v>-1778.67</v>
      </c>
      <c r="N131" s="220">
        <f t="shared" si="18"/>
        <v>-1778.67</v>
      </c>
      <c r="O131" s="220">
        <f t="shared" si="19"/>
        <v>1043137.1399999994</v>
      </c>
    </row>
    <row r="132" spans="2:15" hidden="1" outlineLevel="1" x14ac:dyDescent="0.2">
      <c r="C132" s="220">
        <v>0</v>
      </c>
      <c r="F132" s="220">
        <f>C132</f>
        <v>0</v>
      </c>
      <c r="G132" s="220">
        <f t="shared" si="20"/>
        <v>-330674.33984573372</v>
      </c>
      <c r="I132" s="373">
        <v>39568</v>
      </c>
      <c r="J132" s="373">
        <v>39568</v>
      </c>
      <c r="K132" s="369">
        <f t="shared" si="15"/>
        <v>1</v>
      </c>
      <c r="L132" s="370">
        <v>6.7699999999999996E-2</v>
      </c>
      <c r="M132" s="224">
        <f t="shared" si="16"/>
        <v>-61.33</v>
      </c>
      <c r="N132" s="220">
        <f t="shared" si="18"/>
        <v>-1840</v>
      </c>
      <c r="O132" s="220">
        <f t="shared" si="19"/>
        <v>1043075.8099999995</v>
      </c>
    </row>
    <row r="133" spans="2:15" hidden="1" outlineLevel="1" x14ac:dyDescent="0.2">
      <c r="B133" s="361" t="s">
        <v>200</v>
      </c>
      <c r="C133" s="220"/>
      <c r="G133" s="220">
        <f t="shared" si="20"/>
        <v>-330674.33984573372</v>
      </c>
      <c r="I133" s="373">
        <v>39569</v>
      </c>
      <c r="J133" s="373">
        <v>39598</v>
      </c>
      <c r="K133" s="369">
        <f t="shared" si="15"/>
        <v>30</v>
      </c>
      <c r="L133" s="370">
        <v>6.7699999999999996E-2</v>
      </c>
      <c r="M133" s="224">
        <f t="shared" si="16"/>
        <v>-1840</v>
      </c>
      <c r="N133" s="220">
        <f t="shared" si="18"/>
        <v>-1840</v>
      </c>
      <c r="O133" s="220">
        <f t="shared" si="19"/>
        <v>1041235.8099999995</v>
      </c>
    </row>
    <row r="134" spans="2:15" hidden="1" outlineLevel="1" x14ac:dyDescent="0.2">
      <c r="C134" s="220">
        <v>-1097249.0278440118</v>
      </c>
      <c r="F134" s="220">
        <f>C134</f>
        <v>-1097249.0278440118</v>
      </c>
      <c r="G134" s="220">
        <f t="shared" si="20"/>
        <v>-1427923.3676897455</v>
      </c>
      <c r="I134" s="373">
        <v>39599</v>
      </c>
      <c r="J134" s="373">
        <v>39599</v>
      </c>
      <c r="K134" s="369">
        <f t="shared" si="15"/>
        <v>1</v>
      </c>
      <c r="L134" s="370">
        <v>6.7699999999999996E-2</v>
      </c>
      <c r="M134" s="224">
        <f t="shared" si="16"/>
        <v>-264.85000000000002</v>
      </c>
      <c r="N134" s="220">
        <f t="shared" si="18"/>
        <v>-2104.85</v>
      </c>
      <c r="O134" s="220">
        <f t="shared" si="19"/>
        <v>1040970.9599999995</v>
      </c>
    </row>
    <row r="135" spans="2:15" hidden="1" outlineLevel="1" x14ac:dyDescent="0.2">
      <c r="B135" s="361" t="s">
        <v>201</v>
      </c>
      <c r="C135" s="220"/>
      <c r="G135" s="220">
        <f t="shared" si="20"/>
        <v>-1427923.3676897455</v>
      </c>
      <c r="I135" s="373">
        <v>39600</v>
      </c>
      <c r="J135" s="373">
        <v>39628</v>
      </c>
      <c r="K135" s="369">
        <f t="shared" si="15"/>
        <v>29</v>
      </c>
      <c r="L135" s="370">
        <v>6.7699999999999996E-2</v>
      </c>
      <c r="M135" s="224">
        <f t="shared" si="16"/>
        <v>-7680.66</v>
      </c>
      <c r="N135" s="220">
        <f t="shared" si="18"/>
        <v>-7680.66</v>
      </c>
      <c r="O135" s="220">
        <f t="shared" si="19"/>
        <v>1033290.2999999995</v>
      </c>
    </row>
    <row r="136" spans="2:15" hidden="1" outlineLevel="1" x14ac:dyDescent="0.2">
      <c r="C136" s="220">
        <v>-4177912.5488511175</v>
      </c>
      <c r="F136" s="220">
        <f>C136</f>
        <v>-4177912.5488511175</v>
      </c>
      <c r="G136" s="220">
        <f t="shared" si="20"/>
        <v>-5605835.916540863</v>
      </c>
      <c r="I136" s="373">
        <v>39629</v>
      </c>
      <c r="J136" s="373">
        <v>39629</v>
      </c>
      <c r="K136" s="369">
        <f t="shared" si="15"/>
        <v>1</v>
      </c>
      <c r="L136" s="370">
        <v>6.7699999999999996E-2</v>
      </c>
      <c r="M136" s="224">
        <f t="shared" si="16"/>
        <v>-1039.77</v>
      </c>
      <c r="N136" s="220">
        <f t="shared" si="18"/>
        <v>-8720.43</v>
      </c>
      <c r="O136" s="220">
        <f t="shared" si="19"/>
        <v>1032250.5299999994</v>
      </c>
    </row>
    <row r="137" spans="2:15" hidden="1" outlineLevel="1" x14ac:dyDescent="0.2">
      <c r="B137" s="361" t="s">
        <v>190</v>
      </c>
      <c r="C137" s="220"/>
      <c r="G137" s="220">
        <f t="shared" si="20"/>
        <v>-5605835.916540863</v>
      </c>
      <c r="I137" s="373">
        <v>39630</v>
      </c>
      <c r="J137" s="373">
        <v>39659</v>
      </c>
      <c r="K137" s="369">
        <f t="shared" si="15"/>
        <v>30</v>
      </c>
      <c r="L137" s="370">
        <v>5.2999999999999999E-2</v>
      </c>
      <c r="M137" s="224">
        <f t="shared" si="16"/>
        <v>-24419.94</v>
      </c>
      <c r="N137" s="220">
        <f t="shared" si="18"/>
        <v>-24419.94</v>
      </c>
      <c r="O137" s="220">
        <f t="shared" si="19"/>
        <v>1007830.5899999995</v>
      </c>
    </row>
    <row r="138" spans="2:15" hidden="1" outlineLevel="1" x14ac:dyDescent="0.2">
      <c r="C138" s="220">
        <v>-4614015.4698272869</v>
      </c>
      <c r="F138" s="220">
        <f>C138</f>
        <v>-4614015.4698272869</v>
      </c>
      <c r="G138" s="220">
        <f t="shared" si="20"/>
        <v>-10219851.38636815</v>
      </c>
      <c r="I138" s="373">
        <v>39660</v>
      </c>
      <c r="J138" s="373">
        <v>39660</v>
      </c>
      <c r="K138" s="369">
        <f t="shared" si="15"/>
        <v>1</v>
      </c>
      <c r="L138" s="370">
        <v>5.2999999999999999E-2</v>
      </c>
      <c r="M138" s="224">
        <f t="shared" si="16"/>
        <v>-1483.98</v>
      </c>
      <c r="N138" s="220">
        <f t="shared" si="18"/>
        <v>-25903.919999999998</v>
      </c>
      <c r="O138" s="220">
        <f t="shared" si="19"/>
        <v>1006346.6099999995</v>
      </c>
    </row>
    <row r="139" spans="2:15" hidden="1" outlineLevel="1" x14ac:dyDescent="0.2">
      <c r="B139" s="361" t="s">
        <v>191</v>
      </c>
      <c r="C139" s="220"/>
      <c r="G139" s="220">
        <f t="shared" si="20"/>
        <v>-10219851.38636815</v>
      </c>
      <c r="I139" s="373">
        <v>39661</v>
      </c>
      <c r="J139" s="373">
        <v>39690</v>
      </c>
      <c r="K139" s="369">
        <f t="shared" si="15"/>
        <v>30</v>
      </c>
      <c r="L139" s="370">
        <v>5.2999999999999999E-2</v>
      </c>
      <c r="M139" s="224">
        <f t="shared" si="16"/>
        <v>-44519.35</v>
      </c>
      <c r="N139" s="220">
        <f t="shared" si="18"/>
        <v>-44519.35</v>
      </c>
      <c r="O139" s="220">
        <f t="shared" si="19"/>
        <v>961827.25999999954</v>
      </c>
    </row>
    <row r="140" spans="2:15" hidden="1" outlineLevel="1" x14ac:dyDescent="0.2">
      <c r="C140" s="220">
        <v>1426396.5385594778</v>
      </c>
      <c r="F140" s="220">
        <f>C140</f>
        <v>1426396.5385594778</v>
      </c>
      <c r="G140" s="220">
        <f t="shared" si="20"/>
        <v>-8793454.8478086721</v>
      </c>
      <c r="I140" s="373">
        <v>39691</v>
      </c>
      <c r="J140" s="373">
        <v>39691</v>
      </c>
      <c r="K140" s="369">
        <f t="shared" si="15"/>
        <v>1</v>
      </c>
      <c r="L140" s="370">
        <v>5.2999999999999999E-2</v>
      </c>
      <c r="M140" s="224">
        <f t="shared" si="16"/>
        <v>-1276.8599999999999</v>
      </c>
      <c r="N140" s="220">
        <f t="shared" si="18"/>
        <v>-45796.21</v>
      </c>
      <c r="O140" s="220">
        <f t="shared" si="19"/>
        <v>960550.39999999956</v>
      </c>
    </row>
    <row r="141" spans="2:15" hidden="1" outlineLevel="1" x14ac:dyDescent="0.2">
      <c r="B141" s="361" t="s">
        <v>192</v>
      </c>
      <c r="C141" s="220"/>
      <c r="G141" s="220">
        <f t="shared" si="20"/>
        <v>-8793454.8478086721</v>
      </c>
      <c r="I141" s="373">
        <v>39692</v>
      </c>
      <c r="J141" s="373">
        <v>39720</v>
      </c>
      <c r="K141" s="369">
        <f t="shared" si="15"/>
        <v>29</v>
      </c>
      <c r="L141" s="370">
        <v>5.2999999999999999E-2</v>
      </c>
      <c r="M141" s="224">
        <f t="shared" si="16"/>
        <v>-37028.879999999997</v>
      </c>
      <c r="N141" s="220">
        <f t="shared" si="18"/>
        <v>-37028.879999999997</v>
      </c>
      <c r="O141" s="220">
        <f t="shared" si="19"/>
        <v>923521.51999999955</v>
      </c>
    </row>
    <row r="142" spans="2:15" hidden="1" outlineLevel="1" x14ac:dyDescent="0.2">
      <c r="C142" s="220">
        <v>6378284.9512960985</v>
      </c>
      <c r="F142" s="220">
        <f>C142</f>
        <v>6378284.9512960985</v>
      </c>
      <c r="G142" s="220">
        <f t="shared" si="20"/>
        <v>-2415169.8965125736</v>
      </c>
      <c r="I142" s="373">
        <v>39721</v>
      </c>
      <c r="J142" s="373">
        <v>39721</v>
      </c>
      <c r="K142" s="369">
        <f t="shared" si="15"/>
        <v>1</v>
      </c>
      <c r="L142" s="370">
        <v>5.2999999999999999E-2</v>
      </c>
      <c r="M142" s="224">
        <f t="shared" si="16"/>
        <v>-350.7</v>
      </c>
      <c r="N142" s="220">
        <f t="shared" si="18"/>
        <v>-37379.579999999994</v>
      </c>
      <c r="O142" s="220">
        <f t="shared" si="19"/>
        <v>923170.8199999996</v>
      </c>
    </row>
    <row r="143" spans="2:15" hidden="1" outlineLevel="1" x14ac:dyDescent="0.2">
      <c r="B143" s="361" t="s">
        <v>193</v>
      </c>
      <c r="C143" s="220"/>
      <c r="G143" s="220">
        <f t="shared" si="20"/>
        <v>-2415169.8965125736</v>
      </c>
      <c r="I143" s="373">
        <v>39722</v>
      </c>
      <c r="J143" s="373">
        <v>39751</v>
      </c>
      <c r="K143" s="369">
        <f t="shared" si="15"/>
        <v>30</v>
      </c>
      <c r="L143" s="370">
        <v>0.05</v>
      </c>
      <c r="M143" s="224">
        <f t="shared" si="16"/>
        <v>-9925.36</v>
      </c>
      <c r="N143" s="220">
        <f t="shared" si="18"/>
        <v>-9925.36</v>
      </c>
      <c r="O143" s="220">
        <f t="shared" si="19"/>
        <v>913245.45999999961</v>
      </c>
    </row>
    <row r="144" spans="2:15" hidden="1" outlineLevel="1" x14ac:dyDescent="0.2">
      <c r="C144" s="220">
        <v>2084495.5566668399</v>
      </c>
      <c r="F144" s="220">
        <f>C144</f>
        <v>2084495.5566668399</v>
      </c>
      <c r="G144" s="220">
        <f t="shared" si="20"/>
        <v>-330674.33984573372</v>
      </c>
      <c r="I144" s="373">
        <v>39752</v>
      </c>
      <c r="J144" s="373">
        <v>39752</v>
      </c>
      <c r="K144" s="369">
        <f t="shared" si="15"/>
        <v>1</v>
      </c>
      <c r="L144" s="370">
        <v>0.05</v>
      </c>
      <c r="M144" s="224">
        <f t="shared" si="16"/>
        <v>-45.3</v>
      </c>
      <c r="N144" s="220">
        <f t="shared" si="18"/>
        <v>-9970.66</v>
      </c>
      <c r="O144" s="220">
        <f t="shared" si="19"/>
        <v>913200.15999999957</v>
      </c>
    </row>
    <row r="145" spans="1:15" hidden="1" outlineLevel="1" x14ac:dyDescent="0.2">
      <c r="B145" s="361" t="s">
        <v>194</v>
      </c>
      <c r="C145" s="220"/>
      <c r="G145" s="220">
        <f t="shared" si="20"/>
        <v>-330674.33984573372</v>
      </c>
      <c r="I145" s="373">
        <v>39753</v>
      </c>
      <c r="J145" s="373">
        <v>39781</v>
      </c>
      <c r="K145" s="369">
        <f t="shared" si="15"/>
        <v>29</v>
      </c>
      <c r="L145" s="370">
        <v>0.05</v>
      </c>
      <c r="M145" s="224">
        <f t="shared" si="16"/>
        <v>-1313.64</v>
      </c>
      <c r="N145" s="220">
        <f t="shared" si="18"/>
        <v>-1313.64</v>
      </c>
      <c r="O145" s="220">
        <f t="shared" si="19"/>
        <v>911886.51999999955</v>
      </c>
    </row>
    <row r="146" spans="1:15" hidden="1" outlineLevel="1" x14ac:dyDescent="0.2">
      <c r="C146" s="220">
        <v>0</v>
      </c>
      <c r="F146" s="220">
        <f>C146</f>
        <v>0</v>
      </c>
      <c r="G146" s="220">
        <f t="shared" si="20"/>
        <v>-330674.33984573372</v>
      </c>
      <c r="I146" s="373">
        <v>39782</v>
      </c>
      <c r="J146" s="373">
        <v>39782</v>
      </c>
      <c r="K146" s="369">
        <f t="shared" si="15"/>
        <v>1</v>
      </c>
      <c r="L146" s="370">
        <v>0.05</v>
      </c>
      <c r="M146" s="224">
        <f t="shared" si="16"/>
        <v>-45.3</v>
      </c>
      <c r="N146" s="220">
        <f t="shared" si="18"/>
        <v>-1358.94</v>
      </c>
      <c r="O146" s="220">
        <f t="shared" si="19"/>
        <v>911841.21999999951</v>
      </c>
    </row>
    <row r="147" spans="1:15" hidden="1" outlineLevel="1" x14ac:dyDescent="0.2">
      <c r="B147" s="361" t="s">
        <v>195</v>
      </c>
      <c r="C147" s="220"/>
      <c r="G147" s="220">
        <f t="shared" si="20"/>
        <v>-330674.33984573372</v>
      </c>
      <c r="I147" s="373">
        <v>39783</v>
      </c>
      <c r="J147" s="373">
        <v>39812</v>
      </c>
      <c r="K147" s="369">
        <f t="shared" si="15"/>
        <v>30</v>
      </c>
      <c r="L147" s="370">
        <v>0.05</v>
      </c>
      <c r="M147" s="224">
        <f t="shared" si="16"/>
        <v>-1358.94</v>
      </c>
      <c r="N147" s="220">
        <f t="shared" si="18"/>
        <v>-1358.94</v>
      </c>
      <c r="O147" s="220">
        <f t="shared" si="19"/>
        <v>910482.27999999956</v>
      </c>
    </row>
    <row r="148" spans="1:15" hidden="1" outlineLevel="1" x14ac:dyDescent="0.2">
      <c r="C148" s="220">
        <v>0</v>
      </c>
      <c r="F148" s="220">
        <f>C148</f>
        <v>0</v>
      </c>
      <c r="G148" s="220">
        <f t="shared" si="20"/>
        <v>-330674.33984573372</v>
      </c>
      <c r="I148" s="373">
        <v>39813</v>
      </c>
      <c r="J148" s="373">
        <v>39813</v>
      </c>
      <c r="K148" s="369">
        <f t="shared" ref="K148:K211" si="21">+IF(+J148="","",+J148-(I148-1))</f>
        <v>1</v>
      </c>
      <c r="L148" s="370">
        <v>0.05</v>
      </c>
      <c r="M148" s="224">
        <f t="shared" si="16"/>
        <v>-45.3</v>
      </c>
      <c r="N148" s="220">
        <f t="shared" si="18"/>
        <v>-1404.24</v>
      </c>
      <c r="O148" s="220">
        <f t="shared" si="19"/>
        <v>910436.97999999952</v>
      </c>
    </row>
    <row r="149" spans="1:15" hidden="1" outlineLevel="1" x14ac:dyDescent="0.2">
      <c r="A149" s="361" t="s">
        <v>285</v>
      </c>
      <c r="B149" s="361" t="s">
        <v>196</v>
      </c>
      <c r="G149" s="220">
        <f t="shared" si="20"/>
        <v>-330674.33984573372</v>
      </c>
      <c r="I149" s="373">
        <v>39814</v>
      </c>
      <c r="J149" s="373">
        <v>39843</v>
      </c>
      <c r="K149" s="369">
        <f t="shared" si="21"/>
        <v>30</v>
      </c>
      <c r="L149" s="370">
        <v>4.5199999999999997E-2</v>
      </c>
      <c r="M149" s="224">
        <f t="shared" si="16"/>
        <v>-1228.48</v>
      </c>
      <c r="N149" s="220">
        <f t="shared" si="18"/>
        <v>-1228.48</v>
      </c>
      <c r="O149" s="220">
        <f t="shared" si="19"/>
        <v>909208.49999999953</v>
      </c>
    </row>
    <row r="150" spans="1:15" hidden="1" outlineLevel="1" x14ac:dyDescent="0.2">
      <c r="A150" s="374" t="s">
        <v>286</v>
      </c>
      <c r="C150" s="220">
        <v>0</v>
      </c>
      <c r="F150" s="220">
        <f>C150</f>
        <v>0</v>
      </c>
      <c r="G150" s="220">
        <f t="shared" si="20"/>
        <v>-330674.33984573372</v>
      </c>
      <c r="I150" s="373">
        <v>39844</v>
      </c>
      <c r="J150" s="373">
        <v>39844</v>
      </c>
      <c r="K150" s="369">
        <f t="shared" si="21"/>
        <v>1</v>
      </c>
      <c r="L150" s="370">
        <v>4.5199999999999997E-2</v>
      </c>
      <c r="M150" s="224">
        <f t="shared" si="16"/>
        <v>-40.950000000000003</v>
      </c>
      <c r="N150" s="220">
        <f t="shared" si="18"/>
        <v>-1269.43</v>
      </c>
      <c r="O150" s="220">
        <f t="shared" si="19"/>
        <v>909167.54999999958</v>
      </c>
    </row>
    <row r="151" spans="1:15" hidden="1" outlineLevel="1" x14ac:dyDescent="0.2">
      <c r="B151" s="361" t="s">
        <v>197</v>
      </c>
      <c r="C151" s="220"/>
      <c r="G151" s="220">
        <f t="shared" si="20"/>
        <v>-330674.33984573372</v>
      </c>
      <c r="I151" s="373">
        <v>39845</v>
      </c>
      <c r="J151" s="373">
        <v>39871</v>
      </c>
      <c r="K151" s="369">
        <f t="shared" si="21"/>
        <v>27</v>
      </c>
      <c r="L151" s="370">
        <v>4.5199999999999997E-2</v>
      </c>
      <c r="M151" s="224">
        <f t="shared" si="16"/>
        <v>-1105.6300000000001</v>
      </c>
      <c r="N151" s="220">
        <f t="shared" si="18"/>
        <v>-1105.6300000000001</v>
      </c>
      <c r="O151" s="220">
        <f t="shared" si="19"/>
        <v>908061.91999999958</v>
      </c>
    </row>
    <row r="152" spans="1:15" hidden="1" outlineLevel="1" x14ac:dyDescent="0.2">
      <c r="C152" s="220">
        <v>0</v>
      </c>
      <c r="F152" s="220">
        <f>C152</f>
        <v>0</v>
      </c>
      <c r="G152" s="220">
        <f t="shared" si="20"/>
        <v>-330674.33984573372</v>
      </c>
      <c r="I152" s="373">
        <v>39872</v>
      </c>
      <c r="J152" s="373">
        <v>39872</v>
      </c>
      <c r="K152" s="369">
        <f t="shared" si="21"/>
        <v>1</v>
      </c>
      <c r="L152" s="370">
        <v>4.5199999999999997E-2</v>
      </c>
      <c r="M152" s="224">
        <f t="shared" ref="M152:M215" si="22">+IF(+K152&lt;&gt;" ", ROUND(L152*(K152/365)*G152,2),0)</f>
        <v>-40.950000000000003</v>
      </c>
      <c r="N152" s="220">
        <f t="shared" si="18"/>
        <v>-1146.5800000000002</v>
      </c>
      <c r="O152" s="220">
        <f t="shared" si="19"/>
        <v>908020.96999999962</v>
      </c>
    </row>
    <row r="153" spans="1:15" hidden="1" outlineLevel="1" x14ac:dyDescent="0.2">
      <c r="B153" s="361" t="s">
        <v>198</v>
      </c>
      <c r="C153" s="220"/>
      <c r="G153" s="220">
        <f t="shared" si="20"/>
        <v>-330674.33984573372</v>
      </c>
      <c r="I153" s="373">
        <v>39873</v>
      </c>
      <c r="J153" s="373">
        <v>39902</v>
      </c>
      <c r="K153" s="369">
        <f t="shared" si="21"/>
        <v>30</v>
      </c>
      <c r="L153" s="370">
        <v>4.5199999999999997E-2</v>
      </c>
      <c r="M153" s="224">
        <f t="shared" si="22"/>
        <v>-1228.48</v>
      </c>
      <c r="N153" s="220">
        <f t="shared" si="18"/>
        <v>-1228.48</v>
      </c>
      <c r="O153" s="220">
        <f t="shared" si="19"/>
        <v>906792.48999999964</v>
      </c>
    </row>
    <row r="154" spans="1:15" hidden="1" outlineLevel="1" x14ac:dyDescent="0.2">
      <c r="C154" s="220">
        <v>0</v>
      </c>
      <c r="F154" s="220">
        <f>C154</f>
        <v>0</v>
      </c>
      <c r="G154" s="220">
        <f t="shared" si="20"/>
        <v>-330674.33984573372</v>
      </c>
      <c r="I154" s="373">
        <v>39903</v>
      </c>
      <c r="J154" s="373">
        <v>39903</v>
      </c>
      <c r="K154" s="369">
        <f t="shared" si="21"/>
        <v>1</v>
      </c>
      <c r="L154" s="370">
        <v>4.5199999999999997E-2</v>
      </c>
      <c r="M154" s="224">
        <f t="shared" si="22"/>
        <v>-40.950000000000003</v>
      </c>
      <c r="N154" s="220">
        <f t="shared" ref="N154:N217" si="23">IF(MONTH(+I154)&lt;&gt;MONTH(+I153),M154,+N153+M154)</f>
        <v>-1269.43</v>
      </c>
      <c r="O154" s="220">
        <f t="shared" si="19"/>
        <v>906751.53999999969</v>
      </c>
    </row>
    <row r="155" spans="1:15" hidden="1" outlineLevel="1" x14ac:dyDescent="0.2">
      <c r="B155" s="361" t="s">
        <v>199</v>
      </c>
      <c r="C155" s="220"/>
      <c r="G155" s="220">
        <f t="shared" si="20"/>
        <v>-330674.33984573372</v>
      </c>
      <c r="I155" s="373">
        <v>39904</v>
      </c>
      <c r="J155" s="373">
        <v>39932</v>
      </c>
      <c r="K155" s="369">
        <f t="shared" si="21"/>
        <v>29</v>
      </c>
      <c r="L155" s="370">
        <v>3.3700000000000001E-2</v>
      </c>
      <c r="M155" s="224">
        <f t="shared" si="22"/>
        <v>-885.39</v>
      </c>
      <c r="N155" s="220">
        <f t="shared" si="23"/>
        <v>-885.39</v>
      </c>
      <c r="O155" s="220">
        <f t="shared" ref="O155:O218" si="24">O154+M155</f>
        <v>905866.14999999967</v>
      </c>
    </row>
    <row r="156" spans="1:15" hidden="1" outlineLevel="1" x14ac:dyDescent="0.2">
      <c r="C156" s="220">
        <v>0</v>
      </c>
      <c r="F156" s="220">
        <f>C156</f>
        <v>0</v>
      </c>
      <c r="G156" s="220">
        <f t="shared" si="20"/>
        <v>-330674.33984573372</v>
      </c>
      <c r="I156" s="373">
        <v>39933</v>
      </c>
      <c r="J156" s="373">
        <v>39933</v>
      </c>
      <c r="K156" s="369">
        <f t="shared" si="21"/>
        <v>1</v>
      </c>
      <c r="L156" s="370">
        <v>3.3700000000000001E-2</v>
      </c>
      <c r="M156" s="224">
        <f t="shared" si="22"/>
        <v>-30.53</v>
      </c>
      <c r="N156" s="220">
        <f t="shared" si="23"/>
        <v>-915.92</v>
      </c>
      <c r="O156" s="220">
        <f t="shared" si="24"/>
        <v>905835.61999999965</v>
      </c>
    </row>
    <row r="157" spans="1:15" hidden="1" outlineLevel="1" x14ac:dyDescent="0.2">
      <c r="B157" s="361" t="s">
        <v>200</v>
      </c>
      <c r="C157" s="220"/>
      <c r="G157" s="220">
        <f t="shared" si="20"/>
        <v>-330674.33984573372</v>
      </c>
      <c r="I157" s="373">
        <v>39934</v>
      </c>
      <c r="J157" s="373">
        <v>39963</v>
      </c>
      <c r="K157" s="369">
        <f t="shared" si="21"/>
        <v>30</v>
      </c>
      <c r="L157" s="370">
        <v>3.3700000000000001E-2</v>
      </c>
      <c r="M157" s="224">
        <f t="shared" si="22"/>
        <v>-915.92</v>
      </c>
      <c r="N157" s="220">
        <f t="shared" si="23"/>
        <v>-915.92</v>
      </c>
      <c r="O157" s="220">
        <f t="shared" si="24"/>
        <v>904919.6999999996</v>
      </c>
    </row>
    <row r="158" spans="1:15" hidden="1" outlineLevel="1" x14ac:dyDescent="0.2">
      <c r="C158" s="220">
        <v>-635934.09108923934</v>
      </c>
      <c r="F158" s="220">
        <f>C158</f>
        <v>-635934.09108923934</v>
      </c>
      <c r="G158" s="220">
        <f t="shared" si="20"/>
        <v>-966608.43093497306</v>
      </c>
      <c r="I158" s="373">
        <v>39964</v>
      </c>
      <c r="J158" s="373">
        <v>39964</v>
      </c>
      <c r="K158" s="369">
        <f t="shared" si="21"/>
        <v>1</v>
      </c>
      <c r="L158" s="370">
        <v>3.3700000000000001E-2</v>
      </c>
      <c r="M158" s="224">
        <f t="shared" si="22"/>
        <v>-89.25</v>
      </c>
      <c r="N158" s="220">
        <f t="shared" si="23"/>
        <v>-1005.17</v>
      </c>
      <c r="O158" s="220">
        <f t="shared" si="24"/>
        <v>904830.4499999996</v>
      </c>
    </row>
    <row r="159" spans="1:15" hidden="1" outlineLevel="1" x14ac:dyDescent="0.2">
      <c r="B159" s="361" t="s">
        <v>201</v>
      </c>
      <c r="C159" s="220"/>
      <c r="G159" s="220">
        <f t="shared" si="20"/>
        <v>-966608.43093497306</v>
      </c>
      <c r="I159" s="373">
        <v>39965</v>
      </c>
      <c r="J159" s="373">
        <v>39993</v>
      </c>
      <c r="K159" s="369">
        <f t="shared" si="21"/>
        <v>29</v>
      </c>
      <c r="L159" s="370">
        <v>3.3700000000000001E-2</v>
      </c>
      <c r="M159" s="224">
        <f t="shared" si="22"/>
        <v>-2588.13</v>
      </c>
      <c r="N159" s="220">
        <f t="shared" si="23"/>
        <v>-2588.13</v>
      </c>
      <c r="O159" s="220">
        <f t="shared" si="24"/>
        <v>902242.3199999996</v>
      </c>
    </row>
    <row r="160" spans="1:15" hidden="1" outlineLevel="1" x14ac:dyDescent="0.2">
      <c r="C160" s="220">
        <v>-548523.69778162427</v>
      </c>
      <c r="F160" s="220">
        <f>C160</f>
        <v>-548523.69778162427</v>
      </c>
      <c r="G160" s="220">
        <f t="shared" si="20"/>
        <v>-1515132.1287165973</v>
      </c>
      <c r="I160" s="373">
        <v>39994</v>
      </c>
      <c r="J160" s="373">
        <v>39994</v>
      </c>
      <c r="K160" s="369">
        <f t="shared" si="21"/>
        <v>1</v>
      </c>
      <c r="L160" s="370">
        <v>3.3700000000000001E-2</v>
      </c>
      <c r="M160" s="224">
        <f t="shared" si="22"/>
        <v>-139.88999999999999</v>
      </c>
      <c r="N160" s="220">
        <f t="shared" si="23"/>
        <v>-2728.02</v>
      </c>
      <c r="O160" s="220">
        <f t="shared" si="24"/>
        <v>902102.42999999959</v>
      </c>
    </row>
    <row r="161" spans="1:15" hidden="1" outlineLevel="1" x14ac:dyDescent="0.2">
      <c r="B161" s="361" t="s">
        <v>190</v>
      </c>
      <c r="C161" s="220"/>
      <c r="G161" s="220">
        <f t="shared" si="20"/>
        <v>-1515132.1287165973</v>
      </c>
      <c r="I161" s="373">
        <v>39995</v>
      </c>
      <c r="J161" s="373">
        <v>40024</v>
      </c>
      <c r="K161" s="369">
        <f t="shared" si="21"/>
        <v>30</v>
      </c>
      <c r="L161" s="370">
        <v>3.2500000000000001E-2</v>
      </c>
      <c r="M161" s="224">
        <f t="shared" si="22"/>
        <v>-4047.27</v>
      </c>
      <c r="N161" s="220">
        <f t="shared" si="23"/>
        <v>-4047.27</v>
      </c>
      <c r="O161" s="220">
        <f t="shared" si="24"/>
        <v>898055.15999999957</v>
      </c>
    </row>
    <row r="162" spans="1:15" hidden="1" outlineLevel="1" x14ac:dyDescent="0.2">
      <c r="C162" s="220">
        <v>-1403246.0013056528</v>
      </c>
      <c r="F162" s="220">
        <f>C162</f>
        <v>-1403246.0013056528</v>
      </c>
      <c r="G162" s="220">
        <f t="shared" si="20"/>
        <v>-2918378.1300222501</v>
      </c>
      <c r="I162" s="373">
        <v>40025</v>
      </c>
      <c r="J162" s="373">
        <v>40025</v>
      </c>
      <c r="K162" s="369">
        <f t="shared" si="21"/>
        <v>1</v>
      </c>
      <c r="L162" s="370">
        <v>3.2500000000000001E-2</v>
      </c>
      <c r="M162" s="224">
        <f t="shared" si="22"/>
        <v>-259.86</v>
      </c>
      <c r="N162" s="220">
        <f t="shared" si="23"/>
        <v>-4307.13</v>
      </c>
      <c r="O162" s="220">
        <f t="shared" si="24"/>
        <v>897795.29999999958</v>
      </c>
    </row>
    <row r="163" spans="1:15" hidden="1" outlineLevel="1" x14ac:dyDescent="0.2">
      <c r="B163" s="361" t="s">
        <v>191</v>
      </c>
      <c r="C163" s="220"/>
      <c r="G163" s="220">
        <f t="shared" si="20"/>
        <v>-2918378.1300222501</v>
      </c>
      <c r="I163" s="373">
        <v>40026</v>
      </c>
      <c r="J163" s="373">
        <v>40055</v>
      </c>
      <c r="K163" s="369">
        <f t="shared" si="21"/>
        <v>30</v>
      </c>
      <c r="L163" s="370">
        <v>3.2500000000000001E-2</v>
      </c>
      <c r="M163" s="224">
        <f t="shared" si="22"/>
        <v>-7795.67</v>
      </c>
      <c r="N163" s="220">
        <f t="shared" si="23"/>
        <v>-7795.67</v>
      </c>
      <c r="O163" s="220">
        <f t="shared" si="24"/>
        <v>889999.62999999954</v>
      </c>
    </row>
    <row r="164" spans="1:15" hidden="1" outlineLevel="1" x14ac:dyDescent="0.2">
      <c r="C164" s="220">
        <v>608624.51344915107</v>
      </c>
      <c r="F164" s="220">
        <f>C164</f>
        <v>608624.51344915107</v>
      </c>
      <c r="G164" s="220">
        <f t="shared" si="20"/>
        <v>-2309753.616573099</v>
      </c>
      <c r="I164" s="373">
        <v>40056</v>
      </c>
      <c r="J164" s="373">
        <v>40056</v>
      </c>
      <c r="K164" s="369">
        <f t="shared" si="21"/>
        <v>1</v>
      </c>
      <c r="L164" s="370">
        <v>3.2500000000000001E-2</v>
      </c>
      <c r="M164" s="224">
        <f t="shared" si="22"/>
        <v>-205.66</v>
      </c>
      <c r="N164" s="220">
        <f t="shared" si="23"/>
        <v>-8001.33</v>
      </c>
      <c r="O164" s="220">
        <f t="shared" si="24"/>
        <v>889793.96999999951</v>
      </c>
    </row>
    <row r="165" spans="1:15" hidden="1" outlineLevel="1" x14ac:dyDescent="0.2">
      <c r="B165" s="361" t="s">
        <v>192</v>
      </c>
      <c r="C165" s="220"/>
      <c r="G165" s="220">
        <f t="shared" si="20"/>
        <v>-2309753.616573099</v>
      </c>
      <c r="I165" s="373">
        <v>40057</v>
      </c>
      <c r="J165" s="373">
        <v>40085</v>
      </c>
      <c r="K165" s="369">
        <f t="shared" si="21"/>
        <v>29</v>
      </c>
      <c r="L165" s="370">
        <v>3.2500000000000001E-2</v>
      </c>
      <c r="M165" s="224">
        <f t="shared" si="22"/>
        <v>-5964.23</v>
      </c>
      <c r="N165" s="220">
        <f t="shared" si="23"/>
        <v>-5964.23</v>
      </c>
      <c r="O165" s="220">
        <f t="shared" si="24"/>
        <v>883829.73999999953</v>
      </c>
    </row>
    <row r="166" spans="1:15" hidden="1" outlineLevel="1" x14ac:dyDescent="0.2">
      <c r="C166" s="220">
        <v>1979079.2767273653</v>
      </c>
      <c r="F166" s="220">
        <f>C166</f>
        <v>1979079.2767273653</v>
      </c>
      <c r="G166" s="220">
        <f t="shared" si="20"/>
        <v>-330674.33984573372</v>
      </c>
      <c r="I166" s="373">
        <v>40086</v>
      </c>
      <c r="J166" s="373">
        <v>40086</v>
      </c>
      <c r="K166" s="369">
        <f t="shared" si="21"/>
        <v>1</v>
      </c>
      <c r="L166" s="370">
        <v>3.2500000000000001E-2</v>
      </c>
      <c r="M166" s="224">
        <f t="shared" si="22"/>
        <v>-29.44</v>
      </c>
      <c r="N166" s="220">
        <f t="shared" si="23"/>
        <v>-5993.6699999999992</v>
      </c>
      <c r="O166" s="220">
        <f t="shared" si="24"/>
        <v>883800.29999999958</v>
      </c>
    </row>
    <row r="167" spans="1:15" hidden="1" outlineLevel="1" x14ac:dyDescent="0.2">
      <c r="B167" s="361" t="s">
        <v>193</v>
      </c>
      <c r="C167" s="220"/>
      <c r="G167" s="220">
        <f t="shared" si="20"/>
        <v>-330674.33984573372</v>
      </c>
      <c r="I167" s="373">
        <v>40087</v>
      </c>
      <c r="J167" s="373">
        <v>40116</v>
      </c>
      <c r="K167" s="369">
        <f t="shared" si="21"/>
        <v>30</v>
      </c>
      <c r="L167" s="370">
        <v>3.2500000000000001E-2</v>
      </c>
      <c r="M167" s="224">
        <f t="shared" si="22"/>
        <v>-883.31</v>
      </c>
      <c r="N167" s="220">
        <f t="shared" si="23"/>
        <v>-883.31</v>
      </c>
      <c r="O167" s="220">
        <f t="shared" si="24"/>
        <v>882916.98999999953</v>
      </c>
    </row>
    <row r="168" spans="1:15" hidden="1" outlineLevel="1" x14ac:dyDescent="0.2">
      <c r="C168" s="220">
        <v>0</v>
      </c>
      <c r="F168" s="220">
        <f>C168</f>
        <v>0</v>
      </c>
      <c r="G168" s="220">
        <f t="shared" si="20"/>
        <v>-330674.33984573372</v>
      </c>
      <c r="I168" s="373">
        <v>40117</v>
      </c>
      <c r="J168" s="373">
        <v>40117</v>
      </c>
      <c r="K168" s="369">
        <f t="shared" si="21"/>
        <v>1</v>
      </c>
      <c r="L168" s="370">
        <v>3.2500000000000001E-2</v>
      </c>
      <c r="M168" s="224">
        <f t="shared" si="22"/>
        <v>-29.44</v>
      </c>
      <c r="N168" s="220">
        <f t="shared" si="23"/>
        <v>-912.75</v>
      </c>
      <c r="O168" s="220">
        <f t="shared" si="24"/>
        <v>882887.54999999958</v>
      </c>
    </row>
    <row r="169" spans="1:15" hidden="1" outlineLevel="1" x14ac:dyDescent="0.2">
      <c r="B169" s="361" t="s">
        <v>194</v>
      </c>
      <c r="C169" s="220"/>
      <c r="G169" s="220">
        <f t="shared" si="20"/>
        <v>-330674.33984573372</v>
      </c>
      <c r="I169" s="373">
        <v>40118</v>
      </c>
      <c r="J169" s="373">
        <v>40146</v>
      </c>
      <c r="K169" s="369">
        <f t="shared" si="21"/>
        <v>29</v>
      </c>
      <c r="L169" s="370">
        <v>3.2500000000000001E-2</v>
      </c>
      <c r="M169" s="224">
        <f t="shared" si="22"/>
        <v>-853.86</v>
      </c>
      <c r="N169" s="220">
        <f t="shared" si="23"/>
        <v>-853.86</v>
      </c>
      <c r="O169" s="220">
        <f t="shared" si="24"/>
        <v>882033.68999999959</v>
      </c>
    </row>
    <row r="170" spans="1:15" hidden="1" outlineLevel="1" x14ac:dyDescent="0.2">
      <c r="C170" s="220">
        <v>0</v>
      </c>
      <c r="F170" s="220">
        <f>C170</f>
        <v>0</v>
      </c>
      <c r="G170" s="220">
        <f t="shared" ref="G170:G233" si="25">+G169+F170</f>
        <v>-330674.33984573372</v>
      </c>
      <c r="I170" s="373">
        <v>40147</v>
      </c>
      <c r="J170" s="373">
        <v>40147</v>
      </c>
      <c r="K170" s="369">
        <f t="shared" si="21"/>
        <v>1</v>
      </c>
      <c r="L170" s="370">
        <v>3.2500000000000001E-2</v>
      </c>
      <c r="M170" s="224">
        <f t="shared" si="22"/>
        <v>-29.44</v>
      </c>
      <c r="N170" s="220">
        <f t="shared" si="23"/>
        <v>-883.30000000000007</v>
      </c>
      <c r="O170" s="220">
        <f t="shared" si="24"/>
        <v>882004.24999999965</v>
      </c>
    </row>
    <row r="171" spans="1:15" hidden="1" outlineLevel="1" x14ac:dyDescent="0.2">
      <c r="B171" s="361" t="s">
        <v>195</v>
      </c>
      <c r="C171" s="220"/>
      <c r="G171" s="220">
        <f t="shared" si="25"/>
        <v>-330674.33984573372</v>
      </c>
      <c r="I171" s="373">
        <v>40148</v>
      </c>
      <c r="J171" s="373">
        <v>40177</v>
      </c>
      <c r="K171" s="369">
        <f t="shared" si="21"/>
        <v>30</v>
      </c>
      <c r="L171" s="370">
        <v>3.2500000000000001E-2</v>
      </c>
      <c r="M171" s="224">
        <f t="shared" si="22"/>
        <v>-883.31</v>
      </c>
      <c r="N171" s="220">
        <f t="shared" si="23"/>
        <v>-883.31</v>
      </c>
      <c r="O171" s="220">
        <f t="shared" si="24"/>
        <v>881120.93999999959</v>
      </c>
    </row>
    <row r="172" spans="1:15" hidden="1" outlineLevel="1" x14ac:dyDescent="0.2">
      <c r="C172" s="220">
        <v>5135048.7285339981</v>
      </c>
      <c r="F172" s="220">
        <f>C172</f>
        <v>5135048.7285339981</v>
      </c>
      <c r="G172" s="220">
        <f t="shared" si="25"/>
        <v>4804374.3886882644</v>
      </c>
      <c r="I172" s="373">
        <v>40178</v>
      </c>
      <c r="J172" s="373">
        <v>40178</v>
      </c>
      <c r="K172" s="369">
        <f t="shared" si="21"/>
        <v>1</v>
      </c>
      <c r="L172" s="370">
        <v>3.2500000000000001E-2</v>
      </c>
      <c r="M172" s="224">
        <f t="shared" si="22"/>
        <v>427.79</v>
      </c>
      <c r="N172" s="220">
        <f t="shared" si="23"/>
        <v>-455.51999999999992</v>
      </c>
      <c r="O172" s="220">
        <f t="shared" si="24"/>
        <v>881548.72999999963</v>
      </c>
    </row>
    <row r="173" spans="1:15" hidden="1" outlineLevel="1" x14ac:dyDescent="0.2">
      <c r="A173" s="361" t="s">
        <v>287</v>
      </c>
      <c r="B173" s="361" t="s">
        <v>196</v>
      </c>
      <c r="G173" s="220">
        <f t="shared" si="25"/>
        <v>4804374.3886882644</v>
      </c>
      <c r="I173" s="373">
        <v>40179</v>
      </c>
      <c r="J173" s="373">
        <v>40208</v>
      </c>
      <c r="K173" s="369">
        <f t="shared" si="21"/>
        <v>30</v>
      </c>
      <c r="L173" s="370">
        <v>3.2500000000000001E-2</v>
      </c>
      <c r="M173" s="224">
        <f t="shared" si="22"/>
        <v>12833.6</v>
      </c>
      <c r="N173" s="220">
        <f t="shared" si="23"/>
        <v>12833.6</v>
      </c>
      <c r="O173" s="220">
        <f t="shared" si="24"/>
        <v>894382.32999999961</v>
      </c>
    </row>
    <row r="174" spans="1:15" hidden="1" outlineLevel="1" x14ac:dyDescent="0.2">
      <c r="A174" s="374" t="s">
        <v>288</v>
      </c>
      <c r="C174" s="220">
        <v>0</v>
      </c>
      <c r="F174" s="220">
        <f>C174</f>
        <v>0</v>
      </c>
      <c r="G174" s="220">
        <f t="shared" si="25"/>
        <v>4804374.3886882644</v>
      </c>
      <c r="I174" s="373">
        <v>40209</v>
      </c>
      <c r="J174" s="373">
        <v>40209</v>
      </c>
      <c r="K174" s="369">
        <f t="shared" si="21"/>
        <v>1</v>
      </c>
      <c r="L174" s="370">
        <v>3.2500000000000001E-2</v>
      </c>
      <c r="M174" s="224">
        <f t="shared" si="22"/>
        <v>427.79</v>
      </c>
      <c r="N174" s="220">
        <f t="shared" si="23"/>
        <v>13261.390000000001</v>
      </c>
      <c r="O174" s="220">
        <f t="shared" si="24"/>
        <v>894810.11999999965</v>
      </c>
    </row>
    <row r="175" spans="1:15" hidden="1" outlineLevel="1" x14ac:dyDescent="0.2">
      <c r="B175" s="361" t="s">
        <v>197</v>
      </c>
      <c r="C175" s="220"/>
      <c r="G175" s="220">
        <f t="shared" si="25"/>
        <v>4804374.3886882644</v>
      </c>
      <c r="I175" s="373">
        <v>40210</v>
      </c>
      <c r="J175" s="373">
        <v>40236</v>
      </c>
      <c r="K175" s="369">
        <f t="shared" si="21"/>
        <v>27</v>
      </c>
      <c r="L175" s="370">
        <v>3.2500000000000001E-2</v>
      </c>
      <c r="M175" s="224">
        <f t="shared" si="22"/>
        <v>11550.24</v>
      </c>
      <c r="N175" s="220">
        <f t="shared" si="23"/>
        <v>11550.24</v>
      </c>
      <c r="O175" s="220">
        <f t="shared" si="24"/>
        <v>906360.35999999964</v>
      </c>
    </row>
    <row r="176" spans="1:15" hidden="1" outlineLevel="1" x14ac:dyDescent="0.2">
      <c r="C176" s="220">
        <v>2423631.801070381</v>
      </c>
      <c r="F176" s="220">
        <f>C176</f>
        <v>2423631.801070381</v>
      </c>
      <c r="G176" s="220">
        <f t="shared" si="25"/>
        <v>7228006.1897586454</v>
      </c>
      <c r="I176" s="373">
        <v>40237</v>
      </c>
      <c r="J176" s="373">
        <v>40237</v>
      </c>
      <c r="K176" s="369">
        <f t="shared" si="21"/>
        <v>1</v>
      </c>
      <c r="L176" s="370">
        <v>3.2500000000000001E-2</v>
      </c>
      <c r="M176" s="224">
        <f t="shared" si="22"/>
        <v>643.59</v>
      </c>
      <c r="N176" s="220">
        <f t="shared" si="23"/>
        <v>12193.83</v>
      </c>
      <c r="O176" s="220">
        <f t="shared" si="24"/>
        <v>907003.9499999996</v>
      </c>
    </row>
    <row r="177" spans="2:15" hidden="1" outlineLevel="1" x14ac:dyDescent="0.2">
      <c r="B177" s="361" t="s">
        <v>198</v>
      </c>
      <c r="C177" s="220"/>
      <c r="G177" s="220">
        <f t="shared" si="25"/>
        <v>7228006.1897586454</v>
      </c>
      <c r="I177" s="373">
        <v>40238</v>
      </c>
      <c r="J177" s="373">
        <v>40267</v>
      </c>
      <c r="K177" s="369">
        <f t="shared" si="21"/>
        <v>30</v>
      </c>
      <c r="L177" s="370">
        <v>3.2500000000000001E-2</v>
      </c>
      <c r="M177" s="224">
        <f t="shared" si="22"/>
        <v>19307.689999999999</v>
      </c>
      <c r="N177" s="220">
        <f t="shared" si="23"/>
        <v>19307.689999999999</v>
      </c>
      <c r="O177" s="220">
        <f t="shared" si="24"/>
        <v>926311.63999999955</v>
      </c>
    </row>
    <row r="178" spans="2:15" hidden="1" outlineLevel="1" x14ac:dyDescent="0.2">
      <c r="C178" s="220">
        <v>5498029.6531072073</v>
      </c>
      <c r="F178" s="220">
        <f>C178</f>
        <v>5498029.6531072073</v>
      </c>
      <c r="G178" s="220">
        <f t="shared" si="25"/>
        <v>12726035.842865853</v>
      </c>
      <c r="I178" s="373">
        <v>40268</v>
      </c>
      <c r="J178" s="373">
        <v>40268</v>
      </c>
      <c r="K178" s="369">
        <f t="shared" si="21"/>
        <v>1</v>
      </c>
      <c r="L178" s="370">
        <v>3.2500000000000001E-2</v>
      </c>
      <c r="M178" s="224">
        <f t="shared" si="22"/>
        <v>1133.1400000000001</v>
      </c>
      <c r="N178" s="220">
        <f t="shared" si="23"/>
        <v>20440.829999999998</v>
      </c>
      <c r="O178" s="220">
        <f t="shared" si="24"/>
        <v>927444.77999999956</v>
      </c>
    </row>
    <row r="179" spans="2:15" hidden="1" outlineLevel="1" x14ac:dyDescent="0.2">
      <c r="B179" s="361" t="s">
        <v>199</v>
      </c>
      <c r="C179" s="220"/>
      <c r="G179" s="220">
        <f t="shared" si="25"/>
        <v>12726035.842865853</v>
      </c>
      <c r="I179" s="373">
        <v>40269</v>
      </c>
      <c r="J179" s="373">
        <v>40297</v>
      </c>
      <c r="K179" s="369">
        <f t="shared" si="21"/>
        <v>29</v>
      </c>
      <c r="L179" s="370">
        <v>3.2500000000000001E-2</v>
      </c>
      <c r="M179" s="224">
        <f t="shared" si="22"/>
        <v>32861.07</v>
      </c>
      <c r="N179" s="220">
        <f t="shared" si="23"/>
        <v>32861.07</v>
      </c>
      <c r="O179" s="220">
        <f t="shared" si="24"/>
        <v>960305.84999999951</v>
      </c>
    </row>
    <row r="180" spans="2:15" hidden="1" outlineLevel="1" x14ac:dyDescent="0.2">
      <c r="C180" s="220">
        <v>-2907013.1197292283</v>
      </c>
      <c r="F180" s="220">
        <f>C180</f>
        <v>-2907013.1197292283</v>
      </c>
      <c r="G180" s="220">
        <f t="shared" si="25"/>
        <v>9819022.7231366243</v>
      </c>
      <c r="I180" s="373">
        <v>40298</v>
      </c>
      <c r="J180" s="373">
        <v>40298</v>
      </c>
      <c r="K180" s="369">
        <f t="shared" si="21"/>
        <v>1</v>
      </c>
      <c r="L180" s="370">
        <v>3.2500000000000001E-2</v>
      </c>
      <c r="M180" s="224">
        <f t="shared" si="22"/>
        <v>874.3</v>
      </c>
      <c r="N180" s="220">
        <f t="shared" si="23"/>
        <v>33735.370000000003</v>
      </c>
      <c r="O180" s="220">
        <f t="shared" si="24"/>
        <v>961180.14999999956</v>
      </c>
    </row>
    <row r="181" spans="2:15" hidden="1" outlineLevel="1" x14ac:dyDescent="0.2">
      <c r="B181" s="361" t="s">
        <v>200</v>
      </c>
      <c r="C181" s="220"/>
      <c r="G181" s="220">
        <f t="shared" si="25"/>
        <v>9819022.7231366243</v>
      </c>
      <c r="I181" s="373">
        <v>40299</v>
      </c>
      <c r="J181" s="373">
        <v>40328</v>
      </c>
      <c r="K181" s="369">
        <f t="shared" si="21"/>
        <v>30</v>
      </c>
      <c r="L181" s="370">
        <v>3.2500000000000001E-2</v>
      </c>
      <c r="M181" s="224">
        <f t="shared" si="22"/>
        <v>26228.9</v>
      </c>
      <c r="N181" s="220">
        <f t="shared" si="23"/>
        <v>26228.9</v>
      </c>
      <c r="O181" s="220">
        <f t="shared" si="24"/>
        <v>987409.04999999958</v>
      </c>
    </row>
    <row r="182" spans="2:15" hidden="1" outlineLevel="1" x14ac:dyDescent="0.2">
      <c r="C182" s="220">
        <v>-5014648.3344483599</v>
      </c>
      <c r="F182" s="220">
        <f>C182</f>
        <v>-5014648.3344483599</v>
      </c>
      <c r="G182" s="220">
        <f t="shared" si="25"/>
        <v>4804374.3886882644</v>
      </c>
      <c r="I182" s="373">
        <v>40329</v>
      </c>
      <c r="J182" s="373">
        <v>40329</v>
      </c>
      <c r="K182" s="369">
        <f t="shared" si="21"/>
        <v>1</v>
      </c>
      <c r="L182" s="370">
        <v>3.2500000000000001E-2</v>
      </c>
      <c r="M182" s="224">
        <f t="shared" si="22"/>
        <v>427.79</v>
      </c>
      <c r="N182" s="220">
        <f t="shared" si="23"/>
        <v>26656.690000000002</v>
      </c>
      <c r="O182" s="220">
        <f t="shared" si="24"/>
        <v>987836.83999999962</v>
      </c>
    </row>
    <row r="183" spans="2:15" hidden="1" outlineLevel="1" x14ac:dyDescent="0.2">
      <c r="B183" s="361" t="s">
        <v>201</v>
      </c>
      <c r="C183" s="220"/>
      <c r="G183" s="220">
        <f t="shared" si="25"/>
        <v>4804374.3886882644</v>
      </c>
      <c r="I183" s="373">
        <v>40330</v>
      </c>
      <c r="J183" s="373">
        <v>40358</v>
      </c>
      <c r="K183" s="369">
        <f t="shared" si="21"/>
        <v>29</v>
      </c>
      <c r="L183" s="370">
        <v>3.2500000000000001E-2</v>
      </c>
      <c r="M183" s="224">
        <f t="shared" si="22"/>
        <v>12405.82</v>
      </c>
      <c r="N183" s="220">
        <f t="shared" si="23"/>
        <v>12405.82</v>
      </c>
      <c r="O183" s="220">
        <f t="shared" si="24"/>
        <v>1000242.6599999996</v>
      </c>
    </row>
    <row r="184" spans="2:15" hidden="1" outlineLevel="1" x14ac:dyDescent="0.2">
      <c r="C184" s="220">
        <v>2907376.7569421828</v>
      </c>
      <c r="F184" s="220">
        <f>C184</f>
        <v>2907376.7569421828</v>
      </c>
      <c r="G184" s="220">
        <f t="shared" si="25"/>
        <v>7711751.1456304472</v>
      </c>
      <c r="I184" s="373">
        <v>40359</v>
      </c>
      <c r="J184" s="373">
        <v>40359</v>
      </c>
      <c r="K184" s="369">
        <f t="shared" si="21"/>
        <v>1</v>
      </c>
      <c r="L184" s="370">
        <v>3.2500000000000001E-2</v>
      </c>
      <c r="M184" s="224">
        <f t="shared" si="22"/>
        <v>686.66</v>
      </c>
      <c r="N184" s="220">
        <f t="shared" si="23"/>
        <v>13092.48</v>
      </c>
      <c r="O184" s="220">
        <f t="shared" si="24"/>
        <v>1000929.3199999996</v>
      </c>
    </row>
    <row r="185" spans="2:15" hidden="1" outlineLevel="1" x14ac:dyDescent="0.2">
      <c r="B185" s="361" t="s">
        <v>190</v>
      </c>
      <c r="C185" s="220"/>
      <c r="G185" s="220">
        <f t="shared" si="25"/>
        <v>7711751.1456304472</v>
      </c>
      <c r="I185" s="373">
        <v>40360</v>
      </c>
      <c r="J185" s="373">
        <v>40389</v>
      </c>
      <c r="K185" s="369">
        <f t="shared" si="21"/>
        <v>30</v>
      </c>
      <c r="L185" s="370">
        <v>3.2500000000000001E-2</v>
      </c>
      <c r="M185" s="224">
        <f t="shared" si="22"/>
        <v>20599.88</v>
      </c>
      <c r="N185" s="220">
        <f t="shared" si="23"/>
        <v>20599.88</v>
      </c>
      <c r="O185" s="220">
        <f t="shared" si="24"/>
        <v>1021529.1999999996</v>
      </c>
    </row>
    <row r="186" spans="2:15" hidden="1" outlineLevel="1" x14ac:dyDescent="0.2">
      <c r="C186" s="220">
        <v>-2907376.7569421828</v>
      </c>
      <c r="F186" s="220">
        <f>C186</f>
        <v>-2907376.7569421828</v>
      </c>
      <c r="G186" s="220">
        <f t="shared" si="25"/>
        <v>4804374.3886882644</v>
      </c>
      <c r="I186" s="373">
        <v>40390</v>
      </c>
      <c r="J186" s="373">
        <v>40390</v>
      </c>
      <c r="K186" s="369">
        <f t="shared" si="21"/>
        <v>1</v>
      </c>
      <c r="L186" s="370">
        <v>3.2500000000000001E-2</v>
      </c>
      <c r="M186" s="224">
        <f t="shared" si="22"/>
        <v>427.79</v>
      </c>
      <c r="N186" s="220">
        <f t="shared" si="23"/>
        <v>21027.670000000002</v>
      </c>
      <c r="O186" s="220">
        <f t="shared" si="24"/>
        <v>1021956.9899999996</v>
      </c>
    </row>
    <row r="187" spans="2:15" hidden="1" outlineLevel="1" x14ac:dyDescent="0.2">
      <c r="B187" s="361" t="s">
        <v>191</v>
      </c>
      <c r="C187" s="220"/>
      <c r="G187" s="220">
        <f t="shared" si="25"/>
        <v>4804374.3886882644</v>
      </c>
      <c r="I187" s="373">
        <v>40391</v>
      </c>
      <c r="J187" s="373">
        <v>40420</v>
      </c>
      <c r="K187" s="369">
        <f t="shared" si="21"/>
        <v>30</v>
      </c>
      <c r="L187" s="370">
        <v>3.2500000000000001E-2</v>
      </c>
      <c r="M187" s="224">
        <f t="shared" si="22"/>
        <v>12833.6</v>
      </c>
      <c r="N187" s="220">
        <f t="shared" si="23"/>
        <v>12833.6</v>
      </c>
      <c r="O187" s="220">
        <f t="shared" si="24"/>
        <v>1034790.5899999996</v>
      </c>
    </row>
    <row r="188" spans="2:15" hidden="1" outlineLevel="1" x14ac:dyDescent="0.2">
      <c r="C188" s="220">
        <v>0</v>
      </c>
      <c r="F188" s="220">
        <f>C188</f>
        <v>0</v>
      </c>
      <c r="G188" s="220">
        <f t="shared" si="25"/>
        <v>4804374.3886882644</v>
      </c>
      <c r="I188" s="373">
        <v>40421</v>
      </c>
      <c r="J188" s="373">
        <v>40421</v>
      </c>
      <c r="K188" s="369">
        <f t="shared" si="21"/>
        <v>1</v>
      </c>
      <c r="L188" s="370">
        <v>3.2500000000000001E-2</v>
      </c>
      <c r="M188" s="224">
        <f t="shared" si="22"/>
        <v>427.79</v>
      </c>
      <c r="N188" s="220">
        <f t="shared" si="23"/>
        <v>13261.390000000001</v>
      </c>
      <c r="O188" s="220">
        <f t="shared" si="24"/>
        <v>1035218.3799999997</v>
      </c>
    </row>
    <row r="189" spans="2:15" hidden="1" outlineLevel="1" x14ac:dyDescent="0.2">
      <c r="B189" s="361" t="s">
        <v>192</v>
      </c>
      <c r="C189" s="220"/>
      <c r="G189" s="220">
        <f t="shared" si="25"/>
        <v>4804374.3886882644</v>
      </c>
      <c r="I189" s="373">
        <v>40422</v>
      </c>
      <c r="J189" s="373">
        <v>40450</v>
      </c>
      <c r="K189" s="369">
        <f t="shared" si="21"/>
        <v>29</v>
      </c>
      <c r="L189" s="370">
        <v>3.2500000000000001E-2</v>
      </c>
      <c r="M189" s="224">
        <f t="shared" si="22"/>
        <v>12405.82</v>
      </c>
      <c r="N189" s="220">
        <f t="shared" si="23"/>
        <v>12405.82</v>
      </c>
      <c r="O189" s="220">
        <f t="shared" si="24"/>
        <v>1047624.1999999996</v>
      </c>
    </row>
    <row r="190" spans="2:15" hidden="1" outlineLevel="1" x14ac:dyDescent="0.2">
      <c r="C190" s="220">
        <v>940763.75851666555</v>
      </c>
      <c r="F190" s="220">
        <f>C190</f>
        <v>940763.75851666555</v>
      </c>
      <c r="G190" s="220">
        <f t="shared" si="25"/>
        <v>5745138.14720493</v>
      </c>
      <c r="I190" s="373">
        <v>40451</v>
      </c>
      <c r="J190" s="373">
        <v>40451</v>
      </c>
      <c r="K190" s="369">
        <f t="shared" si="21"/>
        <v>1</v>
      </c>
      <c r="L190" s="370">
        <v>3.2500000000000001E-2</v>
      </c>
      <c r="M190" s="224">
        <f t="shared" si="22"/>
        <v>511.55</v>
      </c>
      <c r="N190" s="220">
        <f t="shared" si="23"/>
        <v>12917.369999999999</v>
      </c>
      <c r="O190" s="220">
        <f t="shared" si="24"/>
        <v>1048135.7499999997</v>
      </c>
    </row>
    <row r="191" spans="2:15" hidden="1" outlineLevel="1" x14ac:dyDescent="0.2">
      <c r="B191" s="361" t="s">
        <v>193</v>
      </c>
      <c r="C191" s="220"/>
      <c r="G191" s="220">
        <f t="shared" si="25"/>
        <v>5745138.14720493</v>
      </c>
      <c r="I191" s="373">
        <v>40452</v>
      </c>
      <c r="J191" s="373">
        <v>40481</v>
      </c>
      <c r="K191" s="369">
        <f t="shared" si="21"/>
        <v>30</v>
      </c>
      <c r="L191" s="370">
        <v>3.2500000000000001E-2</v>
      </c>
      <c r="M191" s="224">
        <f t="shared" si="22"/>
        <v>15346.6</v>
      </c>
      <c r="N191" s="220">
        <f t="shared" si="23"/>
        <v>15346.6</v>
      </c>
      <c r="O191" s="220">
        <f t="shared" si="24"/>
        <v>1063482.3499999996</v>
      </c>
    </row>
    <row r="192" spans="2:15" hidden="1" outlineLevel="1" x14ac:dyDescent="0.2">
      <c r="C192" s="220">
        <v>2471130.3310148884</v>
      </c>
      <c r="F192" s="220">
        <f>C192</f>
        <v>2471130.3310148884</v>
      </c>
      <c r="G192" s="220">
        <f t="shared" si="25"/>
        <v>8216268.4782198183</v>
      </c>
      <c r="I192" s="373">
        <v>40482</v>
      </c>
      <c r="J192" s="373">
        <v>40482</v>
      </c>
      <c r="K192" s="369">
        <f t="shared" si="21"/>
        <v>1</v>
      </c>
      <c r="L192" s="370">
        <v>3.2500000000000001E-2</v>
      </c>
      <c r="M192" s="224">
        <f t="shared" si="22"/>
        <v>731.59</v>
      </c>
      <c r="N192" s="220">
        <f t="shared" si="23"/>
        <v>16078.19</v>
      </c>
      <c r="O192" s="220">
        <f t="shared" si="24"/>
        <v>1064213.9399999997</v>
      </c>
    </row>
    <row r="193" spans="1:15" hidden="1" outlineLevel="1" x14ac:dyDescent="0.2">
      <c r="B193" s="361" t="s">
        <v>194</v>
      </c>
      <c r="C193" s="220"/>
      <c r="G193" s="220">
        <f t="shared" si="25"/>
        <v>8216268.4782198183</v>
      </c>
      <c r="I193" s="373">
        <v>40483</v>
      </c>
      <c r="J193" s="373">
        <v>40511</v>
      </c>
      <c r="K193" s="369">
        <f t="shared" si="21"/>
        <v>29</v>
      </c>
      <c r="L193" s="370">
        <v>3.2500000000000001E-2</v>
      </c>
      <c r="M193" s="224">
        <f t="shared" si="22"/>
        <v>21215.98</v>
      </c>
      <c r="N193" s="220">
        <f t="shared" si="23"/>
        <v>21215.98</v>
      </c>
      <c r="O193" s="220">
        <f t="shared" si="24"/>
        <v>1085429.9199999997</v>
      </c>
    </row>
    <row r="194" spans="1:15" hidden="1" outlineLevel="1" x14ac:dyDescent="0.2">
      <c r="C194" s="220">
        <v>259586.59570912831</v>
      </c>
      <c r="F194" s="220">
        <f>C194</f>
        <v>259586.59570912831</v>
      </c>
      <c r="G194" s="220">
        <f t="shared" si="25"/>
        <v>8475855.0739289466</v>
      </c>
      <c r="I194" s="373">
        <v>40512</v>
      </c>
      <c r="J194" s="373">
        <v>40512</v>
      </c>
      <c r="K194" s="369">
        <f t="shared" si="21"/>
        <v>1</v>
      </c>
      <c r="L194" s="370">
        <v>3.2500000000000001E-2</v>
      </c>
      <c r="M194" s="224">
        <f t="shared" si="22"/>
        <v>754.7</v>
      </c>
      <c r="N194" s="220">
        <f t="shared" si="23"/>
        <v>21970.68</v>
      </c>
      <c r="O194" s="220">
        <f t="shared" si="24"/>
        <v>1086184.6199999996</v>
      </c>
    </row>
    <row r="195" spans="1:15" hidden="1" outlineLevel="1" x14ac:dyDescent="0.2">
      <c r="B195" s="361" t="s">
        <v>195</v>
      </c>
      <c r="C195" s="220"/>
      <c r="G195" s="220">
        <f t="shared" si="25"/>
        <v>8475855.0739289466</v>
      </c>
      <c r="I195" s="373">
        <v>40513</v>
      </c>
      <c r="J195" s="373">
        <v>40542</v>
      </c>
      <c r="K195" s="369">
        <f t="shared" si="21"/>
        <v>30</v>
      </c>
      <c r="L195" s="370">
        <v>3.2500000000000001E-2</v>
      </c>
      <c r="M195" s="224">
        <f t="shared" si="22"/>
        <v>22640.98</v>
      </c>
      <c r="N195" s="220">
        <f t="shared" si="23"/>
        <v>22640.98</v>
      </c>
      <c r="O195" s="220">
        <f t="shared" si="24"/>
        <v>1108825.5999999996</v>
      </c>
    </row>
    <row r="196" spans="1:15" hidden="1" outlineLevel="1" x14ac:dyDescent="0.2">
      <c r="C196" s="220">
        <v>4410283.4311429486</v>
      </c>
      <c r="F196" s="220">
        <f>C196</f>
        <v>4410283.4311429486</v>
      </c>
      <c r="G196" s="220">
        <f t="shared" si="25"/>
        <v>12886138.505071895</v>
      </c>
      <c r="I196" s="373">
        <v>40543</v>
      </c>
      <c r="J196" s="373">
        <v>40543</v>
      </c>
      <c r="K196" s="369">
        <f t="shared" si="21"/>
        <v>1</v>
      </c>
      <c r="L196" s="370">
        <v>3.2500000000000001E-2</v>
      </c>
      <c r="M196" s="224">
        <f t="shared" si="22"/>
        <v>1147.4000000000001</v>
      </c>
      <c r="N196" s="220">
        <f t="shared" si="23"/>
        <v>23788.38</v>
      </c>
      <c r="O196" s="220">
        <f t="shared" si="24"/>
        <v>1109972.9999999995</v>
      </c>
    </row>
    <row r="197" spans="1:15" hidden="1" outlineLevel="1" x14ac:dyDescent="0.2">
      <c r="A197" s="361" t="s">
        <v>289</v>
      </c>
      <c r="B197" s="361" t="s">
        <v>196</v>
      </c>
      <c r="G197" s="220">
        <f t="shared" si="25"/>
        <v>12886138.505071895</v>
      </c>
      <c r="I197" s="373">
        <v>40544</v>
      </c>
      <c r="J197" s="373">
        <v>40573</v>
      </c>
      <c r="K197" s="369">
        <f t="shared" si="21"/>
        <v>30</v>
      </c>
      <c r="L197" s="370">
        <v>3.2500000000000001E-2</v>
      </c>
      <c r="M197" s="224">
        <f t="shared" si="22"/>
        <v>34421.879999999997</v>
      </c>
      <c r="N197" s="220">
        <f t="shared" si="23"/>
        <v>34421.879999999997</v>
      </c>
      <c r="O197" s="220">
        <f t="shared" si="24"/>
        <v>1144394.8799999994</v>
      </c>
    </row>
    <row r="198" spans="1:15" hidden="1" outlineLevel="1" x14ac:dyDescent="0.2">
      <c r="A198" s="374" t="s">
        <v>290</v>
      </c>
      <c r="C198" s="220">
        <v>0</v>
      </c>
      <c r="F198" s="220">
        <f>C198</f>
        <v>0</v>
      </c>
      <c r="G198" s="220">
        <f t="shared" si="25"/>
        <v>12886138.505071895</v>
      </c>
      <c r="I198" s="373">
        <v>40574</v>
      </c>
      <c r="J198" s="373">
        <v>40574</v>
      </c>
      <c r="K198" s="369">
        <f t="shared" si="21"/>
        <v>1</v>
      </c>
      <c r="L198" s="370">
        <v>3.2500000000000001E-2</v>
      </c>
      <c r="M198" s="224">
        <f t="shared" si="22"/>
        <v>1147.4000000000001</v>
      </c>
      <c r="N198" s="220">
        <f t="shared" si="23"/>
        <v>35569.279999999999</v>
      </c>
      <c r="O198" s="220">
        <f t="shared" si="24"/>
        <v>1145542.2799999993</v>
      </c>
    </row>
    <row r="199" spans="1:15" hidden="1" outlineLevel="1" x14ac:dyDescent="0.2">
      <c r="B199" s="361" t="s">
        <v>197</v>
      </c>
      <c r="C199" s="220"/>
      <c r="G199" s="220">
        <f t="shared" si="25"/>
        <v>12886138.505071895</v>
      </c>
      <c r="I199" s="373">
        <v>40575</v>
      </c>
      <c r="J199" s="373">
        <v>40601</v>
      </c>
      <c r="K199" s="369">
        <f t="shared" si="21"/>
        <v>27</v>
      </c>
      <c r="L199" s="370">
        <v>3.2500000000000001E-2</v>
      </c>
      <c r="M199" s="224">
        <f t="shared" si="22"/>
        <v>30979.69</v>
      </c>
      <c r="N199" s="220">
        <f t="shared" si="23"/>
        <v>30979.69</v>
      </c>
      <c r="O199" s="220">
        <f t="shared" si="24"/>
        <v>1176521.9699999993</v>
      </c>
    </row>
    <row r="200" spans="1:15" hidden="1" outlineLevel="1" x14ac:dyDescent="0.2">
      <c r="C200" s="220">
        <v>0</v>
      </c>
      <c r="F200" s="220">
        <f>C200</f>
        <v>0</v>
      </c>
      <c r="G200" s="220">
        <f t="shared" si="25"/>
        <v>12886138.505071895</v>
      </c>
      <c r="I200" s="373">
        <v>40602</v>
      </c>
      <c r="J200" s="373">
        <v>40602</v>
      </c>
      <c r="K200" s="369">
        <f t="shared" si="21"/>
        <v>1</v>
      </c>
      <c r="L200" s="370">
        <v>3.2500000000000001E-2</v>
      </c>
      <c r="M200" s="224">
        <f t="shared" si="22"/>
        <v>1147.4000000000001</v>
      </c>
      <c r="N200" s="220">
        <f t="shared" si="23"/>
        <v>32127.09</v>
      </c>
      <c r="O200" s="220">
        <f t="shared" si="24"/>
        <v>1177669.3699999992</v>
      </c>
    </row>
    <row r="201" spans="1:15" hidden="1" outlineLevel="1" x14ac:dyDescent="0.2">
      <c r="B201" s="361" t="s">
        <v>198</v>
      </c>
      <c r="C201" s="220"/>
      <c r="G201" s="220">
        <f t="shared" si="25"/>
        <v>12886138.505071895</v>
      </c>
      <c r="I201" s="373">
        <v>40603</v>
      </c>
      <c r="J201" s="373">
        <v>40632</v>
      </c>
      <c r="K201" s="369">
        <f t="shared" si="21"/>
        <v>30</v>
      </c>
      <c r="L201" s="370">
        <v>3.2500000000000001E-2</v>
      </c>
      <c r="M201" s="224">
        <f t="shared" si="22"/>
        <v>34421.879999999997</v>
      </c>
      <c r="N201" s="220">
        <f t="shared" si="23"/>
        <v>34421.879999999997</v>
      </c>
      <c r="O201" s="220">
        <f t="shared" si="24"/>
        <v>1212091.2499999991</v>
      </c>
    </row>
    <row r="202" spans="1:15" ht="14.25" hidden="1" customHeight="1" outlineLevel="1" x14ac:dyDescent="0.2">
      <c r="C202" s="220">
        <v>0</v>
      </c>
      <c r="F202" s="220">
        <f>C202</f>
        <v>0</v>
      </c>
      <c r="G202" s="220">
        <f t="shared" si="25"/>
        <v>12886138.505071895</v>
      </c>
      <c r="I202" s="373">
        <v>40633</v>
      </c>
      <c r="J202" s="373">
        <v>40633</v>
      </c>
      <c r="K202" s="369">
        <f t="shared" si="21"/>
        <v>1</v>
      </c>
      <c r="L202" s="370">
        <v>3.2500000000000001E-2</v>
      </c>
      <c r="M202" s="224">
        <f t="shared" si="22"/>
        <v>1147.4000000000001</v>
      </c>
      <c r="N202" s="220">
        <f t="shared" si="23"/>
        <v>35569.279999999999</v>
      </c>
      <c r="O202" s="220">
        <f t="shared" si="24"/>
        <v>1213238.649999999</v>
      </c>
    </row>
    <row r="203" spans="1:15" hidden="1" outlineLevel="1" x14ac:dyDescent="0.2">
      <c r="B203" s="361" t="s">
        <v>199</v>
      </c>
      <c r="C203" s="220"/>
      <c r="G203" s="220">
        <f t="shared" si="25"/>
        <v>12886138.505071895</v>
      </c>
      <c r="I203" s="373">
        <v>40634</v>
      </c>
      <c r="J203" s="373">
        <v>40662</v>
      </c>
      <c r="K203" s="369">
        <f t="shared" si="21"/>
        <v>29</v>
      </c>
      <c r="L203" s="370">
        <v>3.2500000000000001E-2</v>
      </c>
      <c r="M203" s="224">
        <f t="shared" si="22"/>
        <v>33274.480000000003</v>
      </c>
      <c r="N203" s="220">
        <f t="shared" si="23"/>
        <v>33274.480000000003</v>
      </c>
      <c r="O203" s="220">
        <f t="shared" si="24"/>
        <v>1246513.129999999</v>
      </c>
    </row>
    <row r="204" spans="1:15" hidden="1" outlineLevel="1" x14ac:dyDescent="0.2">
      <c r="C204" s="220">
        <v>0</v>
      </c>
      <c r="F204" s="220">
        <f>C204</f>
        <v>0</v>
      </c>
      <c r="G204" s="220">
        <f t="shared" si="25"/>
        <v>12886138.505071895</v>
      </c>
      <c r="I204" s="373">
        <v>40663</v>
      </c>
      <c r="J204" s="373">
        <v>40663</v>
      </c>
      <c r="K204" s="369">
        <f t="shared" si="21"/>
        <v>1</v>
      </c>
      <c r="L204" s="370">
        <v>3.2500000000000001E-2</v>
      </c>
      <c r="M204" s="224">
        <f t="shared" si="22"/>
        <v>1147.4000000000001</v>
      </c>
      <c r="N204" s="220">
        <f t="shared" si="23"/>
        <v>34421.880000000005</v>
      </c>
      <c r="O204" s="220">
        <f t="shared" si="24"/>
        <v>1247660.5299999989</v>
      </c>
    </row>
    <row r="205" spans="1:15" hidden="1" outlineLevel="1" x14ac:dyDescent="0.2">
      <c r="B205" s="361" t="s">
        <v>200</v>
      </c>
      <c r="C205" s="220"/>
      <c r="G205" s="220">
        <f t="shared" si="25"/>
        <v>12886138.505071895</v>
      </c>
      <c r="I205" s="373">
        <v>40664</v>
      </c>
      <c r="J205" s="373">
        <v>40693</v>
      </c>
      <c r="K205" s="369">
        <f t="shared" si="21"/>
        <v>30</v>
      </c>
      <c r="L205" s="370">
        <v>3.2500000000000001E-2</v>
      </c>
      <c r="M205" s="224">
        <f t="shared" si="22"/>
        <v>34421.879999999997</v>
      </c>
      <c r="N205" s="220">
        <f t="shared" si="23"/>
        <v>34421.879999999997</v>
      </c>
      <c r="O205" s="220">
        <f t="shared" si="24"/>
        <v>1282082.4099999988</v>
      </c>
    </row>
    <row r="206" spans="1:15" hidden="1" outlineLevel="1" x14ac:dyDescent="0.2">
      <c r="C206" s="220">
        <v>-6056321.5016561672</v>
      </c>
      <c r="F206" s="220">
        <f>C206</f>
        <v>-6056321.5016561672</v>
      </c>
      <c r="G206" s="220">
        <f t="shared" si="25"/>
        <v>6829817.003415728</v>
      </c>
      <c r="I206" s="373">
        <v>40694</v>
      </c>
      <c r="J206" s="373">
        <v>40694</v>
      </c>
      <c r="K206" s="369">
        <f t="shared" si="21"/>
        <v>1</v>
      </c>
      <c r="L206" s="370">
        <v>3.2500000000000001E-2</v>
      </c>
      <c r="M206" s="224">
        <f t="shared" si="22"/>
        <v>608.13</v>
      </c>
      <c r="N206" s="220">
        <f t="shared" si="23"/>
        <v>35030.009999999995</v>
      </c>
      <c r="O206" s="220">
        <f t="shared" si="24"/>
        <v>1282690.5399999986</v>
      </c>
    </row>
    <row r="207" spans="1:15" hidden="1" outlineLevel="1" x14ac:dyDescent="0.2">
      <c r="B207" s="361" t="s">
        <v>201</v>
      </c>
      <c r="C207" s="220"/>
      <c r="G207" s="220">
        <f t="shared" si="25"/>
        <v>6829817.003415728</v>
      </c>
      <c r="I207" s="373">
        <v>40695</v>
      </c>
      <c r="J207" s="373">
        <v>40723</v>
      </c>
      <c r="K207" s="369">
        <f t="shared" si="21"/>
        <v>29</v>
      </c>
      <c r="L207" s="370">
        <v>3.2500000000000001E-2</v>
      </c>
      <c r="M207" s="224">
        <f t="shared" si="22"/>
        <v>17635.900000000001</v>
      </c>
      <c r="N207" s="220">
        <f t="shared" si="23"/>
        <v>17635.900000000001</v>
      </c>
      <c r="O207" s="220">
        <f t="shared" si="24"/>
        <v>1300326.4399999985</v>
      </c>
    </row>
    <row r="208" spans="1:15" hidden="1" outlineLevel="1" x14ac:dyDescent="0.2">
      <c r="C208" s="220">
        <v>1689533.2241270356</v>
      </c>
      <c r="F208" s="220">
        <f>C208</f>
        <v>1689533.2241270356</v>
      </c>
      <c r="G208" s="220">
        <f t="shared" si="25"/>
        <v>8519350.2275427636</v>
      </c>
      <c r="I208" s="373">
        <v>40724</v>
      </c>
      <c r="J208" s="373">
        <v>40724</v>
      </c>
      <c r="K208" s="369">
        <f t="shared" si="21"/>
        <v>1</v>
      </c>
      <c r="L208" s="370">
        <v>3.2500000000000001E-2</v>
      </c>
      <c r="M208" s="224">
        <f t="shared" si="22"/>
        <v>758.57</v>
      </c>
      <c r="N208" s="220">
        <f t="shared" si="23"/>
        <v>18394.47</v>
      </c>
      <c r="O208" s="220">
        <f t="shared" si="24"/>
        <v>1301085.0099999986</v>
      </c>
    </row>
    <row r="209" spans="1:15" hidden="1" outlineLevel="1" x14ac:dyDescent="0.2">
      <c r="B209" s="361" t="s">
        <v>190</v>
      </c>
      <c r="C209" s="220"/>
      <c r="G209" s="220">
        <f t="shared" si="25"/>
        <v>8519350.2275427636</v>
      </c>
      <c r="I209" s="373">
        <v>40725</v>
      </c>
      <c r="J209" s="373">
        <v>40754</v>
      </c>
      <c r="K209" s="369">
        <f t="shared" si="21"/>
        <v>30</v>
      </c>
      <c r="L209" s="370">
        <v>3.2500000000000001E-2</v>
      </c>
      <c r="M209" s="224">
        <f t="shared" si="22"/>
        <v>22757.17</v>
      </c>
      <c r="N209" s="220">
        <f t="shared" si="23"/>
        <v>22757.17</v>
      </c>
      <c r="O209" s="220">
        <f t="shared" si="24"/>
        <v>1323842.1799999985</v>
      </c>
    </row>
    <row r="210" spans="1:15" hidden="1" outlineLevel="1" x14ac:dyDescent="0.2">
      <c r="C210" s="220">
        <v>-4967037.5397893079</v>
      </c>
      <c r="F210" s="220">
        <f>C210</f>
        <v>-4967037.5397893079</v>
      </c>
      <c r="G210" s="220">
        <f t="shared" si="25"/>
        <v>3552312.6877534557</v>
      </c>
      <c r="I210" s="373">
        <v>40755</v>
      </c>
      <c r="J210" s="373">
        <v>40755</v>
      </c>
      <c r="K210" s="369">
        <f t="shared" si="21"/>
        <v>1</v>
      </c>
      <c r="L210" s="370">
        <v>3.2500000000000001E-2</v>
      </c>
      <c r="M210" s="224">
        <f t="shared" si="22"/>
        <v>316.3</v>
      </c>
      <c r="N210" s="220">
        <f t="shared" si="23"/>
        <v>23073.469999999998</v>
      </c>
      <c r="O210" s="220">
        <f t="shared" si="24"/>
        <v>1324158.4799999986</v>
      </c>
    </row>
    <row r="211" spans="1:15" hidden="1" outlineLevel="1" x14ac:dyDescent="0.2">
      <c r="B211" s="361" t="s">
        <v>191</v>
      </c>
      <c r="C211" s="220"/>
      <c r="G211" s="220">
        <f t="shared" si="25"/>
        <v>3552312.6877534557</v>
      </c>
      <c r="I211" s="373">
        <v>40756</v>
      </c>
      <c r="J211" s="373">
        <v>40785</v>
      </c>
      <c r="K211" s="369">
        <f t="shared" si="21"/>
        <v>30</v>
      </c>
      <c r="L211" s="370">
        <v>3.2500000000000001E-2</v>
      </c>
      <c r="M211" s="224">
        <f t="shared" si="22"/>
        <v>9489.0499999999993</v>
      </c>
      <c r="N211" s="220">
        <f t="shared" si="23"/>
        <v>9489.0499999999993</v>
      </c>
      <c r="O211" s="220">
        <f t="shared" si="24"/>
        <v>1333647.5299999986</v>
      </c>
    </row>
    <row r="212" spans="1:15" hidden="1" outlineLevel="1" x14ac:dyDescent="0.2">
      <c r="C212" s="220">
        <v>-6419099.9273890406</v>
      </c>
      <c r="F212" s="220">
        <f>C212</f>
        <v>-6419099.9273890406</v>
      </c>
      <c r="G212" s="220">
        <f t="shared" si="25"/>
        <v>-2866787.2396355849</v>
      </c>
      <c r="I212" s="373">
        <v>40786</v>
      </c>
      <c r="J212" s="373">
        <v>40786</v>
      </c>
      <c r="K212" s="369">
        <f t="shared" ref="K212:K275" si="26">+IF(+J212="","",+J212-(I212-1))</f>
        <v>1</v>
      </c>
      <c r="L212" s="370">
        <v>3.2500000000000001E-2</v>
      </c>
      <c r="M212" s="224">
        <f t="shared" si="22"/>
        <v>-255.26</v>
      </c>
      <c r="N212" s="220">
        <f t="shared" si="23"/>
        <v>9233.7899999999991</v>
      </c>
      <c r="O212" s="220">
        <f t="shared" si="24"/>
        <v>1333392.2699999986</v>
      </c>
    </row>
    <row r="213" spans="1:15" hidden="1" outlineLevel="1" x14ac:dyDescent="0.2">
      <c r="B213" s="361" t="s">
        <v>192</v>
      </c>
      <c r="C213" s="220"/>
      <c r="G213" s="220">
        <f t="shared" si="25"/>
        <v>-2866787.2396355849</v>
      </c>
      <c r="I213" s="373">
        <v>40787</v>
      </c>
      <c r="J213" s="373">
        <v>40815</v>
      </c>
      <c r="K213" s="369">
        <f t="shared" si="26"/>
        <v>29</v>
      </c>
      <c r="L213" s="370">
        <v>3.2500000000000001E-2</v>
      </c>
      <c r="M213" s="224">
        <f t="shared" si="22"/>
        <v>-7402.59</v>
      </c>
      <c r="N213" s="220">
        <f t="shared" si="23"/>
        <v>-7402.59</v>
      </c>
      <c r="O213" s="220">
        <f t="shared" si="24"/>
        <v>1325989.6799999985</v>
      </c>
    </row>
    <row r="214" spans="1:15" hidden="1" outlineLevel="1" x14ac:dyDescent="0.2">
      <c r="C214" s="220">
        <v>2646758.9382936172</v>
      </c>
      <c r="F214" s="220">
        <f>C214</f>
        <v>2646758.9382936172</v>
      </c>
      <c r="G214" s="220">
        <f t="shared" si="25"/>
        <v>-220028.30134196766</v>
      </c>
      <c r="I214" s="373">
        <v>40816</v>
      </c>
      <c r="J214" s="373">
        <v>40816</v>
      </c>
      <c r="K214" s="369">
        <f t="shared" si="26"/>
        <v>1</v>
      </c>
      <c r="L214" s="370">
        <v>3.2500000000000001E-2</v>
      </c>
      <c r="M214" s="224">
        <f t="shared" si="22"/>
        <v>-19.59</v>
      </c>
      <c r="N214" s="220">
        <f t="shared" si="23"/>
        <v>-7422.18</v>
      </c>
      <c r="O214" s="220">
        <f t="shared" si="24"/>
        <v>1325970.0899999985</v>
      </c>
    </row>
    <row r="215" spans="1:15" hidden="1" outlineLevel="1" x14ac:dyDescent="0.2">
      <c r="B215" s="361" t="s">
        <v>193</v>
      </c>
      <c r="C215" s="220"/>
      <c r="G215" s="220">
        <f t="shared" si="25"/>
        <v>-220028.30134196766</v>
      </c>
      <c r="I215" s="373">
        <v>40817</v>
      </c>
      <c r="J215" s="373">
        <v>40846</v>
      </c>
      <c r="K215" s="369">
        <f t="shared" si="26"/>
        <v>30</v>
      </c>
      <c r="L215" s="370">
        <v>3.2500000000000001E-2</v>
      </c>
      <c r="M215" s="224">
        <f t="shared" si="22"/>
        <v>-587.75</v>
      </c>
      <c r="N215" s="220">
        <f t="shared" si="23"/>
        <v>-587.75</v>
      </c>
      <c r="O215" s="220">
        <f t="shared" si="24"/>
        <v>1325382.3399999985</v>
      </c>
    </row>
    <row r="216" spans="1:15" hidden="1" outlineLevel="1" x14ac:dyDescent="0.2">
      <c r="C216" s="220">
        <v>3299561.9208000563</v>
      </c>
      <c r="F216" s="220">
        <f>C216</f>
        <v>3299561.9208000563</v>
      </c>
      <c r="G216" s="220">
        <f t="shared" si="25"/>
        <v>3079533.6194580887</v>
      </c>
      <c r="I216" s="373">
        <v>40847</v>
      </c>
      <c r="J216" s="373">
        <v>40847</v>
      </c>
      <c r="K216" s="369">
        <f t="shared" si="26"/>
        <v>1</v>
      </c>
      <c r="L216" s="370">
        <v>3.2500000000000001E-2</v>
      </c>
      <c r="M216" s="224">
        <f t="shared" ref="M216:M279" si="27">+IF(+K216&lt;&gt;" ", ROUND(L216*(K216/365)*G216,2),0)</f>
        <v>274.20999999999998</v>
      </c>
      <c r="N216" s="220">
        <f t="shared" si="23"/>
        <v>-313.54000000000002</v>
      </c>
      <c r="O216" s="220">
        <f t="shared" si="24"/>
        <v>1325656.5499999984</v>
      </c>
    </row>
    <row r="217" spans="1:15" hidden="1" outlineLevel="1" x14ac:dyDescent="0.2">
      <c r="B217" s="361" t="s">
        <v>194</v>
      </c>
      <c r="C217" s="220"/>
      <c r="G217" s="220">
        <f t="shared" si="25"/>
        <v>3079533.6194580887</v>
      </c>
      <c r="I217" s="373">
        <v>40848</v>
      </c>
      <c r="J217" s="373">
        <v>40876</v>
      </c>
      <c r="K217" s="369">
        <f t="shared" si="26"/>
        <v>29</v>
      </c>
      <c r="L217" s="370">
        <v>3.2500000000000001E-2</v>
      </c>
      <c r="M217" s="224">
        <f t="shared" si="27"/>
        <v>7951.95</v>
      </c>
      <c r="N217" s="220">
        <f t="shared" si="23"/>
        <v>7951.95</v>
      </c>
      <c r="O217" s="220">
        <f t="shared" si="24"/>
        <v>1333608.4999999984</v>
      </c>
    </row>
    <row r="218" spans="1:15" hidden="1" outlineLevel="1" x14ac:dyDescent="0.2">
      <c r="C218" s="220">
        <v>1163427.2930584177</v>
      </c>
      <c r="F218" s="220">
        <f>C218</f>
        <v>1163427.2930584177</v>
      </c>
      <c r="G218" s="220">
        <f t="shared" si="25"/>
        <v>4242960.9125165064</v>
      </c>
      <c r="I218" s="373">
        <v>40877</v>
      </c>
      <c r="J218" s="373">
        <v>40877</v>
      </c>
      <c r="K218" s="369">
        <f t="shared" si="26"/>
        <v>1</v>
      </c>
      <c r="L218" s="370">
        <v>3.2500000000000001E-2</v>
      </c>
      <c r="M218" s="224">
        <f t="shared" si="27"/>
        <v>377.8</v>
      </c>
      <c r="N218" s="220">
        <f t="shared" ref="N218:N281" si="28">IF(MONTH(+I218)&lt;&gt;MONTH(+I217),M218,+N217+M218)</f>
        <v>8329.75</v>
      </c>
      <c r="O218" s="220">
        <f t="shared" si="24"/>
        <v>1333986.2999999984</v>
      </c>
    </row>
    <row r="219" spans="1:15" hidden="1" outlineLevel="1" x14ac:dyDescent="0.2">
      <c r="B219" s="361" t="s">
        <v>195</v>
      </c>
      <c r="C219" s="220"/>
      <c r="G219" s="220">
        <f t="shared" si="25"/>
        <v>4242960.9125165064</v>
      </c>
      <c r="I219" s="373">
        <v>40878</v>
      </c>
      <c r="J219" s="373">
        <v>40907</v>
      </c>
      <c r="K219" s="369">
        <f t="shared" si="26"/>
        <v>30</v>
      </c>
      <c r="L219" s="370">
        <v>3.2500000000000001E-2</v>
      </c>
      <c r="M219" s="224">
        <f t="shared" si="27"/>
        <v>11333.94</v>
      </c>
      <c r="N219" s="220">
        <f t="shared" si="28"/>
        <v>11333.94</v>
      </c>
      <c r="O219" s="220">
        <f t="shared" ref="O219:O282" si="29">O218+M219</f>
        <v>1345320.2399999984</v>
      </c>
    </row>
    <row r="220" spans="1:15" hidden="1" outlineLevel="1" x14ac:dyDescent="0.2">
      <c r="C220" s="220">
        <v>1229268.8318022862</v>
      </c>
      <c r="F220" s="220">
        <f>C220</f>
        <v>1229268.8318022862</v>
      </c>
      <c r="G220" s="220">
        <f t="shared" si="25"/>
        <v>5472229.7443187926</v>
      </c>
      <c r="I220" s="373">
        <v>40908</v>
      </c>
      <c r="J220" s="373">
        <v>40908</v>
      </c>
      <c r="K220" s="369">
        <f t="shared" si="26"/>
        <v>1</v>
      </c>
      <c r="L220" s="370">
        <v>3.2500000000000001E-2</v>
      </c>
      <c r="M220" s="224">
        <f t="shared" si="27"/>
        <v>487.25</v>
      </c>
      <c r="N220" s="220">
        <f t="shared" si="28"/>
        <v>11821.19</v>
      </c>
      <c r="O220" s="220">
        <f t="shared" si="29"/>
        <v>1345807.4899999984</v>
      </c>
    </row>
    <row r="221" spans="1:15" hidden="1" outlineLevel="1" x14ac:dyDescent="0.2">
      <c r="A221" s="361" t="s">
        <v>291</v>
      </c>
      <c r="B221" s="361" t="s">
        <v>196</v>
      </c>
      <c r="G221" s="220">
        <f t="shared" si="25"/>
        <v>5472229.7443187926</v>
      </c>
      <c r="I221" s="373">
        <v>40909</v>
      </c>
      <c r="J221" s="373">
        <v>40938</v>
      </c>
      <c r="K221" s="369">
        <f t="shared" si="26"/>
        <v>30</v>
      </c>
      <c r="L221" s="370">
        <v>3.2500000000000001E-2</v>
      </c>
      <c r="M221" s="224">
        <f t="shared" si="27"/>
        <v>14617.6</v>
      </c>
      <c r="N221" s="220">
        <f t="shared" si="28"/>
        <v>14617.6</v>
      </c>
      <c r="O221" s="220">
        <f t="shared" si="29"/>
        <v>1360425.0899999985</v>
      </c>
    </row>
    <row r="222" spans="1:15" hidden="1" outlineLevel="1" x14ac:dyDescent="0.2">
      <c r="A222" s="374" t="s">
        <v>292</v>
      </c>
      <c r="C222" s="220">
        <v>0</v>
      </c>
      <c r="F222" s="220">
        <f>C222</f>
        <v>0</v>
      </c>
      <c r="G222" s="220">
        <f t="shared" si="25"/>
        <v>5472229.7443187926</v>
      </c>
      <c r="I222" s="373">
        <v>40939</v>
      </c>
      <c r="J222" s="373">
        <v>40939</v>
      </c>
      <c r="K222" s="369">
        <f t="shared" si="26"/>
        <v>1</v>
      </c>
      <c r="L222" s="370">
        <v>3.2500000000000001E-2</v>
      </c>
      <c r="M222" s="224">
        <f t="shared" si="27"/>
        <v>487.25</v>
      </c>
      <c r="N222" s="220">
        <f t="shared" si="28"/>
        <v>15104.85</v>
      </c>
      <c r="O222" s="220">
        <f t="shared" si="29"/>
        <v>1360912.3399999985</v>
      </c>
    </row>
    <row r="223" spans="1:15" hidden="1" outlineLevel="1" x14ac:dyDescent="0.2">
      <c r="B223" s="361" t="s">
        <v>197</v>
      </c>
      <c r="C223" s="220"/>
      <c r="G223" s="220">
        <f t="shared" si="25"/>
        <v>5472229.7443187926</v>
      </c>
      <c r="I223" s="373">
        <v>40940</v>
      </c>
      <c r="J223" s="373">
        <v>40967</v>
      </c>
      <c r="K223" s="369">
        <f t="shared" si="26"/>
        <v>28</v>
      </c>
      <c r="L223" s="370">
        <v>3.2500000000000001E-2</v>
      </c>
      <c r="M223" s="224">
        <f t="shared" si="27"/>
        <v>13643.09</v>
      </c>
      <c r="N223" s="220">
        <f t="shared" si="28"/>
        <v>13643.09</v>
      </c>
      <c r="O223" s="220">
        <f t="shared" si="29"/>
        <v>1374555.4299999985</v>
      </c>
    </row>
    <row r="224" spans="1:15" hidden="1" outlineLevel="1" x14ac:dyDescent="0.2">
      <c r="C224" s="220">
        <v>0</v>
      </c>
      <c r="F224" s="220">
        <f>C224</f>
        <v>0</v>
      </c>
      <c r="G224" s="220">
        <f t="shared" si="25"/>
        <v>5472229.7443187926</v>
      </c>
      <c r="I224" s="373">
        <v>40968</v>
      </c>
      <c r="J224" s="373">
        <v>40968</v>
      </c>
      <c r="K224" s="369">
        <f t="shared" si="26"/>
        <v>1</v>
      </c>
      <c r="L224" s="370">
        <v>3.2500000000000001E-2</v>
      </c>
      <c r="M224" s="224">
        <f t="shared" si="27"/>
        <v>487.25</v>
      </c>
      <c r="N224" s="220">
        <f t="shared" si="28"/>
        <v>14130.34</v>
      </c>
      <c r="O224" s="220">
        <f t="shared" si="29"/>
        <v>1375042.6799999985</v>
      </c>
    </row>
    <row r="225" spans="2:15" hidden="1" outlineLevel="1" x14ac:dyDescent="0.2">
      <c r="B225" s="361" t="s">
        <v>198</v>
      </c>
      <c r="C225" s="220"/>
      <c r="G225" s="220">
        <f t="shared" si="25"/>
        <v>5472229.7443187926</v>
      </c>
      <c r="I225" s="373">
        <v>40969</v>
      </c>
      <c r="J225" s="373">
        <v>40998</v>
      </c>
      <c r="K225" s="369">
        <f t="shared" si="26"/>
        <v>30</v>
      </c>
      <c r="L225" s="370">
        <v>3.2500000000000001E-2</v>
      </c>
      <c r="M225" s="224">
        <f t="shared" si="27"/>
        <v>14617.6</v>
      </c>
      <c r="N225" s="220">
        <f t="shared" si="28"/>
        <v>14617.6</v>
      </c>
      <c r="O225" s="220">
        <f t="shared" si="29"/>
        <v>1389660.2799999986</v>
      </c>
    </row>
    <row r="226" spans="2:15" ht="14.25" hidden="1" customHeight="1" outlineLevel="1" x14ac:dyDescent="0.2">
      <c r="C226" s="220">
        <v>-5788844.2089271396</v>
      </c>
      <c r="F226" s="220">
        <f>C226</f>
        <v>-5788844.2089271396</v>
      </c>
      <c r="G226" s="220">
        <f t="shared" si="25"/>
        <v>-316614.46460834704</v>
      </c>
      <c r="I226" s="373">
        <v>40999</v>
      </c>
      <c r="J226" s="373">
        <v>40999</v>
      </c>
      <c r="K226" s="369">
        <f t="shared" si="26"/>
        <v>1</v>
      </c>
      <c r="L226" s="370">
        <v>3.2500000000000001E-2</v>
      </c>
      <c r="M226" s="224">
        <f t="shared" si="27"/>
        <v>-28.19</v>
      </c>
      <c r="N226" s="220">
        <f t="shared" si="28"/>
        <v>14589.41</v>
      </c>
      <c r="O226" s="220">
        <f t="shared" si="29"/>
        <v>1389632.0899999987</v>
      </c>
    </row>
    <row r="227" spans="2:15" hidden="1" outlineLevel="1" x14ac:dyDescent="0.2">
      <c r="B227" s="361" t="s">
        <v>199</v>
      </c>
      <c r="C227" s="220"/>
      <c r="G227" s="220">
        <f t="shared" si="25"/>
        <v>-316614.46460834704</v>
      </c>
      <c r="I227" s="373">
        <v>41000</v>
      </c>
      <c r="J227" s="373">
        <v>41028</v>
      </c>
      <c r="K227" s="369">
        <f t="shared" si="26"/>
        <v>29</v>
      </c>
      <c r="L227" s="370">
        <v>3.2500000000000001E-2</v>
      </c>
      <c r="M227" s="224">
        <f t="shared" si="27"/>
        <v>-817.56</v>
      </c>
      <c r="N227" s="220">
        <f t="shared" si="28"/>
        <v>-817.56</v>
      </c>
      <c r="O227" s="220">
        <f t="shared" si="29"/>
        <v>1388814.5299999986</v>
      </c>
    </row>
    <row r="228" spans="2:15" hidden="1" outlineLevel="1" x14ac:dyDescent="0.2">
      <c r="C228" s="220">
        <v>-13870205.434479572</v>
      </c>
      <c r="F228" s="220">
        <f>C228</f>
        <v>-13870205.434479572</v>
      </c>
      <c r="G228" s="220">
        <f t="shared" si="25"/>
        <v>-14186819.899087919</v>
      </c>
      <c r="I228" s="373">
        <v>41029</v>
      </c>
      <c r="J228" s="373">
        <v>41029</v>
      </c>
      <c r="K228" s="369">
        <f t="shared" si="26"/>
        <v>1</v>
      </c>
      <c r="L228" s="370">
        <v>3.2500000000000001E-2</v>
      </c>
      <c r="M228" s="224">
        <f t="shared" si="27"/>
        <v>-1263.21</v>
      </c>
      <c r="N228" s="220">
        <f t="shared" si="28"/>
        <v>-2080.77</v>
      </c>
      <c r="O228" s="220">
        <f t="shared" si="29"/>
        <v>1387551.3199999987</v>
      </c>
    </row>
    <row r="229" spans="2:15" hidden="1" outlineLevel="1" x14ac:dyDescent="0.2">
      <c r="B229" s="361" t="s">
        <v>200</v>
      </c>
      <c r="C229" s="220"/>
      <c r="G229" s="224">
        <f t="shared" si="25"/>
        <v>-14186819.899087919</v>
      </c>
      <c r="I229" s="373">
        <v>41030</v>
      </c>
      <c r="J229" s="373">
        <v>41059</v>
      </c>
      <c r="K229" s="369">
        <f t="shared" si="26"/>
        <v>30</v>
      </c>
      <c r="L229" s="370">
        <v>3.2500000000000001E-2</v>
      </c>
      <c r="M229" s="224">
        <f t="shared" si="27"/>
        <v>-37896.300000000003</v>
      </c>
      <c r="N229" s="220">
        <f t="shared" si="28"/>
        <v>-37896.300000000003</v>
      </c>
      <c r="O229" s="220">
        <f t="shared" si="29"/>
        <v>1349655.0199999986</v>
      </c>
    </row>
    <row r="230" spans="2:15" hidden="1" outlineLevel="1" x14ac:dyDescent="0.2">
      <c r="C230" s="220">
        <v>-8621582.7622564156</v>
      </c>
      <c r="F230" s="220">
        <f>C230</f>
        <v>-8621582.7622564156</v>
      </c>
      <c r="G230" s="220">
        <f t="shared" si="25"/>
        <v>-22808402.661344334</v>
      </c>
      <c r="I230" s="373">
        <v>41060</v>
      </c>
      <c r="J230" s="373">
        <v>41060</v>
      </c>
      <c r="K230" s="369">
        <f t="shared" si="26"/>
        <v>1</v>
      </c>
      <c r="L230" s="370">
        <v>3.2500000000000001E-2</v>
      </c>
      <c r="M230" s="224">
        <f t="shared" si="27"/>
        <v>-2030.89</v>
      </c>
      <c r="N230" s="220">
        <f t="shared" si="28"/>
        <v>-39927.19</v>
      </c>
      <c r="O230" s="220">
        <f t="shared" si="29"/>
        <v>1347624.1299999987</v>
      </c>
    </row>
    <row r="231" spans="2:15" hidden="1" outlineLevel="1" x14ac:dyDescent="0.2">
      <c r="B231" s="361" t="s">
        <v>201</v>
      </c>
      <c r="C231" s="220"/>
      <c r="G231" s="220">
        <f t="shared" si="25"/>
        <v>-22808402.661344334</v>
      </c>
      <c r="I231" s="373">
        <v>41061</v>
      </c>
      <c r="J231" s="373">
        <v>41089</v>
      </c>
      <c r="K231" s="369">
        <f t="shared" si="26"/>
        <v>29</v>
      </c>
      <c r="L231" s="370">
        <v>3.2500000000000001E-2</v>
      </c>
      <c r="M231" s="224">
        <f t="shared" si="27"/>
        <v>-58895.67</v>
      </c>
      <c r="N231" s="220">
        <f t="shared" si="28"/>
        <v>-58895.67</v>
      </c>
      <c r="O231" s="220">
        <f t="shared" si="29"/>
        <v>1288728.4599999988</v>
      </c>
    </row>
    <row r="232" spans="2:15" hidden="1" outlineLevel="1" x14ac:dyDescent="0.2">
      <c r="C232" s="220">
        <v>2088435.904519029</v>
      </c>
      <c r="F232" s="220">
        <f>C232</f>
        <v>2088435.904519029</v>
      </c>
      <c r="G232" s="220">
        <f t="shared" si="25"/>
        <v>-20719966.756825306</v>
      </c>
      <c r="I232" s="373">
        <v>41090</v>
      </c>
      <c r="J232" s="373">
        <v>41090</v>
      </c>
      <c r="K232" s="369">
        <f t="shared" si="26"/>
        <v>1</v>
      </c>
      <c r="L232" s="370">
        <v>3.2500000000000001E-2</v>
      </c>
      <c r="M232" s="224">
        <f t="shared" si="27"/>
        <v>-1844.93</v>
      </c>
      <c r="N232" s="220">
        <f t="shared" si="28"/>
        <v>-60740.6</v>
      </c>
      <c r="O232" s="220">
        <f t="shared" si="29"/>
        <v>1286883.5299999989</v>
      </c>
    </row>
    <row r="233" spans="2:15" hidden="1" outlineLevel="1" x14ac:dyDescent="0.2">
      <c r="B233" s="361" t="s">
        <v>190</v>
      </c>
      <c r="C233" s="220"/>
      <c r="G233" s="220">
        <f t="shared" si="25"/>
        <v>-20719966.756825306</v>
      </c>
      <c r="I233" s="373">
        <v>41091</v>
      </c>
      <c r="J233" s="373">
        <v>41120</v>
      </c>
      <c r="K233" s="369">
        <f t="shared" si="26"/>
        <v>30</v>
      </c>
      <c r="L233" s="370">
        <v>3.2500000000000001E-2</v>
      </c>
      <c r="M233" s="224">
        <f t="shared" si="27"/>
        <v>-55347.86</v>
      </c>
      <c r="N233" s="220">
        <f t="shared" si="28"/>
        <v>-55347.86</v>
      </c>
      <c r="O233" s="220">
        <f t="shared" si="29"/>
        <v>1231535.6699999988</v>
      </c>
    </row>
    <row r="234" spans="2:15" hidden="1" outlineLevel="1" x14ac:dyDescent="0.2">
      <c r="C234" s="220">
        <v>1921453.5823402256</v>
      </c>
      <c r="F234" s="220">
        <f>C234</f>
        <v>1921453.5823402256</v>
      </c>
      <c r="G234" s="220">
        <f t="shared" ref="G234:G297" si="30">+G233+F234</f>
        <v>-18798513.17448508</v>
      </c>
      <c r="I234" s="373">
        <v>41121</v>
      </c>
      <c r="J234" s="373">
        <v>41121</v>
      </c>
      <c r="K234" s="369">
        <f t="shared" si="26"/>
        <v>1</v>
      </c>
      <c r="L234" s="370">
        <v>3.2500000000000001E-2</v>
      </c>
      <c r="M234" s="224">
        <f t="shared" si="27"/>
        <v>-1673.84</v>
      </c>
      <c r="N234" s="220">
        <f t="shared" si="28"/>
        <v>-57021.7</v>
      </c>
      <c r="O234" s="220">
        <f t="shared" si="29"/>
        <v>1229861.8299999987</v>
      </c>
    </row>
    <row r="235" spans="2:15" hidden="1" outlineLevel="1" x14ac:dyDescent="0.2">
      <c r="B235" s="361" t="s">
        <v>191</v>
      </c>
      <c r="C235" s="220"/>
      <c r="G235" s="220">
        <f t="shared" si="30"/>
        <v>-18798513.17448508</v>
      </c>
      <c r="I235" s="373">
        <v>41122</v>
      </c>
      <c r="J235" s="373">
        <v>41151</v>
      </c>
      <c r="K235" s="369">
        <f t="shared" si="26"/>
        <v>30</v>
      </c>
      <c r="L235" s="370">
        <v>3.2500000000000001E-2</v>
      </c>
      <c r="M235" s="224">
        <f t="shared" si="27"/>
        <v>-50215.21</v>
      </c>
      <c r="N235" s="220">
        <f t="shared" si="28"/>
        <v>-50215.21</v>
      </c>
      <c r="O235" s="220">
        <f t="shared" si="29"/>
        <v>1179646.6199999987</v>
      </c>
    </row>
    <row r="236" spans="2:15" hidden="1" outlineLevel="1" x14ac:dyDescent="0.2">
      <c r="C236" s="220">
        <v>1889889.9711744785</v>
      </c>
      <c r="F236" s="220">
        <f>C236</f>
        <v>1889889.9711744785</v>
      </c>
      <c r="G236" s="220">
        <f t="shared" si="30"/>
        <v>-16908623.203310601</v>
      </c>
      <c r="I236" s="373">
        <v>41152</v>
      </c>
      <c r="J236" s="373">
        <v>41152</v>
      </c>
      <c r="K236" s="369">
        <f t="shared" si="26"/>
        <v>1</v>
      </c>
      <c r="L236" s="370">
        <v>3.2500000000000001E-2</v>
      </c>
      <c r="M236" s="224">
        <f t="shared" si="27"/>
        <v>-1505.56</v>
      </c>
      <c r="N236" s="220">
        <f t="shared" si="28"/>
        <v>-51720.77</v>
      </c>
      <c r="O236" s="220">
        <f t="shared" si="29"/>
        <v>1178141.0599999987</v>
      </c>
    </row>
    <row r="237" spans="2:15" hidden="1" outlineLevel="1" x14ac:dyDescent="0.2">
      <c r="B237" s="361" t="s">
        <v>192</v>
      </c>
      <c r="C237" s="220"/>
      <c r="G237" s="220">
        <f t="shared" si="30"/>
        <v>-16908623.203310601</v>
      </c>
      <c r="I237" s="373">
        <v>41153</v>
      </c>
      <c r="J237" s="373">
        <v>41181</v>
      </c>
      <c r="K237" s="369">
        <f t="shared" si="26"/>
        <v>29</v>
      </c>
      <c r="L237" s="370">
        <v>3.2500000000000001E-2</v>
      </c>
      <c r="M237" s="224">
        <f t="shared" si="27"/>
        <v>-43661.31</v>
      </c>
      <c r="N237" s="220">
        <f t="shared" si="28"/>
        <v>-43661.31</v>
      </c>
      <c r="O237" s="220">
        <f t="shared" si="29"/>
        <v>1134479.7499999986</v>
      </c>
    </row>
    <row r="238" spans="2:15" hidden="1" outlineLevel="1" x14ac:dyDescent="0.2">
      <c r="C238" s="220">
        <v>12442630.395919027</v>
      </c>
      <c r="F238" s="220">
        <f>C238</f>
        <v>12442630.395919027</v>
      </c>
      <c r="G238" s="220">
        <f t="shared" si="30"/>
        <v>-4465992.8073915746</v>
      </c>
      <c r="I238" s="373">
        <v>41182</v>
      </c>
      <c r="J238" s="373">
        <v>41182</v>
      </c>
      <c r="K238" s="369">
        <f t="shared" si="26"/>
        <v>1</v>
      </c>
      <c r="L238" s="370">
        <v>3.2500000000000001E-2</v>
      </c>
      <c r="M238" s="224">
        <f t="shared" si="27"/>
        <v>-397.66</v>
      </c>
      <c r="N238" s="220">
        <f t="shared" si="28"/>
        <v>-44058.97</v>
      </c>
      <c r="O238" s="220">
        <f t="shared" si="29"/>
        <v>1134082.0899999987</v>
      </c>
    </row>
    <row r="239" spans="2:15" hidden="1" outlineLevel="1" x14ac:dyDescent="0.2">
      <c r="B239" s="361" t="s">
        <v>193</v>
      </c>
      <c r="C239" s="220"/>
      <c r="G239" s="220">
        <f t="shared" si="30"/>
        <v>-4465992.8073915746</v>
      </c>
      <c r="I239" s="373">
        <v>41183</v>
      </c>
      <c r="J239" s="373">
        <v>41212</v>
      </c>
      <c r="K239" s="369">
        <f t="shared" si="26"/>
        <v>30</v>
      </c>
      <c r="L239" s="370">
        <v>3.2500000000000001E-2</v>
      </c>
      <c r="M239" s="224">
        <f t="shared" si="27"/>
        <v>-11929.71</v>
      </c>
      <c r="N239" s="220">
        <f t="shared" si="28"/>
        <v>-11929.71</v>
      </c>
      <c r="O239" s="220">
        <f t="shared" si="29"/>
        <v>1122152.3799999987</v>
      </c>
    </row>
    <row r="240" spans="2:15" hidden="1" outlineLevel="1" x14ac:dyDescent="0.2">
      <c r="C240" s="220">
        <v>2486148.2031997852</v>
      </c>
      <c r="F240" s="220">
        <f>C240</f>
        <v>2486148.2031997852</v>
      </c>
      <c r="G240" s="220">
        <f t="shared" si="30"/>
        <v>-1979844.6041917894</v>
      </c>
      <c r="I240" s="373">
        <v>41213</v>
      </c>
      <c r="J240" s="373">
        <v>41213</v>
      </c>
      <c r="K240" s="369">
        <f t="shared" si="26"/>
        <v>1</v>
      </c>
      <c r="L240" s="370">
        <v>3.2500000000000001E-2</v>
      </c>
      <c r="M240" s="224">
        <f t="shared" si="27"/>
        <v>-176.29</v>
      </c>
      <c r="N240" s="220">
        <f t="shared" si="28"/>
        <v>-12106</v>
      </c>
      <c r="O240" s="220">
        <f t="shared" si="29"/>
        <v>1121976.0899999987</v>
      </c>
    </row>
    <row r="241" spans="1:15" hidden="1" outlineLevel="1" x14ac:dyDescent="0.2">
      <c r="B241" s="361" t="s">
        <v>194</v>
      </c>
      <c r="C241" s="220"/>
      <c r="G241" s="220">
        <f t="shared" si="30"/>
        <v>-1979844.6041917894</v>
      </c>
      <c r="I241" s="373">
        <v>41214</v>
      </c>
      <c r="J241" s="373">
        <v>41242</v>
      </c>
      <c r="K241" s="369">
        <f t="shared" si="26"/>
        <v>29</v>
      </c>
      <c r="L241" s="370">
        <v>3.2500000000000001E-2</v>
      </c>
      <c r="M241" s="224">
        <f t="shared" si="27"/>
        <v>-5112.34</v>
      </c>
      <c r="N241" s="220">
        <f t="shared" si="28"/>
        <v>-5112.34</v>
      </c>
      <c r="O241" s="220">
        <f t="shared" si="29"/>
        <v>1116863.7499999986</v>
      </c>
    </row>
    <row r="242" spans="1:15" hidden="1" outlineLevel="1" x14ac:dyDescent="0.2">
      <c r="C242" s="220">
        <v>4293361.0231290031</v>
      </c>
      <c r="F242" s="220">
        <f>C242</f>
        <v>4293361.0231290031</v>
      </c>
      <c r="G242" s="220">
        <f t="shared" si="30"/>
        <v>2313516.4189372137</v>
      </c>
      <c r="I242" s="373">
        <v>41243</v>
      </c>
      <c r="J242" s="373">
        <v>41243</v>
      </c>
      <c r="K242" s="369">
        <f t="shared" si="26"/>
        <v>1</v>
      </c>
      <c r="L242" s="370">
        <v>3.2500000000000001E-2</v>
      </c>
      <c r="M242" s="224">
        <f t="shared" si="27"/>
        <v>206</v>
      </c>
      <c r="N242" s="220">
        <f t="shared" si="28"/>
        <v>-4906.34</v>
      </c>
      <c r="O242" s="220">
        <f t="shared" si="29"/>
        <v>1117069.7499999986</v>
      </c>
    </row>
    <row r="243" spans="1:15" hidden="1" outlineLevel="1" x14ac:dyDescent="0.2">
      <c r="B243" s="361" t="s">
        <v>195</v>
      </c>
      <c r="C243" s="220"/>
      <c r="G243" s="220">
        <f t="shared" si="30"/>
        <v>2313516.4189372137</v>
      </c>
      <c r="I243" s="373">
        <v>41244</v>
      </c>
      <c r="J243" s="373">
        <v>41273</v>
      </c>
      <c r="K243" s="369">
        <f t="shared" si="26"/>
        <v>30</v>
      </c>
      <c r="L243" s="370">
        <v>3.2500000000000001E-2</v>
      </c>
      <c r="M243" s="224">
        <f t="shared" si="27"/>
        <v>6179.94</v>
      </c>
      <c r="N243" s="220">
        <f t="shared" si="28"/>
        <v>6179.94</v>
      </c>
      <c r="O243" s="220">
        <f t="shared" si="29"/>
        <v>1123249.6899999985</v>
      </c>
    </row>
    <row r="244" spans="1:15" hidden="1" outlineLevel="1" x14ac:dyDescent="0.2">
      <c r="C244" s="220">
        <v>336431.34688021429</v>
      </c>
      <c r="F244" s="220">
        <f>C244</f>
        <v>336431.34688021429</v>
      </c>
      <c r="G244" s="220">
        <f t="shared" si="30"/>
        <v>2649947.765817428</v>
      </c>
      <c r="I244" s="373">
        <v>41274</v>
      </c>
      <c r="J244" s="373">
        <v>41274</v>
      </c>
      <c r="K244" s="369">
        <f t="shared" si="26"/>
        <v>1</v>
      </c>
      <c r="L244" s="370">
        <v>3.2500000000000001E-2</v>
      </c>
      <c r="M244" s="224">
        <f t="shared" si="27"/>
        <v>235.95</v>
      </c>
      <c r="N244" s="220">
        <f t="shared" si="28"/>
        <v>6415.8899999999994</v>
      </c>
      <c r="O244" s="220">
        <f t="shared" si="29"/>
        <v>1123485.6399999985</v>
      </c>
    </row>
    <row r="245" spans="1:15" s="351" customFormat="1" hidden="1" outlineLevel="1" x14ac:dyDescent="0.2">
      <c r="A245" s="351" t="s">
        <v>293</v>
      </c>
      <c r="B245" s="351" t="s">
        <v>196</v>
      </c>
      <c r="G245" s="224">
        <f t="shared" si="30"/>
        <v>2649947.765817428</v>
      </c>
      <c r="I245" s="375">
        <v>41275</v>
      </c>
      <c r="J245" s="375">
        <v>41304</v>
      </c>
      <c r="K245" s="369">
        <f t="shared" si="26"/>
        <v>30</v>
      </c>
      <c r="L245" s="372">
        <v>3.2500000000000001E-2</v>
      </c>
      <c r="M245" s="224">
        <f t="shared" si="27"/>
        <v>7078.63</v>
      </c>
      <c r="N245" s="224">
        <f t="shared" si="28"/>
        <v>7078.63</v>
      </c>
      <c r="O245" s="224">
        <f t="shared" si="29"/>
        <v>1130564.2699999984</v>
      </c>
    </row>
    <row r="246" spans="1:15" s="351" customFormat="1" hidden="1" outlineLevel="1" x14ac:dyDescent="0.2">
      <c r="A246" s="376" t="s">
        <v>294</v>
      </c>
      <c r="C246" s="224">
        <v>0</v>
      </c>
      <c r="F246" s="224">
        <f>C246</f>
        <v>0</v>
      </c>
      <c r="G246" s="224">
        <f t="shared" si="30"/>
        <v>2649947.765817428</v>
      </c>
      <c r="I246" s="375">
        <v>41305</v>
      </c>
      <c r="J246" s="375">
        <v>41305</v>
      </c>
      <c r="K246" s="369">
        <f t="shared" si="26"/>
        <v>1</v>
      </c>
      <c r="L246" s="372">
        <v>3.2500000000000001E-2</v>
      </c>
      <c r="M246" s="224">
        <f t="shared" si="27"/>
        <v>235.95</v>
      </c>
      <c r="N246" s="224">
        <f t="shared" si="28"/>
        <v>7314.58</v>
      </c>
      <c r="O246" s="224">
        <f t="shared" si="29"/>
        <v>1130800.2199999983</v>
      </c>
    </row>
    <row r="247" spans="1:15" s="351" customFormat="1" hidden="1" outlineLevel="1" x14ac:dyDescent="0.2">
      <c r="B247" s="351" t="s">
        <v>197</v>
      </c>
      <c r="C247" s="224"/>
      <c r="G247" s="224">
        <f t="shared" si="30"/>
        <v>2649947.765817428</v>
      </c>
      <c r="I247" s="375">
        <v>41306</v>
      </c>
      <c r="J247" s="375">
        <v>41332</v>
      </c>
      <c r="K247" s="369">
        <f t="shared" si="26"/>
        <v>27</v>
      </c>
      <c r="L247" s="372">
        <v>3.2500000000000001E-2</v>
      </c>
      <c r="M247" s="224">
        <f t="shared" si="27"/>
        <v>6370.76</v>
      </c>
      <c r="N247" s="224">
        <f t="shared" si="28"/>
        <v>6370.76</v>
      </c>
      <c r="O247" s="224">
        <f t="shared" si="29"/>
        <v>1137170.9799999984</v>
      </c>
    </row>
    <row r="248" spans="1:15" s="351" customFormat="1" hidden="1" outlineLevel="1" x14ac:dyDescent="0.2">
      <c r="C248" s="224">
        <v>0</v>
      </c>
      <c r="F248" s="224">
        <f>C248</f>
        <v>0</v>
      </c>
      <c r="G248" s="224">
        <f t="shared" si="30"/>
        <v>2649947.765817428</v>
      </c>
      <c r="I248" s="375">
        <v>41333</v>
      </c>
      <c r="J248" s="375">
        <v>41333</v>
      </c>
      <c r="K248" s="369">
        <f t="shared" si="26"/>
        <v>1</v>
      </c>
      <c r="L248" s="372">
        <v>3.2500000000000001E-2</v>
      </c>
      <c r="M248" s="224">
        <f t="shared" si="27"/>
        <v>235.95</v>
      </c>
      <c r="N248" s="224">
        <f t="shared" si="28"/>
        <v>6606.71</v>
      </c>
      <c r="O248" s="224">
        <f t="shared" si="29"/>
        <v>1137406.9299999983</v>
      </c>
    </row>
    <row r="249" spans="1:15" s="351" customFormat="1" hidden="1" outlineLevel="1" x14ac:dyDescent="0.2">
      <c r="B249" s="351" t="s">
        <v>198</v>
      </c>
      <c r="C249" s="224"/>
      <c r="G249" s="224">
        <f t="shared" si="30"/>
        <v>2649947.765817428</v>
      </c>
      <c r="I249" s="375">
        <v>41334</v>
      </c>
      <c r="J249" s="375">
        <v>41363</v>
      </c>
      <c r="K249" s="369">
        <f t="shared" si="26"/>
        <v>30</v>
      </c>
      <c r="L249" s="372">
        <v>3.2500000000000001E-2</v>
      </c>
      <c r="M249" s="224">
        <f t="shared" si="27"/>
        <v>7078.63</v>
      </c>
      <c r="N249" s="224">
        <f t="shared" si="28"/>
        <v>7078.63</v>
      </c>
      <c r="O249" s="224">
        <f t="shared" si="29"/>
        <v>1144485.5599999982</v>
      </c>
    </row>
    <row r="250" spans="1:15" s="351" customFormat="1" ht="14.25" hidden="1" customHeight="1" outlineLevel="1" x14ac:dyDescent="0.2">
      <c r="C250" s="224">
        <v>0</v>
      </c>
      <c r="F250" s="224">
        <f>C250</f>
        <v>0</v>
      </c>
      <c r="G250" s="224">
        <f t="shared" si="30"/>
        <v>2649947.765817428</v>
      </c>
      <c r="I250" s="375">
        <v>41364</v>
      </c>
      <c r="J250" s="375">
        <v>41364</v>
      </c>
      <c r="K250" s="369">
        <f t="shared" si="26"/>
        <v>1</v>
      </c>
      <c r="L250" s="372">
        <v>3.2500000000000001E-2</v>
      </c>
      <c r="M250" s="224">
        <f t="shared" si="27"/>
        <v>235.95</v>
      </c>
      <c r="N250" s="224">
        <f t="shared" si="28"/>
        <v>7314.58</v>
      </c>
      <c r="O250" s="224">
        <f t="shared" si="29"/>
        <v>1144721.5099999981</v>
      </c>
    </row>
    <row r="251" spans="1:15" s="351" customFormat="1" hidden="1" outlineLevel="1" x14ac:dyDescent="0.2">
      <c r="B251" s="351" t="s">
        <v>199</v>
      </c>
      <c r="C251" s="224"/>
      <c r="G251" s="224">
        <f t="shared" si="30"/>
        <v>2649947.765817428</v>
      </c>
      <c r="I251" s="375">
        <v>41365</v>
      </c>
      <c r="J251" s="375">
        <v>41393</v>
      </c>
      <c r="K251" s="369">
        <f t="shared" si="26"/>
        <v>29</v>
      </c>
      <c r="L251" s="372">
        <v>3.2500000000000001E-2</v>
      </c>
      <c r="M251" s="224">
        <f t="shared" si="27"/>
        <v>6842.67</v>
      </c>
      <c r="N251" s="224">
        <f t="shared" si="28"/>
        <v>6842.67</v>
      </c>
      <c r="O251" s="224">
        <f t="shared" si="29"/>
        <v>1151564.1799999981</v>
      </c>
    </row>
    <row r="252" spans="1:15" s="351" customFormat="1" hidden="1" outlineLevel="1" x14ac:dyDescent="0.2">
      <c r="C252" s="224">
        <v>-4247681.3139492068</v>
      </c>
      <c r="F252" s="224">
        <f>C252</f>
        <v>-4247681.3139492068</v>
      </c>
      <c r="G252" s="224">
        <f t="shared" si="30"/>
        <v>-1597733.5481317788</v>
      </c>
      <c r="I252" s="375">
        <v>41394</v>
      </c>
      <c r="J252" s="375">
        <v>41394</v>
      </c>
      <c r="K252" s="369">
        <f t="shared" si="26"/>
        <v>1</v>
      </c>
      <c r="L252" s="372">
        <v>3.2500000000000001E-2</v>
      </c>
      <c r="M252" s="224">
        <f t="shared" si="27"/>
        <v>-142.26</v>
      </c>
      <c r="N252" s="224">
        <f t="shared" si="28"/>
        <v>6700.41</v>
      </c>
      <c r="O252" s="224">
        <f t="shared" si="29"/>
        <v>1151421.9199999981</v>
      </c>
    </row>
    <row r="253" spans="1:15" s="351" customFormat="1" hidden="1" outlineLevel="1" x14ac:dyDescent="0.2">
      <c r="B253" s="351" t="s">
        <v>200</v>
      </c>
      <c r="C253" s="224"/>
      <c r="G253" s="224">
        <f t="shared" si="30"/>
        <v>-1597733.5481317788</v>
      </c>
      <c r="I253" s="375">
        <v>41395</v>
      </c>
      <c r="J253" s="375">
        <v>41424</v>
      </c>
      <c r="K253" s="369">
        <f t="shared" si="26"/>
        <v>30</v>
      </c>
      <c r="L253" s="372">
        <v>3.2500000000000001E-2</v>
      </c>
      <c r="M253" s="224">
        <f t="shared" si="27"/>
        <v>-4267.92</v>
      </c>
      <c r="N253" s="224">
        <f t="shared" si="28"/>
        <v>-4267.92</v>
      </c>
      <c r="O253" s="224">
        <f t="shared" si="29"/>
        <v>1147153.9999999981</v>
      </c>
    </row>
    <row r="254" spans="1:15" s="351" customFormat="1" hidden="1" outlineLevel="1" x14ac:dyDescent="0.2">
      <c r="C254" s="224">
        <v>-4194083.2077836264</v>
      </c>
      <c r="F254" s="224">
        <f>C254</f>
        <v>-4194083.2077836264</v>
      </c>
      <c r="G254" s="224">
        <f t="shared" si="30"/>
        <v>-5791816.7559154052</v>
      </c>
      <c r="I254" s="375">
        <v>41425</v>
      </c>
      <c r="J254" s="375">
        <v>41425</v>
      </c>
      <c r="K254" s="369">
        <f t="shared" si="26"/>
        <v>1</v>
      </c>
      <c r="L254" s="372">
        <v>3.2500000000000001E-2</v>
      </c>
      <c r="M254" s="224">
        <f t="shared" si="27"/>
        <v>-515.71</v>
      </c>
      <c r="N254" s="224">
        <f t="shared" si="28"/>
        <v>-4783.63</v>
      </c>
      <c r="O254" s="224">
        <f t="shared" si="29"/>
        <v>1146638.2899999982</v>
      </c>
    </row>
    <row r="255" spans="1:15" s="351" customFormat="1" hidden="1" outlineLevel="1" x14ac:dyDescent="0.2">
      <c r="B255" s="351" t="s">
        <v>201</v>
      </c>
      <c r="C255" s="224"/>
      <c r="G255" s="224">
        <f t="shared" si="30"/>
        <v>-5791816.7559154052</v>
      </c>
      <c r="I255" s="375">
        <v>41426</v>
      </c>
      <c r="J255" s="375">
        <v>41454</v>
      </c>
      <c r="K255" s="369">
        <f t="shared" si="26"/>
        <v>29</v>
      </c>
      <c r="L255" s="372">
        <v>3.2500000000000001E-2</v>
      </c>
      <c r="M255" s="224">
        <f t="shared" si="27"/>
        <v>-14955.58</v>
      </c>
      <c r="N255" s="224">
        <f t="shared" si="28"/>
        <v>-14955.58</v>
      </c>
      <c r="O255" s="224">
        <f t="shared" si="29"/>
        <v>1131682.7099999981</v>
      </c>
    </row>
    <row r="256" spans="1:15" s="351" customFormat="1" hidden="1" outlineLevel="1" x14ac:dyDescent="0.2">
      <c r="C256" s="224">
        <v>-1065512.9265041091</v>
      </c>
      <c r="F256" s="224">
        <f>C256</f>
        <v>-1065512.9265041091</v>
      </c>
      <c r="G256" s="224">
        <f t="shared" si="30"/>
        <v>-6857329.6824195143</v>
      </c>
      <c r="I256" s="375">
        <v>41455</v>
      </c>
      <c r="J256" s="375">
        <v>41455</v>
      </c>
      <c r="K256" s="369">
        <f t="shared" si="26"/>
        <v>1</v>
      </c>
      <c r="L256" s="372">
        <v>3.2500000000000001E-2</v>
      </c>
      <c r="M256" s="224">
        <f t="shared" si="27"/>
        <v>-610.58000000000004</v>
      </c>
      <c r="N256" s="224">
        <f t="shared" si="28"/>
        <v>-15566.16</v>
      </c>
      <c r="O256" s="224">
        <f t="shared" si="29"/>
        <v>1131072.129999998</v>
      </c>
    </row>
    <row r="257" spans="1:15" s="351" customFormat="1" hidden="1" outlineLevel="1" x14ac:dyDescent="0.2">
      <c r="B257" s="351" t="s">
        <v>190</v>
      </c>
      <c r="C257" s="224"/>
      <c r="G257" s="224">
        <f t="shared" si="30"/>
        <v>-6857329.6824195143</v>
      </c>
      <c r="I257" s="375">
        <v>41456</v>
      </c>
      <c r="J257" s="375">
        <v>41485</v>
      </c>
      <c r="K257" s="369">
        <f t="shared" si="26"/>
        <v>30</v>
      </c>
      <c r="L257" s="372">
        <v>3.2500000000000001E-2</v>
      </c>
      <c r="M257" s="224">
        <f t="shared" si="27"/>
        <v>-18317.52</v>
      </c>
      <c r="N257" s="224">
        <f t="shared" si="28"/>
        <v>-18317.52</v>
      </c>
      <c r="O257" s="224">
        <f t="shared" si="29"/>
        <v>1112754.609999998</v>
      </c>
    </row>
    <row r="258" spans="1:15" s="351" customFormat="1" hidden="1" outlineLevel="1" x14ac:dyDescent="0.2">
      <c r="C258" s="224">
        <v>-5433518.7040832303</v>
      </c>
      <c r="F258" s="224">
        <f>C258</f>
        <v>-5433518.7040832303</v>
      </c>
      <c r="G258" s="224">
        <f t="shared" si="30"/>
        <v>-12290848.386502745</v>
      </c>
      <c r="I258" s="375">
        <v>41486</v>
      </c>
      <c r="J258" s="375">
        <v>41486</v>
      </c>
      <c r="K258" s="369">
        <f t="shared" si="26"/>
        <v>1</v>
      </c>
      <c r="L258" s="372">
        <v>3.2500000000000001E-2</v>
      </c>
      <c r="M258" s="224">
        <f t="shared" si="27"/>
        <v>-1094.3900000000001</v>
      </c>
      <c r="N258" s="224">
        <f t="shared" si="28"/>
        <v>-19411.91</v>
      </c>
      <c r="O258" s="224">
        <f t="shared" si="29"/>
        <v>1111660.2199999981</v>
      </c>
    </row>
    <row r="259" spans="1:15" s="351" customFormat="1" hidden="1" outlineLevel="1" x14ac:dyDescent="0.2">
      <c r="B259" s="351" t="s">
        <v>191</v>
      </c>
      <c r="C259" s="224"/>
      <c r="G259" s="224">
        <f t="shared" si="30"/>
        <v>-12290848.386502745</v>
      </c>
      <c r="I259" s="375">
        <v>41487</v>
      </c>
      <c r="J259" s="375">
        <v>41516</v>
      </c>
      <c r="K259" s="369">
        <f t="shared" si="26"/>
        <v>30</v>
      </c>
      <c r="L259" s="372">
        <v>3.2500000000000001E-2</v>
      </c>
      <c r="M259" s="224">
        <f t="shared" si="27"/>
        <v>-32831.72</v>
      </c>
      <c r="N259" s="224">
        <f t="shared" si="28"/>
        <v>-32831.72</v>
      </c>
      <c r="O259" s="224">
        <f t="shared" si="29"/>
        <v>1078828.4999999981</v>
      </c>
    </row>
    <row r="260" spans="1:15" s="351" customFormat="1" hidden="1" outlineLevel="1" x14ac:dyDescent="0.2">
      <c r="C260" s="224">
        <v>-3140270.4154616632</v>
      </c>
      <c r="F260" s="224">
        <f>C260</f>
        <v>-3140270.4154616632</v>
      </c>
      <c r="G260" s="224">
        <f t="shared" si="30"/>
        <v>-15431118.801964408</v>
      </c>
      <c r="I260" s="375">
        <v>41517</v>
      </c>
      <c r="J260" s="375">
        <v>41517</v>
      </c>
      <c r="K260" s="369">
        <f t="shared" si="26"/>
        <v>1</v>
      </c>
      <c r="L260" s="372">
        <v>3.2500000000000001E-2</v>
      </c>
      <c r="M260" s="224">
        <f t="shared" si="27"/>
        <v>-1374</v>
      </c>
      <c r="N260" s="224">
        <f t="shared" si="28"/>
        <v>-34205.72</v>
      </c>
      <c r="O260" s="224">
        <f t="shared" si="29"/>
        <v>1077454.4999999981</v>
      </c>
    </row>
    <row r="261" spans="1:15" s="351" customFormat="1" hidden="1" outlineLevel="1" x14ac:dyDescent="0.2">
      <c r="B261" s="351" t="s">
        <v>192</v>
      </c>
      <c r="C261" s="224"/>
      <c r="G261" s="224">
        <f t="shared" si="30"/>
        <v>-15431118.801964408</v>
      </c>
      <c r="I261" s="375">
        <v>41518</v>
      </c>
      <c r="J261" s="375">
        <v>41546</v>
      </c>
      <c r="K261" s="369">
        <f t="shared" si="26"/>
        <v>29</v>
      </c>
      <c r="L261" s="372">
        <v>3.2500000000000001E-2</v>
      </c>
      <c r="M261" s="224">
        <f t="shared" si="27"/>
        <v>-39846.11</v>
      </c>
      <c r="N261" s="224">
        <f t="shared" si="28"/>
        <v>-39846.11</v>
      </c>
      <c r="O261" s="224">
        <f t="shared" si="29"/>
        <v>1037608.3899999982</v>
      </c>
    </row>
    <row r="262" spans="1:15" s="351" customFormat="1" hidden="1" outlineLevel="1" x14ac:dyDescent="0.2">
      <c r="C262" s="224">
        <v>-2197477.9712012503</v>
      </c>
      <c r="F262" s="224">
        <f>C262</f>
        <v>-2197477.9712012503</v>
      </c>
      <c r="G262" s="224">
        <f t="shared" si="30"/>
        <v>-17628596.773165658</v>
      </c>
      <c r="I262" s="375">
        <v>41547</v>
      </c>
      <c r="J262" s="375">
        <v>41547</v>
      </c>
      <c r="K262" s="369">
        <f t="shared" si="26"/>
        <v>1</v>
      </c>
      <c r="L262" s="372">
        <v>3.2500000000000001E-2</v>
      </c>
      <c r="M262" s="224">
        <f t="shared" si="27"/>
        <v>-1569.67</v>
      </c>
      <c r="N262" s="224">
        <f t="shared" si="28"/>
        <v>-41415.78</v>
      </c>
      <c r="O262" s="224">
        <f t="shared" si="29"/>
        <v>1036038.7199999981</v>
      </c>
    </row>
    <row r="263" spans="1:15" s="351" customFormat="1" hidden="1" outlineLevel="1" x14ac:dyDescent="0.2">
      <c r="B263" s="351" t="s">
        <v>193</v>
      </c>
      <c r="C263" s="224"/>
      <c r="G263" s="224">
        <f t="shared" si="30"/>
        <v>-17628596.773165658</v>
      </c>
      <c r="I263" s="375">
        <v>41548</v>
      </c>
      <c r="J263" s="375">
        <v>41577</v>
      </c>
      <c r="K263" s="369">
        <f t="shared" si="26"/>
        <v>30</v>
      </c>
      <c r="L263" s="372">
        <v>3.2500000000000001E-2</v>
      </c>
      <c r="M263" s="224">
        <f t="shared" si="27"/>
        <v>-47090.09</v>
      </c>
      <c r="N263" s="224">
        <f t="shared" si="28"/>
        <v>-47090.09</v>
      </c>
      <c r="O263" s="224">
        <f t="shared" si="29"/>
        <v>988948.62999999814</v>
      </c>
    </row>
    <row r="264" spans="1:15" s="351" customFormat="1" hidden="1" outlineLevel="1" x14ac:dyDescent="0.2">
      <c r="C264" s="224">
        <v>-2051019.1502261162</v>
      </c>
      <c r="F264" s="224">
        <f>C264</f>
        <v>-2051019.1502261162</v>
      </c>
      <c r="G264" s="224">
        <f t="shared" si="30"/>
        <v>-19679615.923391774</v>
      </c>
      <c r="I264" s="375">
        <v>41578</v>
      </c>
      <c r="J264" s="375">
        <v>41578</v>
      </c>
      <c r="K264" s="369">
        <f t="shared" si="26"/>
        <v>1</v>
      </c>
      <c r="L264" s="372">
        <v>3.2500000000000001E-2</v>
      </c>
      <c r="M264" s="224">
        <f t="shared" si="27"/>
        <v>-1752.29</v>
      </c>
      <c r="N264" s="224">
        <f t="shared" si="28"/>
        <v>-48842.38</v>
      </c>
      <c r="O264" s="224">
        <f t="shared" si="29"/>
        <v>987196.3399999981</v>
      </c>
    </row>
    <row r="265" spans="1:15" s="351" customFormat="1" hidden="1" outlineLevel="1" x14ac:dyDescent="0.2">
      <c r="B265" s="351" t="s">
        <v>194</v>
      </c>
      <c r="C265" s="224"/>
      <c r="G265" s="224">
        <f t="shared" si="30"/>
        <v>-19679615.923391774</v>
      </c>
      <c r="I265" s="375">
        <v>41579</v>
      </c>
      <c r="J265" s="375">
        <v>41607</v>
      </c>
      <c r="K265" s="369">
        <f t="shared" si="26"/>
        <v>29</v>
      </c>
      <c r="L265" s="372">
        <v>3.2500000000000001E-2</v>
      </c>
      <c r="M265" s="224">
        <f t="shared" si="27"/>
        <v>-50816.54</v>
      </c>
      <c r="N265" s="224">
        <f t="shared" si="28"/>
        <v>-50816.54</v>
      </c>
      <c r="O265" s="224">
        <f t="shared" si="29"/>
        <v>936379.79999999807</v>
      </c>
    </row>
    <row r="266" spans="1:15" s="351" customFormat="1" hidden="1" outlineLevel="1" x14ac:dyDescent="0.2">
      <c r="C266" s="224">
        <v>10351452.06285744</v>
      </c>
      <c r="F266" s="224">
        <f>C266</f>
        <v>10351452.06285744</v>
      </c>
      <c r="G266" s="224">
        <f t="shared" si="30"/>
        <v>-9328163.8605343346</v>
      </c>
      <c r="I266" s="375">
        <v>41608</v>
      </c>
      <c r="J266" s="375">
        <v>41608</v>
      </c>
      <c r="K266" s="369">
        <f t="shared" si="26"/>
        <v>1</v>
      </c>
      <c r="L266" s="372">
        <v>3.2500000000000001E-2</v>
      </c>
      <c r="M266" s="224">
        <f t="shared" si="27"/>
        <v>-830.59</v>
      </c>
      <c r="N266" s="224">
        <f t="shared" si="28"/>
        <v>-51647.13</v>
      </c>
      <c r="O266" s="224">
        <f t="shared" si="29"/>
        <v>935549.2099999981</v>
      </c>
    </row>
    <row r="267" spans="1:15" s="351" customFormat="1" hidden="1" outlineLevel="1" x14ac:dyDescent="0.2">
      <c r="B267" s="351" t="s">
        <v>195</v>
      </c>
      <c r="C267" s="224"/>
      <c r="G267" s="224">
        <f t="shared" si="30"/>
        <v>-9328163.8605343346</v>
      </c>
      <c r="I267" s="375">
        <v>41609</v>
      </c>
      <c r="J267" s="375">
        <v>41638</v>
      </c>
      <c r="K267" s="369">
        <f t="shared" si="26"/>
        <v>30</v>
      </c>
      <c r="L267" s="372">
        <v>3.2500000000000001E-2</v>
      </c>
      <c r="M267" s="224">
        <f t="shared" si="27"/>
        <v>-24917.7</v>
      </c>
      <c r="N267" s="224">
        <f t="shared" si="28"/>
        <v>-24917.7</v>
      </c>
      <c r="O267" s="224">
        <f t="shared" si="29"/>
        <v>910631.50999999815</v>
      </c>
    </row>
    <row r="268" spans="1:15" s="351" customFormat="1" hidden="1" outlineLevel="1" x14ac:dyDescent="0.2">
      <c r="C268" s="224">
        <v>2958670.2984363995</v>
      </c>
      <c r="F268" s="224">
        <f>C268</f>
        <v>2958670.2984363995</v>
      </c>
      <c r="G268" s="224">
        <f t="shared" si="30"/>
        <v>-6369493.562097935</v>
      </c>
      <c r="I268" s="375">
        <v>41639</v>
      </c>
      <c r="J268" s="375">
        <v>41639</v>
      </c>
      <c r="K268" s="369">
        <f t="shared" si="26"/>
        <v>1</v>
      </c>
      <c r="L268" s="372">
        <v>3.2500000000000001E-2</v>
      </c>
      <c r="M268" s="224">
        <f t="shared" si="27"/>
        <v>-567.15</v>
      </c>
      <c r="N268" s="224">
        <f t="shared" si="28"/>
        <v>-25484.850000000002</v>
      </c>
      <c r="O268" s="224">
        <f t="shared" si="29"/>
        <v>910064.35999999812</v>
      </c>
    </row>
    <row r="269" spans="1:15" s="351" customFormat="1" hidden="1" outlineLevel="1" x14ac:dyDescent="0.2">
      <c r="A269" s="351" t="s">
        <v>295</v>
      </c>
      <c r="B269" s="351" t="s">
        <v>196</v>
      </c>
      <c r="G269" s="224">
        <f t="shared" si="30"/>
        <v>-6369493.562097935</v>
      </c>
      <c r="I269" s="375">
        <v>41640</v>
      </c>
      <c r="J269" s="375">
        <v>41669</v>
      </c>
      <c r="K269" s="369">
        <f t="shared" si="26"/>
        <v>30</v>
      </c>
      <c r="L269" s="372">
        <v>3.2500000000000001E-2</v>
      </c>
      <c r="M269" s="224">
        <f t="shared" si="27"/>
        <v>-17014.400000000001</v>
      </c>
      <c r="N269" s="224">
        <f t="shared" si="28"/>
        <v>-17014.400000000001</v>
      </c>
      <c r="O269" s="224">
        <f t="shared" si="29"/>
        <v>893049.9599999981</v>
      </c>
    </row>
    <row r="270" spans="1:15" s="351" customFormat="1" ht="13.5" hidden="1" customHeight="1" outlineLevel="1" x14ac:dyDescent="0.2">
      <c r="A270" s="376" t="s">
        <v>296</v>
      </c>
      <c r="C270" s="224">
        <v>0</v>
      </c>
      <c r="F270" s="224">
        <f>C270</f>
        <v>0</v>
      </c>
      <c r="G270" s="224">
        <f t="shared" si="30"/>
        <v>-6369493.562097935</v>
      </c>
      <c r="I270" s="375">
        <v>41670</v>
      </c>
      <c r="J270" s="375">
        <v>41670</v>
      </c>
      <c r="K270" s="369">
        <f t="shared" si="26"/>
        <v>1</v>
      </c>
      <c r="L270" s="372">
        <v>3.2500000000000001E-2</v>
      </c>
      <c r="M270" s="224">
        <f t="shared" si="27"/>
        <v>-567.15</v>
      </c>
      <c r="N270" s="224">
        <f t="shared" si="28"/>
        <v>-17581.550000000003</v>
      </c>
      <c r="O270" s="224">
        <f t="shared" si="29"/>
        <v>892482.80999999808</v>
      </c>
    </row>
    <row r="271" spans="1:15" s="351" customFormat="1" hidden="1" outlineLevel="1" x14ac:dyDescent="0.2">
      <c r="B271" s="351" t="s">
        <v>197</v>
      </c>
      <c r="C271" s="224"/>
      <c r="G271" s="224">
        <f t="shared" si="30"/>
        <v>-6369493.562097935</v>
      </c>
      <c r="I271" s="375">
        <v>41671</v>
      </c>
      <c r="J271" s="375">
        <v>41697</v>
      </c>
      <c r="K271" s="369">
        <f t="shared" si="26"/>
        <v>27</v>
      </c>
      <c r="L271" s="372">
        <v>3.2500000000000001E-2</v>
      </c>
      <c r="M271" s="224">
        <f t="shared" si="27"/>
        <v>-15312.96</v>
      </c>
      <c r="N271" s="224">
        <f t="shared" si="28"/>
        <v>-15312.96</v>
      </c>
      <c r="O271" s="224">
        <f t="shared" si="29"/>
        <v>877169.84999999811</v>
      </c>
    </row>
    <row r="272" spans="1:15" s="351" customFormat="1" hidden="1" outlineLevel="1" x14ac:dyDescent="0.2">
      <c r="C272" s="224">
        <v>239948.90752594173</v>
      </c>
      <c r="F272" s="224">
        <f>C272</f>
        <v>239948.90752594173</v>
      </c>
      <c r="G272" s="224">
        <f t="shared" si="30"/>
        <v>-6129544.6545719933</v>
      </c>
      <c r="I272" s="375">
        <v>41698</v>
      </c>
      <c r="J272" s="375">
        <v>41698</v>
      </c>
      <c r="K272" s="369">
        <f t="shared" si="26"/>
        <v>1</v>
      </c>
      <c r="L272" s="372">
        <v>3.2500000000000001E-2</v>
      </c>
      <c r="M272" s="224">
        <f t="shared" si="27"/>
        <v>-545.78</v>
      </c>
      <c r="N272" s="224">
        <f t="shared" si="28"/>
        <v>-15858.74</v>
      </c>
      <c r="O272" s="224">
        <f t="shared" si="29"/>
        <v>876624.06999999809</v>
      </c>
    </row>
    <row r="273" spans="2:15" s="351" customFormat="1" hidden="1" outlineLevel="1" x14ac:dyDescent="0.2">
      <c r="B273" s="351" t="s">
        <v>198</v>
      </c>
      <c r="C273" s="224"/>
      <c r="G273" s="224">
        <f t="shared" si="30"/>
        <v>-6129544.6545719933</v>
      </c>
      <c r="I273" s="375">
        <v>41699</v>
      </c>
      <c r="J273" s="375">
        <v>41728</v>
      </c>
      <c r="K273" s="369">
        <f t="shared" si="26"/>
        <v>30</v>
      </c>
      <c r="L273" s="372">
        <v>3.2500000000000001E-2</v>
      </c>
      <c r="M273" s="224">
        <f t="shared" si="27"/>
        <v>-16373.44</v>
      </c>
      <c r="N273" s="224">
        <f t="shared" si="28"/>
        <v>-16373.44</v>
      </c>
      <c r="O273" s="224">
        <f t="shared" si="29"/>
        <v>860250.62999999814</v>
      </c>
    </row>
    <row r="274" spans="2:15" s="351" customFormat="1" ht="14.25" hidden="1" customHeight="1" outlineLevel="1" x14ac:dyDescent="0.2">
      <c r="C274" s="224">
        <v>-239948.90752594173</v>
      </c>
      <c r="F274" s="224">
        <f>C274</f>
        <v>-239948.90752594173</v>
      </c>
      <c r="G274" s="224">
        <f t="shared" si="30"/>
        <v>-6369493.562097935</v>
      </c>
      <c r="I274" s="375">
        <v>41729</v>
      </c>
      <c r="J274" s="375">
        <v>41729</v>
      </c>
      <c r="K274" s="369">
        <f t="shared" si="26"/>
        <v>1</v>
      </c>
      <c r="L274" s="372">
        <v>3.2500000000000001E-2</v>
      </c>
      <c r="M274" s="224">
        <f t="shared" si="27"/>
        <v>-567.15</v>
      </c>
      <c r="N274" s="224">
        <f t="shared" si="28"/>
        <v>-16940.59</v>
      </c>
      <c r="O274" s="224">
        <f t="shared" si="29"/>
        <v>859683.47999999812</v>
      </c>
    </row>
    <row r="275" spans="2:15" s="351" customFormat="1" hidden="1" outlineLevel="1" x14ac:dyDescent="0.2">
      <c r="B275" s="351" t="s">
        <v>199</v>
      </c>
      <c r="C275" s="224"/>
      <c r="G275" s="224">
        <f t="shared" si="30"/>
        <v>-6369493.562097935</v>
      </c>
      <c r="I275" s="375">
        <v>41730</v>
      </c>
      <c r="J275" s="375">
        <v>41758</v>
      </c>
      <c r="K275" s="369">
        <f t="shared" si="26"/>
        <v>29</v>
      </c>
      <c r="L275" s="372">
        <v>3.2500000000000001E-2</v>
      </c>
      <c r="M275" s="224">
        <f t="shared" si="27"/>
        <v>-16447.25</v>
      </c>
      <c r="N275" s="224">
        <f t="shared" si="28"/>
        <v>-16447.25</v>
      </c>
      <c r="O275" s="224">
        <f t="shared" si="29"/>
        <v>843236.22999999812</v>
      </c>
    </row>
    <row r="276" spans="2:15" s="351" customFormat="1" hidden="1" outlineLevel="1" x14ac:dyDescent="0.2">
      <c r="C276" s="224">
        <v>0</v>
      </c>
      <c r="F276" s="224">
        <f>C276</f>
        <v>0</v>
      </c>
      <c r="G276" s="224">
        <f t="shared" si="30"/>
        <v>-6369493.562097935</v>
      </c>
      <c r="I276" s="375">
        <v>41759</v>
      </c>
      <c r="J276" s="375">
        <v>41759</v>
      </c>
      <c r="K276" s="369">
        <f t="shared" ref="K276:K318" si="31">+IF(+J276="","",+J276-(I276-1))</f>
        <v>1</v>
      </c>
      <c r="L276" s="372">
        <v>3.2500000000000001E-2</v>
      </c>
      <c r="M276" s="224">
        <f t="shared" si="27"/>
        <v>-567.15</v>
      </c>
      <c r="N276" s="224">
        <f t="shared" si="28"/>
        <v>-17014.400000000001</v>
      </c>
      <c r="O276" s="224">
        <f t="shared" si="29"/>
        <v>842669.0799999981</v>
      </c>
    </row>
    <row r="277" spans="2:15" s="351" customFormat="1" hidden="1" outlineLevel="1" x14ac:dyDescent="0.2">
      <c r="B277" s="351" t="s">
        <v>200</v>
      </c>
      <c r="C277" s="224"/>
      <c r="G277" s="224">
        <f t="shared" si="30"/>
        <v>-6369493.562097935</v>
      </c>
      <c r="I277" s="375">
        <v>41760</v>
      </c>
      <c r="J277" s="375">
        <v>41789</v>
      </c>
      <c r="K277" s="369">
        <f t="shared" si="31"/>
        <v>30</v>
      </c>
      <c r="L277" s="372">
        <v>3.2500000000000001E-2</v>
      </c>
      <c r="M277" s="224">
        <f t="shared" si="27"/>
        <v>-17014.400000000001</v>
      </c>
      <c r="N277" s="224">
        <f t="shared" si="28"/>
        <v>-17014.400000000001</v>
      </c>
      <c r="O277" s="224">
        <f t="shared" si="29"/>
        <v>825654.67999999807</v>
      </c>
    </row>
    <row r="278" spans="2:15" s="351" customFormat="1" hidden="1" outlineLevel="1" x14ac:dyDescent="0.2">
      <c r="C278" s="224">
        <v>0</v>
      </c>
      <c r="F278" s="224">
        <f>C278</f>
        <v>0</v>
      </c>
      <c r="G278" s="224">
        <f t="shared" si="30"/>
        <v>-6369493.562097935</v>
      </c>
      <c r="I278" s="375">
        <v>41790</v>
      </c>
      <c r="J278" s="375">
        <v>41790</v>
      </c>
      <c r="K278" s="369">
        <f t="shared" si="31"/>
        <v>1</v>
      </c>
      <c r="L278" s="372">
        <v>3.2500000000000001E-2</v>
      </c>
      <c r="M278" s="224">
        <f t="shared" si="27"/>
        <v>-567.15</v>
      </c>
      <c r="N278" s="224">
        <f t="shared" si="28"/>
        <v>-17581.550000000003</v>
      </c>
      <c r="O278" s="224">
        <f t="shared" si="29"/>
        <v>825087.52999999805</v>
      </c>
    </row>
    <row r="279" spans="2:15" s="351" customFormat="1" hidden="1" outlineLevel="1" x14ac:dyDescent="0.2">
      <c r="B279" s="351" t="s">
        <v>201</v>
      </c>
      <c r="C279" s="224"/>
      <c r="G279" s="224">
        <f t="shared" si="30"/>
        <v>-6369493.562097935</v>
      </c>
      <c r="I279" s="375">
        <v>41791</v>
      </c>
      <c r="J279" s="375">
        <v>41819</v>
      </c>
      <c r="K279" s="369">
        <f t="shared" si="31"/>
        <v>29</v>
      </c>
      <c r="L279" s="372">
        <v>3.2500000000000001E-2</v>
      </c>
      <c r="M279" s="224">
        <f t="shared" si="27"/>
        <v>-16447.25</v>
      </c>
      <c r="N279" s="224">
        <f t="shared" si="28"/>
        <v>-16447.25</v>
      </c>
      <c r="O279" s="224">
        <f t="shared" si="29"/>
        <v>808640.27999999805</v>
      </c>
    </row>
    <row r="280" spans="2:15" s="351" customFormat="1" hidden="1" outlineLevel="1" x14ac:dyDescent="0.2">
      <c r="C280" s="224">
        <v>0</v>
      </c>
      <c r="F280" s="224">
        <f>C280</f>
        <v>0</v>
      </c>
      <c r="G280" s="224">
        <f t="shared" si="30"/>
        <v>-6369493.562097935</v>
      </c>
      <c r="I280" s="375">
        <v>41820</v>
      </c>
      <c r="J280" s="375">
        <v>41820</v>
      </c>
      <c r="K280" s="369">
        <f t="shared" si="31"/>
        <v>1</v>
      </c>
      <c r="L280" s="372">
        <v>3.2500000000000001E-2</v>
      </c>
      <c r="M280" s="224">
        <f t="shared" ref="M280:M343" si="32">+IF(+K280&lt;&gt;" ", ROUND(L280*(K280/365)*G280,2),0)</f>
        <v>-567.15</v>
      </c>
      <c r="N280" s="224">
        <f t="shared" si="28"/>
        <v>-17014.400000000001</v>
      </c>
      <c r="O280" s="224">
        <f t="shared" si="29"/>
        <v>808073.12999999803</v>
      </c>
    </row>
    <row r="281" spans="2:15" s="351" customFormat="1" hidden="1" outlineLevel="1" x14ac:dyDescent="0.2">
      <c r="B281" s="351" t="s">
        <v>190</v>
      </c>
      <c r="C281" s="224"/>
      <c r="G281" s="224">
        <f t="shared" si="30"/>
        <v>-6369493.562097935</v>
      </c>
      <c r="I281" s="375">
        <v>41821</v>
      </c>
      <c r="J281" s="375">
        <v>41850</v>
      </c>
      <c r="K281" s="369">
        <f t="shared" si="31"/>
        <v>30</v>
      </c>
      <c r="L281" s="372">
        <v>3.2500000000000001E-2</v>
      </c>
      <c r="M281" s="224">
        <f t="shared" si="32"/>
        <v>-17014.400000000001</v>
      </c>
      <c r="N281" s="224">
        <f t="shared" si="28"/>
        <v>-17014.400000000001</v>
      </c>
      <c r="O281" s="224">
        <f t="shared" si="29"/>
        <v>791058.729999998</v>
      </c>
    </row>
    <row r="282" spans="2:15" s="351" customFormat="1" hidden="1" outlineLevel="1" x14ac:dyDescent="0.2">
      <c r="C282" s="224">
        <v>0</v>
      </c>
      <c r="F282" s="224">
        <f>C282</f>
        <v>0</v>
      </c>
      <c r="G282" s="224">
        <f t="shared" si="30"/>
        <v>-6369493.562097935</v>
      </c>
      <c r="I282" s="375">
        <v>41851</v>
      </c>
      <c r="J282" s="375">
        <v>41851</v>
      </c>
      <c r="K282" s="369">
        <f t="shared" si="31"/>
        <v>1</v>
      </c>
      <c r="L282" s="372">
        <v>3.2500000000000001E-2</v>
      </c>
      <c r="M282" s="224">
        <f t="shared" si="32"/>
        <v>-567.15</v>
      </c>
      <c r="N282" s="224">
        <f t="shared" ref="N282:N345" si="33">IF(MONTH(+I282)&lt;&gt;MONTH(+I281),M282,+N281+M282)</f>
        <v>-17581.550000000003</v>
      </c>
      <c r="O282" s="224">
        <f t="shared" si="29"/>
        <v>790491.57999999798</v>
      </c>
    </row>
    <row r="283" spans="2:15" s="351" customFormat="1" hidden="1" outlineLevel="1" x14ac:dyDescent="0.2">
      <c r="B283" s="351" t="s">
        <v>191</v>
      </c>
      <c r="C283" s="224"/>
      <c r="G283" s="224">
        <f t="shared" si="30"/>
        <v>-6369493.562097935</v>
      </c>
      <c r="I283" s="375">
        <v>41852</v>
      </c>
      <c r="J283" s="375">
        <v>41881</v>
      </c>
      <c r="K283" s="369">
        <f t="shared" si="31"/>
        <v>30</v>
      </c>
      <c r="L283" s="372">
        <v>3.2500000000000001E-2</v>
      </c>
      <c r="M283" s="224">
        <f t="shared" si="32"/>
        <v>-17014.400000000001</v>
      </c>
      <c r="N283" s="224">
        <f t="shared" si="33"/>
        <v>-17014.400000000001</v>
      </c>
      <c r="O283" s="224">
        <f t="shared" ref="O283:O346" si="34">O282+M283</f>
        <v>773477.17999999796</v>
      </c>
    </row>
    <row r="284" spans="2:15" s="351" customFormat="1" hidden="1" outlineLevel="1" x14ac:dyDescent="0.2">
      <c r="C284" s="224">
        <v>0</v>
      </c>
      <c r="F284" s="224">
        <f>C284</f>
        <v>0</v>
      </c>
      <c r="G284" s="224">
        <f t="shared" si="30"/>
        <v>-6369493.562097935</v>
      </c>
      <c r="I284" s="375">
        <v>41882</v>
      </c>
      <c r="J284" s="375">
        <v>41882</v>
      </c>
      <c r="K284" s="369">
        <f t="shared" si="31"/>
        <v>1</v>
      </c>
      <c r="L284" s="372">
        <v>3.2500000000000001E-2</v>
      </c>
      <c r="M284" s="224">
        <f t="shared" si="32"/>
        <v>-567.15</v>
      </c>
      <c r="N284" s="224">
        <f t="shared" si="33"/>
        <v>-17581.550000000003</v>
      </c>
      <c r="O284" s="224">
        <f t="shared" si="34"/>
        <v>772910.02999999793</v>
      </c>
    </row>
    <row r="285" spans="2:15" s="351" customFormat="1" hidden="1" outlineLevel="1" x14ac:dyDescent="0.2">
      <c r="B285" s="351" t="s">
        <v>192</v>
      </c>
      <c r="C285" s="224"/>
      <c r="G285" s="224">
        <f t="shared" si="30"/>
        <v>-6369493.562097935</v>
      </c>
      <c r="I285" s="375">
        <v>41883</v>
      </c>
      <c r="J285" s="375">
        <v>41911</v>
      </c>
      <c r="K285" s="369">
        <f t="shared" si="31"/>
        <v>29</v>
      </c>
      <c r="L285" s="372">
        <v>3.2500000000000001E-2</v>
      </c>
      <c r="M285" s="224">
        <f t="shared" si="32"/>
        <v>-16447.25</v>
      </c>
      <c r="N285" s="224">
        <f t="shared" si="33"/>
        <v>-16447.25</v>
      </c>
      <c r="O285" s="224">
        <f t="shared" si="34"/>
        <v>756462.77999999793</v>
      </c>
    </row>
    <row r="286" spans="2:15" s="351" customFormat="1" hidden="1" outlineLevel="1" x14ac:dyDescent="0.2">
      <c r="C286" s="224">
        <v>3927930.365749184</v>
      </c>
      <c r="F286" s="224">
        <f>C286</f>
        <v>3927930.365749184</v>
      </c>
      <c r="G286" s="224">
        <f t="shared" si="30"/>
        <v>-2441563.196348751</v>
      </c>
      <c r="I286" s="375">
        <v>41912</v>
      </c>
      <c r="J286" s="375">
        <v>41912</v>
      </c>
      <c r="K286" s="369">
        <f t="shared" si="31"/>
        <v>1</v>
      </c>
      <c r="L286" s="372">
        <v>3.2500000000000001E-2</v>
      </c>
      <c r="M286" s="224">
        <f t="shared" si="32"/>
        <v>-217.4</v>
      </c>
      <c r="N286" s="224">
        <f t="shared" si="33"/>
        <v>-16664.650000000001</v>
      </c>
      <c r="O286" s="224">
        <f t="shared" si="34"/>
        <v>756245.37999999791</v>
      </c>
    </row>
    <row r="287" spans="2:15" s="351" customFormat="1" hidden="1" outlineLevel="1" x14ac:dyDescent="0.2">
      <c r="B287" s="351" t="s">
        <v>193</v>
      </c>
      <c r="C287" s="224"/>
      <c r="G287" s="224">
        <f t="shared" si="30"/>
        <v>-2441563.196348751</v>
      </c>
      <c r="I287" s="375">
        <v>41913</v>
      </c>
      <c r="J287" s="375">
        <v>41942</v>
      </c>
      <c r="K287" s="369">
        <f t="shared" si="31"/>
        <v>30</v>
      </c>
      <c r="L287" s="372">
        <v>3.2500000000000001E-2</v>
      </c>
      <c r="M287" s="224">
        <f t="shared" si="32"/>
        <v>-6521.98</v>
      </c>
      <c r="N287" s="224">
        <f t="shared" si="33"/>
        <v>-6521.98</v>
      </c>
      <c r="O287" s="224">
        <f t="shared" si="34"/>
        <v>749723.39999999793</v>
      </c>
    </row>
    <row r="288" spans="2:15" s="351" customFormat="1" hidden="1" outlineLevel="1" x14ac:dyDescent="0.2">
      <c r="C288" s="224">
        <v>2756545.3609444443</v>
      </c>
      <c r="F288" s="224">
        <f>C288</f>
        <v>2756545.3609444443</v>
      </c>
      <c r="G288" s="224">
        <f t="shared" si="30"/>
        <v>314982.16459569335</v>
      </c>
      <c r="I288" s="375">
        <v>41943</v>
      </c>
      <c r="J288" s="375">
        <v>41943</v>
      </c>
      <c r="K288" s="369">
        <f t="shared" si="31"/>
        <v>1</v>
      </c>
      <c r="L288" s="372">
        <v>3.2500000000000001E-2</v>
      </c>
      <c r="M288" s="224">
        <f t="shared" si="32"/>
        <v>28.05</v>
      </c>
      <c r="N288" s="224">
        <f t="shared" si="33"/>
        <v>-6493.9299999999994</v>
      </c>
      <c r="O288" s="224">
        <f t="shared" si="34"/>
        <v>749751.44999999797</v>
      </c>
    </row>
    <row r="289" spans="1:15" s="351" customFormat="1" hidden="1" outlineLevel="1" x14ac:dyDescent="0.2">
      <c r="B289" s="351" t="s">
        <v>194</v>
      </c>
      <c r="C289" s="224"/>
      <c r="G289" s="224">
        <f t="shared" si="30"/>
        <v>314982.16459569335</v>
      </c>
      <c r="I289" s="375">
        <v>41944</v>
      </c>
      <c r="J289" s="375">
        <v>41972</v>
      </c>
      <c r="K289" s="369">
        <f t="shared" si="31"/>
        <v>29</v>
      </c>
      <c r="L289" s="372">
        <v>3.2500000000000001E-2</v>
      </c>
      <c r="M289" s="224">
        <f t="shared" si="32"/>
        <v>813.34</v>
      </c>
      <c r="N289" s="224">
        <f t="shared" si="33"/>
        <v>813.34</v>
      </c>
      <c r="O289" s="224">
        <f t="shared" si="34"/>
        <v>750564.78999999794</v>
      </c>
    </row>
    <row r="290" spans="1:15" s="351" customFormat="1" hidden="1" outlineLevel="1" x14ac:dyDescent="0.2">
      <c r="C290" s="224">
        <v>2280585.4469123017</v>
      </c>
      <c r="F290" s="224">
        <f>C290</f>
        <v>2280585.4469123017</v>
      </c>
      <c r="G290" s="224">
        <f t="shared" si="30"/>
        <v>2595567.6115079951</v>
      </c>
      <c r="I290" s="375">
        <v>41973</v>
      </c>
      <c r="J290" s="375">
        <v>41973</v>
      </c>
      <c r="K290" s="369">
        <f t="shared" si="31"/>
        <v>1</v>
      </c>
      <c r="L290" s="372">
        <v>3.2500000000000001E-2</v>
      </c>
      <c r="M290" s="224">
        <f t="shared" si="32"/>
        <v>231.11</v>
      </c>
      <c r="N290" s="224">
        <f t="shared" si="33"/>
        <v>1044.45</v>
      </c>
      <c r="O290" s="224">
        <f t="shared" si="34"/>
        <v>750795.89999999793</v>
      </c>
    </row>
    <row r="291" spans="1:15" s="351" customFormat="1" hidden="1" outlineLevel="1" x14ac:dyDescent="0.2">
      <c r="B291" s="351" t="s">
        <v>195</v>
      </c>
      <c r="C291" s="224"/>
      <c r="G291" s="224">
        <f t="shared" si="30"/>
        <v>2595567.6115079951</v>
      </c>
      <c r="I291" s="375">
        <v>41974</v>
      </c>
      <c r="J291" s="375">
        <v>42003</v>
      </c>
      <c r="K291" s="369">
        <f t="shared" si="31"/>
        <v>30</v>
      </c>
      <c r="L291" s="372">
        <v>3.2500000000000001E-2</v>
      </c>
      <c r="M291" s="224">
        <f t="shared" si="32"/>
        <v>6933.37</v>
      </c>
      <c r="N291" s="224">
        <f t="shared" si="33"/>
        <v>6933.37</v>
      </c>
      <c r="O291" s="224">
        <f t="shared" si="34"/>
        <v>757729.26999999792</v>
      </c>
    </row>
    <row r="292" spans="1:15" s="351" customFormat="1" hidden="1" outlineLevel="1" x14ac:dyDescent="0.2">
      <c r="C292" s="224">
        <v>858775.95871226862</v>
      </c>
      <c r="F292" s="224">
        <f>C292</f>
        <v>858775.95871226862</v>
      </c>
      <c r="G292" s="224">
        <f t="shared" si="30"/>
        <v>3454343.5702202637</v>
      </c>
      <c r="I292" s="375">
        <v>42004</v>
      </c>
      <c r="J292" s="375">
        <v>42004</v>
      </c>
      <c r="K292" s="369">
        <f t="shared" si="31"/>
        <v>1</v>
      </c>
      <c r="L292" s="372">
        <v>3.2500000000000001E-2</v>
      </c>
      <c r="M292" s="224">
        <f t="shared" si="32"/>
        <v>307.58</v>
      </c>
      <c r="N292" s="224">
        <f t="shared" si="33"/>
        <v>7240.95</v>
      </c>
      <c r="O292" s="224">
        <f t="shared" si="34"/>
        <v>758036.84999999788</v>
      </c>
    </row>
    <row r="293" spans="1:15" s="351" customFormat="1" hidden="1" outlineLevel="1" x14ac:dyDescent="0.2">
      <c r="A293" s="351" t="s">
        <v>297</v>
      </c>
      <c r="B293" s="351" t="s">
        <v>196</v>
      </c>
      <c r="G293" s="224">
        <f t="shared" si="30"/>
        <v>3454343.5702202637</v>
      </c>
      <c r="I293" s="375">
        <v>42005</v>
      </c>
      <c r="J293" s="375">
        <v>42034</v>
      </c>
      <c r="K293" s="369">
        <f t="shared" si="31"/>
        <v>30</v>
      </c>
      <c r="L293" s="372">
        <v>3.2500000000000001E-2</v>
      </c>
      <c r="M293" s="224">
        <f t="shared" si="32"/>
        <v>9227.36</v>
      </c>
      <c r="N293" s="224">
        <f t="shared" si="33"/>
        <v>9227.36</v>
      </c>
      <c r="O293" s="224">
        <f t="shared" si="34"/>
        <v>767264.20999999787</v>
      </c>
    </row>
    <row r="294" spans="1:15" s="351" customFormat="1" ht="13.5" hidden="1" customHeight="1" outlineLevel="1" x14ac:dyDescent="0.2">
      <c r="A294" s="376" t="s">
        <v>298</v>
      </c>
      <c r="C294" s="224">
        <v>0</v>
      </c>
      <c r="F294" s="224">
        <f>C294</f>
        <v>0</v>
      </c>
      <c r="G294" s="224">
        <f t="shared" si="30"/>
        <v>3454343.5702202637</v>
      </c>
      <c r="I294" s="375">
        <v>42035</v>
      </c>
      <c r="J294" s="375">
        <v>42035</v>
      </c>
      <c r="K294" s="369">
        <f t="shared" si="31"/>
        <v>1</v>
      </c>
      <c r="L294" s="372">
        <v>3.2500000000000001E-2</v>
      </c>
      <c r="M294" s="224">
        <f t="shared" si="32"/>
        <v>307.58</v>
      </c>
      <c r="N294" s="224">
        <f t="shared" si="33"/>
        <v>9534.94</v>
      </c>
      <c r="O294" s="224">
        <f t="shared" si="34"/>
        <v>767571.78999999783</v>
      </c>
    </row>
    <row r="295" spans="1:15" s="351" customFormat="1" hidden="1" outlineLevel="1" x14ac:dyDescent="0.2">
      <c r="B295" s="351" t="s">
        <v>197</v>
      </c>
      <c r="C295" s="224"/>
      <c r="G295" s="224">
        <f t="shared" si="30"/>
        <v>3454343.5702202637</v>
      </c>
      <c r="I295" s="375">
        <v>42036</v>
      </c>
      <c r="J295" s="375">
        <v>42062</v>
      </c>
      <c r="K295" s="369">
        <f t="shared" si="31"/>
        <v>27</v>
      </c>
      <c r="L295" s="372">
        <v>3.2500000000000001E-2</v>
      </c>
      <c r="M295" s="224">
        <f t="shared" si="32"/>
        <v>8304.6200000000008</v>
      </c>
      <c r="N295" s="224">
        <f t="shared" si="33"/>
        <v>8304.6200000000008</v>
      </c>
      <c r="O295" s="224">
        <f t="shared" si="34"/>
        <v>775876.40999999782</v>
      </c>
    </row>
    <row r="296" spans="1:15" s="351" customFormat="1" hidden="1" outlineLevel="1" x14ac:dyDescent="0.2">
      <c r="C296" s="224">
        <v>0</v>
      </c>
      <c r="F296" s="224">
        <f>C296</f>
        <v>0</v>
      </c>
      <c r="G296" s="224">
        <f t="shared" si="30"/>
        <v>3454343.5702202637</v>
      </c>
      <c r="I296" s="375">
        <v>42063</v>
      </c>
      <c r="J296" s="375">
        <v>42063</v>
      </c>
      <c r="K296" s="369">
        <f t="shared" si="31"/>
        <v>1</v>
      </c>
      <c r="L296" s="372">
        <v>3.2500000000000001E-2</v>
      </c>
      <c r="M296" s="224">
        <f t="shared" si="32"/>
        <v>307.58</v>
      </c>
      <c r="N296" s="224">
        <f t="shared" si="33"/>
        <v>8612.2000000000007</v>
      </c>
      <c r="O296" s="224">
        <f t="shared" si="34"/>
        <v>776183.98999999778</v>
      </c>
    </row>
    <row r="297" spans="1:15" s="351" customFormat="1" hidden="1" outlineLevel="1" x14ac:dyDescent="0.2">
      <c r="B297" s="351" t="s">
        <v>198</v>
      </c>
      <c r="C297" s="224"/>
      <c r="G297" s="224">
        <f t="shared" si="30"/>
        <v>3454343.5702202637</v>
      </c>
      <c r="I297" s="375">
        <v>42064</v>
      </c>
      <c r="J297" s="375">
        <v>42093</v>
      </c>
      <c r="K297" s="369">
        <f t="shared" si="31"/>
        <v>30</v>
      </c>
      <c r="L297" s="372">
        <v>3.2500000000000001E-2</v>
      </c>
      <c r="M297" s="224">
        <f t="shared" si="32"/>
        <v>9227.36</v>
      </c>
      <c r="N297" s="224">
        <f t="shared" si="33"/>
        <v>9227.36</v>
      </c>
      <c r="O297" s="224">
        <f t="shared" si="34"/>
        <v>785411.34999999776</v>
      </c>
    </row>
    <row r="298" spans="1:15" s="351" customFormat="1" ht="14.25" hidden="1" customHeight="1" outlineLevel="1" x14ac:dyDescent="0.2">
      <c r="C298" s="224">
        <v>0</v>
      </c>
      <c r="F298" s="224">
        <f>C298</f>
        <v>0</v>
      </c>
      <c r="G298" s="224">
        <f t="shared" ref="G298:G361" si="35">+G297+F298</f>
        <v>3454343.5702202637</v>
      </c>
      <c r="I298" s="375">
        <v>42094</v>
      </c>
      <c r="J298" s="375">
        <v>42094</v>
      </c>
      <c r="K298" s="369">
        <f t="shared" si="31"/>
        <v>1</v>
      </c>
      <c r="L298" s="372">
        <v>3.2500000000000001E-2</v>
      </c>
      <c r="M298" s="224">
        <f t="shared" si="32"/>
        <v>307.58</v>
      </c>
      <c r="N298" s="224">
        <f t="shared" si="33"/>
        <v>9534.94</v>
      </c>
      <c r="O298" s="224">
        <f t="shared" si="34"/>
        <v>785718.92999999772</v>
      </c>
    </row>
    <row r="299" spans="1:15" s="351" customFormat="1" hidden="1" outlineLevel="1" x14ac:dyDescent="0.2">
      <c r="B299" s="351" t="s">
        <v>199</v>
      </c>
      <c r="C299" s="224"/>
      <c r="G299" s="224">
        <f t="shared" si="35"/>
        <v>3454343.5702202637</v>
      </c>
      <c r="I299" s="375">
        <v>42095</v>
      </c>
      <c r="J299" s="375">
        <v>42123</v>
      </c>
      <c r="K299" s="369">
        <f t="shared" si="31"/>
        <v>29</v>
      </c>
      <c r="L299" s="372">
        <v>3.2500000000000001E-2</v>
      </c>
      <c r="M299" s="224">
        <f t="shared" si="32"/>
        <v>8919.7800000000007</v>
      </c>
      <c r="N299" s="224">
        <f t="shared" si="33"/>
        <v>8919.7800000000007</v>
      </c>
      <c r="O299" s="224">
        <f t="shared" si="34"/>
        <v>794638.70999999775</v>
      </c>
    </row>
    <row r="300" spans="1:15" s="351" customFormat="1" hidden="1" outlineLevel="1" x14ac:dyDescent="0.2">
      <c r="C300" s="224">
        <v>0</v>
      </c>
      <c r="F300" s="224">
        <f>C300</f>
        <v>0</v>
      </c>
      <c r="G300" s="224">
        <f t="shared" si="35"/>
        <v>3454343.5702202637</v>
      </c>
      <c r="I300" s="375">
        <v>42124</v>
      </c>
      <c r="J300" s="375">
        <v>42124</v>
      </c>
      <c r="K300" s="369">
        <f t="shared" si="31"/>
        <v>1</v>
      </c>
      <c r="L300" s="372">
        <v>3.2500000000000001E-2</v>
      </c>
      <c r="M300" s="224">
        <f t="shared" si="32"/>
        <v>307.58</v>
      </c>
      <c r="N300" s="224">
        <f t="shared" si="33"/>
        <v>9227.36</v>
      </c>
      <c r="O300" s="224">
        <f t="shared" si="34"/>
        <v>794946.28999999771</v>
      </c>
    </row>
    <row r="301" spans="1:15" s="351" customFormat="1" hidden="1" outlineLevel="1" x14ac:dyDescent="0.2">
      <c r="B301" s="351" t="s">
        <v>200</v>
      </c>
      <c r="C301" s="224"/>
      <c r="G301" s="224">
        <f t="shared" si="35"/>
        <v>3454343.5702202637</v>
      </c>
      <c r="I301" s="375">
        <v>42125</v>
      </c>
      <c r="J301" s="375">
        <v>42154</v>
      </c>
      <c r="K301" s="369">
        <f t="shared" si="31"/>
        <v>30</v>
      </c>
      <c r="L301" s="372">
        <v>3.2500000000000001E-2</v>
      </c>
      <c r="M301" s="224">
        <f t="shared" si="32"/>
        <v>9227.36</v>
      </c>
      <c r="N301" s="224">
        <f t="shared" si="33"/>
        <v>9227.36</v>
      </c>
      <c r="O301" s="224">
        <f t="shared" si="34"/>
        <v>804173.64999999769</v>
      </c>
    </row>
    <row r="302" spans="1:15" s="351" customFormat="1" hidden="1" outlineLevel="1" x14ac:dyDescent="0.2">
      <c r="C302" s="224">
        <v>0</v>
      </c>
      <c r="F302" s="224">
        <f>C302</f>
        <v>0</v>
      </c>
      <c r="G302" s="224">
        <f t="shared" si="35"/>
        <v>3454343.5702202637</v>
      </c>
      <c r="I302" s="375">
        <v>42155</v>
      </c>
      <c r="J302" s="375">
        <v>42155</v>
      </c>
      <c r="K302" s="369">
        <f t="shared" si="31"/>
        <v>1</v>
      </c>
      <c r="L302" s="372">
        <v>3.2500000000000001E-2</v>
      </c>
      <c r="M302" s="224">
        <f t="shared" si="32"/>
        <v>307.58</v>
      </c>
      <c r="N302" s="224">
        <f t="shared" si="33"/>
        <v>9534.94</v>
      </c>
      <c r="O302" s="224">
        <f t="shared" si="34"/>
        <v>804481.22999999765</v>
      </c>
    </row>
    <row r="303" spans="1:15" s="351" customFormat="1" hidden="1" outlineLevel="1" x14ac:dyDescent="0.2">
      <c r="B303" s="351" t="s">
        <v>201</v>
      </c>
      <c r="C303" s="224"/>
      <c r="G303" s="224">
        <f t="shared" si="35"/>
        <v>3454343.5702202637</v>
      </c>
      <c r="I303" s="375">
        <v>42156</v>
      </c>
      <c r="J303" s="375">
        <v>42184</v>
      </c>
      <c r="K303" s="369">
        <f t="shared" si="31"/>
        <v>29</v>
      </c>
      <c r="L303" s="372">
        <v>3.2500000000000001E-2</v>
      </c>
      <c r="M303" s="224">
        <f t="shared" si="32"/>
        <v>8919.7800000000007</v>
      </c>
      <c r="N303" s="224">
        <f t="shared" si="33"/>
        <v>8919.7800000000007</v>
      </c>
      <c r="O303" s="224">
        <f t="shared" si="34"/>
        <v>813401.00999999768</v>
      </c>
    </row>
    <row r="304" spans="1:15" s="351" customFormat="1" hidden="1" outlineLevel="1" x14ac:dyDescent="0.2">
      <c r="C304" s="224">
        <v>0</v>
      </c>
      <c r="F304" s="224">
        <f>C304</f>
        <v>0</v>
      </c>
      <c r="G304" s="224">
        <f t="shared" si="35"/>
        <v>3454343.5702202637</v>
      </c>
      <c r="I304" s="375">
        <v>42185</v>
      </c>
      <c r="J304" s="375">
        <v>42185</v>
      </c>
      <c r="K304" s="369">
        <f t="shared" si="31"/>
        <v>1</v>
      </c>
      <c r="L304" s="372">
        <v>3.2500000000000001E-2</v>
      </c>
      <c r="M304" s="224">
        <f t="shared" si="32"/>
        <v>307.58</v>
      </c>
      <c r="N304" s="224">
        <f t="shared" si="33"/>
        <v>9227.36</v>
      </c>
      <c r="O304" s="224">
        <f t="shared" si="34"/>
        <v>813708.58999999764</v>
      </c>
    </row>
    <row r="305" spans="1:15" s="351" customFormat="1" hidden="1" outlineLevel="1" x14ac:dyDescent="0.2">
      <c r="B305" s="351" t="s">
        <v>190</v>
      </c>
      <c r="C305" s="224"/>
      <c r="G305" s="224">
        <f t="shared" si="35"/>
        <v>3454343.5702202637</v>
      </c>
      <c r="I305" s="375">
        <v>42186</v>
      </c>
      <c r="J305" s="375">
        <v>42215</v>
      </c>
      <c r="K305" s="369">
        <f t="shared" si="31"/>
        <v>30</v>
      </c>
      <c r="L305" s="372">
        <v>3.2500000000000001E-2</v>
      </c>
      <c r="M305" s="224">
        <f t="shared" si="32"/>
        <v>9227.36</v>
      </c>
      <c r="N305" s="224">
        <f t="shared" si="33"/>
        <v>9227.36</v>
      </c>
      <c r="O305" s="224">
        <f t="shared" si="34"/>
        <v>822935.94999999763</v>
      </c>
    </row>
    <row r="306" spans="1:15" s="351" customFormat="1" hidden="1" outlineLevel="1" x14ac:dyDescent="0.2">
      <c r="C306" s="224">
        <v>0</v>
      </c>
      <c r="F306" s="224">
        <f>C306</f>
        <v>0</v>
      </c>
      <c r="G306" s="224">
        <f t="shared" si="35"/>
        <v>3454343.5702202637</v>
      </c>
      <c r="I306" s="375">
        <v>42216</v>
      </c>
      <c r="J306" s="375">
        <v>42216</v>
      </c>
      <c r="K306" s="369">
        <f t="shared" si="31"/>
        <v>1</v>
      </c>
      <c r="L306" s="372">
        <v>3.2500000000000001E-2</v>
      </c>
      <c r="M306" s="224">
        <f t="shared" si="32"/>
        <v>307.58</v>
      </c>
      <c r="N306" s="224">
        <f t="shared" si="33"/>
        <v>9534.94</v>
      </c>
      <c r="O306" s="224">
        <f t="shared" si="34"/>
        <v>823243.52999999758</v>
      </c>
    </row>
    <row r="307" spans="1:15" s="351" customFormat="1" hidden="1" outlineLevel="1" x14ac:dyDescent="0.2">
      <c r="B307" s="351" t="s">
        <v>191</v>
      </c>
      <c r="C307" s="224"/>
      <c r="G307" s="224">
        <f t="shared" si="35"/>
        <v>3454343.5702202637</v>
      </c>
      <c r="I307" s="375">
        <v>42217</v>
      </c>
      <c r="J307" s="375">
        <v>42246</v>
      </c>
      <c r="K307" s="369">
        <f t="shared" si="31"/>
        <v>30</v>
      </c>
      <c r="L307" s="372">
        <v>3.2500000000000001E-2</v>
      </c>
      <c r="M307" s="224">
        <f t="shared" si="32"/>
        <v>9227.36</v>
      </c>
      <c r="N307" s="224">
        <f t="shared" si="33"/>
        <v>9227.36</v>
      </c>
      <c r="O307" s="224">
        <f t="shared" si="34"/>
        <v>832470.88999999757</v>
      </c>
    </row>
    <row r="308" spans="1:15" s="351" customFormat="1" hidden="1" outlineLevel="1" x14ac:dyDescent="0.2">
      <c r="C308" s="224">
        <v>0</v>
      </c>
      <c r="F308" s="224">
        <f>C308</f>
        <v>0</v>
      </c>
      <c r="G308" s="224">
        <f t="shared" si="35"/>
        <v>3454343.5702202637</v>
      </c>
      <c r="I308" s="375">
        <v>42247</v>
      </c>
      <c r="J308" s="375">
        <v>42247</v>
      </c>
      <c r="K308" s="369">
        <f t="shared" si="31"/>
        <v>1</v>
      </c>
      <c r="L308" s="372">
        <v>3.2500000000000001E-2</v>
      </c>
      <c r="M308" s="224">
        <f t="shared" si="32"/>
        <v>307.58</v>
      </c>
      <c r="N308" s="224">
        <f t="shared" si="33"/>
        <v>9534.94</v>
      </c>
      <c r="O308" s="224">
        <f t="shared" si="34"/>
        <v>832778.46999999753</v>
      </c>
    </row>
    <row r="309" spans="1:15" s="351" customFormat="1" hidden="1" outlineLevel="1" x14ac:dyDescent="0.2">
      <c r="B309" s="351" t="s">
        <v>192</v>
      </c>
      <c r="C309" s="224"/>
      <c r="G309" s="224">
        <f t="shared" si="35"/>
        <v>3454343.5702202637</v>
      </c>
      <c r="I309" s="375">
        <v>42248</v>
      </c>
      <c r="J309" s="375">
        <v>42276</v>
      </c>
      <c r="K309" s="369">
        <f t="shared" si="31"/>
        <v>29</v>
      </c>
      <c r="L309" s="372">
        <v>3.2500000000000001E-2</v>
      </c>
      <c r="M309" s="224">
        <f t="shared" si="32"/>
        <v>8919.7800000000007</v>
      </c>
      <c r="N309" s="224">
        <f t="shared" si="33"/>
        <v>8919.7800000000007</v>
      </c>
      <c r="O309" s="224">
        <f t="shared" si="34"/>
        <v>841698.24999999756</v>
      </c>
    </row>
    <row r="310" spans="1:15" s="351" customFormat="1" hidden="1" outlineLevel="1" x14ac:dyDescent="0.2">
      <c r="C310" s="224">
        <v>0</v>
      </c>
      <c r="F310" s="224">
        <f>C310</f>
        <v>0</v>
      </c>
      <c r="G310" s="224">
        <f t="shared" si="35"/>
        <v>3454343.5702202637</v>
      </c>
      <c r="I310" s="375">
        <v>42277</v>
      </c>
      <c r="J310" s="375">
        <v>42277</v>
      </c>
      <c r="K310" s="369">
        <f t="shared" si="31"/>
        <v>1</v>
      </c>
      <c r="L310" s="372">
        <v>3.2500000000000001E-2</v>
      </c>
      <c r="M310" s="224">
        <f t="shared" si="32"/>
        <v>307.58</v>
      </c>
      <c r="N310" s="224">
        <f t="shared" si="33"/>
        <v>9227.36</v>
      </c>
      <c r="O310" s="224">
        <f t="shared" si="34"/>
        <v>842005.82999999751</v>
      </c>
    </row>
    <row r="311" spans="1:15" s="351" customFormat="1" hidden="1" outlineLevel="1" x14ac:dyDescent="0.2">
      <c r="B311" s="351" t="s">
        <v>193</v>
      </c>
      <c r="C311" s="224"/>
      <c r="G311" s="224">
        <f t="shared" si="35"/>
        <v>3454343.5702202637</v>
      </c>
      <c r="I311" s="375">
        <v>42278</v>
      </c>
      <c r="J311" s="375">
        <v>42307</v>
      </c>
      <c r="K311" s="369">
        <f t="shared" si="31"/>
        <v>30</v>
      </c>
      <c r="L311" s="372">
        <v>3.2500000000000001E-2</v>
      </c>
      <c r="M311" s="224">
        <f t="shared" si="32"/>
        <v>9227.36</v>
      </c>
      <c r="N311" s="224">
        <f t="shared" si="33"/>
        <v>9227.36</v>
      </c>
      <c r="O311" s="224">
        <f t="shared" si="34"/>
        <v>851233.1899999975</v>
      </c>
    </row>
    <row r="312" spans="1:15" s="351" customFormat="1" hidden="1" outlineLevel="1" x14ac:dyDescent="0.2">
      <c r="C312" s="224">
        <v>0</v>
      </c>
      <c r="F312" s="224">
        <f>C312</f>
        <v>0</v>
      </c>
      <c r="G312" s="224">
        <f t="shared" si="35"/>
        <v>3454343.5702202637</v>
      </c>
      <c r="I312" s="375">
        <v>42308</v>
      </c>
      <c r="J312" s="375">
        <v>42308</v>
      </c>
      <c r="K312" s="369">
        <f t="shared" si="31"/>
        <v>1</v>
      </c>
      <c r="L312" s="372">
        <v>3.2500000000000001E-2</v>
      </c>
      <c r="M312" s="224">
        <f t="shared" si="32"/>
        <v>307.58</v>
      </c>
      <c r="N312" s="224">
        <f t="shared" si="33"/>
        <v>9534.94</v>
      </c>
      <c r="O312" s="224">
        <f t="shared" si="34"/>
        <v>851540.76999999746</v>
      </c>
    </row>
    <row r="313" spans="1:15" s="351" customFormat="1" hidden="1" outlineLevel="1" x14ac:dyDescent="0.2">
      <c r="B313" s="351" t="s">
        <v>194</v>
      </c>
      <c r="C313" s="224"/>
      <c r="G313" s="224">
        <f t="shared" si="35"/>
        <v>3454343.5702202637</v>
      </c>
      <c r="I313" s="375">
        <v>42309</v>
      </c>
      <c r="J313" s="375">
        <v>42337</v>
      </c>
      <c r="K313" s="369">
        <f t="shared" si="31"/>
        <v>29</v>
      </c>
      <c r="L313" s="372">
        <v>3.2500000000000001E-2</v>
      </c>
      <c r="M313" s="224">
        <f t="shared" si="32"/>
        <v>8919.7800000000007</v>
      </c>
      <c r="N313" s="224">
        <f t="shared" si="33"/>
        <v>8919.7800000000007</v>
      </c>
      <c r="O313" s="224">
        <f t="shared" si="34"/>
        <v>860460.54999999749</v>
      </c>
    </row>
    <row r="314" spans="1:15" s="351" customFormat="1" hidden="1" outlineLevel="1" x14ac:dyDescent="0.2">
      <c r="C314" s="224">
        <v>0</v>
      </c>
      <c r="F314" s="224">
        <f>C314</f>
        <v>0</v>
      </c>
      <c r="G314" s="224">
        <f t="shared" si="35"/>
        <v>3454343.5702202637</v>
      </c>
      <c r="I314" s="375">
        <v>42338</v>
      </c>
      <c r="J314" s="375">
        <v>42338</v>
      </c>
      <c r="K314" s="369">
        <f t="shared" si="31"/>
        <v>1</v>
      </c>
      <c r="L314" s="372">
        <v>3.2500000000000001E-2</v>
      </c>
      <c r="M314" s="224">
        <f t="shared" si="32"/>
        <v>307.58</v>
      </c>
      <c r="N314" s="224">
        <f t="shared" si="33"/>
        <v>9227.36</v>
      </c>
      <c r="O314" s="224">
        <f t="shared" si="34"/>
        <v>860768.12999999744</v>
      </c>
    </row>
    <row r="315" spans="1:15" s="351" customFormat="1" hidden="1" outlineLevel="1" x14ac:dyDescent="0.2">
      <c r="B315" s="351" t="s">
        <v>195</v>
      </c>
      <c r="C315" s="224"/>
      <c r="G315" s="224">
        <f t="shared" si="35"/>
        <v>3454343.5702202637</v>
      </c>
      <c r="I315" s="375">
        <v>42339</v>
      </c>
      <c r="J315" s="375">
        <v>42368</v>
      </c>
      <c r="K315" s="369">
        <f t="shared" si="31"/>
        <v>30</v>
      </c>
      <c r="L315" s="372">
        <v>3.2500000000000001E-2</v>
      </c>
      <c r="M315" s="224">
        <f t="shared" si="32"/>
        <v>9227.36</v>
      </c>
      <c r="N315" s="224">
        <f t="shared" si="33"/>
        <v>9227.36</v>
      </c>
      <c r="O315" s="224">
        <f t="shared" si="34"/>
        <v>869995.48999999743</v>
      </c>
    </row>
    <row r="316" spans="1:15" s="351" customFormat="1" hidden="1" outlineLevel="1" x14ac:dyDescent="0.2">
      <c r="C316" s="224">
        <v>0</v>
      </c>
      <c r="F316" s="224">
        <f>C316</f>
        <v>0</v>
      </c>
      <c r="G316" s="224">
        <f t="shared" si="35"/>
        <v>3454343.5702202637</v>
      </c>
      <c r="I316" s="375">
        <v>42369</v>
      </c>
      <c r="J316" s="375">
        <v>42369</v>
      </c>
      <c r="K316" s="369">
        <f t="shared" si="31"/>
        <v>1</v>
      </c>
      <c r="L316" s="372">
        <v>3.2500000000000001E-2</v>
      </c>
      <c r="M316" s="224">
        <f t="shared" si="32"/>
        <v>307.58</v>
      </c>
      <c r="N316" s="224">
        <f t="shared" si="33"/>
        <v>9534.94</v>
      </c>
      <c r="O316" s="224">
        <f t="shared" si="34"/>
        <v>870303.06999999739</v>
      </c>
    </row>
    <row r="317" spans="1:15" s="351" customFormat="1" hidden="1" outlineLevel="1" x14ac:dyDescent="0.2">
      <c r="A317" s="351" t="s">
        <v>299</v>
      </c>
      <c r="B317" s="351" t="s">
        <v>196</v>
      </c>
      <c r="G317" s="224">
        <f t="shared" si="35"/>
        <v>3454343.5702202637</v>
      </c>
      <c r="I317" s="375">
        <v>42370</v>
      </c>
      <c r="J317" s="375">
        <v>42399</v>
      </c>
      <c r="K317" s="369">
        <f t="shared" si="31"/>
        <v>30</v>
      </c>
      <c r="L317" s="372">
        <v>3.2500000000000001E-2</v>
      </c>
      <c r="M317" s="224">
        <f t="shared" si="32"/>
        <v>9227.36</v>
      </c>
      <c r="N317" s="224">
        <f t="shared" si="33"/>
        <v>9227.36</v>
      </c>
      <c r="O317" s="224">
        <f t="shared" si="34"/>
        <v>879530.42999999737</v>
      </c>
    </row>
    <row r="318" spans="1:15" s="351" customFormat="1" ht="13.5" hidden="1" customHeight="1" outlineLevel="1" x14ac:dyDescent="0.2">
      <c r="A318" s="376" t="s">
        <v>300</v>
      </c>
      <c r="C318" s="224">
        <v>0</v>
      </c>
      <c r="F318" s="224">
        <f>C318</f>
        <v>0</v>
      </c>
      <c r="G318" s="224">
        <f t="shared" si="35"/>
        <v>3454343.5702202637</v>
      </c>
      <c r="I318" s="375">
        <v>42400</v>
      </c>
      <c r="J318" s="375">
        <v>42400</v>
      </c>
      <c r="K318" s="369">
        <f t="shared" si="31"/>
        <v>1</v>
      </c>
      <c r="L318" s="372">
        <v>3.2500000000000001E-2</v>
      </c>
      <c r="M318" s="224">
        <f t="shared" si="32"/>
        <v>307.58</v>
      </c>
      <c r="N318" s="224">
        <f t="shared" si="33"/>
        <v>9534.94</v>
      </c>
      <c r="O318" s="224">
        <f t="shared" si="34"/>
        <v>879838.00999999733</v>
      </c>
    </row>
    <row r="319" spans="1:15" s="351" customFormat="1" hidden="1" outlineLevel="1" x14ac:dyDescent="0.2">
      <c r="B319" s="351" t="s">
        <v>197</v>
      </c>
      <c r="C319" s="224"/>
      <c r="G319" s="224">
        <f t="shared" si="35"/>
        <v>3454343.5702202637</v>
      </c>
      <c r="I319" s="375">
        <v>42401</v>
      </c>
      <c r="J319" s="375">
        <v>42428</v>
      </c>
      <c r="K319" s="369">
        <v>28</v>
      </c>
      <c r="L319" s="372">
        <v>3.2500000000000001E-2</v>
      </c>
      <c r="M319" s="224">
        <f t="shared" si="32"/>
        <v>8612.2000000000007</v>
      </c>
      <c r="N319" s="224">
        <f t="shared" si="33"/>
        <v>8612.2000000000007</v>
      </c>
      <c r="O319" s="224">
        <f t="shared" si="34"/>
        <v>888450.20999999729</v>
      </c>
    </row>
    <row r="320" spans="1:15" s="351" customFormat="1" hidden="1" outlineLevel="1" x14ac:dyDescent="0.2">
      <c r="C320" s="224">
        <v>0</v>
      </c>
      <c r="F320" s="224">
        <f>C320</f>
        <v>0</v>
      </c>
      <c r="G320" s="224">
        <f t="shared" si="35"/>
        <v>3454343.5702202637</v>
      </c>
      <c r="I320" s="375">
        <v>42429</v>
      </c>
      <c r="J320" s="375">
        <v>42429</v>
      </c>
      <c r="K320" s="369">
        <f t="shared" ref="K320:K342" si="36">+IF(+J320="","",+J320-(I320-1))</f>
        <v>1</v>
      </c>
      <c r="L320" s="372">
        <v>3.2500000000000001E-2</v>
      </c>
      <c r="M320" s="224">
        <f t="shared" si="32"/>
        <v>307.58</v>
      </c>
      <c r="N320" s="224">
        <f t="shared" si="33"/>
        <v>8919.7800000000007</v>
      </c>
      <c r="O320" s="224">
        <f t="shared" si="34"/>
        <v>888757.78999999724</v>
      </c>
    </row>
    <row r="321" spans="2:15" s="351" customFormat="1" hidden="1" outlineLevel="1" x14ac:dyDescent="0.2">
      <c r="B321" s="351" t="s">
        <v>198</v>
      </c>
      <c r="C321" s="224"/>
      <c r="G321" s="224">
        <f t="shared" si="35"/>
        <v>3454343.5702202637</v>
      </c>
      <c r="I321" s="375">
        <v>42430</v>
      </c>
      <c r="J321" s="375">
        <v>42459</v>
      </c>
      <c r="K321" s="369">
        <f t="shared" si="36"/>
        <v>30</v>
      </c>
      <c r="L321" s="372">
        <v>3.2500000000000001E-2</v>
      </c>
      <c r="M321" s="224">
        <f t="shared" si="32"/>
        <v>9227.36</v>
      </c>
      <c r="N321" s="224">
        <f t="shared" si="33"/>
        <v>9227.36</v>
      </c>
      <c r="O321" s="224">
        <f t="shared" si="34"/>
        <v>897985.14999999723</v>
      </c>
    </row>
    <row r="322" spans="2:15" s="351" customFormat="1" ht="14.25" hidden="1" customHeight="1" outlineLevel="1" x14ac:dyDescent="0.2">
      <c r="C322" s="224">
        <v>0</v>
      </c>
      <c r="F322" s="224">
        <f>C322</f>
        <v>0</v>
      </c>
      <c r="G322" s="224">
        <f t="shared" si="35"/>
        <v>3454343.5702202637</v>
      </c>
      <c r="I322" s="375">
        <v>42460</v>
      </c>
      <c r="J322" s="375">
        <v>42460</v>
      </c>
      <c r="K322" s="369">
        <f t="shared" si="36"/>
        <v>1</v>
      </c>
      <c r="L322" s="372">
        <v>3.2500000000000001E-2</v>
      </c>
      <c r="M322" s="224">
        <f t="shared" si="32"/>
        <v>307.58</v>
      </c>
      <c r="N322" s="224">
        <f t="shared" si="33"/>
        <v>9534.94</v>
      </c>
      <c r="O322" s="224">
        <f t="shared" si="34"/>
        <v>898292.72999999719</v>
      </c>
    </row>
    <row r="323" spans="2:15" s="351" customFormat="1" hidden="1" outlineLevel="1" x14ac:dyDescent="0.2">
      <c r="B323" s="351" t="s">
        <v>199</v>
      </c>
      <c r="C323" s="224"/>
      <c r="G323" s="224">
        <f t="shared" si="35"/>
        <v>3454343.5702202637</v>
      </c>
      <c r="I323" s="375">
        <v>42461</v>
      </c>
      <c r="J323" s="375">
        <v>42489</v>
      </c>
      <c r="K323" s="369">
        <f t="shared" si="36"/>
        <v>29</v>
      </c>
      <c r="L323" s="372">
        <v>3.4599999999999999E-2</v>
      </c>
      <c r="M323" s="224">
        <f t="shared" si="32"/>
        <v>9496.1299999999992</v>
      </c>
      <c r="N323" s="224">
        <f t="shared" si="33"/>
        <v>9496.1299999999992</v>
      </c>
      <c r="O323" s="224">
        <f t="shared" si="34"/>
        <v>907788.85999999719</v>
      </c>
    </row>
    <row r="324" spans="2:15" s="351" customFormat="1" hidden="1" outlineLevel="1" x14ac:dyDescent="0.2">
      <c r="C324" s="224">
        <v>0</v>
      </c>
      <c r="F324" s="224">
        <f>C324</f>
        <v>0</v>
      </c>
      <c r="G324" s="224">
        <f t="shared" si="35"/>
        <v>3454343.5702202637</v>
      </c>
      <c r="I324" s="375">
        <v>42490</v>
      </c>
      <c r="J324" s="375">
        <v>42490</v>
      </c>
      <c r="K324" s="369">
        <f t="shared" si="36"/>
        <v>1</v>
      </c>
      <c r="L324" s="372">
        <v>3.4599999999999999E-2</v>
      </c>
      <c r="M324" s="224">
        <f t="shared" si="32"/>
        <v>327.45</v>
      </c>
      <c r="N324" s="224">
        <f t="shared" si="33"/>
        <v>9823.58</v>
      </c>
      <c r="O324" s="224">
        <f t="shared" si="34"/>
        <v>908116.30999999715</v>
      </c>
    </row>
    <row r="325" spans="2:15" s="351" customFormat="1" hidden="1" outlineLevel="1" x14ac:dyDescent="0.2">
      <c r="B325" s="351" t="s">
        <v>200</v>
      </c>
      <c r="C325" s="224"/>
      <c r="G325" s="224">
        <f t="shared" si="35"/>
        <v>3454343.5702202637</v>
      </c>
      <c r="I325" s="375">
        <v>42491</v>
      </c>
      <c r="J325" s="375">
        <v>42520</v>
      </c>
      <c r="K325" s="369">
        <f t="shared" si="36"/>
        <v>30</v>
      </c>
      <c r="L325" s="372">
        <v>3.4599999999999999E-2</v>
      </c>
      <c r="M325" s="224">
        <f t="shared" si="32"/>
        <v>9823.59</v>
      </c>
      <c r="N325" s="224">
        <f t="shared" si="33"/>
        <v>9823.59</v>
      </c>
      <c r="O325" s="224">
        <f t="shared" si="34"/>
        <v>917939.89999999711</v>
      </c>
    </row>
    <row r="326" spans="2:15" s="351" customFormat="1" hidden="1" outlineLevel="1" x14ac:dyDescent="0.2">
      <c r="C326" s="224">
        <v>0</v>
      </c>
      <c r="F326" s="224">
        <f>C326</f>
        <v>0</v>
      </c>
      <c r="G326" s="224">
        <f t="shared" si="35"/>
        <v>3454343.5702202637</v>
      </c>
      <c r="I326" s="375">
        <v>42521</v>
      </c>
      <c r="J326" s="375">
        <v>42521</v>
      </c>
      <c r="K326" s="369">
        <f t="shared" si="36"/>
        <v>1</v>
      </c>
      <c r="L326" s="372">
        <v>3.4599999999999999E-2</v>
      </c>
      <c r="M326" s="224">
        <f t="shared" si="32"/>
        <v>327.45</v>
      </c>
      <c r="N326" s="224">
        <f t="shared" si="33"/>
        <v>10151.040000000001</v>
      </c>
      <c r="O326" s="224">
        <f t="shared" si="34"/>
        <v>918267.34999999707</v>
      </c>
    </row>
    <row r="327" spans="2:15" s="351" customFormat="1" hidden="1" outlineLevel="1" x14ac:dyDescent="0.2">
      <c r="B327" s="351" t="s">
        <v>201</v>
      </c>
      <c r="C327" s="224"/>
      <c r="G327" s="224">
        <f t="shared" si="35"/>
        <v>3454343.5702202637</v>
      </c>
      <c r="I327" s="375">
        <v>42522</v>
      </c>
      <c r="J327" s="375">
        <v>42550</v>
      </c>
      <c r="K327" s="369">
        <f t="shared" si="36"/>
        <v>29</v>
      </c>
      <c r="L327" s="372">
        <v>3.4599999999999999E-2</v>
      </c>
      <c r="M327" s="224">
        <f t="shared" si="32"/>
        <v>9496.1299999999992</v>
      </c>
      <c r="N327" s="224">
        <f t="shared" si="33"/>
        <v>9496.1299999999992</v>
      </c>
      <c r="O327" s="224">
        <f t="shared" si="34"/>
        <v>927763.47999999707</v>
      </c>
    </row>
    <row r="328" spans="2:15" s="351" customFormat="1" hidden="1" outlineLevel="1" x14ac:dyDescent="0.2">
      <c r="C328" s="224">
        <v>0</v>
      </c>
      <c r="F328" s="224">
        <f>C328</f>
        <v>0</v>
      </c>
      <c r="G328" s="224">
        <f t="shared" si="35"/>
        <v>3454343.5702202637</v>
      </c>
      <c r="I328" s="375">
        <v>42551</v>
      </c>
      <c r="J328" s="375">
        <v>42551</v>
      </c>
      <c r="K328" s="369">
        <f t="shared" si="36"/>
        <v>1</v>
      </c>
      <c r="L328" s="372">
        <v>3.4599999999999999E-2</v>
      </c>
      <c r="M328" s="224">
        <f t="shared" si="32"/>
        <v>327.45</v>
      </c>
      <c r="N328" s="224">
        <f t="shared" si="33"/>
        <v>9823.58</v>
      </c>
      <c r="O328" s="224">
        <f t="shared" si="34"/>
        <v>928090.92999999702</v>
      </c>
    </row>
    <row r="329" spans="2:15" s="351" customFormat="1" hidden="1" outlineLevel="1" x14ac:dyDescent="0.2">
      <c r="B329" s="351" t="s">
        <v>190</v>
      </c>
      <c r="C329" s="224"/>
      <c r="G329" s="224">
        <f t="shared" si="35"/>
        <v>3454343.5702202637</v>
      </c>
      <c r="I329" s="375">
        <v>42552</v>
      </c>
      <c r="J329" s="375">
        <v>42581</v>
      </c>
      <c r="K329" s="369">
        <f t="shared" si="36"/>
        <v>30</v>
      </c>
      <c r="L329" s="372">
        <v>3.5000000000000003E-2</v>
      </c>
      <c r="M329" s="224">
        <f t="shared" si="32"/>
        <v>9937.15</v>
      </c>
      <c r="N329" s="224">
        <f t="shared" si="33"/>
        <v>9937.15</v>
      </c>
      <c r="O329" s="224">
        <f t="shared" si="34"/>
        <v>938028.07999999705</v>
      </c>
    </row>
    <row r="330" spans="2:15" s="351" customFormat="1" hidden="1" outlineLevel="1" x14ac:dyDescent="0.2">
      <c r="C330" s="224">
        <v>0</v>
      </c>
      <c r="F330" s="224">
        <f>C330</f>
        <v>0</v>
      </c>
      <c r="G330" s="224">
        <f t="shared" si="35"/>
        <v>3454343.5702202637</v>
      </c>
      <c r="I330" s="375">
        <v>42582</v>
      </c>
      <c r="J330" s="375">
        <v>42582</v>
      </c>
      <c r="K330" s="369">
        <f t="shared" si="36"/>
        <v>1</v>
      </c>
      <c r="L330" s="372">
        <v>3.5000000000000003E-2</v>
      </c>
      <c r="M330" s="224">
        <f t="shared" si="32"/>
        <v>331.24</v>
      </c>
      <c r="N330" s="224">
        <f t="shared" si="33"/>
        <v>10268.39</v>
      </c>
      <c r="O330" s="224">
        <f t="shared" si="34"/>
        <v>938359.31999999704</v>
      </c>
    </row>
    <row r="331" spans="2:15" s="351" customFormat="1" hidden="1" outlineLevel="1" x14ac:dyDescent="0.2">
      <c r="B331" s="351" t="s">
        <v>191</v>
      </c>
      <c r="C331" s="224"/>
      <c r="G331" s="224">
        <f t="shared" si="35"/>
        <v>3454343.5702202637</v>
      </c>
      <c r="I331" s="375">
        <v>42583</v>
      </c>
      <c r="J331" s="375">
        <v>42612</v>
      </c>
      <c r="K331" s="369">
        <f t="shared" si="36"/>
        <v>30</v>
      </c>
      <c r="L331" s="372">
        <v>3.5000000000000003E-2</v>
      </c>
      <c r="M331" s="224">
        <f t="shared" si="32"/>
        <v>9937.15</v>
      </c>
      <c r="N331" s="224">
        <f t="shared" si="33"/>
        <v>9937.15</v>
      </c>
      <c r="O331" s="224">
        <f t="shared" si="34"/>
        <v>948296.46999999706</v>
      </c>
    </row>
    <row r="332" spans="2:15" s="351" customFormat="1" hidden="1" outlineLevel="1" x14ac:dyDescent="0.2">
      <c r="C332" s="224">
        <v>0</v>
      </c>
      <c r="F332" s="224">
        <f>C332</f>
        <v>0</v>
      </c>
      <c r="G332" s="224">
        <f t="shared" si="35"/>
        <v>3454343.5702202637</v>
      </c>
      <c r="I332" s="375">
        <v>42613</v>
      </c>
      <c r="J332" s="375">
        <v>42613</v>
      </c>
      <c r="K332" s="369">
        <f t="shared" si="36"/>
        <v>1</v>
      </c>
      <c r="L332" s="372">
        <v>3.5000000000000003E-2</v>
      </c>
      <c r="M332" s="224">
        <f t="shared" si="32"/>
        <v>331.24</v>
      </c>
      <c r="N332" s="224">
        <f t="shared" si="33"/>
        <v>10268.39</v>
      </c>
      <c r="O332" s="224">
        <f t="shared" si="34"/>
        <v>948627.70999999705</v>
      </c>
    </row>
    <row r="333" spans="2:15" s="351" customFormat="1" hidden="1" outlineLevel="1" x14ac:dyDescent="0.2">
      <c r="B333" s="351" t="s">
        <v>192</v>
      </c>
      <c r="C333" s="224"/>
      <c r="G333" s="224">
        <f t="shared" si="35"/>
        <v>3454343.5702202637</v>
      </c>
      <c r="I333" s="375">
        <v>42614</v>
      </c>
      <c r="J333" s="375">
        <v>42642</v>
      </c>
      <c r="K333" s="369">
        <f t="shared" si="36"/>
        <v>29</v>
      </c>
      <c r="L333" s="372">
        <v>3.5000000000000003E-2</v>
      </c>
      <c r="M333" s="224">
        <f t="shared" si="32"/>
        <v>9605.91</v>
      </c>
      <c r="N333" s="224">
        <f t="shared" si="33"/>
        <v>9605.91</v>
      </c>
      <c r="O333" s="224">
        <f t="shared" si="34"/>
        <v>958233.61999999708</v>
      </c>
    </row>
    <row r="334" spans="2:15" s="351" customFormat="1" hidden="1" outlineLevel="1" x14ac:dyDescent="0.2">
      <c r="C334" s="224">
        <v>0</v>
      </c>
      <c r="F334" s="224">
        <f>C334</f>
        <v>0</v>
      </c>
      <c r="G334" s="224">
        <f t="shared" si="35"/>
        <v>3454343.5702202637</v>
      </c>
      <c r="I334" s="375">
        <v>42643</v>
      </c>
      <c r="J334" s="375">
        <v>42643</v>
      </c>
      <c r="K334" s="369">
        <f t="shared" si="36"/>
        <v>1</v>
      </c>
      <c r="L334" s="372">
        <v>3.5000000000000003E-2</v>
      </c>
      <c r="M334" s="224">
        <f t="shared" si="32"/>
        <v>331.24</v>
      </c>
      <c r="N334" s="224">
        <f t="shared" si="33"/>
        <v>9937.15</v>
      </c>
      <c r="O334" s="224">
        <f t="shared" si="34"/>
        <v>958564.85999999708</v>
      </c>
    </row>
    <row r="335" spans="2:15" s="351" customFormat="1" hidden="1" outlineLevel="1" x14ac:dyDescent="0.2">
      <c r="B335" s="351" t="s">
        <v>193</v>
      </c>
      <c r="C335" s="224"/>
      <c r="G335" s="224">
        <f t="shared" si="35"/>
        <v>3454343.5702202637</v>
      </c>
      <c r="I335" s="375">
        <v>42644</v>
      </c>
      <c r="J335" s="375">
        <v>42673</v>
      </c>
      <c r="K335" s="369">
        <f t="shared" si="36"/>
        <v>30</v>
      </c>
      <c r="L335" s="372">
        <v>3.5000000000000003E-2</v>
      </c>
      <c r="M335" s="224">
        <f t="shared" si="32"/>
        <v>9937.15</v>
      </c>
      <c r="N335" s="224">
        <f t="shared" si="33"/>
        <v>9937.15</v>
      </c>
      <c r="O335" s="224">
        <f t="shared" si="34"/>
        <v>968502.0099999971</v>
      </c>
    </row>
    <row r="336" spans="2:15" s="351" customFormat="1" hidden="1" outlineLevel="1" x14ac:dyDescent="0.2">
      <c r="C336" s="224">
        <v>0</v>
      </c>
      <c r="F336" s="224">
        <f>C336</f>
        <v>0</v>
      </c>
      <c r="G336" s="224">
        <f t="shared" si="35"/>
        <v>3454343.5702202637</v>
      </c>
      <c r="I336" s="375">
        <v>42674</v>
      </c>
      <c r="J336" s="375">
        <v>42674</v>
      </c>
      <c r="K336" s="369">
        <f t="shared" si="36"/>
        <v>1</v>
      </c>
      <c r="L336" s="372">
        <v>3.5000000000000003E-2</v>
      </c>
      <c r="M336" s="224">
        <f t="shared" si="32"/>
        <v>331.24</v>
      </c>
      <c r="N336" s="224">
        <f t="shared" si="33"/>
        <v>10268.39</v>
      </c>
      <c r="O336" s="224">
        <f t="shared" si="34"/>
        <v>968833.24999999709</v>
      </c>
    </row>
    <row r="337" spans="1:15" s="351" customFormat="1" hidden="1" outlineLevel="1" x14ac:dyDescent="0.2">
      <c r="B337" s="351" t="s">
        <v>194</v>
      </c>
      <c r="C337" s="224"/>
      <c r="G337" s="224">
        <f t="shared" si="35"/>
        <v>3454343.5702202637</v>
      </c>
      <c r="I337" s="375">
        <v>42675</v>
      </c>
      <c r="J337" s="375">
        <v>42703</v>
      </c>
      <c r="K337" s="369">
        <f t="shared" si="36"/>
        <v>29</v>
      </c>
      <c r="L337" s="372">
        <v>3.5000000000000003E-2</v>
      </c>
      <c r="M337" s="224">
        <f t="shared" si="32"/>
        <v>9605.91</v>
      </c>
      <c r="N337" s="224">
        <f t="shared" si="33"/>
        <v>9605.91</v>
      </c>
      <c r="O337" s="224">
        <f t="shared" si="34"/>
        <v>978439.15999999712</v>
      </c>
    </row>
    <row r="338" spans="1:15" s="351" customFormat="1" hidden="1" outlineLevel="1" x14ac:dyDescent="0.2">
      <c r="C338" s="224">
        <v>0</v>
      </c>
      <c r="F338" s="224">
        <f>C338</f>
        <v>0</v>
      </c>
      <c r="G338" s="224">
        <f t="shared" si="35"/>
        <v>3454343.5702202637</v>
      </c>
      <c r="I338" s="375">
        <v>42704</v>
      </c>
      <c r="J338" s="375">
        <v>42704</v>
      </c>
      <c r="K338" s="369">
        <f t="shared" si="36"/>
        <v>1</v>
      </c>
      <c r="L338" s="372">
        <v>3.5000000000000003E-2</v>
      </c>
      <c r="M338" s="224">
        <f t="shared" si="32"/>
        <v>331.24</v>
      </c>
      <c r="N338" s="224">
        <f t="shared" si="33"/>
        <v>9937.15</v>
      </c>
      <c r="O338" s="224">
        <f t="shared" si="34"/>
        <v>978770.39999999711</v>
      </c>
    </row>
    <row r="339" spans="1:15" s="351" customFormat="1" hidden="1" outlineLevel="1" x14ac:dyDescent="0.2">
      <c r="B339" s="351" t="s">
        <v>195</v>
      </c>
      <c r="C339" s="224"/>
      <c r="G339" s="224">
        <f t="shared" si="35"/>
        <v>3454343.5702202637</v>
      </c>
      <c r="I339" s="375">
        <v>42705</v>
      </c>
      <c r="J339" s="375">
        <v>42734</v>
      </c>
      <c r="K339" s="369">
        <f t="shared" si="36"/>
        <v>30</v>
      </c>
      <c r="L339" s="372">
        <v>3.5000000000000003E-2</v>
      </c>
      <c r="M339" s="224">
        <f t="shared" si="32"/>
        <v>9937.15</v>
      </c>
      <c r="N339" s="224">
        <f t="shared" si="33"/>
        <v>9937.15</v>
      </c>
      <c r="O339" s="224">
        <f t="shared" si="34"/>
        <v>988707.54999999714</v>
      </c>
    </row>
    <row r="340" spans="1:15" s="351" customFormat="1" hidden="1" outlineLevel="1" x14ac:dyDescent="0.2">
      <c r="C340" s="224">
        <v>0</v>
      </c>
      <c r="F340" s="224">
        <f>C340</f>
        <v>0</v>
      </c>
      <c r="G340" s="224">
        <f t="shared" si="35"/>
        <v>3454343.5702202637</v>
      </c>
      <c r="I340" s="375">
        <v>42735</v>
      </c>
      <c r="J340" s="375">
        <v>42735</v>
      </c>
      <c r="K340" s="369">
        <f t="shared" si="36"/>
        <v>1</v>
      </c>
      <c r="L340" s="372">
        <v>3.5000000000000003E-2</v>
      </c>
      <c r="M340" s="224">
        <f t="shared" si="32"/>
        <v>331.24</v>
      </c>
      <c r="N340" s="224">
        <f t="shared" si="33"/>
        <v>10268.39</v>
      </c>
      <c r="O340" s="224">
        <f t="shared" si="34"/>
        <v>989038.78999999713</v>
      </c>
    </row>
    <row r="341" spans="1:15" s="351" customFormat="1" hidden="1" outlineLevel="1" x14ac:dyDescent="0.2">
      <c r="A341" s="351" t="s">
        <v>301</v>
      </c>
      <c r="B341" s="351" t="s">
        <v>196</v>
      </c>
      <c r="G341" s="224">
        <f t="shared" si="35"/>
        <v>3454343.5702202637</v>
      </c>
      <c r="I341" s="375">
        <v>42736</v>
      </c>
      <c r="J341" s="375">
        <v>42765</v>
      </c>
      <c r="K341" s="369">
        <f t="shared" si="36"/>
        <v>30</v>
      </c>
      <c r="L341" s="372">
        <v>3.5000000000000003E-2</v>
      </c>
      <c r="M341" s="224">
        <f t="shared" si="32"/>
        <v>9937.15</v>
      </c>
      <c r="N341" s="224">
        <f t="shared" si="33"/>
        <v>9937.15</v>
      </c>
      <c r="O341" s="224">
        <f t="shared" si="34"/>
        <v>998975.93999999715</v>
      </c>
    </row>
    <row r="342" spans="1:15" s="351" customFormat="1" ht="13.5" hidden="1" customHeight="1" outlineLevel="1" x14ac:dyDescent="0.2">
      <c r="A342" s="376" t="s">
        <v>302</v>
      </c>
      <c r="C342" s="224">
        <v>0</v>
      </c>
      <c r="F342" s="224">
        <f>C342</f>
        <v>0</v>
      </c>
      <c r="G342" s="224">
        <f t="shared" si="35"/>
        <v>3454343.5702202637</v>
      </c>
      <c r="I342" s="375">
        <v>42766</v>
      </c>
      <c r="J342" s="375">
        <v>42766</v>
      </c>
      <c r="K342" s="369">
        <f t="shared" si="36"/>
        <v>1</v>
      </c>
      <c r="L342" s="372">
        <v>3.5000000000000003E-2</v>
      </c>
      <c r="M342" s="224">
        <f t="shared" si="32"/>
        <v>331.24</v>
      </c>
      <c r="N342" s="224">
        <f t="shared" si="33"/>
        <v>10268.39</v>
      </c>
      <c r="O342" s="224">
        <f t="shared" si="34"/>
        <v>999307.17999999714</v>
      </c>
    </row>
    <row r="343" spans="1:15" s="351" customFormat="1" hidden="1" outlineLevel="1" x14ac:dyDescent="0.2">
      <c r="B343" s="351" t="s">
        <v>197</v>
      </c>
      <c r="C343" s="224"/>
      <c r="G343" s="224">
        <f t="shared" si="35"/>
        <v>3454343.5702202637</v>
      </c>
      <c r="I343" s="375">
        <v>42767</v>
      </c>
      <c r="J343" s="375">
        <v>42793</v>
      </c>
      <c r="K343" s="369">
        <v>27</v>
      </c>
      <c r="L343" s="372">
        <v>3.5000000000000003E-2</v>
      </c>
      <c r="M343" s="224">
        <f t="shared" si="32"/>
        <v>8943.44</v>
      </c>
      <c r="N343" s="224">
        <f t="shared" si="33"/>
        <v>8943.44</v>
      </c>
      <c r="O343" s="224">
        <f t="shared" si="34"/>
        <v>1008250.6199999971</v>
      </c>
    </row>
    <row r="344" spans="1:15" s="351" customFormat="1" hidden="1" outlineLevel="1" x14ac:dyDescent="0.2">
      <c r="C344" s="224">
        <v>0</v>
      </c>
      <c r="F344" s="224">
        <f>C344</f>
        <v>0</v>
      </c>
      <c r="G344" s="224">
        <f t="shared" si="35"/>
        <v>3454343.5702202637</v>
      </c>
      <c r="I344" s="375">
        <v>42794</v>
      </c>
      <c r="J344" s="375">
        <v>42794</v>
      </c>
      <c r="K344" s="369">
        <f t="shared" ref="K344:K366" si="37">+IF(+J344="","",+J344-(I344-1))</f>
        <v>1</v>
      </c>
      <c r="L344" s="372">
        <v>3.5000000000000003E-2</v>
      </c>
      <c r="M344" s="224">
        <f t="shared" ref="M344:M407" si="38">+IF(+K344&lt;&gt;" ", ROUND(L344*(K344/365)*G344,2),0)</f>
        <v>331.24</v>
      </c>
      <c r="N344" s="224">
        <f t="shared" si="33"/>
        <v>9274.68</v>
      </c>
      <c r="O344" s="224">
        <f t="shared" si="34"/>
        <v>1008581.8599999971</v>
      </c>
    </row>
    <row r="345" spans="1:15" s="351" customFormat="1" hidden="1" outlineLevel="1" x14ac:dyDescent="0.2">
      <c r="B345" s="351" t="s">
        <v>198</v>
      </c>
      <c r="C345" s="224"/>
      <c r="G345" s="224">
        <f t="shared" si="35"/>
        <v>3454343.5702202637</v>
      </c>
      <c r="I345" s="375">
        <v>42795</v>
      </c>
      <c r="J345" s="375">
        <v>42824</v>
      </c>
      <c r="K345" s="369">
        <f t="shared" si="37"/>
        <v>30</v>
      </c>
      <c r="L345" s="372">
        <v>3.5000000000000003E-2</v>
      </c>
      <c r="M345" s="224">
        <f t="shared" si="38"/>
        <v>9937.15</v>
      </c>
      <c r="N345" s="224">
        <f t="shared" si="33"/>
        <v>9937.15</v>
      </c>
      <c r="O345" s="224">
        <f t="shared" si="34"/>
        <v>1018519.0099999971</v>
      </c>
    </row>
    <row r="346" spans="1:15" s="351" customFormat="1" ht="14.25" hidden="1" customHeight="1" outlineLevel="1" x14ac:dyDescent="0.2">
      <c r="C346" s="224">
        <v>0</v>
      </c>
      <c r="F346" s="224">
        <f>C346</f>
        <v>0</v>
      </c>
      <c r="G346" s="224">
        <f t="shared" si="35"/>
        <v>3454343.5702202637</v>
      </c>
      <c r="I346" s="375">
        <v>42825</v>
      </c>
      <c r="J346" s="375">
        <v>42825</v>
      </c>
      <c r="K346" s="369">
        <f t="shared" si="37"/>
        <v>1</v>
      </c>
      <c r="L346" s="372">
        <v>3.5000000000000003E-2</v>
      </c>
      <c r="M346" s="224">
        <f t="shared" si="38"/>
        <v>331.24</v>
      </c>
      <c r="N346" s="224">
        <f t="shared" ref="N346:N388" si="39">IF(MONTH(+I346)&lt;&gt;MONTH(+I345),M346,+N345+M346)</f>
        <v>10268.39</v>
      </c>
      <c r="O346" s="224">
        <f t="shared" si="34"/>
        <v>1018850.2499999971</v>
      </c>
    </row>
    <row r="347" spans="1:15" s="351" customFormat="1" hidden="1" outlineLevel="1" x14ac:dyDescent="0.2">
      <c r="B347" s="351" t="s">
        <v>199</v>
      </c>
      <c r="C347" s="224"/>
      <c r="G347" s="224">
        <f t="shared" si="35"/>
        <v>3454343.5702202637</v>
      </c>
      <c r="I347" s="375">
        <v>42826</v>
      </c>
      <c r="J347" s="375">
        <v>42854</v>
      </c>
      <c r="K347" s="369">
        <f t="shared" si="37"/>
        <v>29</v>
      </c>
      <c r="L347" s="372">
        <v>3.7100000000000001E-2</v>
      </c>
      <c r="M347" s="224">
        <f t="shared" si="38"/>
        <v>10182.27</v>
      </c>
      <c r="N347" s="224">
        <f t="shared" si="39"/>
        <v>10182.27</v>
      </c>
      <c r="O347" s="224">
        <f t="shared" ref="O347:O388" si="40">O346+M347</f>
        <v>1029032.5199999971</v>
      </c>
    </row>
    <row r="348" spans="1:15" s="351" customFormat="1" hidden="1" outlineLevel="1" x14ac:dyDescent="0.2">
      <c r="C348" s="224">
        <v>0</v>
      </c>
      <c r="F348" s="224">
        <f>C348</f>
        <v>0</v>
      </c>
      <c r="G348" s="224">
        <f t="shared" si="35"/>
        <v>3454343.5702202637</v>
      </c>
      <c r="I348" s="375">
        <v>42855</v>
      </c>
      <c r="J348" s="375">
        <v>42855</v>
      </c>
      <c r="K348" s="369">
        <f t="shared" si="37"/>
        <v>1</v>
      </c>
      <c r="L348" s="372">
        <v>3.7100000000000001E-2</v>
      </c>
      <c r="M348" s="224">
        <f t="shared" si="38"/>
        <v>351.11</v>
      </c>
      <c r="N348" s="224">
        <f t="shared" si="39"/>
        <v>10533.380000000001</v>
      </c>
      <c r="O348" s="224">
        <f t="shared" si="40"/>
        <v>1029383.6299999971</v>
      </c>
    </row>
    <row r="349" spans="1:15" s="351" customFormat="1" hidden="1" outlineLevel="1" x14ac:dyDescent="0.2">
      <c r="B349" s="351" t="s">
        <v>200</v>
      </c>
      <c r="C349" s="224"/>
      <c r="G349" s="224">
        <f t="shared" si="35"/>
        <v>3454343.5702202637</v>
      </c>
      <c r="I349" s="375">
        <v>42856</v>
      </c>
      <c r="J349" s="375">
        <v>42885</v>
      </c>
      <c r="K349" s="369">
        <f t="shared" si="37"/>
        <v>30</v>
      </c>
      <c r="L349" s="372">
        <v>3.7100000000000001E-2</v>
      </c>
      <c r="M349" s="224">
        <f t="shared" si="38"/>
        <v>10533.38</v>
      </c>
      <c r="N349" s="224">
        <f t="shared" si="39"/>
        <v>10533.38</v>
      </c>
      <c r="O349" s="224">
        <f t="shared" si="40"/>
        <v>1039917.0099999971</v>
      </c>
    </row>
    <row r="350" spans="1:15" s="351" customFormat="1" hidden="1" outlineLevel="1" x14ac:dyDescent="0.2">
      <c r="C350" s="224">
        <v>0</v>
      </c>
      <c r="F350" s="224">
        <f>C350</f>
        <v>0</v>
      </c>
      <c r="G350" s="224">
        <f t="shared" si="35"/>
        <v>3454343.5702202637</v>
      </c>
      <c r="I350" s="375">
        <v>42886</v>
      </c>
      <c r="J350" s="375">
        <v>42886</v>
      </c>
      <c r="K350" s="369">
        <f t="shared" si="37"/>
        <v>1</v>
      </c>
      <c r="L350" s="372">
        <v>3.7100000000000001E-2</v>
      </c>
      <c r="M350" s="224">
        <f t="shared" si="38"/>
        <v>351.11</v>
      </c>
      <c r="N350" s="224">
        <f t="shared" si="39"/>
        <v>10884.49</v>
      </c>
      <c r="O350" s="224">
        <f t="shared" si="40"/>
        <v>1040268.1199999971</v>
      </c>
    </row>
    <row r="351" spans="1:15" s="351" customFormat="1" hidden="1" outlineLevel="1" x14ac:dyDescent="0.2">
      <c r="B351" s="351" t="s">
        <v>201</v>
      </c>
      <c r="C351" s="224"/>
      <c r="G351" s="224">
        <f t="shared" si="35"/>
        <v>3454343.5702202637</v>
      </c>
      <c r="I351" s="375">
        <v>42887</v>
      </c>
      <c r="J351" s="375">
        <v>42915</v>
      </c>
      <c r="K351" s="369">
        <f t="shared" si="37"/>
        <v>29</v>
      </c>
      <c r="L351" s="372">
        <v>3.7100000000000001E-2</v>
      </c>
      <c r="M351" s="224">
        <f t="shared" si="38"/>
        <v>10182.27</v>
      </c>
      <c r="N351" s="224">
        <f t="shared" si="39"/>
        <v>10182.27</v>
      </c>
      <c r="O351" s="224">
        <f t="shared" si="40"/>
        <v>1050450.3899999971</v>
      </c>
    </row>
    <row r="352" spans="1:15" s="351" customFormat="1" hidden="1" outlineLevel="1" x14ac:dyDescent="0.2">
      <c r="C352" s="224">
        <v>0</v>
      </c>
      <c r="F352" s="224">
        <f>C352</f>
        <v>0</v>
      </c>
      <c r="G352" s="224">
        <f t="shared" si="35"/>
        <v>3454343.5702202637</v>
      </c>
      <c r="I352" s="375">
        <v>42916</v>
      </c>
      <c r="J352" s="375">
        <v>42916</v>
      </c>
      <c r="K352" s="369">
        <f t="shared" si="37"/>
        <v>1</v>
      </c>
      <c r="L352" s="372">
        <v>3.7100000000000001E-2</v>
      </c>
      <c r="M352" s="224">
        <f t="shared" si="38"/>
        <v>351.11</v>
      </c>
      <c r="N352" s="224">
        <f t="shared" si="39"/>
        <v>10533.380000000001</v>
      </c>
      <c r="O352" s="224">
        <f t="shared" si="40"/>
        <v>1050801.4999999972</v>
      </c>
    </row>
    <row r="353" spans="1:15" s="351" customFormat="1" hidden="1" outlineLevel="1" x14ac:dyDescent="0.2">
      <c r="B353" s="351" t="s">
        <v>190</v>
      </c>
      <c r="C353" s="224"/>
      <c r="G353" s="224">
        <f t="shared" si="35"/>
        <v>3454343.5702202637</v>
      </c>
      <c r="I353" s="375">
        <v>42917</v>
      </c>
      <c r="J353" s="375">
        <v>42946</v>
      </c>
      <c r="K353" s="369">
        <f t="shared" si="37"/>
        <v>30</v>
      </c>
      <c r="L353" s="372">
        <v>3.9600000000000003E-2</v>
      </c>
      <c r="M353" s="224">
        <f t="shared" si="38"/>
        <v>11243.18</v>
      </c>
      <c r="N353" s="224">
        <f t="shared" si="39"/>
        <v>11243.18</v>
      </c>
      <c r="O353" s="224">
        <f t="shared" si="40"/>
        <v>1062044.6799999971</v>
      </c>
    </row>
    <row r="354" spans="1:15" s="351" customFormat="1" hidden="1" outlineLevel="1" x14ac:dyDescent="0.2">
      <c r="C354" s="224">
        <v>0</v>
      </c>
      <c r="F354" s="224">
        <f>C354</f>
        <v>0</v>
      </c>
      <c r="G354" s="224">
        <f t="shared" si="35"/>
        <v>3454343.5702202637</v>
      </c>
      <c r="I354" s="375">
        <v>42947</v>
      </c>
      <c r="J354" s="375">
        <v>42947</v>
      </c>
      <c r="K354" s="369">
        <f t="shared" si="37"/>
        <v>1</v>
      </c>
      <c r="L354" s="372">
        <v>3.9600000000000003E-2</v>
      </c>
      <c r="M354" s="224">
        <f t="shared" si="38"/>
        <v>374.77</v>
      </c>
      <c r="N354" s="224">
        <f t="shared" si="39"/>
        <v>11617.95</v>
      </c>
      <c r="O354" s="224">
        <f t="shared" si="40"/>
        <v>1062419.4499999972</v>
      </c>
    </row>
    <row r="355" spans="1:15" s="351" customFormat="1" hidden="1" outlineLevel="1" x14ac:dyDescent="0.2">
      <c r="B355" s="351" t="s">
        <v>191</v>
      </c>
      <c r="C355" s="224"/>
      <c r="G355" s="224">
        <f t="shared" si="35"/>
        <v>3454343.5702202637</v>
      </c>
      <c r="I355" s="375">
        <v>42948</v>
      </c>
      <c r="J355" s="375">
        <v>42977</v>
      </c>
      <c r="K355" s="369">
        <f t="shared" si="37"/>
        <v>30</v>
      </c>
      <c r="L355" s="372">
        <v>3.9600000000000003E-2</v>
      </c>
      <c r="M355" s="224">
        <f t="shared" si="38"/>
        <v>11243.18</v>
      </c>
      <c r="N355" s="224">
        <f t="shared" si="39"/>
        <v>11243.18</v>
      </c>
      <c r="O355" s="224">
        <f t="shared" si="40"/>
        <v>1073662.6299999971</v>
      </c>
    </row>
    <row r="356" spans="1:15" s="351" customFormat="1" hidden="1" outlineLevel="1" x14ac:dyDescent="0.2">
      <c r="C356" s="224">
        <v>0</v>
      </c>
      <c r="F356" s="224">
        <f>C356</f>
        <v>0</v>
      </c>
      <c r="G356" s="224">
        <f t="shared" si="35"/>
        <v>3454343.5702202637</v>
      </c>
      <c r="I356" s="375">
        <v>42978</v>
      </c>
      <c r="J356" s="375">
        <v>42978</v>
      </c>
      <c r="K356" s="369">
        <f t="shared" si="37"/>
        <v>1</v>
      </c>
      <c r="L356" s="372">
        <v>3.9600000000000003E-2</v>
      </c>
      <c r="M356" s="224">
        <f t="shared" si="38"/>
        <v>374.77</v>
      </c>
      <c r="N356" s="224">
        <f t="shared" si="39"/>
        <v>11617.95</v>
      </c>
      <c r="O356" s="224">
        <f t="shared" si="40"/>
        <v>1074037.3999999971</v>
      </c>
    </row>
    <row r="357" spans="1:15" s="351" customFormat="1" hidden="1" outlineLevel="1" x14ac:dyDescent="0.2">
      <c r="B357" s="351" t="s">
        <v>192</v>
      </c>
      <c r="C357" s="224"/>
      <c r="G357" s="224">
        <f t="shared" si="35"/>
        <v>3454343.5702202637</v>
      </c>
      <c r="I357" s="375">
        <v>42979</v>
      </c>
      <c r="J357" s="375">
        <v>43007</v>
      </c>
      <c r="K357" s="369">
        <f t="shared" si="37"/>
        <v>29</v>
      </c>
      <c r="L357" s="372">
        <v>3.9600000000000003E-2</v>
      </c>
      <c r="M357" s="224">
        <f t="shared" si="38"/>
        <v>10868.41</v>
      </c>
      <c r="N357" s="224">
        <f t="shared" si="39"/>
        <v>10868.41</v>
      </c>
      <c r="O357" s="224">
        <f t="shared" si="40"/>
        <v>1084905.809999997</v>
      </c>
    </row>
    <row r="358" spans="1:15" s="351" customFormat="1" hidden="1" outlineLevel="1" x14ac:dyDescent="0.2">
      <c r="C358" s="224">
        <v>0</v>
      </c>
      <c r="F358" s="224">
        <f>C358</f>
        <v>0</v>
      </c>
      <c r="G358" s="224">
        <f t="shared" si="35"/>
        <v>3454343.5702202637</v>
      </c>
      <c r="I358" s="375">
        <v>43008</v>
      </c>
      <c r="J358" s="375">
        <v>43008</v>
      </c>
      <c r="K358" s="369">
        <f t="shared" si="37"/>
        <v>1</v>
      </c>
      <c r="L358" s="372">
        <v>3.9600000000000003E-2</v>
      </c>
      <c r="M358" s="224">
        <f t="shared" si="38"/>
        <v>374.77</v>
      </c>
      <c r="N358" s="224">
        <f t="shared" si="39"/>
        <v>11243.18</v>
      </c>
      <c r="O358" s="224">
        <f t="shared" si="40"/>
        <v>1085280.579999997</v>
      </c>
    </row>
    <row r="359" spans="1:15" s="351" customFormat="1" hidden="1" outlineLevel="1" x14ac:dyDescent="0.2">
      <c r="B359" s="351" t="s">
        <v>193</v>
      </c>
      <c r="C359" s="224"/>
      <c r="G359" s="224">
        <f t="shared" si="35"/>
        <v>3454343.5702202637</v>
      </c>
      <c r="I359" s="375">
        <v>43009</v>
      </c>
      <c r="J359" s="375">
        <v>43038</v>
      </c>
      <c r="K359" s="369">
        <f t="shared" si="37"/>
        <v>30</v>
      </c>
      <c r="L359" s="372">
        <v>4.2099999999999999E-2</v>
      </c>
      <c r="M359" s="224">
        <f t="shared" si="38"/>
        <v>11952.98</v>
      </c>
      <c r="N359" s="224">
        <f t="shared" si="39"/>
        <v>11952.98</v>
      </c>
      <c r="O359" s="224">
        <f t="shared" si="40"/>
        <v>1097233.559999997</v>
      </c>
    </row>
    <row r="360" spans="1:15" s="351" customFormat="1" hidden="1" outlineLevel="1" x14ac:dyDescent="0.2">
      <c r="C360" s="224">
        <v>0</v>
      </c>
      <c r="F360" s="224">
        <f>C360</f>
        <v>0</v>
      </c>
      <c r="G360" s="224">
        <f t="shared" si="35"/>
        <v>3454343.5702202637</v>
      </c>
      <c r="I360" s="375">
        <v>43039</v>
      </c>
      <c r="J360" s="375">
        <v>43039</v>
      </c>
      <c r="K360" s="369">
        <f t="shared" si="37"/>
        <v>1</v>
      </c>
      <c r="L360" s="372">
        <v>4.2099999999999999E-2</v>
      </c>
      <c r="M360" s="224">
        <f t="shared" si="38"/>
        <v>398.43</v>
      </c>
      <c r="N360" s="224">
        <f t="shared" si="39"/>
        <v>12351.41</v>
      </c>
      <c r="O360" s="224">
        <f t="shared" si="40"/>
        <v>1097631.989999997</v>
      </c>
    </row>
    <row r="361" spans="1:15" s="351" customFormat="1" hidden="1" outlineLevel="1" x14ac:dyDescent="0.2">
      <c r="B361" s="351" t="s">
        <v>194</v>
      </c>
      <c r="C361" s="224"/>
      <c r="G361" s="224">
        <f t="shared" si="35"/>
        <v>3454343.5702202637</v>
      </c>
      <c r="I361" s="375">
        <v>43040</v>
      </c>
      <c r="J361" s="375">
        <v>43068</v>
      </c>
      <c r="K361" s="369">
        <f t="shared" si="37"/>
        <v>29</v>
      </c>
      <c r="L361" s="372">
        <v>4.2099999999999999E-2</v>
      </c>
      <c r="M361" s="224">
        <f t="shared" si="38"/>
        <v>11554.54</v>
      </c>
      <c r="N361" s="224">
        <f t="shared" si="39"/>
        <v>11554.54</v>
      </c>
      <c r="O361" s="224">
        <f t="shared" si="40"/>
        <v>1109186.529999997</v>
      </c>
    </row>
    <row r="362" spans="1:15" s="351" customFormat="1" hidden="1" outlineLevel="1" x14ac:dyDescent="0.2">
      <c r="C362" s="224">
        <v>0</v>
      </c>
      <c r="F362" s="224">
        <f>C362</f>
        <v>0</v>
      </c>
      <c r="G362" s="224">
        <f t="shared" ref="G362:G425" si="41">+G361+F362</f>
        <v>3454343.5702202637</v>
      </c>
      <c r="I362" s="375">
        <v>43069</v>
      </c>
      <c r="J362" s="375">
        <v>43069</v>
      </c>
      <c r="K362" s="369">
        <f t="shared" si="37"/>
        <v>1</v>
      </c>
      <c r="L362" s="372">
        <v>4.2099999999999999E-2</v>
      </c>
      <c r="M362" s="224">
        <f t="shared" si="38"/>
        <v>398.43</v>
      </c>
      <c r="N362" s="224">
        <f t="shared" si="39"/>
        <v>11952.970000000001</v>
      </c>
      <c r="O362" s="224">
        <f t="shared" si="40"/>
        <v>1109584.9599999969</v>
      </c>
    </row>
    <row r="363" spans="1:15" s="351" customFormat="1" hidden="1" outlineLevel="1" x14ac:dyDescent="0.2">
      <c r="B363" s="351" t="s">
        <v>195</v>
      </c>
      <c r="C363" s="224"/>
      <c r="G363" s="224">
        <f t="shared" si="41"/>
        <v>3454343.5702202637</v>
      </c>
      <c r="I363" s="375">
        <v>43070</v>
      </c>
      <c r="J363" s="375">
        <v>43099</v>
      </c>
      <c r="K363" s="369">
        <f t="shared" si="37"/>
        <v>30</v>
      </c>
      <c r="L363" s="372">
        <v>4.2099999999999999E-2</v>
      </c>
      <c r="M363" s="224">
        <f t="shared" si="38"/>
        <v>11952.98</v>
      </c>
      <c r="N363" s="224">
        <f t="shared" si="39"/>
        <v>11952.98</v>
      </c>
      <c r="O363" s="224">
        <f t="shared" si="40"/>
        <v>1121537.9399999969</v>
      </c>
    </row>
    <row r="364" spans="1:15" s="351" customFormat="1" hidden="1" outlineLevel="1" x14ac:dyDescent="0.2">
      <c r="C364" s="224">
        <v>0</v>
      </c>
      <c r="F364" s="224">
        <f>C364</f>
        <v>0</v>
      </c>
      <c r="G364" s="224">
        <f t="shared" si="41"/>
        <v>3454343.5702202637</v>
      </c>
      <c r="I364" s="375">
        <v>43100</v>
      </c>
      <c r="J364" s="375">
        <v>43100</v>
      </c>
      <c r="K364" s="369">
        <f t="shared" si="37"/>
        <v>1</v>
      </c>
      <c r="L364" s="372">
        <v>4.2099999999999999E-2</v>
      </c>
      <c r="M364" s="224">
        <f t="shared" si="38"/>
        <v>398.43</v>
      </c>
      <c r="N364" s="224">
        <f t="shared" si="39"/>
        <v>12351.41</v>
      </c>
      <c r="O364" s="224">
        <f t="shared" si="40"/>
        <v>1121936.3699999969</v>
      </c>
    </row>
    <row r="365" spans="1:15" s="351" customFormat="1" hidden="1" outlineLevel="1" x14ac:dyDescent="0.2">
      <c r="A365" s="351" t="s">
        <v>303</v>
      </c>
      <c r="B365" s="351" t="s">
        <v>196</v>
      </c>
      <c r="G365" s="224">
        <f t="shared" si="41"/>
        <v>3454343.5702202637</v>
      </c>
      <c r="I365" s="375">
        <v>43101</v>
      </c>
      <c r="J365" s="375">
        <v>43130</v>
      </c>
      <c r="K365" s="369">
        <f t="shared" si="37"/>
        <v>30</v>
      </c>
      <c r="L365" s="372">
        <v>4.2500000000000003E-2</v>
      </c>
      <c r="M365" s="224">
        <f t="shared" si="38"/>
        <v>12066.54</v>
      </c>
      <c r="N365" s="224">
        <f t="shared" si="39"/>
        <v>12066.54</v>
      </c>
      <c r="O365" s="224">
        <f t="shared" si="40"/>
        <v>1134002.9099999969</v>
      </c>
    </row>
    <row r="366" spans="1:15" s="351" customFormat="1" ht="13.5" hidden="1" customHeight="1" outlineLevel="1" x14ac:dyDescent="0.2">
      <c r="A366" s="376" t="s">
        <v>304</v>
      </c>
      <c r="C366" s="224">
        <v>0</v>
      </c>
      <c r="F366" s="224">
        <f>C366</f>
        <v>0</v>
      </c>
      <c r="G366" s="224">
        <f t="shared" si="41"/>
        <v>3454343.5702202637</v>
      </c>
      <c r="I366" s="375">
        <v>43131</v>
      </c>
      <c r="J366" s="375">
        <v>43131</v>
      </c>
      <c r="K366" s="369">
        <f t="shared" si="37"/>
        <v>1</v>
      </c>
      <c r="L366" s="372">
        <v>4.2500000000000003E-2</v>
      </c>
      <c r="M366" s="224">
        <f t="shared" si="38"/>
        <v>402.22</v>
      </c>
      <c r="N366" s="224">
        <f t="shared" si="39"/>
        <v>12468.76</v>
      </c>
      <c r="O366" s="224">
        <f t="shared" si="40"/>
        <v>1134405.1299999969</v>
      </c>
    </row>
    <row r="367" spans="1:15" s="351" customFormat="1" hidden="1" outlineLevel="1" x14ac:dyDescent="0.2">
      <c r="B367" s="351" t="s">
        <v>197</v>
      </c>
      <c r="C367" s="224"/>
      <c r="G367" s="224">
        <f t="shared" si="41"/>
        <v>3454343.5702202637</v>
      </c>
      <c r="I367" s="375">
        <v>43132</v>
      </c>
      <c r="J367" s="375">
        <v>43158</v>
      </c>
      <c r="K367" s="369">
        <v>27</v>
      </c>
      <c r="L367" s="372">
        <v>4.2500000000000003E-2</v>
      </c>
      <c r="M367" s="224">
        <f t="shared" si="38"/>
        <v>10859.89</v>
      </c>
      <c r="N367" s="224">
        <f t="shared" si="39"/>
        <v>10859.89</v>
      </c>
      <c r="O367" s="224">
        <f t="shared" si="40"/>
        <v>1145265.0199999968</v>
      </c>
    </row>
    <row r="368" spans="1:15" s="351" customFormat="1" hidden="1" outlineLevel="1" x14ac:dyDescent="0.2">
      <c r="C368" s="224">
        <v>0</v>
      </c>
      <c r="F368" s="224">
        <f>C368</f>
        <v>0</v>
      </c>
      <c r="G368" s="224">
        <f t="shared" si="41"/>
        <v>3454343.5702202637</v>
      </c>
      <c r="I368" s="375">
        <v>43159</v>
      </c>
      <c r="J368" s="375">
        <v>43159</v>
      </c>
      <c r="K368" s="369">
        <f t="shared" ref="K368:K390" si="42">+IF(+J368="","",+J368-(I368-1))</f>
        <v>1</v>
      </c>
      <c r="L368" s="372">
        <v>4.2500000000000003E-2</v>
      </c>
      <c r="M368" s="224">
        <f t="shared" si="38"/>
        <v>402.22</v>
      </c>
      <c r="N368" s="224">
        <f t="shared" si="39"/>
        <v>11262.109999999999</v>
      </c>
      <c r="O368" s="224">
        <f t="shared" si="40"/>
        <v>1145667.2399999967</v>
      </c>
    </row>
    <row r="369" spans="2:15" s="351" customFormat="1" hidden="1" outlineLevel="1" x14ac:dyDescent="0.2">
      <c r="B369" s="351" t="s">
        <v>198</v>
      </c>
      <c r="C369" s="224"/>
      <c r="G369" s="224">
        <f t="shared" si="41"/>
        <v>3454343.5702202637</v>
      </c>
      <c r="I369" s="375">
        <v>43160</v>
      </c>
      <c r="J369" s="375">
        <v>43189</v>
      </c>
      <c r="K369" s="369">
        <f t="shared" si="42"/>
        <v>30</v>
      </c>
      <c r="L369" s="372">
        <v>4.2500000000000003E-2</v>
      </c>
      <c r="M369" s="224">
        <f t="shared" si="38"/>
        <v>12066.54</v>
      </c>
      <c r="N369" s="224">
        <f t="shared" si="39"/>
        <v>12066.54</v>
      </c>
      <c r="O369" s="224">
        <f t="shared" si="40"/>
        <v>1157733.7799999968</v>
      </c>
    </row>
    <row r="370" spans="2:15" s="351" customFormat="1" ht="14.25" hidden="1" customHeight="1" outlineLevel="1" x14ac:dyDescent="0.2">
      <c r="C370" s="224">
        <v>0</v>
      </c>
      <c r="F370" s="224">
        <f>C370</f>
        <v>0</v>
      </c>
      <c r="G370" s="224">
        <f t="shared" si="41"/>
        <v>3454343.5702202637</v>
      </c>
      <c r="I370" s="375">
        <v>43190</v>
      </c>
      <c r="J370" s="375">
        <v>43190</v>
      </c>
      <c r="K370" s="369">
        <f t="shared" si="42"/>
        <v>1</v>
      </c>
      <c r="L370" s="372">
        <v>4.2500000000000003E-2</v>
      </c>
      <c r="M370" s="224">
        <f t="shared" si="38"/>
        <v>402.22</v>
      </c>
      <c r="N370" s="224">
        <f t="shared" si="39"/>
        <v>12468.76</v>
      </c>
      <c r="O370" s="224">
        <f t="shared" si="40"/>
        <v>1158135.9999999967</v>
      </c>
    </row>
    <row r="371" spans="2:15" s="351" customFormat="1" hidden="1" outlineLevel="1" x14ac:dyDescent="0.2">
      <c r="B371" s="351" t="s">
        <v>199</v>
      </c>
      <c r="C371" s="224"/>
      <c r="G371" s="224">
        <f t="shared" si="41"/>
        <v>3454343.5702202637</v>
      </c>
      <c r="I371" s="375">
        <v>43191</v>
      </c>
      <c r="J371" s="375">
        <v>43219</v>
      </c>
      <c r="K371" s="369">
        <f t="shared" si="42"/>
        <v>29</v>
      </c>
      <c r="L371" s="372">
        <v>4.4699999999999997E-2</v>
      </c>
      <c r="M371" s="224">
        <f t="shared" si="38"/>
        <v>12268.12</v>
      </c>
      <c r="N371" s="224">
        <f t="shared" si="39"/>
        <v>12268.12</v>
      </c>
      <c r="O371" s="224">
        <f t="shared" si="40"/>
        <v>1170404.1199999969</v>
      </c>
    </row>
    <row r="372" spans="2:15" s="351" customFormat="1" hidden="1" outlineLevel="1" x14ac:dyDescent="0.2">
      <c r="C372" s="224">
        <v>0</v>
      </c>
      <c r="F372" s="224">
        <f>C372</f>
        <v>0</v>
      </c>
      <c r="G372" s="224">
        <f t="shared" si="41"/>
        <v>3454343.5702202637</v>
      </c>
      <c r="I372" s="375">
        <v>43220</v>
      </c>
      <c r="J372" s="375">
        <v>43220</v>
      </c>
      <c r="K372" s="369">
        <f t="shared" si="42"/>
        <v>1</v>
      </c>
      <c r="L372" s="372">
        <v>4.4699999999999997E-2</v>
      </c>
      <c r="M372" s="224">
        <f t="shared" si="38"/>
        <v>423.04</v>
      </c>
      <c r="N372" s="224">
        <f t="shared" si="39"/>
        <v>12691.160000000002</v>
      </c>
      <c r="O372" s="224">
        <f t="shared" si="40"/>
        <v>1170827.1599999969</v>
      </c>
    </row>
    <row r="373" spans="2:15" s="351" customFormat="1" hidden="1" outlineLevel="1" x14ac:dyDescent="0.2">
      <c r="B373" s="351" t="s">
        <v>200</v>
      </c>
      <c r="C373" s="224"/>
      <c r="G373" s="224">
        <f t="shared" si="41"/>
        <v>3454343.5702202637</v>
      </c>
      <c r="I373" s="375">
        <v>43221</v>
      </c>
      <c r="J373" s="375">
        <v>43250</v>
      </c>
      <c r="K373" s="369">
        <f t="shared" si="42"/>
        <v>30</v>
      </c>
      <c r="L373" s="372">
        <v>4.4699999999999997E-2</v>
      </c>
      <c r="M373" s="224">
        <f t="shared" si="38"/>
        <v>12691.16</v>
      </c>
      <c r="N373" s="224">
        <f t="shared" si="39"/>
        <v>12691.16</v>
      </c>
      <c r="O373" s="224">
        <f t="shared" si="40"/>
        <v>1183518.3199999968</v>
      </c>
    </row>
    <row r="374" spans="2:15" s="351" customFormat="1" hidden="1" outlineLevel="1" x14ac:dyDescent="0.2">
      <c r="C374" s="224">
        <v>0</v>
      </c>
      <c r="F374" s="224">
        <f>C374</f>
        <v>0</v>
      </c>
      <c r="G374" s="224">
        <f t="shared" si="41"/>
        <v>3454343.5702202637</v>
      </c>
      <c r="I374" s="375">
        <v>43251</v>
      </c>
      <c r="J374" s="375">
        <v>43251</v>
      </c>
      <c r="K374" s="369">
        <f t="shared" si="42"/>
        <v>1</v>
      </c>
      <c r="L374" s="372">
        <v>4.4699999999999997E-2</v>
      </c>
      <c r="M374" s="224">
        <f t="shared" si="38"/>
        <v>423.04</v>
      </c>
      <c r="N374" s="224">
        <f t="shared" si="39"/>
        <v>13114.2</v>
      </c>
      <c r="O374" s="224">
        <f t="shared" si="40"/>
        <v>1183941.3599999968</v>
      </c>
    </row>
    <row r="375" spans="2:15" s="351" customFormat="1" hidden="1" outlineLevel="1" x14ac:dyDescent="0.2">
      <c r="B375" s="351" t="s">
        <v>201</v>
      </c>
      <c r="C375" s="224"/>
      <c r="G375" s="224">
        <f t="shared" si="41"/>
        <v>3454343.5702202637</v>
      </c>
      <c r="I375" s="375">
        <v>43252</v>
      </c>
      <c r="J375" s="375">
        <v>43280</v>
      </c>
      <c r="K375" s="369">
        <f t="shared" si="42"/>
        <v>29</v>
      </c>
      <c r="L375" s="372">
        <v>4.4699999999999997E-2</v>
      </c>
      <c r="M375" s="224">
        <f t="shared" si="38"/>
        <v>12268.12</v>
      </c>
      <c r="N375" s="224">
        <f t="shared" si="39"/>
        <v>12268.12</v>
      </c>
      <c r="O375" s="224">
        <f t="shared" si="40"/>
        <v>1196209.479999997</v>
      </c>
    </row>
    <row r="376" spans="2:15" s="351" customFormat="1" hidden="1" outlineLevel="1" x14ac:dyDescent="0.2">
      <c r="C376" s="224">
        <v>0</v>
      </c>
      <c r="F376" s="224">
        <f>C376</f>
        <v>0</v>
      </c>
      <c r="G376" s="224">
        <f t="shared" si="41"/>
        <v>3454343.5702202637</v>
      </c>
      <c r="I376" s="375">
        <v>43281</v>
      </c>
      <c r="J376" s="375">
        <v>43281</v>
      </c>
      <c r="K376" s="369">
        <f t="shared" si="42"/>
        <v>1</v>
      </c>
      <c r="L376" s="372">
        <v>4.4699999999999997E-2</v>
      </c>
      <c r="M376" s="224">
        <f t="shared" si="38"/>
        <v>423.04</v>
      </c>
      <c r="N376" s="224">
        <f t="shared" si="39"/>
        <v>12691.160000000002</v>
      </c>
      <c r="O376" s="224">
        <f t="shared" si="40"/>
        <v>1196632.519999997</v>
      </c>
    </row>
    <row r="377" spans="2:15" s="351" customFormat="1" hidden="1" outlineLevel="1" x14ac:dyDescent="0.2">
      <c r="B377" s="351" t="s">
        <v>190</v>
      </c>
      <c r="C377" s="224"/>
      <c r="G377" s="224">
        <f t="shared" si="41"/>
        <v>3454343.5702202637</v>
      </c>
      <c r="I377" s="375">
        <v>43282</v>
      </c>
      <c r="J377" s="375">
        <v>43311</v>
      </c>
      <c r="K377" s="369">
        <f t="shared" si="42"/>
        <v>30</v>
      </c>
      <c r="L377" s="372">
        <v>4.6899999999999997E-2</v>
      </c>
      <c r="M377" s="224">
        <f t="shared" si="38"/>
        <v>13315.78</v>
      </c>
      <c r="N377" s="224">
        <f t="shared" si="39"/>
        <v>13315.78</v>
      </c>
      <c r="O377" s="224">
        <f t="shared" si="40"/>
        <v>1209948.299999997</v>
      </c>
    </row>
    <row r="378" spans="2:15" s="351" customFormat="1" hidden="1" outlineLevel="1" x14ac:dyDescent="0.2">
      <c r="C378" s="224">
        <v>0</v>
      </c>
      <c r="F378" s="224">
        <f>C378</f>
        <v>0</v>
      </c>
      <c r="G378" s="224">
        <f t="shared" si="41"/>
        <v>3454343.5702202637</v>
      </c>
      <c r="I378" s="375">
        <v>43312</v>
      </c>
      <c r="J378" s="375">
        <v>43312</v>
      </c>
      <c r="K378" s="369">
        <f t="shared" si="42"/>
        <v>1</v>
      </c>
      <c r="L378" s="372">
        <v>4.6899999999999997E-2</v>
      </c>
      <c r="M378" s="224">
        <f t="shared" si="38"/>
        <v>443.86</v>
      </c>
      <c r="N378" s="224">
        <f t="shared" si="39"/>
        <v>13759.640000000001</v>
      </c>
      <c r="O378" s="224">
        <f t="shared" si="40"/>
        <v>1210392.1599999971</v>
      </c>
    </row>
    <row r="379" spans="2:15" s="351" customFormat="1" hidden="1" outlineLevel="1" x14ac:dyDescent="0.2">
      <c r="B379" s="351" t="s">
        <v>191</v>
      </c>
      <c r="C379" s="224"/>
      <c r="G379" s="224">
        <f t="shared" si="41"/>
        <v>3454343.5702202637</v>
      </c>
      <c r="I379" s="375">
        <v>43313</v>
      </c>
      <c r="J379" s="375">
        <v>43342</v>
      </c>
      <c r="K379" s="369">
        <f t="shared" si="42"/>
        <v>30</v>
      </c>
      <c r="L379" s="372">
        <v>4.6899999999999997E-2</v>
      </c>
      <c r="M379" s="224">
        <f t="shared" si="38"/>
        <v>13315.78</v>
      </c>
      <c r="N379" s="224">
        <f t="shared" si="39"/>
        <v>13315.78</v>
      </c>
      <c r="O379" s="224">
        <f t="shared" si="40"/>
        <v>1223707.9399999972</v>
      </c>
    </row>
    <row r="380" spans="2:15" s="351" customFormat="1" hidden="1" outlineLevel="1" x14ac:dyDescent="0.2">
      <c r="C380" s="224">
        <v>0</v>
      </c>
      <c r="F380" s="224">
        <f>C380</f>
        <v>0</v>
      </c>
      <c r="G380" s="224">
        <f t="shared" si="41"/>
        <v>3454343.5702202637</v>
      </c>
      <c r="I380" s="375">
        <v>43343</v>
      </c>
      <c r="J380" s="375">
        <v>43343</v>
      </c>
      <c r="K380" s="369">
        <f t="shared" si="42"/>
        <v>1</v>
      </c>
      <c r="L380" s="372">
        <v>4.6899999999999997E-2</v>
      </c>
      <c r="M380" s="224">
        <f t="shared" si="38"/>
        <v>443.86</v>
      </c>
      <c r="N380" s="224">
        <f t="shared" si="39"/>
        <v>13759.640000000001</v>
      </c>
      <c r="O380" s="224">
        <f t="shared" si="40"/>
        <v>1224151.7999999973</v>
      </c>
    </row>
    <row r="381" spans="2:15" s="351" customFormat="1" hidden="1" outlineLevel="1" x14ac:dyDescent="0.2">
      <c r="B381" s="351" t="s">
        <v>192</v>
      </c>
      <c r="C381" s="224"/>
      <c r="G381" s="224">
        <f t="shared" si="41"/>
        <v>3454343.5702202637</v>
      </c>
      <c r="I381" s="375">
        <v>43344</v>
      </c>
      <c r="J381" s="375">
        <v>43372</v>
      </c>
      <c r="K381" s="369">
        <f t="shared" si="42"/>
        <v>29</v>
      </c>
      <c r="L381" s="372">
        <v>4.6899999999999997E-2</v>
      </c>
      <c r="M381" s="224">
        <f t="shared" si="38"/>
        <v>12871.93</v>
      </c>
      <c r="N381" s="224">
        <f t="shared" si="39"/>
        <v>12871.93</v>
      </c>
      <c r="O381" s="224">
        <f t="shared" si="40"/>
        <v>1237023.7299999972</v>
      </c>
    </row>
    <row r="382" spans="2:15" s="351" customFormat="1" hidden="1" outlineLevel="1" x14ac:dyDescent="0.2">
      <c r="C382" s="224">
        <v>0</v>
      </c>
      <c r="F382" s="224">
        <f>C382</f>
        <v>0</v>
      </c>
      <c r="G382" s="224">
        <f t="shared" si="41"/>
        <v>3454343.5702202637</v>
      </c>
      <c r="I382" s="375">
        <v>43373</v>
      </c>
      <c r="J382" s="375">
        <v>43373</v>
      </c>
      <c r="K382" s="369">
        <f t="shared" si="42"/>
        <v>1</v>
      </c>
      <c r="L382" s="372">
        <v>4.6899999999999997E-2</v>
      </c>
      <c r="M382" s="224">
        <f t="shared" si="38"/>
        <v>443.86</v>
      </c>
      <c r="N382" s="224">
        <f t="shared" si="39"/>
        <v>13315.79</v>
      </c>
      <c r="O382" s="224">
        <f t="shared" si="40"/>
        <v>1237467.5899999973</v>
      </c>
    </row>
    <row r="383" spans="2:15" s="351" customFormat="1" hidden="1" outlineLevel="1" x14ac:dyDescent="0.2">
      <c r="B383" s="351" t="s">
        <v>193</v>
      </c>
      <c r="C383" s="224"/>
      <c r="G383" s="224">
        <f t="shared" si="41"/>
        <v>3454343.5702202637</v>
      </c>
      <c r="I383" s="375">
        <v>43374</v>
      </c>
      <c r="J383" s="375">
        <v>43403</v>
      </c>
      <c r="K383" s="369">
        <f t="shared" si="42"/>
        <v>30</v>
      </c>
      <c r="L383" s="372">
        <v>4.9599999999999998E-2</v>
      </c>
      <c r="M383" s="224">
        <f t="shared" si="38"/>
        <v>14082.37</v>
      </c>
      <c r="N383" s="224">
        <f t="shared" si="39"/>
        <v>14082.37</v>
      </c>
      <c r="O383" s="224">
        <f t="shared" si="40"/>
        <v>1251549.9599999974</v>
      </c>
    </row>
    <row r="384" spans="2:15" s="351" customFormat="1" hidden="1" outlineLevel="1" x14ac:dyDescent="0.2">
      <c r="C384" s="224">
        <v>0</v>
      </c>
      <c r="F384" s="224">
        <f>C384</f>
        <v>0</v>
      </c>
      <c r="G384" s="224">
        <f t="shared" si="41"/>
        <v>3454343.5702202637</v>
      </c>
      <c r="I384" s="375">
        <v>43404</v>
      </c>
      <c r="J384" s="375">
        <v>43404</v>
      </c>
      <c r="K384" s="369">
        <f t="shared" si="42"/>
        <v>1</v>
      </c>
      <c r="L384" s="372">
        <v>4.9599999999999998E-2</v>
      </c>
      <c r="M384" s="224">
        <f t="shared" si="38"/>
        <v>469.41</v>
      </c>
      <c r="N384" s="224">
        <f t="shared" si="39"/>
        <v>14551.78</v>
      </c>
      <c r="O384" s="224">
        <f t="shared" si="40"/>
        <v>1252019.3699999973</v>
      </c>
    </row>
    <row r="385" spans="1:15" s="351" customFormat="1" hidden="1" outlineLevel="1" x14ac:dyDescent="0.2">
      <c r="B385" s="351" t="s">
        <v>194</v>
      </c>
      <c r="C385" s="224"/>
      <c r="G385" s="224">
        <f t="shared" si="41"/>
        <v>3454343.5702202637</v>
      </c>
      <c r="I385" s="375">
        <v>43405</v>
      </c>
      <c r="J385" s="375">
        <v>43433</v>
      </c>
      <c r="K385" s="369">
        <f t="shared" si="42"/>
        <v>29</v>
      </c>
      <c r="L385" s="372">
        <v>4.9599999999999998E-2</v>
      </c>
      <c r="M385" s="224">
        <f t="shared" si="38"/>
        <v>13612.95</v>
      </c>
      <c r="N385" s="224">
        <f t="shared" si="39"/>
        <v>13612.95</v>
      </c>
      <c r="O385" s="224">
        <f t="shared" si="40"/>
        <v>1265632.3199999973</v>
      </c>
    </row>
    <row r="386" spans="1:15" s="351" customFormat="1" hidden="1" outlineLevel="1" x14ac:dyDescent="0.2">
      <c r="C386" s="224">
        <v>0</v>
      </c>
      <c r="F386" s="224">
        <f>C386</f>
        <v>0</v>
      </c>
      <c r="G386" s="224">
        <f t="shared" si="41"/>
        <v>3454343.5702202637</v>
      </c>
      <c r="I386" s="375">
        <v>43434</v>
      </c>
      <c r="J386" s="375">
        <v>43434</v>
      </c>
      <c r="K386" s="369">
        <f t="shared" si="42"/>
        <v>1</v>
      </c>
      <c r="L386" s="372">
        <v>4.9599999999999998E-2</v>
      </c>
      <c r="M386" s="224">
        <f t="shared" si="38"/>
        <v>469.41</v>
      </c>
      <c r="N386" s="224">
        <f t="shared" si="39"/>
        <v>14082.36</v>
      </c>
      <c r="O386" s="224">
        <f t="shared" si="40"/>
        <v>1266101.7299999972</v>
      </c>
    </row>
    <row r="387" spans="1:15" s="351" customFormat="1" hidden="1" outlineLevel="1" x14ac:dyDescent="0.2">
      <c r="B387" s="351" t="s">
        <v>195</v>
      </c>
      <c r="C387" s="224"/>
      <c r="G387" s="224">
        <f t="shared" si="41"/>
        <v>3454343.5702202637</v>
      </c>
      <c r="I387" s="375">
        <v>43435</v>
      </c>
      <c r="J387" s="375">
        <v>43464</v>
      </c>
      <c r="K387" s="369">
        <f t="shared" si="42"/>
        <v>30</v>
      </c>
      <c r="L387" s="372">
        <v>4.9599999999999998E-2</v>
      </c>
      <c r="M387" s="224">
        <v>0</v>
      </c>
      <c r="N387" s="224">
        <f t="shared" si="39"/>
        <v>0</v>
      </c>
      <c r="O387" s="224">
        <f t="shared" si="40"/>
        <v>1266101.7299999972</v>
      </c>
    </row>
    <row r="388" spans="1:15" s="351" customFormat="1" hidden="1" outlineLevel="1" x14ac:dyDescent="0.2">
      <c r="C388" s="224">
        <v>0</v>
      </c>
      <c r="F388" s="224">
        <f>C388</f>
        <v>0</v>
      </c>
      <c r="G388" s="224">
        <f t="shared" si="41"/>
        <v>3454343.5702202637</v>
      </c>
      <c r="I388" s="375">
        <v>43465</v>
      </c>
      <c r="J388" s="375">
        <v>43465</v>
      </c>
      <c r="K388" s="369">
        <f t="shared" si="42"/>
        <v>1</v>
      </c>
      <c r="L388" s="372">
        <v>4.9599999999999998E-2</v>
      </c>
      <c r="M388" s="224">
        <v>0</v>
      </c>
      <c r="N388" s="224">
        <f t="shared" si="39"/>
        <v>0</v>
      </c>
      <c r="O388" s="224">
        <f t="shared" si="40"/>
        <v>1266101.7299999972</v>
      </c>
    </row>
    <row r="389" spans="1:15" s="351" customFormat="1" hidden="1" outlineLevel="1" x14ac:dyDescent="0.2">
      <c r="A389" s="351" t="s">
        <v>305</v>
      </c>
      <c r="B389" s="351" t="s">
        <v>196</v>
      </c>
      <c r="G389" s="224">
        <f t="shared" si="41"/>
        <v>3454343.5702202637</v>
      </c>
      <c r="I389" s="375">
        <v>43466</v>
      </c>
      <c r="J389" s="375">
        <v>43495</v>
      </c>
      <c r="K389" s="377">
        <f t="shared" si="42"/>
        <v>30</v>
      </c>
      <c r="L389" s="378">
        <v>5.1799999999999999E-2</v>
      </c>
      <c r="M389" s="379">
        <f t="shared" si="38"/>
        <v>14706.99</v>
      </c>
      <c r="N389" s="379">
        <f>IF(MONTH(+I389)&lt;&gt;MONTH(+I388),M389,+N388+M389)</f>
        <v>14706.99</v>
      </c>
      <c r="O389" s="224">
        <f>O388+M389</f>
        <v>1280808.7199999972</v>
      </c>
    </row>
    <row r="390" spans="1:15" s="351" customFormat="1" ht="13.7" hidden="1" customHeight="1" outlineLevel="1" x14ac:dyDescent="0.2">
      <c r="A390" s="376" t="s">
        <v>306</v>
      </c>
      <c r="C390" s="224">
        <v>0</v>
      </c>
      <c r="F390" s="224">
        <f>C390</f>
        <v>0</v>
      </c>
      <c r="G390" s="224">
        <f t="shared" si="41"/>
        <v>3454343.5702202637</v>
      </c>
      <c r="I390" s="375">
        <v>43496</v>
      </c>
      <c r="J390" s="375">
        <v>43496</v>
      </c>
      <c r="K390" s="377">
        <f t="shared" si="42"/>
        <v>1</v>
      </c>
      <c r="L390" s="378">
        <v>5.1799999999999999E-2</v>
      </c>
      <c r="M390" s="379">
        <f t="shared" si="38"/>
        <v>490.23</v>
      </c>
      <c r="N390" s="379">
        <f t="shared" ref="N390:N437" si="43">IF(MONTH(+I390)&lt;&gt;MONTH(+I389),M390,+N389+M390)</f>
        <v>15197.22</v>
      </c>
      <c r="O390" s="224">
        <f t="shared" ref="O390:O437" si="44">O389+M390</f>
        <v>1281298.9499999972</v>
      </c>
    </row>
    <row r="391" spans="1:15" s="351" customFormat="1" hidden="1" outlineLevel="1" x14ac:dyDescent="0.2">
      <c r="B391" s="351" t="s">
        <v>197</v>
      </c>
      <c r="C391" s="224"/>
      <c r="G391" s="224">
        <f t="shared" si="41"/>
        <v>3454343.5702202637</v>
      </c>
      <c r="I391" s="375">
        <v>43497</v>
      </c>
      <c r="J391" s="375">
        <v>43523</v>
      </c>
      <c r="K391" s="377">
        <v>27</v>
      </c>
      <c r="L391" s="378">
        <v>5.1799999999999999E-2</v>
      </c>
      <c r="M391" s="379">
        <f t="shared" si="38"/>
        <v>13236.29</v>
      </c>
      <c r="N391" s="379">
        <f t="shared" si="43"/>
        <v>13236.29</v>
      </c>
      <c r="O391" s="224">
        <f t="shared" si="44"/>
        <v>1294535.2399999972</v>
      </c>
    </row>
    <row r="392" spans="1:15" s="351" customFormat="1" hidden="1" outlineLevel="1" x14ac:dyDescent="0.2">
      <c r="C392" s="224">
        <v>1957455.9197439104</v>
      </c>
      <c r="F392" s="224">
        <f>C392</f>
        <v>1957455.9197439104</v>
      </c>
      <c r="G392" s="224">
        <f t="shared" si="41"/>
        <v>5411799.4899641741</v>
      </c>
      <c r="I392" s="375">
        <v>43524</v>
      </c>
      <c r="J392" s="375">
        <v>43524</v>
      </c>
      <c r="K392" s="377">
        <f t="shared" ref="K392:K411" si="45">+IF(+J392="","",+J392-(I392-1))</f>
        <v>1</v>
      </c>
      <c r="L392" s="378">
        <v>5.1799999999999999E-2</v>
      </c>
      <c r="M392" s="379">
        <f>+IF(+K392&lt;&gt;" ", ROUND(L392*(K392/365)*G392,2),0)</f>
        <v>768.03</v>
      </c>
      <c r="N392" s="379">
        <f>IF(MONTH(+I392)&lt;&gt;MONTH(+I391),M392,+N391+M392)</f>
        <v>14004.320000000002</v>
      </c>
      <c r="O392" s="224">
        <f t="shared" si="44"/>
        <v>1295303.2699999972</v>
      </c>
    </row>
    <row r="393" spans="1:15" s="351" customFormat="1" hidden="1" outlineLevel="1" x14ac:dyDescent="0.2">
      <c r="B393" s="351" t="s">
        <v>198</v>
      </c>
      <c r="C393" s="224"/>
      <c r="G393" s="224">
        <f t="shared" si="41"/>
        <v>5411799.4899641741</v>
      </c>
      <c r="I393" s="375">
        <v>43525</v>
      </c>
      <c r="J393" s="375">
        <v>43554</v>
      </c>
      <c r="K393" s="377">
        <f t="shared" si="45"/>
        <v>30</v>
      </c>
      <c r="L393" s="378">
        <v>5.1799999999999999E-2</v>
      </c>
      <c r="M393" s="379">
        <f>+IF(+K393&lt;&gt;" ", ROUND(L393*(K393/365)*G393,2),0)</f>
        <v>23040.92</v>
      </c>
      <c r="N393" s="379">
        <f t="shared" si="43"/>
        <v>23040.92</v>
      </c>
      <c r="O393" s="224">
        <f t="shared" si="44"/>
        <v>1318344.1899999972</v>
      </c>
    </row>
    <row r="394" spans="1:15" s="351" customFormat="1" ht="14.25" hidden="1" customHeight="1" outlineLevel="1" x14ac:dyDescent="0.2">
      <c r="C394" s="224">
        <v>12376294.12727583</v>
      </c>
      <c r="F394" s="224">
        <f>C394</f>
        <v>12376294.12727583</v>
      </c>
      <c r="G394" s="224">
        <f t="shared" si="41"/>
        <v>17788093.617240004</v>
      </c>
      <c r="I394" s="375">
        <v>43555</v>
      </c>
      <c r="J394" s="375">
        <v>43555</v>
      </c>
      <c r="K394" s="377">
        <f t="shared" si="45"/>
        <v>1</v>
      </c>
      <c r="L394" s="378">
        <v>5.1799999999999999E-2</v>
      </c>
      <c r="M394" s="379">
        <f>+IF(+K394&lt;&gt;" ", ROUND(L394*(K394/365)*G394,2),0)</f>
        <v>2524.4499999999998</v>
      </c>
      <c r="N394" s="379">
        <f>IF(MONTH(+I394)&lt;&gt;MONTH(+I393),M394,+N393+M394)</f>
        <v>25565.37</v>
      </c>
      <c r="O394" s="224">
        <f t="shared" si="44"/>
        <v>1320868.6399999971</v>
      </c>
    </row>
    <row r="395" spans="1:15" s="351" customFormat="1" hidden="1" outlineLevel="1" x14ac:dyDescent="0.2">
      <c r="B395" s="351" t="s">
        <v>199</v>
      </c>
      <c r="C395" s="224"/>
      <c r="G395" s="224">
        <f t="shared" si="41"/>
        <v>17788093.617240004</v>
      </c>
      <c r="I395" s="375">
        <v>43556</v>
      </c>
      <c r="J395" s="375">
        <v>43584</v>
      </c>
      <c r="K395" s="377">
        <f t="shared" si="45"/>
        <v>29</v>
      </c>
      <c r="L395" s="378">
        <v>5.45E-2</v>
      </c>
      <c r="M395" s="379">
        <f t="shared" si="38"/>
        <v>77024.88</v>
      </c>
      <c r="N395" s="379">
        <f t="shared" si="43"/>
        <v>77024.88</v>
      </c>
      <c r="O395" s="224">
        <f t="shared" si="44"/>
        <v>1397893.5199999972</v>
      </c>
    </row>
    <row r="396" spans="1:15" s="351" customFormat="1" hidden="1" outlineLevel="1" x14ac:dyDescent="0.2">
      <c r="C396" s="224">
        <v>1772025.9031812996</v>
      </c>
      <c r="F396" s="224">
        <f>C396</f>
        <v>1772025.9031812996</v>
      </c>
      <c r="G396" s="224">
        <f t="shared" si="41"/>
        <v>19560119.520421304</v>
      </c>
      <c r="I396" s="375">
        <v>43585</v>
      </c>
      <c r="J396" s="375">
        <v>43585</v>
      </c>
      <c r="K396" s="377">
        <f t="shared" si="45"/>
        <v>1</v>
      </c>
      <c r="L396" s="378">
        <v>5.45E-2</v>
      </c>
      <c r="M396" s="379">
        <f t="shared" si="38"/>
        <v>2920.62</v>
      </c>
      <c r="N396" s="379">
        <f t="shared" si="43"/>
        <v>79945.5</v>
      </c>
      <c r="O396" s="224">
        <f t="shared" si="44"/>
        <v>1400814.1399999973</v>
      </c>
    </row>
    <row r="397" spans="1:15" s="351" customFormat="1" hidden="1" outlineLevel="1" x14ac:dyDescent="0.2">
      <c r="B397" s="351" t="s">
        <v>200</v>
      </c>
      <c r="C397" s="224"/>
      <c r="G397" s="224">
        <f t="shared" si="41"/>
        <v>19560119.520421304</v>
      </c>
      <c r="I397" s="375">
        <v>43586</v>
      </c>
      <c r="J397" s="375">
        <v>43615</v>
      </c>
      <c r="K397" s="377">
        <f t="shared" si="45"/>
        <v>30</v>
      </c>
      <c r="L397" s="378">
        <v>5.45E-2</v>
      </c>
      <c r="M397" s="379">
        <f t="shared" si="38"/>
        <v>87618.62</v>
      </c>
      <c r="N397" s="379">
        <f t="shared" si="43"/>
        <v>87618.62</v>
      </c>
      <c r="O397" s="224">
        <f t="shared" si="44"/>
        <v>1488432.7599999974</v>
      </c>
    </row>
    <row r="398" spans="1:15" s="351" customFormat="1" hidden="1" outlineLevel="1" x14ac:dyDescent="0.2">
      <c r="C398" s="224">
        <v>850807.42485476285</v>
      </c>
      <c r="F398" s="224">
        <f>C398</f>
        <v>850807.42485476285</v>
      </c>
      <c r="G398" s="224">
        <f t="shared" si="41"/>
        <v>20410926.945276067</v>
      </c>
      <c r="I398" s="375">
        <v>43616</v>
      </c>
      <c r="J398" s="375">
        <v>43616</v>
      </c>
      <c r="K398" s="377">
        <f t="shared" si="45"/>
        <v>1</v>
      </c>
      <c r="L398" s="378">
        <v>5.45E-2</v>
      </c>
      <c r="M398" s="379">
        <f t="shared" si="38"/>
        <v>3047.66</v>
      </c>
      <c r="N398" s="379">
        <f t="shared" si="43"/>
        <v>90666.28</v>
      </c>
      <c r="O398" s="224">
        <f t="shared" si="44"/>
        <v>1491480.4199999974</v>
      </c>
    </row>
    <row r="399" spans="1:15" s="351" customFormat="1" hidden="1" outlineLevel="1" x14ac:dyDescent="0.2">
      <c r="B399" s="351" t="s">
        <v>201</v>
      </c>
      <c r="C399" s="224"/>
      <c r="G399" s="224">
        <f t="shared" si="41"/>
        <v>20410926.945276067</v>
      </c>
      <c r="I399" s="375">
        <v>43617</v>
      </c>
      <c r="J399" s="375">
        <v>43645</v>
      </c>
      <c r="K399" s="377">
        <f t="shared" si="45"/>
        <v>29</v>
      </c>
      <c r="L399" s="378">
        <v>5.45E-2</v>
      </c>
      <c r="M399" s="379">
        <f t="shared" si="38"/>
        <v>88382.11</v>
      </c>
      <c r="N399" s="379">
        <f t="shared" si="43"/>
        <v>88382.11</v>
      </c>
      <c r="O399" s="224">
        <f t="shared" si="44"/>
        <v>1579862.5299999975</v>
      </c>
    </row>
    <row r="400" spans="1:15" s="351" customFormat="1" hidden="1" outlineLevel="1" x14ac:dyDescent="0.2">
      <c r="C400" s="224">
        <v>301599.23319329321</v>
      </c>
      <c r="F400" s="224">
        <f>C400</f>
        <v>301599.23319329321</v>
      </c>
      <c r="G400" s="224">
        <f t="shared" si="41"/>
        <v>20712526.17846936</v>
      </c>
      <c r="I400" s="375">
        <v>43646</v>
      </c>
      <c r="J400" s="375">
        <v>43646</v>
      </c>
      <c r="K400" s="377">
        <f t="shared" si="45"/>
        <v>1</v>
      </c>
      <c r="L400" s="378">
        <v>5.45E-2</v>
      </c>
      <c r="M400" s="379">
        <f t="shared" si="38"/>
        <v>3092.69</v>
      </c>
      <c r="N400" s="379">
        <f t="shared" si="43"/>
        <v>91474.8</v>
      </c>
      <c r="O400" s="224">
        <f t="shared" si="44"/>
        <v>1582955.2199999974</v>
      </c>
    </row>
    <row r="401" spans="1:16" s="351" customFormat="1" hidden="1" outlineLevel="1" x14ac:dyDescent="0.2">
      <c r="B401" s="351" t="s">
        <v>190</v>
      </c>
      <c r="C401" s="224"/>
      <c r="G401" s="224">
        <f t="shared" si="41"/>
        <v>20712526.17846936</v>
      </c>
      <c r="I401" s="375">
        <v>43647</v>
      </c>
      <c r="J401" s="375">
        <v>43676</v>
      </c>
      <c r="K401" s="377">
        <f t="shared" si="45"/>
        <v>30</v>
      </c>
      <c r="L401" s="378">
        <v>5.5E-2</v>
      </c>
      <c r="M401" s="379">
        <f t="shared" si="38"/>
        <v>93631.97</v>
      </c>
      <c r="N401" s="379">
        <f t="shared" si="43"/>
        <v>93631.97</v>
      </c>
      <c r="O401" s="224">
        <f t="shared" si="44"/>
        <v>1676587.1899999974</v>
      </c>
    </row>
    <row r="402" spans="1:16" s="351" customFormat="1" hidden="1" outlineLevel="1" x14ac:dyDescent="0.2">
      <c r="C402" s="224">
        <v>798335.38193107396</v>
      </c>
      <c r="F402" s="224">
        <f>C402</f>
        <v>798335.38193107396</v>
      </c>
      <c r="G402" s="224">
        <f t="shared" si="41"/>
        <v>21510861.560400434</v>
      </c>
      <c r="I402" s="375">
        <v>43677</v>
      </c>
      <c r="J402" s="375">
        <v>43677</v>
      </c>
      <c r="K402" s="377">
        <f t="shared" si="45"/>
        <v>1</v>
      </c>
      <c r="L402" s="378">
        <v>5.5E-2</v>
      </c>
      <c r="M402" s="379">
        <f t="shared" si="38"/>
        <v>3241.36</v>
      </c>
      <c r="N402" s="379">
        <f t="shared" si="43"/>
        <v>96873.33</v>
      </c>
      <c r="O402" s="224">
        <f t="shared" si="44"/>
        <v>1679828.5499999975</v>
      </c>
    </row>
    <row r="403" spans="1:16" s="351" customFormat="1" hidden="1" outlineLevel="1" x14ac:dyDescent="0.2">
      <c r="B403" s="351" t="s">
        <v>191</v>
      </c>
      <c r="C403" s="224"/>
      <c r="G403" s="224">
        <f t="shared" si="41"/>
        <v>21510861.560400434</v>
      </c>
      <c r="I403" s="375">
        <v>43678</v>
      </c>
      <c r="J403" s="375">
        <v>43707</v>
      </c>
      <c r="K403" s="377">
        <f t="shared" si="45"/>
        <v>30</v>
      </c>
      <c r="L403" s="378">
        <v>5.5E-2</v>
      </c>
      <c r="M403" s="379">
        <f t="shared" si="38"/>
        <v>97240.88</v>
      </c>
      <c r="N403" s="379">
        <f t="shared" si="43"/>
        <v>97240.88</v>
      </c>
      <c r="O403" s="224">
        <f t="shared" si="44"/>
        <v>1777069.4299999974</v>
      </c>
    </row>
    <row r="404" spans="1:16" s="351" customFormat="1" hidden="1" outlineLevel="1" x14ac:dyDescent="0.2">
      <c r="C404" s="224">
        <v>-1594301.9205967188</v>
      </c>
      <c r="F404" s="224">
        <f>C404</f>
        <v>-1594301.9205967188</v>
      </c>
      <c r="G404" s="224">
        <f t="shared" si="41"/>
        <v>19916559.639803715</v>
      </c>
      <c r="I404" s="375">
        <v>43708</v>
      </c>
      <c r="J404" s="375">
        <v>43708</v>
      </c>
      <c r="K404" s="377">
        <f t="shared" si="45"/>
        <v>1</v>
      </c>
      <c r="L404" s="378">
        <v>5.5E-2</v>
      </c>
      <c r="M404" s="379">
        <f t="shared" si="38"/>
        <v>3001.13</v>
      </c>
      <c r="N404" s="379">
        <f t="shared" si="43"/>
        <v>100242.01000000001</v>
      </c>
      <c r="O404" s="224">
        <f t="shared" si="44"/>
        <v>1780070.5599999973</v>
      </c>
    </row>
    <row r="405" spans="1:16" s="351" customFormat="1" hidden="1" outlineLevel="1" x14ac:dyDescent="0.2">
      <c r="B405" s="351" t="s">
        <v>192</v>
      </c>
      <c r="C405" s="224"/>
      <c r="G405" s="224">
        <f t="shared" si="41"/>
        <v>19916559.639803715</v>
      </c>
      <c r="I405" s="375">
        <v>43709</v>
      </c>
      <c r="J405" s="375">
        <v>43737</v>
      </c>
      <c r="K405" s="377">
        <f t="shared" si="45"/>
        <v>29</v>
      </c>
      <c r="L405" s="378">
        <v>5.5E-2</v>
      </c>
      <c r="M405" s="379">
        <f t="shared" si="38"/>
        <v>87032.639999999999</v>
      </c>
      <c r="N405" s="379">
        <f t="shared" si="43"/>
        <v>87032.639999999999</v>
      </c>
      <c r="O405" s="224">
        <f t="shared" si="44"/>
        <v>1867103.1999999972</v>
      </c>
    </row>
    <row r="406" spans="1:16" s="351" customFormat="1" hidden="1" outlineLevel="1" x14ac:dyDescent="0.2">
      <c r="C406" s="224">
        <v>3008471.9336344153</v>
      </c>
      <c r="F406" s="224">
        <f>C406</f>
        <v>3008471.9336344153</v>
      </c>
      <c r="G406" s="224">
        <f t="shared" si="41"/>
        <v>22925031.57343813</v>
      </c>
      <c r="I406" s="375">
        <v>43738</v>
      </c>
      <c r="J406" s="375">
        <v>43738</v>
      </c>
      <c r="K406" s="377">
        <f t="shared" si="45"/>
        <v>1</v>
      </c>
      <c r="L406" s="378">
        <v>5.5E-2</v>
      </c>
      <c r="M406" s="379">
        <f t="shared" si="38"/>
        <v>3454.46</v>
      </c>
      <c r="N406" s="379">
        <f t="shared" si="43"/>
        <v>90487.1</v>
      </c>
      <c r="O406" s="224">
        <f t="shared" si="44"/>
        <v>1870557.6599999971</v>
      </c>
    </row>
    <row r="407" spans="1:16" s="351" customFormat="1" hidden="1" outlineLevel="1" x14ac:dyDescent="0.2">
      <c r="B407" s="351" t="s">
        <v>193</v>
      </c>
      <c r="C407" s="224"/>
      <c r="G407" s="224">
        <f t="shared" si="41"/>
        <v>22925031.57343813</v>
      </c>
      <c r="I407" s="375">
        <v>43739</v>
      </c>
      <c r="J407" s="375">
        <v>43768</v>
      </c>
      <c r="K407" s="377">
        <f t="shared" si="45"/>
        <v>30</v>
      </c>
      <c r="L407" s="378">
        <v>5.4199999999999998E-2</v>
      </c>
      <c r="M407" s="379">
        <f t="shared" si="38"/>
        <v>102126.31</v>
      </c>
      <c r="N407" s="379">
        <f t="shared" si="43"/>
        <v>102126.31</v>
      </c>
      <c r="O407" s="224">
        <f t="shared" si="44"/>
        <v>1972683.9699999972</v>
      </c>
    </row>
    <row r="408" spans="1:16" s="351" customFormat="1" hidden="1" outlineLevel="1" x14ac:dyDescent="0.2">
      <c r="C408" s="224">
        <v>6476282.8692039773</v>
      </c>
      <c r="F408" s="224">
        <f>C408</f>
        <v>6476282.8692039773</v>
      </c>
      <c r="G408" s="224">
        <f t="shared" si="41"/>
        <v>29401314.442642108</v>
      </c>
      <c r="I408" s="375">
        <v>43769</v>
      </c>
      <c r="J408" s="375">
        <v>43769</v>
      </c>
      <c r="K408" s="377">
        <f t="shared" si="45"/>
        <v>1</v>
      </c>
      <c r="L408" s="378">
        <v>5.4199999999999998E-2</v>
      </c>
      <c r="M408" s="379">
        <f t="shared" ref="M408:M411" si="46">+IF(+K408&lt;&gt;" ", ROUND(L408*(K408/365)*G408,2),0)</f>
        <v>4365.8900000000003</v>
      </c>
      <c r="N408" s="379">
        <f t="shared" si="43"/>
        <v>106492.2</v>
      </c>
      <c r="O408" s="224">
        <f t="shared" si="44"/>
        <v>1977049.8599999971</v>
      </c>
    </row>
    <row r="409" spans="1:16" s="351" customFormat="1" hidden="1" outlineLevel="1" x14ac:dyDescent="0.2">
      <c r="B409" s="351" t="s">
        <v>194</v>
      </c>
      <c r="C409" s="224"/>
      <c r="G409" s="224">
        <f t="shared" si="41"/>
        <v>29401314.442642108</v>
      </c>
      <c r="I409" s="375">
        <v>43770</v>
      </c>
      <c r="J409" s="375">
        <v>43798</v>
      </c>
      <c r="K409" s="377">
        <f t="shared" si="45"/>
        <v>29</v>
      </c>
      <c r="L409" s="378">
        <v>5.4199999999999998E-2</v>
      </c>
      <c r="M409" s="379">
        <f t="shared" si="46"/>
        <v>126610.92</v>
      </c>
      <c r="N409" s="379">
        <f t="shared" si="43"/>
        <v>126610.92</v>
      </c>
      <c r="O409" s="224">
        <f t="shared" si="44"/>
        <v>2103660.779999997</v>
      </c>
    </row>
    <row r="410" spans="1:16" s="351" customFormat="1" hidden="1" outlineLevel="1" x14ac:dyDescent="0.2">
      <c r="C410" s="224">
        <v>4843568.7362388968</v>
      </c>
      <c r="F410" s="224">
        <f>C410</f>
        <v>4843568.7362388968</v>
      </c>
      <c r="G410" s="224">
        <f t="shared" si="41"/>
        <v>34244883.178881004</v>
      </c>
      <c r="I410" s="375">
        <v>43799</v>
      </c>
      <c r="J410" s="375">
        <v>43799</v>
      </c>
      <c r="K410" s="377">
        <f t="shared" si="45"/>
        <v>1</v>
      </c>
      <c r="L410" s="378">
        <v>5.4199999999999998E-2</v>
      </c>
      <c r="M410" s="379">
        <f t="shared" si="46"/>
        <v>5085.13</v>
      </c>
      <c r="N410" s="379">
        <f t="shared" si="43"/>
        <v>131696.04999999999</v>
      </c>
      <c r="O410" s="224">
        <f t="shared" si="44"/>
        <v>2108745.9099999969</v>
      </c>
    </row>
    <row r="411" spans="1:16" s="351" customFormat="1" hidden="1" outlineLevel="1" x14ac:dyDescent="0.2">
      <c r="B411" s="351" t="s">
        <v>195</v>
      </c>
      <c r="C411" s="224"/>
      <c r="G411" s="224">
        <f t="shared" si="41"/>
        <v>34244883.178881004</v>
      </c>
      <c r="I411" s="375">
        <v>43800</v>
      </c>
      <c r="J411" s="375">
        <v>43829</v>
      </c>
      <c r="K411" s="377">
        <f t="shared" si="45"/>
        <v>30</v>
      </c>
      <c r="L411" s="378">
        <v>5.4199999999999998E-2</v>
      </c>
      <c r="M411" s="379">
        <f t="shared" si="46"/>
        <v>152553.92000000001</v>
      </c>
      <c r="N411" s="379">
        <f t="shared" si="43"/>
        <v>152553.92000000001</v>
      </c>
      <c r="O411" s="224">
        <f t="shared" si="44"/>
        <v>2261299.8299999968</v>
      </c>
    </row>
    <row r="412" spans="1:16" s="351" customFormat="1" hidden="1" outlineLevel="1" x14ac:dyDescent="0.2">
      <c r="C412" s="224">
        <v>5218381.6948736459</v>
      </c>
      <c r="F412" s="224">
        <f>C412</f>
        <v>5218381.6948736459</v>
      </c>
      <c r="G412" s="224">
        <f t="shared" si="41"/>
        <v>39463264.87375465</v>
      </c>
      <c r="I412" s="375">
        <v>43830</v>
      </c>
      <c r="J412" s="375">
        <v>43830</v>
      </c>
      <c r="K412" s="377">
        <f>+IF(+J412="","",+J412-(I412-1))</f>
        <v>1</v>
      </c>
      <c r="L412" s="378">
        <v>5.4199999999999998E-2</v>
      </c>
      <c r="M412" s="379">
        <f>+IF(+K412&lt;&gt;" ", ROUND(L412*(K412/365)*G412,2),0)</f>
        <v>5860.02</v>
      </c>
      <c r="N412" s="379">
        <f t="shared" si="43"/>
        <v>158413.94</v>
      </c>
      <c r="O412" s="224">
        <f>O411+M412</f>
        <v>2267159.8499999968</v>
      </c>
    </row>
    <row r="413" spans="1:16" s="380" customFormat="1" collapsed="1" x14ac:dyDescent="0.2">
      <c r="A413" s="380" t="s">
        <v>307</v>
      </c>
      <c r="B413" s="380" t="s">
        <v>196</v>
      </c>
      <c r="G413" s="381">
        <f t="shared" si="41"/>
        <v>39463264.87375465</v>
      </c>
      <c r="I413" s="382">
        <v>43831</v>
      </c>
      <c r="J413" s="382">
        <v>43860</v>
      </c>
      <c r="K413" s="383">
        <f>+IF(+J413="","",+J413-(I413-1))</f>
        <v>30</v>
      </c>
      <c r="L413" s="378">
        <v>4.9599999999999998E-2</v>
      </c>
      <c r="M413" s="379">
        <f t="shared" ref="M413:M437" si="47">+IF(+K413&lt;&gt;" ", ROUND(L413*(K413/365)*G413,2),0)</f>
        <v>160880.38</v>
      </c>
      <c r="N413" s="379">
        <f t="shared" si="43"/>
        <v>160880.38</v>
      </c>
      <c r="O413" s="224">
        <f>O412+M413</f>
        <v>2428040.2299999967</v>
      </c>
      <c r="P413" s="381"/>
    </row>
    <row r="414" spans="1:16" s="380" customFormat="1" x14ac:dyDescent="0.2">
      <c r="A414" s="384" t="s">
        <v>308</v>
      </c>
      <c r="C414" s="381">
        <v>0</v>
      </c>
      <c r="F414" s="381">
        <f>C414</f>
        <v>0</v>
      </c>
      <c r="G414" s="381">
        <f t="shared" si="41"/>
        <v>39463264.87375465</v>
      </c>
      <c r="I414" s="382">
        <v>43861</v>
      </c>
      <c r="J414" s="382">
        <v>43861</v>
      </c>
      <c r="K414" s="383">
        <f>+IF(+J414="","",+J414-(I414-1))</f>
        <v>1</v>
      </c>
      <c r="L414" s="378">
        <v>4.9599999999999998E-2</v>
      </c>
      <c r="M414" s="379">
        <f t="shared" si="47"/>
        <v>5362.68</v>
      </c>
      <c r="N414" s="379">
        <f t="shared" si="43"/>
        <v>166243.06</v>
      </c>
      <c r="O414" s="224">
        <f t="shared" si="44"/>
        <v>2433402.9099999969</v>
      </c>
      <c r="P414" s="381"/>
    </row>
    <row r="415" spans="1:16" s="380" customFormat="1" x14ac:dyDescent="0.2">
      <c r="B415" s="380" t="s">
        <v>197</v>
      </c>
      <c r="C415" s="381"/>
      <c r="G415" s="381">
        <f t="shared" si="41"/>
        <v>39463264.87375465</v>
      </c>
      <c r="I415" s="382">
        <v>43862</v>
      </c>
      <c r="J415" s="382">
        <v>43889</v>
      </c>
      <c r="K415" s="383">
        <v>28</v>
      </c>
      <c r="L415" s="378">
        <v>4.9599999999999998E-2</v>
      </c>
      <c r="M415" s="379">
        <f t="shared" si="47"/>
        <v>150155.01999999999</v>
      </c>
      <c r="N415" s="379">
        <f t="shared" si="43"/>
        <v>150155.01999999999</v>
      </c>
      <c r="O415" s="224">
        <f t="shared" si="44"/>
        <v>2583557.9299999969</v>
      </c>
      <c r="P415" s="381"/>
    </row>
    <row r="416" spans="1:16" s="380" customFormat="1" x14ac:dyDescent="0.2">
      <c r="C416" s="381">
        <v>0</v>
      </c>
      <c r="F416" s="381">
        <f>C416</f>
        <v>0</v>
      </c>
      <c r="G416" s="381">
        <f t="shared" si="41"/>
        <v>39463264.87375465</v>
      </c>
      <c r="I416" s="382">
        <v>43890</v>
      </c>
      <c r="J416" s="382">
        <v>43890</v>
      </c>
      <c r="K416" s="383">
        <f t="shared" ref="K416:K437" si="48">+IF(+J416="","",+J416-(I416-1))</f>
        <v>1</v>
      </c>
      <c r="L416" s="378">
        <v>4.9599999999999998E-2</v>
      </c>
      <c r="M416" s="379">
        <f t="shared" si="47"/>
        <v>5362.68</v>
      </c>
      <c r="N416" s="379">
        <f t="shared" si="43"/>
        <v>155517.69999999998</v>
      </c>
      <c r="O416" s="224">
        <f t="shared" si="44"/>
        <v>2588920.6099999971</v>
      </c>
      <c r="P416" s="381"/>
    </row>
    <row r="417" spans="2:16" s="380" customFormat="1" x14ac:dyDescent="0.2">
      <c r="B417" s="380" t="s">
        <v>198</v>
      </c>
      <c r="C417" s="381"/>
      <c r="G417" s="381">
        <f t="shared" si="41"/>
        <v>39463264.87375465</v>
      </c>
      <c r="I417" s="382">
        <v>43891</v>
      </c>
      <c r="J417" s="382">
        <v>43920</v>
      </c>
      <c r="K417" s="383">
        <f t="shared" si="48"/>
        <v>30</v>
      </c>
      <c r="L417" s="378">
        <v>4.9599999999999998E-2</v>
      </c>
      <c r="M417" s="379">
        <f t="shared" si="47"/>
        <v>160880.38</v>
      </c>
      <c r="N417" s="379">
        <f t="shared" si="43"/>
        <v>160880.38</v>
      </c>
      <c r="O417" s="224">
        <f t="shared" si="44"/>
        <v>2749800.989999997</v>
      </c>
      <c r="P417" s="381"/>
    </row>
    <row r="418" spans="2:16" s="380" customFormat="1" x14ac:dyDescent="0.2">
      <c r="C418" s="381">
        <f>'SEF-3 p 4 Bands'!P247</f>
        <v>4044973.3625182658</v>
      </c>
      <c r="F418" s="381">
        <f>C418</f>
        <v>4044973.3625182658</v>
      </c>
      <c r="G418" s="381">
        <f t="shared" si="41"/>
        <v>43508238.236272916</v>
      </c>
      <c r="I418" s="382">
        <v>43921</v>
      </c>
      <c r="J418" s="382">
        <v>43921</v>
      </c>
      <c r="K418" s="383">
        <f t="shared" si="48"/>
        <v>1</v>
      </c>
      <c r="L418" s="378">
        <v>4.9599999999999998E-2</v>
      </c>
      <c r="M418" s="379">
        <f t="shared" si="47"/>
        <v>5912.35</v>
      </c>
      <c r="N418" s="379">
        <f t="shared" si="43"/>
        <v>166792.73000000001</v>
      </c>
      <c r="O418" s="224">
        <f t="shared" si="44"/>
        <v>2755713.3399999971</v>
      </c>
      <c r="P418" s="381"/>
    </row>
    <row r="419" spans="2:16" s="380" customFormat="1" x14ac:dyDescent="0.2">
      <c r="B419" s="380" t="s">
        <v>199</v>
      </c>
      <c r="C419" s="381"/>
      <c r="G419" s="381">
        <f t="shared" si="41"/>
        <v>43508238.236272916</v>
      </c>
      <c r="I419" s="382">
        <v>43922</v>
      </c>
      <c r="J419" s="382">
        <v>43950</v>
      </c>
      <c r="K419" s="383">
        <f t="shared" si="48"/>
        <v>29</v>
      </c>
      <c r="L419" s="378">
        <v>4.7500000000000001E-2</v>
      </c>
      <c r="M419" s="379">
        <f t="shared" si="47"/>
        <v>164198.9</v>
      </c>
      <c r="N419" s="379">
        <f t="shared" si="43"/>
        <v>164198.9</v>
      </c>
      <c r="O419" s="224">
        <f t="shared" si="44"/>
        <v>2919912.239999997</v>
      </c>
      <c r="P419" s="381"/>
    </row>
    <row r="420" spans="2:16" s="380" customFormat="1" x14ac:dyDescent="0.2">
      <c r="C420" s="381">
        <f>'SEF-3 p 4 Bands'!P248</f>
        <v>4123562.0070953593</v>
      </c>
      <c r="F420" s="381">
        <f>C420</f>
        <v>4123562.0070953593</v>
      </c>
      <c r="G420" s="381">
        <f t="shared" si="41"/>
        <v>47631800.243368275</v>
      </c>
      <c r="I420" s="382">
        <v>43951</v>
      </c>
      <c r="J420" s="382">
        <v>43951</v>
      </c>
      <c r="K420" s="383">
        <f t="shared" si="48"/>
        <v>1</v>
      </c>
      <c r="L420" s="378">
        <v>4.7500000000000001E-2</v>
      </c>
      <c r="M420" s="379">
        <f t="shared" si="47"/>
        <v>6198.66</v>
      </c>
      <c r="N420" s="379">
        <f t="shared" si="43"/>
        <v>170397.56</v>
      </c>
      <c r="O420" s="224">
        <f t="shared" si="44"/>
        <v>2926110.8999999971</v>
      </c>
      <c r="P420" s="381"/>
    </row>
    <row r="421" spans="2:16" s="380" customFormat="1" x14ac:dyDescent="0.2">
      <c r="B421" s="380" t="s">
        <v>200</v>
      </c>
      <c r="C421" s="381"/>
      <c r="G421" s="381">
        <f t="shared" si="41"/>
        <v>47631800.243368275</v>
      </c>
      <c r="I421" s="382">
        <v>43952</v>
      </c>
      <c r="J421" s="382">
        <v>43981</v>
      </c>
      <c r="K421" s="383">
        <f t="shared" si="48"/>
        <v>30</v>
      </c>
      <c r="L421" s="378">
        <v>4.7500000000000001E-2</v>
      </c>
      <c r="M421" s="379">
        <f t="shared" si="47"/>
        <v>185959.77</v>
      </c>
      <c r="N421" s="379">
        <f t="shared" si="43"/>
        <v>185959.77</v>
      </c>
      <c r="O421" s="224">
        <f t="shared" si="44"/>
        <v>3112070.6699999971</v>
      </c>
      <c r="P421" s="381"/>
    </row>
    <row r="422" spans="2:16" s="380" customFormat="1" x14ac:dyDescent="0.2">
      <c r="C422" s="381">
        <f>'SEF-3 p 4 Bands'!P249</f>
        <v>5424179.8585450277</v>
      </c>
      <c r="F422" s="381">
        <f>C422</f>
        <v>5424179.8585450277</v>
      </c>
      <c r="G422" s="381">
        <f t="shared" si="41"/>
        <v>53055980.101913303</v>
      </c>
      <c r="I422" s="382">
        <v>43982</v>
      </c>
      <c r="J422" s="382">
        <v>43982</v>
      </c>
      <c r="K422" s="383">
        <f t="shared" si="48"/>
        <v>1</v>
      </c>
      <c r="L422" s="378">
        <v>4.7500000000000001E-2</v>
      </c>
      <c r="M422" s="379">
        <f t="shared" si="47"/>
        <v>6904.55</v>
      </c>
      <c r="N422" s="379">
        <f t="shared" si="43"/>
        <v>192864.31999999998</v>
      </c>
      <c r="O422" s="224">
        <f t="shared" si="44"/>
        <v>3118975.2199999969</v>
      </c>
      <c r="P422" s="381"/>
    </row>
    <row r="423" spans="2:16" s="380" customFormat="1" x14ac:dyDescent="0.2">
      <c r="B423" s="380" t="s">
        <v>201</v>
      </c>
      <c r="C423" s="381"/>
      <c r="G423" s="381">
        <f t="shared" si="41"/>
        <v>53055980.101913303</v>
      </c>
      <c r="I423" s="382">
        <v>43983</v>
      </c>
      <c r="J423" s="382">
        <v>44011</v>
      </c>
      <c r="K423" s="383">
        <f t="shared" si="48"/>
        <v>29</v>
      </c>
      <c r="L423" s="378">
        <v>4.7500000000000001E-2</v>
      </c>
      <c r="M423" s="379">
        <f t="shared" si="47"/>
        <v>200231.82</v>
      </c>
      <c r="N423" s="379">
        <f t="shared" si="43"/>
        <v>200231.82</v>
      </c>
      <c r="O423" s="224">
        <f t="shared" si="44"/>
        <v>3319207.0399999968</v>
      </c>
      <c r="P423" s="381"/>
    </row>
    <row r="424" spans="2:16" s="380" customFormat="1" x14ac:dyDescent="0.2">
      <c r="C424" s="381">
        <f>'SEF-3 p 4 Bands'!P250</f>
        <v>5871829.8069021925</v>
      </c>
      <c r="F424" s="381">
        <f>C424</f>
        <v>5871829.8069021925</v>
      </c>
      <c r="G424" s="381">
        <f t="shared" si="41"/>
        <v>58927809.908815496</v>
      </c>
      <c r="I424" s="382">
        <v>44012</v>
      </c>
      <c r="J424" s="382">
        <v>44012</v>
      </c>
      <c r="K424" s="383">
        <f t="shared" si="48"/>
        <v>1</v>
      </c>
      <c r="L424" s="378">
        <v>4.7500000000000001E-2</v>
      </c>
      <c r="M424" s="379">
        <f t="shared" si="47"/>
        <v>7668.69</v>
      </c>
      <c r="N424" s="379">
        <f t="shared" si="43"/>
        <v>207900.51</v>
      </c>
      <c r="O424" s="224">
        <f t="shared" si="44"/>
        <v>3326875.7299999967</v>
      </c>
      <c r="P424" s="381"/>
    </row>
    <row r="425" spans="2:16" s="380" customFormat="1" x14ac:dyDescent="0.2">
      <c r="B425" s="380" t="s">
        <v>190</v>
      </c>
      <c r="C425" s="381"/>
      <c r="G425" s="381">
        <f t="shared" si="41"/>
        <v>58927809.908815496</v>
      </c>
      <c r="I425" s="382">
        <v>44013</v>
      </c>
      <c r="J425" s="382">
        <v>44042</v>
      </c>
      <c r="K425" s="383">
        <f t="shared" si="48"/>
        <v>30</v>
      </c>
      <c r="L425" s="378">
        <v>3.4299999999999997E-2</v>
      </c>
      <c r="M425" s="379">
        <f t="shared" si="47"/>
        <v>166127.99</v>
      </c>
      <c r="N425" s="379">
        <f t="shared" si="43"/>
        <v>166127.99</v>
      </c>
      <c r="O425" s="224">
        <f t="shared" si="44"/>
        <v>3493003.7199999969</v>
      </c>
      <c r="P425" s="381"/>
    </row>
    <row r="426" spans="2:16" s="380" customFormat="1" x14ac:dyDescent="0.2">
      <c r="C426" s="381">
        <f>'SEF-3 p 4 Bands'!P251</f>
        <v>298893.22073697299</v>
      </c>
      <c r="F426" s="381">
        <f>C426</f>
        <v>298893.22073697299</v>
      </c>
      <c r="G426" s="381">
        <f t="shared" ref="G426:G434" si="49">+G425+F426</f>
        <v>59226703.129552469</v>
      </c>
      <c r="I426" s="382">
        <v>44043</v>
      </c>
      <c r="J426" s="382">
        <v>44043</v>
      </c>
      <c r="K426" s="383">
        <f t="shared" si="48"/>
        <v>1</v>
      </c>
      <c r="L426" s="378">
        <v>3.4299999999999997E-2</v>
      </c>
      <c r="M426" s="379">
        <f t="shared" si="47"/>
        <v>5565.69</v>
      </c>
      <c r="N426" s="379">
        <f t="shared" si="43"/>
        <v>171693.68</v>
      </c>
      <c r="O426" s="224">
        <f t="shared" si="44"/>
        <v>3498569.4099999969</v>
      </c>
      <c r="P426" s="381"/>
    </row>
    <row r="427" spans="2:16" s="380" customFormat="1" x14ac:dyDescent="0.2">
      <c r="B427" s="380" t="s">
        <v>191</v>
      </c>
      <c r="C427" s="381"/>
      <c r="G427" s="381">
        <f t="shared" si="49"/>
        <v>59226703.129552469</v>
      </c>
      <c r="I427" s="382">
        <v>44044</v>
      </c>
      <c r="J427" s="382">
        <v>44073</v>
      </c>
      <c r="K427" s="383">
        <f t="shared" si="48"/>
        <v>30</v>
      </c>
      <c r="L427" s="378">
        <v>3.4299999999999997E-2</v>
      </c>
      <c r="M427" s="379">
        <f t="shared" si="47"/>
        <v>166970.62</v>
      </c>
      <c r="N427" s="379">
        <f t="shared" si="43"/>
        <v>166970.62</v>
      </c>
      <c r="O427" s="224">
        <f t="shared" si="44"/>
        <v>3665540.029999997</v>
      </c>
      <c r="P427" s="381"/>
    </row>
    <row r="428" spans="2:16" s="380" customFormat="1" x14ac:dyDescent="0.2">
      <c r="C428" s="381">
        <f>'SEF-3 p 4 Bands'!P252</f>
        <v>93680.426124349236</v>
      </c>
      <c r="F428" s="381">
        <f>C428</f>
        <v>93680.426124349236</v>
      </c>
      <c r="G428" s="381">
        <f t="shared" si="49"/>
        <v>59320383.555676818</v>
      </c>
      <c r="I428" s="382">
        <v>44074</v>
      </c>
      <c r="J428" s="382">
        <v>44074</v>
      </c>
      <c r="K428" s="383">
        <f t="shared" si="48"/>
        <v>1</v>
      </c>
      <c r="L428" s="378">
        <v>3.4299999999999997E-2</v>
      </c>
      <c r="M428" s="379">
        <f t="shared" si="47"/>
        <v>5574.49</v>
      </c>
      <c r="N428" s="379">
        <f t="shared" si="43"/>
        <v>172545.11</v>
      </c>
      <c r="O428" s="224">
        <f t="shared" si="44"/>
        <v>3671114.5199999972</v>
      </c>
      <c r="P428" s="381"/>
    </row>
    <row r="429" spans="2:16" s="380" customFormat="1" x14ac:dyDescent="0.2">
      <c r="B429" s="380" t="s">
        <v>192</v>
      </c>
      <c r="C429" s="381"/>
      <c r="G429" s="381">
        <f t="shared" si="49"/>
        <v>59320383.555676818</v>
      </c>
      <c r="I429" s="382">
        <v>44075</v>
      </c>
      <c r="J429" s="382">
        <v>44103</v>
      </c>
      <c r="K429" s="383">
        <f t="shared" si="48"/>
        <v>29</v>
      </c>
      <c r="L429" s="378">
        <v>3.4299999999999997E-2</v>
      </c>
      <c r="M429" s="379">
        <f t="shared" si="47"/>
        <v>161660.23000000001</v>
      </c>
      <c r="N429" s="379">
        <f t="shared" si="43"/>
        <v>161660.23000000001</v>
      </c>
      <c r="O429" s="224">
        <f t="shared" si="44"/>
        <v>3832774.7499999972</v>
      </c>
      <c r="P429" s="381"/>
    </row>
    <row r="430" spans="2:16" s="380" customFormat="1" x14ac:dyDescent="0.2">
      <c r="C430" s="381">
        <f>'SEF-3 p 4 Bands'!P253</f>
        <v>1995632.1933514029</v>
      </c>
      <c r="F430" s="381">
        <f>C430</f>
        <v>1995632.1933514029</v>
      </c>
      <c r="G430" s="381">
        <f t="shared" si="49"/>
        <v>61316015.749028221</v>
      </c>
      <c r="I430" s="382">
        <v>44104</v>
      </c>
      <c r="J430" s="382">
        <v>44104</v>
      </c>
      <c r="K430" s="383">
        <f t="shared" si="48"/>
        <v>1</v>
      </c>
      <c r="L430" s="378">
        <v>3.4299999999999997E-2</v>
      </c>
      <c r="M430" s="379">
        <f t="shared" si="47"/>
        <v>5762.03</v>
      </c>
      <c r="N430" s="379">
        <f t="shared" si="43"/>
        <v>167422.26</v>
      </c>
      <c r="O430" s="224">
        <f t="shared" si="44"/>
        <v>3838536.779999997</v>
      </c>
      <c r="P430" s="381"/>
    </row>
    <row r="431" spans="2:16" s="380" customFormat="1" x14ac:dyDescent="0.2">
      <c r="B431" s="380" t="s">
        <v>193</v>
      </c>
      <c r="C431" s="381"/>
      <c r="G431" s="381">
        <f t="shared" si="49"/>
        <v>61316015.749028221</v>
      </c>
      <c r="I431" s="382">
        <v>44105</v>
      </c>
      <c r="J431" s="382">
        <v>44134</v>
      </c>
      <c r="K431" s="383">
        <f t="shared" si="48"/>
        <v>30</v>
      </c>
      <c r="L431" s="378">
        <v>3.2500000000000001E-2</v>
      </c>
      <c r="M431" s="379">
        <f t="shared" si="47"/>
        <v>163789.35999999999</v>
      </c>
      <c r="N431" s="379">
        <f t="shared" si="43"/>
        <v>163789.35999999999</v>
      </c>
      <c r="O431" s="224">
        <f t="shared" si="44"/>
        <v>4002326.1399999969</v>
      </c>
      <c r="P431" s="381"/>
    </row>
    <row r="432" spans="2:16" s="380" customFormat="1" x14ac:dyDescent="0.2">
      <c r="C432" s="381">
        <f>'SEF-3 p 4 Bands'!P254</f>
        <v>3297061.221086897</v>
      </c>
      <c r="F432" s="381">
        <f>C432</f>
        <v>3297061.221086897</v>
      </c>
      <c r="G432" s="381">
        <f t="shared" si="49"/>
        <v>64613076.970115118</v>
      </c>
      <c r="I432" s="382">
        <v>44135</v>
      </c>
      <c r="J432" s="382">
        <v>44135</v>
      </c>
      <c r="K432" s="383">
        <f t="shared" si="48"/>
        <v>1</v>
      </c>
      <c r="L432" s="378">
        <v>3.2500000000000001E-2</v>
      </c>
      <c r="M432" s="379">
        <f t="shared" si="47"/>
        <v>5753.22</v>
      </c>
      <c r="N432" s="379">
        <f t="shared" si="43"/>
        <v>169542.58</v>
      </c>
      <c r="O432" s="224">
        <f t="shared" si="44"/>
        <v>4008079.3599999971</v>
      </c>
      <c r="P432" s="381"/>
    </row>
    <row r="433" spans="1:16" s="380" customFormat="1" x14ac:dyDescent="0.2">
      <c r="B433" s="380" t="s">
        <v>194</v>
      </c>
      <c r="C433" s="381"/>
      <c r="G433" s="381">
        <f t="shared" si="49"/>
        <v>64613076.970115118</v>
      </c>
      <c r="I433" s="382">
        <v>44136</v>
      </c>
      <c r="J433" s="382">
        <v>44164</v>
      </c>
      <c r="K433" s="383">
        <f t="shared" si="48"/>
        <v>29</v>
      </c>
      <c r="L433" s="378">
        <v>3.2500000000000001E-2</v>
      </c>
      <c r="M433" s="379">
        <f t="shared" si="47"/>
        <v>166843.35999999999</v>
      </c>
      <c r="N433" s="379">
        <f t="shared" si="43"/>
        <v>166843.35999999999</v>
      </c>
      <c r="O433" s="224">
        <f t="shared" si="44"/>
        <v>4174922.7199999969</v>
      </c>
      <c r="P433" s="381"/>
    </row>
    <row r="434" spans="1:16" s="380" customFormat="1" x14ac:dyDescent="0.2">
      <c r="C434" s="381">
        <f>'SEF-3 p 4 Bands'!P255</f>
        <v>6477542.0009252951</v>
      </c>
      <c r="F434" s="381">
        <f>SUM(C434:E434)</f>
        <v>6477542.0009252951</v>
      </c>
      <c r="G434" s="381">
        <f t="shared" si="49"/>
        <v>71090618.971040413</v>
      </c>
      <c r="I434" s="382">
        <v>44165</v>
      </c>
      <c r="J434" s="382">
        <v>44165</v>
      </c>
      <c r="K434" s="383">
        <f t="shared" si="48"/>
        <v>1</v>
      </c>
      <c r="L434" s="378">
        <v>3.2500000000000001E-2</v>
      </c>
      <c r="M434" s="379">
        <f t="shared" si="47"/>
        <v>6329.99</v>
      </c>
      <c r="N434" s="379">
        <f t="shared" si="43"/>
        <v>173173.34999999998</v>
      </c>
      <c r="O434" s="224">
        <f t="shared" si="44"/>
        <v>4181252.7099999972</v>
      </c>
      <c r="P434" s="381"/>
    </row>
    <row r="435" spans="1:16" s="380" customFormat="1" x14ac:dyDescent="0.2">
      <c r="A435" s="380" t="s">
        <v>309</v>
      </c>
      <c r="B435" s="380" t="s">
        <v>195</v>
      </c>
      <c r="C435" s="381"/>
      <c r="E435" s="381">
        <f>-G412</f>
        <v>-39463264.87375465</v>
      </c>
      <c r="F435" s="381">
        <f>SUM(C435:E435)</f>
        <v>-39463264.87375465</v>
      </c>
      <c r="G435" s="381">
        <f>E435</f>
        <v>-39463264.87375465</v>
      </c>
      <c r="I435" s="382">
        <v>44166</v>
      </c>
      <c r="J435" s="382">
        <v>44166</v>
      </c>
      <c r="K435" s="383"/>
      <c r="L435" s="378"/>
      <c r="M435" s="379">
        <f t="shared" si="47"/>
        <v>0</v>
      </c>
      <c r="N435" s="379">
        <f t="shared" si="43"/>
        <v>0</v>
      </c>
      <c r="O435" s="224">
        <v>-2267159.8499999968</v>
      </c>
      <c r="P435" s="381"/>
    </row>
    <row r="436" spans="1:16" s="380" customFormat="1" x14ac:dyDescent="0.2">
      <c r="F436" s="381">
        <f>SUM(C436:E436)</f>
        <v>0</v>
      </c>
      <c r="G436" s="381">
        <f>+G434+E436+F436+G435</f>
        <v>31627354.097285762</v>
      </c>
      <c r="I436" s="382">
        <v>44166</v>
      </c>
      <c r="J436" s="382">
        <v>44195</v>
      </c>
      <c r="K436" s="383">
        <f t="shared" si="48"/>
        <v>30</v>
      </c>
      <c r="L436" s="378">
        <v>3.2500000000000001E-2</v>
      </c>
      <c r="M436" s="379">
        <f t="shared" si="47"/>
        <v>84484.03</v>
      </c>
      <c r="N436" s="379">
        <f t="shared" si="43"/>
        <v>84484.03</v>
      </c>
      <c r="O436" s="224">
        <f>O434+M436+O435</f>
        <v>1998576.8900000006</v>
      </c>
      <c r="P436" s="381"/>
    </row>
    <row r="437" spans="1:16" s="380" customFormat="1" x14ac:dyDescent="0.2">
      <c r="C437" s="381">
        <f>'SEF-3 p 4 Bands'!P256</f>
        <v>12379439.115751639</v>
      </c>
      <c r="F437" s="381">
        <f>SUM(C437:E437)</f>
        <v>12379439.115751639</v>
      </c>
      <c r="G437" s="381">
        <f>+G436+E437+F437</f>
        <v>44006793.213037401</v>
      </c>
      <c r="I437" s="382">
        <v>44196</v>
      </c>
      <c r="J437" s="382">
        <v>44196</v>
      </c>
      <c r="K437" s="383">
        <f t="shared" si="48"/>
        <v>1</v>
      </c>
      <c r="L437" s="378">
        <v>3.2500000000000001E-2</v>
      </c>
      <c r="M437" s="379">
        <f t="shared" si="47"/>
        <v>3918.41</v>
      </c>
      <c r="N437" s="379">
        <f t="shared" si="43"/>
        <v>88402.44</v>
      </c>
      <c r="O437" s="224">
        <f t="shared" si="44"/>
        <v>2002495.3000000005</v>
      </c>
      <c r="P437" s="381"/>
    </row>
    <row r="438" spans="1:16" x14ac:dyDescent="0.2">
      <c r="M438" s="361"/>
      <c r="N438" s="351"/>
    </row>
    <row r="439" spans="1:16" x14ac:dyDescent="0.2">
      <c r="C439" s="396" t="s">
        <v>310</v>
      </c>
      <c r="D439" s="396"/>
      <c r="E439" s="396"/>
      <c r="F439" s="396"/>
      <c r="G439" s="396"/>
      <c r="H439" s="396"/>
      <c r="I439" s="396"/>
      <c r="J439" s="396"/>
      <c r="M439" s="361"/>
      <c r="N439" s="351"/>
    </row>
    <row r="440" spans="1:16" x14ac:dyDescent="0.2">
      <c r="C440" s="396"/>
      <c r="D440" s="396"/>
      <c r="E440" s="396"/>
      <c r="F440" s="396"/>
      <c r="G440" s="396"/>
      <c r="H440" s="396"/>
      <c r="I440" s="396"/>
      <c r="J440" s="396"/>
      <c r="M440" s="361"/>
      <c r="N440" s="351"/>
    </row>
  </sheetData>
  <mergeCells count="1">
    <mergeCell ref="C439:J440"/>
  </mergeCells>
  <printOptions horizontalCentered="1"/>
  <pageMargins left="0" right="0" top="0.5" bottom="0.4" header="0.5" footer="0.2"/>
  <pageSetup scale="64" orientation="landscape" blackAndWhite="1" r:id="rId1"/>
  <headerFooter alignWithMargins="0">
    <oddFooter>&amp;R&amp;F &amp;A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2"/>
  <sheetViews>
    <sheetView tabSelected="1" zoomScaleNormal="100" workbookViewId="0">
      <pane xSplit="2" ySplit="13" topLeftCell="C14" activePane="bottomRight" state="frozen"/>
      <selection activeCell="O41" sqref="O41"/>
      <selection pane="topRight" activeCell="O41" sqref="O41"/>
      <selection pane="bottomLeft" activeCell="O41" sqref="O41"/>
      <selection pane="bottomRight" activeCell="S2" sqref="S2"/>
    </sheetView>
  </sheetViews>
  <sheetFormatPr defaultColWidth="9.28515625" defaultRowHeight="15" outlineLevelCol="1" x14ac:dyDescent="0.25"/>
  <cols>
    <col min="1" max="1" width="6.7109375" style="246" customWidth="1"/>
    <col min="2" max="2" width="32.28515625" style="246" customWidth="1"/>
    <col min="3" max="3" width="18.140625" style="244" customWidth="1"/>
    <col min="4" max="4" width="15.7109375" style="244" customWidth="1"/>
    <col min="5" max="5" width="5.7109375" style="244" customWidth="1"/>
    <col min="6" max="7" width="15.7109375" style="244" customWidth="1"/>
    <col min="8" max="8" width="3.28515625" style="246" customWidth="1" outlineLevel="1"/>
    <col min="9" max="9" width="18.140625" style="244" customWidth="1"/>
    <col min="10" max="10" width="15.7109375" style="244" customWidth="1"/>
    <col min="11" max="11" width="5.7109375" style="244" customWidth="1"/>
    <col min="12" max="13" width="15.7109375" style="244" customWidth="1"/>
    <col min="14" max="14" width="3.28515625" style="246" customWidth="1" outlineLevel="1"/>
    <col min="15" max="15" width="18.140625" style="244" customWidth="1"/>
    <col min="16" max="16" width="15.7109375" style="244" customWidth="1"/>
    <col min="17" max="17" width="5.7109375" style="244" customWidth="1"/>
    <col min="18" max="19" width="15.7109375" style="244" customWidth="1"/>
    <col min="20" max="16384" width="9.28515625" style="246"/>
  </cols>
  <sheetData>
    <row r="1" spans="1:19" x14ac:dyDescent="0.25">
      <c r="A1" s="24" t="s">
        <v>317</v>
      </c>
      <c r="B1" s="243"/>
      <c r="G1" s="245"/>
      <c r="M1" s="245"/>
      <c r="S1" s="200" t="s">
        <v>321</v>
      </c>
    </row>
    <row r="2" spans="1:19" ht="18.75" thickBot="1" x14ac:dyDescent="0.3">
      <c r="A2" s="247"/>
      <c r="B2" s="248"/>
      <c r="C2" s="249"/>
      <c r="D2" s="249"/>
      <c r="E2" s="249"/>
      <c r="F2" s="249"/>
      <c r="G2" s="249"/>
      <c r="H2" s="249"/>
      <c r="I2" s="249"/>
      <c r="J2" s="249"/>
      <c r="K2" s="249"/>
      <c r="L2" s="249"/>
      <c r="M2" s="249"/>
      <c r="N2" s="249"/>
      <c r="O2" s="249"/>
      <c r="P2" s="249"/>
      <c r="Q2" s="249"/>
      <c r="R2" s="249"/>
      <c r="S2" s="249"/>
    </row>
    <row r="3" spans="1:19" ht="19.5" thickBot="1" x14ac:dyDescent="0.35">
      <c r="A3" s="250"/>
      <c r="B3" s="251"/>
      <c r="C3" s="252" t="s">
        <v>215</v>
      </c>
      <c r="D3" s="253"/>
      <c r="E3" s="253"/>
      <c r="F3" s="253"/>
      <c r="G3" s="254"/>
      <c r="I3" s="252" t="s">
        <v>216</v>
      </c>
      <c r="J3" s="253"/>
      <c r="K3" s="253"/>
      <c r="L3" s="253"/>
      <c r="M3" s="254"/>
      <c r="O3" s="252" t="s">
        <v>217</v>
      </c>
      <c r="P3" s="253"/>
      <c r="Q3" s="253"/>
      <c r="R3" s="253"/>
      <c r="S3" s="254"/>
    </row>
    <row r="4" spans="1:19" ht="20.25" thickBot="1" x14ac:dyDescent="0.4">
      <c r="A4" s="255"/>
      <c r="B4" s="248"/>
      <c r="C4" s="256" t="s">
        <v>218</v>
      </c>
      <c r="D4" s="257"/>
      <c r="E4" s="257"/>
      <c r="F4" s="258"/>
      <c r="G4" s="259"/>
      <c r="H4" s="260"/>
      <c r="I4" s="256" t="s">
        <v>219</v>
      </c>
      <c r="J4" s="257"/>
      <c r="K4" s="257"/>
      <c r="L4" s="258"/>
      <c r="M4" s="259"/>
      <c r="N4" s="260"/>
      <c r="O4" s="256" t="s">
        <v>220</v>
      </c>
      <c r="P4" s="257"/>
      <c r="Q4" s="257"/>
      <c r="R4" s="258"/>
      <c r="S4" s="259"/>
    </row>
    <row r="5" spans="1:19" ht="19.5" thickBot="1" x14ac:dyDescent="0.35">
      <c r="A5" s="261" t="s">
        <v>70</v>
      </c>
      <c r="B5" s="262"/>
      <c r="C5" s="263" t="s">
        <v>71</v>
      </c>
      <c r="D5" s="264"/>
      <c r="E5" s="264"/>
      <c r="F5" s="264"/>
      <c r="G5" s="265"/>
      <c r="I5" s="263"/>
      <c r="J5" s="264"/>
      <c r="K5" s="264"/>
      <c r="L5" s="264"/>
      <c r="M5" s="265"/>
      <c r="O5" s="356" t="s">
        <v>221</v>
      </c>
      <c r="P5" s="357"/>
      <c r="Q5" s="357"/>
      <c r="R5" s="357"/>
      <c r="S5" s="358"/>
    </row>
    <row r="6" spans="1:19" x14ac:dyDescent="0.25">
      <c r="A6" s="261">
        <v>3</v>
      </c>
      <c r="B6" s="266" t="s">
        <v>222</v>
      </c>
      <c r="C6" s="267">
        <v>199079031.3739852</v>
      </c>
      <c r="D6" s="268"/>
      <c r="E6" s="268"/>
      <c r="F6" s="268"/>
      <c r="G6" s="269"/>
      <c r="I6" s="267">
        <v>148923662.89445901</v>
      </c>
      <c r="J6" s="268"/>
      <c r="K6" s="268"/>
      <c r="L6" s="268"/>
      <c r="M6" s="269"/>
      <c r="O6" s="267">
        <v>148923662.89445901</v>
      </c>
      <c r="P6" s="268"/>
      <c r="Q6" s="268"/>
      <c r="R6" s="268"/>
      <c r="S6" s="269"/>
    </row>
    <row r="7" spans="1:19" x14ac:dyDescent="0.25">
      <c r="A7" s="261">
        <v>4</v>
      </c>
      <c r="B7" s="266" t="s">
        <v>223</v>
      </c>
      <c r="C7" s="270">
        <v>85738601.034227908</v>
      </c>
      <c r="D7" s="271"/>
      <c r="E7" s="271"/>
      <c r="F7" s="271"/>
      <c r="G7" s="272"/>
      <c r="I7" s="270">
        <v>79202112.316321075</v>
      </c>
      <c r="J7" s="271"/>
      <c r="K7" s="271"/>
      <c r="L7" s="271"/>
      <c r="M7" s="269"/>
      <c r="O7" s="270">
        <v>79202112.316321075</v>
      </c>
      <c r="P7" s="271"/>
      <c r="Q7" s="271"/>
      <c r="R7" s="271"/>
      <c r="S7" s="269"/>
    </row>
    <row r="8" spans="1:19" x14ac:dyDescent="0.25">
      <c r="A8" s="261">
        <v>5</v>
      </c>
      <c r="B8" s="266" t="s">
        <v>224</v>
      </c>
      <c r="C8" s="270">
        <v>1961447671.7378278</v>
      </c>
      <c r="D8" s="271"/>
      <c r="E8" s="273"/>
      <c r="F8" s="274" t="s">
        <v>225</v>
      </c>
      <c r="G8" s="275">
        <v>3.8172439532610514E-2</v>
      </c>
      <c r="I8" s="270">
        <v>1692468635.3914154</v>
      </c>
      <c r="J8" s="271"/>
      <c r="K8" s="271"/>
      <c r="L8" s="276"/>
      <c r="M8" s="269"/>
      <c r="O8" s="270">
        <v>1692468635.3914154</v>
      </c>
      <c r="P8" s="271"/>
      <c r="Q8" s="271"/>
      <c r="R8" s="276"/>
      <c r="S8" s="269"/>
    </row>
    <row r="9" spans="1:19" x14ac:dyDescent="0.25">
      <c r="A9" s="261">
        <v>6</v>
      </c>
      <c r="B9" s="277"/>
      <c r="C9" s="278">
        <f>SUM(C6:C8)</f>
        <v>2246265304.1460409</v>
      </c>
      <c r="D9" s="279"/>
      <c r="E9" s="280"/>
      <c r="F9" s="281"/>
      <c r="G9" s="282">
        <f>1-G8</f>
        <v>0.96182756046738949</v>
      </c>
      <c r="I9" s="278">
        <f>SUM(I6:I8)</f>
        <v>1920594410.6021955</v>
      </c>
      <c r="J9" s="279"/>
      <c r="K9" s="280"/>
      <c r="L9" s="281"/>
      <c r="M9" s="269"/>
      <c r="O9" s="278">
        <v>1920594410.6021955</v>
      </c>
      <c r="P9" s="279"/>
      <c r="Q9" s="280"/>
      <c r="R9" s="281"/>
      <c r="S9" s="269"/>
    </row>
    <row r="10" spans="1:19" x14ac:dyDescent="0.25">
      <c r="A10" s="261">
        <v>7</v>
      </c>
      <c r="B10" s="266" t="s">
        <v>226</v>
      </c>
      <c r="C10" s="283">
        <v>6.9699999999999998E-2</v>
      </c>
      <c r="D10" s="284"/>
      <c r="E10" s="280"/>
      <c r="F10" s="285" t="s">
        <v>227</v>
      </c>
      <c r="G10" s="286" t="s">
        <v>66</v>
      </c>
      <c r="I10" s="283">
        <v>6.8000000000000005E-2</v>
      </c>
      <c r="J10" s="284"/>
      <c r="K10" s="280"/>
      <c r="L10" s="285" t="s">
        <v>228</v>
      </c>
      <c r="M10" s="286" t="s">
        <v>229</v>
      </c>
      <c r="O10" s="283">
        <v>6.8000000000000005E-2</v>
      </c>
      <c r="P10" s="284"/>
      <c r="Q10" s="280"/>
      <c r="R10" s="285" t="s">
        <v>228</v>
      </c>
      <c r="S10" s="286" t="s">
        <v>229</v>
      </c>
    </row>
    <row r="11" spans="1:19" x14ac:dyDescent="0.25">
      <c r="A11" s="261">
        <v>8</v>
      </c>
      <c r="B11" s="287"/>
      <c r="C11" s="288"/>
      <c r="D11" s="285" t="s">
        <v>68</v>
      </c>
      <c r="E11" s="285"/>
      <c r="F11" s="285" t="s">
        <v>230</v>
      </c>
      <c r="G11" s="286" t="s">
        <v>230</v>
      </c>
      <c r="I11" s="288"/>
      <c r="J11" s="285" t="s">
        <v>68</v>
      </c>
      <c r="K11" s="285"/>
      <c r="L11" s="285" t="s">
        <v>231</v>
      </c>
      <c r="M11" s="286" t="s">
        <v>231</v>
      </c>
      <c r="O11" s="288"/>
      <c r="P11" s="285" t="s">
        <v>68</v>
      </c>
      <c r="Q11" s="285"/>
      <c r="R11" s="285" t="s">
        <v>231</v>
      </c>
      <c r="S11" s="286" t="s">
        <v>231</v>
      </c>
    </row>
    <row r="12" spans="1:19" x14ac:dyDescent="0.25">
      <c r="A12" s="261">
        <v>9</v>
      </c>
      <c r="B12" s="289"/>
      <c r="C12" s="288"/>
      <c r="D12" s="285" t="s">
        <v>72</v>
      </c>
      <c r="E12" s="290" t="s">
        <v>232</v>
      </c>
      <c r="F12" s="290" t="s">
        <v>233</v>
      </c>
      <c r="G12" s="291" t="s">
        <v>234</v>
      </c>
      <c r="H12" s="292"/>
      <c r="I12" s="288"/>
      <c r="J12" s="285" t="s">
        <v>72</v>
      </c>
      <c r="K12" s="290"/>
      <c r="L12" s="290" t="s">
        <v>233</v>
      </c>
      <c r="M12" s="291" t="s">
        <v>235</v>
      </c>
      <c r="N12" s="292"/>
      <c r="O12" s="288"/>
      <c r="P12" s="285" t="s">
        <v>72</v>
      </c>
      <c r="Q12" s="290"/>
      <c r="R12" s="290" t="s">
        <v>233</v>
      </c>
      <c r="S12" s="291" t="s">
        <v>235</v>
      </c>
    </row>
    <row r="13" spans="1:19" x14ac:dyDescent="0.25">
      <c r="A13" s="261" t="s">
        <v>236</v>
      </c>
      <c r="B13" s="266"/>
      <c r="C13" s="293" t="s">
        <v>74</v>
      </c>
      <c r="D13" s="285" t="s">
        <v>237</v>
      </c>
      <c r="E13" s="285" t="s">
        <v>238</v>
      </c>
      <c r="F13" s="290" t="s">
        <v>239</v>
      </c>
      <c r="G13" s="291" t="s">
        <v>240</v>
      </c>
      <c r="H13" s="292"/>
      <c r="I13" s="293" t="s">
        <v>74</v>
      </c>
      <c r="J13" s="285" t="s">
        <v>237</v>
      </c>
      <c r="K13" s="285" t="s">
        <v>238</v>
      </c>
      <c r="L13" s="290" t="s">
        <v>239</v>
      </c>
      <c r="M13" s="291" t="s">
        <v>240</v>
      </c>
      <c r="N13" s="292"/>
      <c r="O13" s="293" t="s">
        <v>74</v>
      </c>
      <c r="P13" s="285" t="s">
        <v>237</v>
      </c>
      <c r="Q13" s="285" t="s">
        <v>238</v>
      </c>
      <c r="R13" s="290" t="s">
        <v>239</v>
      </c>
      <c r="S13" s="291" t="s">
        <v>240</v>
      </c>
    </row>
    <row r="14" spans="1:19" x14ac:dyDescent="0.25">
      <c r="A14" s="261">
        <v>10</v>
      </c>
      <c r="B14" s="266" t="s">
        <v>75</v>
      </c>
      <c r="C14" s="267">
        <f>C6*$C$10/0.79</f>
        <v>17564314.5402111</v>
      </c>
      <c r="D14" s="294">
        <f>+C14/$C$40</f>
        <v>0.86596411007935781</v>
      </c>
      <c r="E14" s="295" t="s">
        <v>77</v>
      </c>
      <c r="F14" s="296">
        <f>+C14</f>
        <v>17564314.5402111</v>
      </c>
      <c r="G14" s="297"/>
      <c r="H14" s="298"/>
      <c r="I14" s="267">
        <v>12818745.666864827</v>
      </c>
      <c r="J14" s="294">
        <v>0.624</v>
      </c>
      <c r="K14" s="295" t="s">
        <v>77</v>
      </c>
      <c r="L14" s="296">
        <f>+I14</f>
        <v>12818745.666864827</v>
      </c>
      <c r="M14" s="297"/>
      <c r="N14" s="298"/>
      <c r="O14" s="267">
        <v>12818745.666864827</v>
      </c>
      <c r="P14" s="294">
        <v>0.624</v>
      </c>
      <c r="Q14" s="295" t="s">
        <v>77</v>
      </c>
      <c r="R14" s="296">
        <f>+O14</f>
        <v>12818745.666864827</v>
      </c>
      <c r="S14" s="297"/>
    </row>
    <row r="15" spans="1:19" x14ac:dyDescent="0.25">
      <c r="A15" s="261" t="s">
        <v>78</v>
      </c>
      <c r="B15" s="266" t="s">
        <v>79</v>
      </c>
      <c r="C15" s="270">
        <v>4770580.0590929296</v>
      </c>
      <c r="D15" s="294">
        <f t="shared" ref="D15:D35" si="0">+C15/$C$40</f>
        <v>0.23520138551248512</v>
      </c>
      <c r="E15" s="295" t="s">
        <v>80</v>
      </c>
      <c r="F15" s="271"/>
      <c r="G15" s="299">
        <f>+C15</f>
        <v>4770580.0590929296</v>
      </c>
      <c r="H15" s="298"/>
      <c r="I15" s="270">
        <v>3913502.79561463</v>
      </c>
      <c r="J15" s="294">
        <v>0.191</v>
      </c>
      <c r="K15" s="295" t="s">
        <v>80</v>
      </c>
      <c r="L15" s="271"/>
      <c r="M15" s="299">
        <f>+I15</f>
        <v>3913502.79561463</v>
      </c>
      <c r="N15" s="298"/>
      <c r="O15" s="270">
        <v>3913502.79561463</v>
      </c>
      <c r="P15" s="294">
        <v>0.191</v>
      </c>
      <c r="Q15" s="295" t="s">
        <v>80</v>
      </c>
      <c r="R15" s="271"/>
      <c r="S15" s="299">
        <f>+O15</f>
        <v>3913502.79561463</v>
      </c>
    </row>
    <row r="16" spans="1:19" x14ac:dyDescent="0.25">
      <c r="A16" s="261">
        <v>11</v>
      </c>
      <c r="B16" s="277" t="s">
        <v>83</v>
      </c>
      <c r="C16" s="300">
        <f>C7*$C$10/0.79</f>
        <v>7564532.2684628917</v>
      </c>
      <c r="D16" s="294">
        <f t="shared" si="0"/>
        <v>0.3729501335807508</v>
      </c>
      <c r="E16" s="295" t="s">
        <v>77</v>
      </c>
      <c r="F16" s="301">
        <f>+C16</f>
        <v>7564532.2684628917</v>
      </c>
      <c r="G16" s="272"/>
      <c r="H16" s="298"/>
      <c r="I16" s="300">
        <v>6817397.0095061176</v>
      </c>
      <c r="J16" s="294">
        <v>0.33200000000000002</v>
      </c>
      <c r="K16" s="295" t="s">
        <v>77</v>
      </c>
      <c r="L16" s="301">
        <f>+I16</f>
        <v>6817397.0095061176</v>
      </c>
      <c r="M16" s="272"/>
      <c r="N16" s="298"/>
      <c r="O16" s="300">
        <v>6817397.0095061176</v>
      </c>
      <c r="P16" s="294">
        <v>0.33200000000000002</v>
      </c>
      <c r="Q16" s="295" t="s">
        <v>77</v>
      </c>
      <c r="R16" s="301">
        <f>+O16</f>
        <v>6817397.0095061176</v>
      </c>
      <c r="S16" s="272"/>
    </row>
    <row r="17" spans="1:19" x14ac:dyDescent="0.25">
      <c r="A17" s="261">
        <v>12</v>
      </c>
      <c r="B17" s="277" t="s">
        <v>84</v>
      </c>
      <c r="C17" s="270">
        <f>C8*$C$10/0.79</f>
        <v>173054307.24066657</v>
      </c>
      <c r="D17" s="294">
        <f t="shared" si="0"/>
        <v>8.532004982146173</v>
      </c>
      <c r="E17" s="295" t="s">
        <v>77</v>
      </c>
      <c r="F17" s="301">
        <f>+C17</f>
        <v>173054307.24066657</v>
      </c>
      <c r="G17" s="272"/>
      <c r="H17" s="298"/>
      <c r="I17" s="270">
        <v>145680844.56533703</v>
      </c>
      <c r="J17" s="294">
        <v>7.0940000000000003</v>
      </c>
      <c r="K17" s="295" t="s">
        <v>77</v>
      </c>
      <c r="L17" s="301">
        <f>+I17</f>
        <v>145680844.56533703</v>
      </c>
      <c r="M17" s="272"/>
      <c r="N17" s="298"/>
      <c r="O17" s="270">
        <v>145680844.56533703</v>
      </c>
      <c r="P17" s="294">
        <v>7.0940000000000003</v>
      </c>
      <c r="Q17" s="295" t="s">
        <v>77</v>
      </c>
      <c r="R17" s="301">
        <f>+O17</f>
        <v>145680844.56533703</v>
      </c>
      <c r="S17" s="272"/>
    </row>
    <row r="18" spans="1:19" x14ac:dyDescent="0.25">
      <c r="A18" s="261">
        <v>13</v>
      </c>
      <c r="B18" s="277" t="s">
        <v>241</v>
      </c>
      <c r="C18" s="270">
        <v>69979069.388921246</v>
      </c>
      <c r="D18" s="294">
        <f t="shared" si="0"/>
        <v>3.4501410464282478</v>
      </c>
      <c r="E18" s="295" t="s">
        <v>80</v>
      </c>
      <c r="F18" s="271"/>
      <c r="G18" s="299">
        <f>+C18</f>
        <v>69979069.388921246</v>
      </c>
      <c r="H18" s="298"/>
      <c r="I18" s="270">
        <v>37089392.406405531</v>
      </c>
      <c r="J18" s="294">
        <v>1.806</v>
      </c>
      <c r="K18" s="295" t="s">
        <v>80</v>
      </c>
      <c r="L18" s="271"/>
      <c r="M18" s="299">
        <f>+I18</f>
        <v>37089392.406405531</v>
      </c>
      <c r="N18" s="298"/>
      <c r="O18" s="270">
        <v>37089392.406405531</v>
      </c>
      <c r="P18" s="294">
        <v>1.806</v>
      </c>
      <c r="Q18" s="295" t="s">
        <v>80</v>
      </c>
      <c r="R18" s="271"/>
      <c r="S18" s="299">
        <f>+O18</f>
        <v>37089392.406405531</v>
      </c>
    </row>
    <row r="19" spans="1:19" x14ac:dyDescent="0.25">
      <c r="A19" s="261">
        <v>14</v>
      </c>
      <c r="B19" s="277" t="s">
        <v>242</v>
      </c>
      <c r="C19" s="270">
        <v>370094613.96061605</v>
      </c>
      <c r="D19" s="294">
        <f t="shared" si="0"/>
        <v>18.246579010518932</v>
      </c>
      <c r="E19" s="295" t="s">
        <v>80</v>
      </c>
      <c r="F19" s="271"/>
      <c r="G19" s="299">
        <f>+C19</f>
        <v>370094613.96061605</v>
      </c>
      <c r="H19" s="298"/>
      <c r="I19" s="270">
        <v>468639005.35613108</v>
      </c>
      <c r="J19" s="294">
        <v>22.821000000000002</v>
      </c>
      <c r="K19" s="295" t="s">
        <v>80</v>
      </c>
      <c r="L19" s="271"/>
      <c r="M19" s="299">
        <f>+I19</f>
        <v>468639005.35613108</v>
      </c>
      <c r="N19" s="298"/>
      <c r="O19" s="270">
        <v>468639005.35613108</v>
      </c>
      <c r="P19" s="294">
        <v>22.821000000000002</v>
      </c>
      <c r="Q19" s="295" t="s">
        <v>80</v>
      </c>
      <c r="R19" s="271"/>
      <c r="S19" s="299">
        <f>+O19</f>
        <v>468639005.35613108</v>
      </c>
    </row>
    <row r="20" spans="1:19" x14ac:dyDescent="0.25">
      <c r="A20" s="261">
        <v>15</v>
      </c>
      <c r="B20" s="277" t="s">
        <v>87</v>
      </c>
      <c r="C20" s="270">
        <v>7238267.1874165451</v>
      </c>
      <c r="D20" s="294">
        <f t="shared" si="0"/>
        <v>0.35686445885023704</v>
      </c>
      <c r="E20" s="295" t="s">
        <v>77</v>
      </c>
      <c r="F20" s="301">
        <f>+C20</f>
        <v>7238267.1874165451</v>
      </c>
      <c r="G20" s="272"/>
      <c r="H20" s="298"/>
      <c r="I20" s="270">
        <v>8072158.7332714284</v>
      </c>
      <c r="J20" s="294">
        <v>0.39300000000000002</v>
      </c>
      <c r="K20" s="295" t="s">
        <v>77</v>
      </c>
      <c r="L20" s="301">
        <f>+I20</f>
        <v>8072158.7332714284</v>
      </c>
      <c r="M20" s="272"/>
      <c r="N20" s="298"/>
      <c r="O20" s="270">
        <v>8072158.7332714284</v>
      </c>
      <c r="P20" s="294">
        <v>0.39300000000000002</v>
      </c>
      <c r="Q20" s="295" t="s">
        <v>77</v>
      </c>
      <c r="R20" s="301">
        <f>+O20</f>
        <v>8072158.7332714284</v>
      </c>
      <c r="S20" s="272"/>
    </row>
    <row r="21" spans="1:19" x14ac:dyDescent="0.25">
      <c r="A21" s="261" t="s">
        <v>88</v>
      </c>
      <c r="B21" s="302" t="s">
        <v>89</v>
      </c>
      <c r="C21" s="270">
        <v>8206061.1260157973</v>
      </c>
      <c r="D21" s="294">
        <f t="shared" si="0"/>
        <v>0.40457909154259974</v>
      </c>
      <c r="E21" s="295" t="s">
        <v>77</v>
      </c>
      <c r="F21" s="301">
        <f>+C21</f>
        <v>8206061.1260157973</v>
      </c>
      <c r="G21" s="272"/>
      <c r="H21" s="298"/>
      <c r="I21" s="270">
        <v>8840460.579817621</v>
      </c>
      <c r="J21" s="294">
        <v>0.43</v>
      </c>
      <c r="K21" s="295" t="s">
        <v>77</v>
      </c>
      <c r="L21" s="301">
        <f>+I21</f>
        <v>8840460.579817621</v>
      </c>
      <c r="M21" s="272"/>
      <c r="N21" s="298"/>
      <c r="O21" s="270">
        <v>8840460.579817621</v>
      </c>
      <c r="P21" s="294">
        <v>0.43</v>
      </c>
      <c r="Q21" s="295" t="s">
        <v>77</v>
      </c>
      <c r="R21" s="301">
        <f>+O21</f>
        <v>8840460.579817621</v>
      </c>
      <c r="S21" s="272"/>
    </row>
    <row r="22" spans="1:19" x14ac:dyDescent="0.25">
      <c r="A22" s="261" t="s">
        <v>90</v>
      </c>
      <c r="B22" s="302" t="s">
        <v>91</v>
      </c>
      <c r="C22" s="270">
        <v>2763777.09</v>
      </c>
      <c r="D22" s="294">
        <f t="shared" si="0"/>
        <v>0.13626104011747003</v>
      </c>
      <c r="E22" s="295" t="s">
        <v>77</v>
      </c>
      <c r="F22" s="301">
        <f>+C22</f>
        <v>2763777.09</v>
      </c>
      <c r="G22" s="272"/>
      <c r="H22" s="298"/>
      <c r="I22" s="270">
        <v>3895439.2738404199</v>
      </c>
      <c r="J22" s="294">
        <v>0.19</v>
      </c>
      <c r="K22" s="295" t="s">
        <v>77</v>
      </c>
      <c r="L22" s="301">
        <f>+I22</f>
        <v>3895439.2738404199</v>
      </c>
      <c r="M22" s="272"/>
      <c r="N22" s="298"/>
      <c r="O22" s="270">
        <v>3895439.2738404199</v>
      </c>
      <c r="P22" s="294">
        <v>0.19</v>
      </c>
      <c r="Q22" s="295" t="s">
        <v>77</v>
      </c>
      <c r="R22" s="301">
        <f>+O22</f>
        <v>3895439.2738404199</v>
      </c>
      <c r="S22" s="272"/>
    </row>
    <row r="23" spans="1:19" x14ac:dyDescent="0.25">
      <c r="A23" s="261" t="s">
        <v>92</v>
      </c>
      <c r="B23" s="302" t="s">
        <v>93</v>
      </c>
      <c r="C23" s="270">
        <v>1262954.1940854082</v>
      </c>
      <c r="D23" s="294">
        <f t="shared" si="0"/>
        <v>6.2266762659501915E-2</v>
      </c>
      <c r="E23" s="295" t="s">
        <v>80</v>
      </c>
      <c r="F23" s="271"/>
      <c r="G23" s="299">
        <f>+C23</f>
        <v>1262954.1940854082</v>
      </c>
      <c r="H23" s="298"/>
      <c r="I23" s="270">
        <v>766379.13641918893</v>
      </c>
      <c r="J23" s="294">
        <v>3.6999999999999998E-2</v>
      </c>
      <c r="K23" s="295" t="s">
        <v>80</v>
      </c>
      <c r="L23" s="271"/>
      <c r="M23" s="299">
        <f>+I23</f>
        <v>766379.13641918893</v>
      </c>
      <c r="N23" s="298"/>
      <c r="O23" s="270">
        <v>766379.13641918893</v>
      </c>
      <c r="P23" s="294">
        <v>3.6999999999999998E-2</v>
      </c>
      <c r="Q23" s="295" t="s">
        <v>80</v>
      </c>
      <c r="R23" s="271"/>
      <c r="S23" s="299">
        <f>+O23</f>
        <v>766379.13641918893</v>
      </c>
    </row>
    <row r="24" spans="1:19" x14ac:dyDescent="0.25">
      <c r="A24" s="261" t="s">
        <v>94</v>
      </c>
      <c r="B24" s="302" t="s">
        <v>95</v>
      </c>
      <c r="C24" s="270">
        <v>2119540.3036357597</v>
      </c>
      <c r="D24" s="294">
        <f t="shared" si="0"/>
        <v>0.10449857457364874</v>
      </c>
      <c r="E24" s="295" t="s">
        <v>77</v>
      </c>
      <c r="F24" s="301">
        <f>+C24</f>
        <v>2119540.3036357597</v>
      </c>
      <c r="G24" s="272"/>
      <c r="H24" s="298"/>
      <c r="I24" s="270">
        <v>1989467.6013443223</v>
      </c>
      <c r="J24" s="294">
        <v>9.7000000000000003E-2</v>
      </c>
      <c r="K24" s="295" t="s">
        <v>77</v>
      </c>
      <c r="L24" s="301">
        <f>+I24</f>
        <v>1989467.6013443223</v>
      </c>
      <c r="M24" s="272"/>
      <c r="N24" s="298"/>
      <c r="O24" s="270">
        <v>1989467.6013443223</v>
      </c>
      <c r="P24" s="294">
        <v>9.7000000000000003E-2</v>
      </c>
      <c r="Q24" s="295" t="s">
        <v>77</v>
      </c>
      <c r="R24" s="301">
        <f>+O24</f>
        <v>1989467.6013443223</v>
      </c>
      <c r="S24" s="272"/>
    </row>
    <row r="25" spans="1:19" x14ac:dyDescent="0.25">
      <c r="A25" s="261" t="s">
        <v>96</v>
      </c>
      <c r="B25" s="302" t="s">
        <v>97</v>
      </c>
      <c r="C25" s="270">
        <v>313404.2680167685</v>
      </c>
      <c r="D25" s="294">
        <f t="shared" si="0"/>
        <v>1.5451604867749744E-2</v>
      </c>
      <c r="E25" s="295" t="s">
        <v>80</v>
      </c>
      <c r="F25" s="271"/>
      <c r="G25" s="299">
        <f>+C25</f>
        <v>313404.2680167685</v>
      </c>
      <c r="H25" s="298"/>
      <c r="I25" s="270">
        <v>426928.32671306725</v>
      </c>
      <c r="J25" s="294">
        <v>2.1000000000000001E-2</v>
      </c>
      <c r="K25" s="295" t="s">
        <v>80</v>
      </c>
      <c r="L25" s="271"/>
      <c r="M25" s="299">
        <f>+I25</f>
        <v>426928.32671306725</v>
      </c>
      <c r="N25" s="298"/>
      <c r="O25" s="270">
        <v>426928.32671306725</v>
      </c>
      <c r="P25" s="294">
        <v>2.1000000000000001E-2</v>
      </c>
      <c r="Q25" s="295" t="s">
        <v>80</v>
      </c>
      <c r="R25" s="271"/>
      <c r="S25" s="299">
        <f>+O25</f>
        <v>426928.32671306725</v>
      </c>
    </row>
    <row r="26" spans="1:19" x14ac:dyDescent="0.25">
      <c r="A26" s="261">
        <v>16</v>
      </c>
      <c r="B26" s="277" t="s">
        <v>243</v>
      </c>
      <c r="C26" s="270">
        <v>171056253.11371228</v>
      </c>
      <c r="D26" s="294">
        <f t="shared" si="0"/>
        <v>8.433495976287892</v>
      </c>
      <c r="E26" s="295" t="s">
        <v>80</v>
      </c>
      <c r="F26" s="271"/>
      <c r="G26" s="299">
        <f>+C26</f>
        <v>171056253.11371228</v>
      </c>
      <c r="H26" s="298"/>
      <c r="I26" s="270">
        <v>126925932.5832969</v>
      </c>
      <c r="J26" s="294">
        <v>6.181</v>
      </c>
      <c r="K26" s="295" t="s">
        <v>80</v>
      </c>
      <c r="L26" s="271"/>
      <c r="M26" s="299">
        <f>+I26</f>
        <v>126925932.5832969</v>
      </c>
      <c r="N26" s="298"/>
      <c r="O26" s="270">
        <v>126925932.5832969</v>
      </c>
      <c r="P26" s="294">
        <v>6.181</v>
      </c>
      <c r="Q26" s="295" t="s">
        <v>80</v>
      </c>
      <c r="R26" s="271"/>
      <c r="S26" s="299">
        <f>+O26</f>
        <v>126925932.5832969</v>
      </c>
    </row>
    <row r="27" spans="1:19" x14ac:dyDescent="0.25">
      <c r="A27" s="261">
        <v>17</v>
      </c>
      <c r="B27" s="277" t="s">
        <v>244</v>
      </c>
      <c r="C27" s="270">
        <v>108399248.56857753</v>
      </c>
      <c r="D27" s="294">
        <f t="shared" si="0"/>
        <v>5.3443508202416385</v>
      </c>
      <c r="E27" s="295" t="s">
        <v>80</v>
      </c>
      <c r="F27" s="271"/>
      <c r="G27" s="299">
        <f>+C27</f>
        <v>108399248.56857753</v>
      </c>
      <c r="H27" s="298"/>
      <c r="I27" s="270">
        <v>112486392.77130413</v>
      </c>
      <c r="J27" s="294">
        <v>5.4779999999999998</v>
      </c>
      <c r="K27" s="295" t="s">
        <v>80</v>
      </c>
      <c r="L27" s="271"/>
      <c r="M27" s="299">
        <f>+I27</f>
        <v>112486392.77130413</v>
      </c>
      <c r="N27" s="298"/>
      <c r="O27" s="270">
        <v>112486392.77130413</v>
      </c>
      <c r="P27" s="294">
        <v>5.4779999999999998</v>
      </c>
      <c r="Q27" s="295" t="s">
        <v>80</v>
      </c>
      <c r="R27" s="271"/>
      <c r="S27" s="299">
        <f>+O27</f>
        <v>112486392.77130413</v>
      </c>
    </row>
    <row r="28" spans="1:19" x14ac:dyDescent="0.25">
      <c r="A28" s="261">
        <v>18</v>
      </c>
      <c r="B28" s="277" t="s">
        <v>100</v>
      </c>
      <c r="C28" s="270">
        <v>-11639833.365925668</v>
      </c>
      <c r="D28" s="294">
        <f t="shared" si="0"/>
        <v>-0.57387254817828448</v>
      </c>
      <c r="E28" s="295" t="s">
        <v>77</v>
      </c>
      <c r="F28" s="301">
        <f>+C28</f>
        <v>-11639833.365925668</v>
      </c>
      <c r="G28" s="272"/>
      <c r="H28" s="298"/>
      <c r="I28" s="270">
        <v>-8666881.7085096519</v>
      </c>
      <c r="J28" s="294">
        <v>-0.42199999999999999</v>
      </c>
      <c r="K28" s="295" t="s">
        <v>77</v>
      </c>
      <c r="L28" s="301">
        <f>+I28</f>
        <v>-8666881.7085096519</v>
      </c>
      <c r="M28" s="272"/>
      <c r="N28" s="298"/>
      <c r="O28" s="270">
        <v>-8666881.7085096519</v>
      </c>
      <c r="P28" s="294">
        <v>-0.42199999999999999</v>
      </c>
      <c r="Q28" s="295" t="s">
        <v>77</v>
      </c>
      <c r="R28" s="301">
        <f>+O28</f>
        <v>-8666881.7085096519</v>
      </c>
      <c r="S28" s="272"/>
    </row>
    <row r="29" spans="1:19" x14ac:dyDescent="0.25">
      <c r="A29" s="261">
        <v>19</v>
      </c>
      <c r="B29" s="277" t="s">
        <v>101</v>
      </c>
      <c r="C29" s="270">
        <v>138209148.65181684</v>
      </c>
      <c r="D29" s="294">
        <f t="shared" si="0"/>
        <v>6.814052557707031</v>
      </c>
      <c r="E29" s="295" t="s">
        <v>77</v>
      </c>
      <c r="F29" s="301">
        <f>+C29</f>
        <v>138209148.65181684</v>
      </c>
      <c r="G29" s="272"/>
      <c r="H29" s="298"/>
      <c r="I29" s="270">
        <v>108205898.55701637</v>
      </c>
      <c r="J29" s="294">
        <v>5.2690000000000001</v>
      </c>
      <c r="K29" s="295" t="s">
        <v>77</v>
      </c>
      <c r="L29" s="301">
        <f>+I29</f>
        <v>108205898.55701637</v>
      </c>
      <c r="M29" s="272"/>
      <c r="N29" s="298"/>
      <c r="O29" s="270">
        <v>108205898.55701637</v>
      </c>
      <c r="P29" s="294">
        <v>5.2690000000000001</v>
      </c>
      <c r="Q29" s="295" t="s">
        <v>77</v>
      </c>
      <c r="R29" s="301">
        <f>+O29</f>
        <v>108205898.55701637</v>
      </c>
      <c r="S29" s="272"/>
    </row>
    <row r="30" spans="1:19" x14ac:dyDescent="0.25">
      <c r="A30" s="261">
        <v>20</v>
      </c>
      <c r="B30" s="277" t="s">
        <v>102</v>
      </c>
      <c r="C30" s="270">
        <v>-39617468.444088995</v>
      </c>
      <c r="D30" s="294">
        <f t="shared" si="0"/>
        <v>-1.9532390931761483</v>
      </c>
      <c r="E30" s="295" t="s">
        <v>80</v>
      </c>
      <c r="F30" s="271"/>
      <c r="G30" s="299">
        <f>+C30</f>
        <v>-39617468.444088995</v>
      </c>
      <c r="H30" s="298"/>
      <c r="I30" s="270">
        <v>-9043639.2224400043</v>
      </c>
      <c r="J30" s="294">
        <v>-0.44</v>
      </c>
      <c r="K30" s="295" t="s">
        <v>80</v>
      </c>
      <c r="L30" s="271"/>
      <c r="M30" s="299">
        <f>+I30</f>
        <v>-9043639.2224400043</v>
      </c>
      <c r="N30" s="298"/>
      <c r="O30" s="270">
        <v>-9043639.2224400043</v>
      </c>
      <c r="P30" s="294">
        <v>-0.44</v>
      </c>
      <c r="Q30" s="295" t="s">
        <v>80</v>
      </c>
      <c r="R30" s="271"/>
      <c r="S30" s="299">
        <f>+O30</f>
        <v>-9043639.2224400043</v>
      </c>
    </row>
    <row r="31" spans="1:19" x14ac:dyDescent="0.25">
      <c r="A31" s="303">
        <v>21</v>
      </c>
      <c r="B31" s="304" t="s">
        <v>103</v>
      </c>
      <c r="C31" s="270">
        <v>-16227611.363120463</v>
      </c>
      <c r="D31" s="294">
        <f t="shared" si="0"/>
        <v>-0.80006134031629517</v>
      </c>
      <c r="E31" s="295" t="s">
        <v>80</v>
      </c>
      <c r="F31" s="271"/>
      <c r="G31" s="299">
        <f>+C31</f>
        <v>-16227611.363120463</v>
      </c>
      <c r="H31" s="298"/>
      <c r="I31" s="270">
        <v>-27552250.181711692</v>
      </c>
      <c r="J31" s="294">
        <v>-1.3420000000000001</v>
      </c>
      <c r="K31" s="295" t="s">
        <v>80</v>
      </c>
      <c r="L31" s="271"/>
      <c r="M31" s="299">
        <f>+I31</f>
        <v>-27552250.181711692</v>
      </c>
      <c r="N31" s="298"/>
      <c r="O31" s="270">
        <v>-27552250.181711692</v>
      </c>
      <c r="P31" s="294">
        <v>-1.3420000000000001</v>
      </c>
      <c r="Q31" s="295" t="s">
        <v>80</v>
      </c>
      <c r="R31" s="271"/>
      <c r="S31" s="299">
        <f>+O31</f>
        <v>-27552250.181711692</v>
      </c>
    </row>
    <row r="32" spans="1:19" x14ac:dyDescent="0.25">
      <c r="A32" s="261">
        <v>22</v>
      </c>
      <c r="B32" s="277" t="s">
        <v>104</v>
      </c>
      <c r="C32" s="270">
        <v>662134.87</v>
      </c>
      <c r="D32" s="294">
        <f t="shared" si="0"/>
        <v>3.264488529508934E-2</v>
      </c>
      <c r="E32" s="295" t="s">
        <v>77</v>
      </c>
      <c r="F32" s="301">
        <f>+C32</f>
        <v>662134.87</v>
      </c>
      <c r="G32" s="272"/>
      <c r="H32" s="298"/>
      <c r="I32" s="270">
        <v>876514.03</v>
      </c>
      <c r="J32" s="294">
        <v>4.2999999999999997E-2</v>
      </c>
      <c r="K32" s="295" t="s">
        <v>77</v>
      </c>
      <c r="L32" s="301">
        <f>+I32</f>
        <v>876514.03</v>
      </c>
      <c r="M32" s="272"/>
      <c r="N32" s="298"/>
      <c r="O32" s="270">
        <v>876514.03</v>
      </c>
      <c r="P32" s="294">
        <v>4.2999999999999997E-2</v>
      </c>
      <c r="Q32" s="295" t="s">
        <v>77</v>
      </c>
      <c r="R32" s="301">
        <f>+O32</f>
        <v>876514.03</v>
      </c>
      <c r="S32" s="272"/>
    </row>
    <row r="33" spans="1:19" x14ac:dyDescent="0.25">
      <c r="A33" s="261">
        <v>23</v>
      </c>
      <c r="B33" s="305" t="s">
        <v>105</v>
      </c>
      <c r="C33" s="270">
        <v>161583689.16694248</v>
      </c>
      <c r="D33" s="294">
        <f t="shared" si="0"/>
        <v>7.9664751660220032</v>
      </c>
      <c r="E33" s="295" t="s">
        <v>77</v>
      </c>
      <c r="F33" s="301">
        <f>+C33</f>
        <v>161583689.16694248</v>
      </c>
      <c r="G33" s="272"/>
      <c r="H33" s="298"/>
      <c r="I33" s="270">
        <v>174679766.54322088</v>
      </c>
      <c r="J33" s="294">
        <v>8.5060000000000002</v>
      </c>
      <c r="K33" s="295" t="s">
        <v>77</v>
      </c>
      <c r="L33" s="301">
        <f>+I33</f>
        <v>174679766.54322088</v>
      </c>
      <c r="M33" s="272"/>
      <c r="N33" s="298"/>
      <c r="O33" s="270">
        <v>155106180.2892209</v>
      </c>
      <c r="P33" s="294">
        <v>7.5529999999999999</v>
      </c>
      <c r="Q33" s="295" t="s">
        <v>77</v>
      </c>
      <c r="R33" s="301">
        <f>+O33</f>
        <v>155106180.2892209</v>
      </c>
      <c r="S33" s="272"/>
    </row>
    <row r="34" spans="1:19" x14ac:dyDescent="0.25">
      <c r="A34" s="261">
        <v>24</v>
      </c>
      <c r="B34" s="262" t="s">
        <v>107</v>
      </c>
      <c r="C34" s="270">
        <v>3490805.0455442886</v>
      </c>
      <c r="D34" s="294">
        <f t="shared" si="0"/>
        <v>0.17210531488745251</v>
      </c>
      <c r="E34" s="295" t="s">
        <v>77</v>
      </c>
      <c r="F34" s="301">
        <f>+C34</f>
        <v>3490805.0455442886</v>
      </c>
      <c r="G34" s="272"/>
      <c r="H34" s="298"/>
      <c r="I34" s="270">
        <v>3531950.8300239993</v>
      </c>
      <c r="J34" s="294">
        <v>0.17199999999999999</v>
      </c>
      <c r="K34" s="295" t="s">
        <v>77</v>
      </c>
      <c r="L34" s="301">
        <f>+I34</f>
        <v>3531950.8300239993</v>
      </c>
      <c r="M34" s="272"/>
      <c r="N34" s="298"/>
      <c r="O34" s="270">
        <v>3531950.8300239993</v>
      </c>
      <c r="P34" s="294">
        <v>0.17199999999999999</v>
      </c>
      <c r="Q34" s="295" t="s">
        <v>77</v>
      </c>
      <c r="R34" s="301">
        <f>+O34</f>
        <v>3531950.8300239993</v>
      </c>
      <c r="S34" s="272"/>
    </row>
    <row r="35" spans="1:19" x14ac:dyDescent="0.25">
      <c r="A35" s="261">
        <f t="shared" ref="A35:A46" si="1">+A34+1</f>
        <v>25</v>
      </c>
      <c r="B35" s="262" t="s">
        <v>245</v>
      </c>
      <c r="C35" s="270">
        <v>19415532.153878614</v>
      </c>
      <c r="D35" s="294">
        <f t="shared" si="0"/>
        <v>0.95723371298431426</v>
      </c>
      <c r="E35" s="295" t="s">
        <v>77</v>
      </c>
      <c r="F35" s="301">
        <f>+C35</f>
        <v>19415532.153878614</v>
      </c>
      <c r="G35" s="272"/>
      <c r="H35" s="298"/>
      <c r="I35" s="270">
        <v>8031923.03318753</v>
      </c>
      <c r="J35" s="294">
        <v>0.39100000000000001</v>
      </c>
      <c r="K35" s="295" t="s">
        <v>77</v>
      </c>
      <c r="L35" s="301">
        <f>+I35</f>
        <v>8031923.03318753</v>
      </c>
      <c r="M35" s="272"/>
      <c r="N35" s="298"/>
      <c r="O35" s="270">
        <v>8031923.03318753</v>
      </c>
      <c r="P35" s="294">
        <v>0.39100000000000001</v>
      </c>
      <c r="Q35" s="295" t="s">
        <v>77</v>
      </c>
      <c r="R35" s="301">
        <f>+O35</f>
        <v>8031923.03318753</v>
      </c>
      <c r="S35" s="272"/>
    </row>
    <row r="36" spans="1:19" x14ac:dyDescent="0.25">
      <c r="A36" s="261">
        <f t="shared" si="1"/>
        <v>26</v>
      </c>
      <c r="B36" s="306" t="s">
        <v>246</v>
      </c>
      <c r="C36" s="307"/>
      <c r="D36" s="308"/>
      <c r="E36" s="295"/>
      <c r="F36" s="308"/>
      <c r="G36" s="309"/>
      <c r="H36" s="298"/>
      <c r="I36" s="307"/>
      <c r="J36" s="308"/>
      <c r="K36" s="295"/>
      <c r="L36" s="308"/>
      <c r="M36" s="309"/>
      <c r="N36" s="298"/>
      <c r="O36" s="307"/>
      <c r="P36" s="308"/>
      <c r="Q36" s="295"/>
      <c r="R36" s="308"/>
      <c r="S36" s="309"/>
    </row>
    <row r="37" spans="1:19" x14ac:dyDescent="0.25">
      <c r="A37" s="261">
        <f t="shared" si="1"/>
        <v>27</v>
      </c>
      <c r="B37" s="310" t="s">
        <v>110</v>
      </c>
      <c r="C37" s="311">
        <f>SUM(C14:C36)</f>
        <v>1200263320.0244782</v>
      </c>
      <c r="D37" s="312">
        <f>SUM(D14:D36)</f>
        <v>59.175947652631841</v>
      </c>
      <c r="E37" s="312"/>
      <c r="F37" s="313">
        <f>SUM(F14:F36)</f>
        <v>530232276.27866518</v>
      </c>
      <c r="G37" s="314">
        <f>SUM(G14:G36)</f>
        <v>670031043.74581277</v>
      </c>
      <c r="H37" s="292"/>
      <c r="I37" s="311">
        <f>SUM(I14:I36)</f>
        <v>1188425328.6866541</v>
      </c>
      <c r="J37" s="312">
        <f>SUM(J14:J36)</f>
        <v>57.872</v>
      </c>
      <c r="K37" s="312"/>
      <c r="L37" s="313">
        <f>SUM(L14:L36)</f>
        <v>474773684.71492088</v>
      </c>
      <c r="M37" s="314">
        <f>SUM(M14:M36)</f>
        <v>713651643.97173285</v>
      </c>
      <c r="N37" s="292"/>
      <c r="O37" s="311">
        <f>SUM(O14:O36)</f>
        <v>1168851742.4326539</v>
      </c>
      <c r="P37" s="312">
        <f>SUM(P14:P36)</f>
        <v>56.918999999999997</v>
      </c>
      <c r="Q37" s="312"/>
      <c r="R37" s="313">
        <f>SUM(R14:R36)</f>
        <v>455200098.46092093</v>
      </c>
      <c r="S37" s="314">
        <f>SUM(S14:S36)</f>
        <v>713651643.97173285</v>
      </c>
    </row>
    <row r="38" spans="1:19" x14ac:dyDescent="0.25">
      <c r="A38" s="261">
        <f t="shared" si="1"/>
        <v>28</v>
      </c>
      <c r="B38" s="277" t="s">
        <v>111</v>
      </c>
      <c r="C38" s="315">
        <v>0.95238599999999995</v>
      </c>
      <c r="D38" s="316">
        <f>+C38</f>
        <v>0.95238599999999995</v>
      </c>
      <c r="E38" s="316"/>
      <c r="F38" s="317">
        <f>+D38</f>
        <v>0.95238599999999995</v>
      </c>
      <c r="G38" s="318">
        <f>+F38</f>
        <v>0.95238599999999995</v>
      </c>
      <c r="H38" s="292"/>
      <c r="I38" s="315">
        <v>0.95111500000000004</v>
      </c>
      <c r="J38" s="316"/>
      <c r="K38" s="316"/>
      <c r="L38" s="317">
        <v>0.95111500000000004</v>
      </c>
      <c r="M38" s="318">
        <v>0.95111500000000004</v>
      </c>
      <c r="N38" s="292"/>
      <c r="O38" s="315">
        <v>0.95111500000000004</v>
      </c>
      <c r="P38" s="316"/>
      <c r="Q38" s="316"/>
      <c r="R38" s="317">
        <v>0.95111500000000004</v>
      </c>
      <c r="S38" s="318">
        <v>0.95111500000000004</v>
      </c>
    </row>
    <row r="39" spans="1:19" x14ac:dyDescent="0.25">
      <c r="A39" s="261">
        <f t="shared" si="1"/>
        <v>29</v>
      </c>
      <c r="B39" s="277" t="s">
        <v>247</v>
      </c>
      <c r="C39" s="311">
        <f>+C37/C38</f>
        <v>1260269806.5957272</v>
      </c>
      <c r="D39" s="312">
        <f>+D37/D38</f>
        <v>62.134415722860105</v>
      </c>
      <c r="E39" s="312"/>
      <c r="F39" s="313">
        <f>+F37/F38</f>
        <v>556740939.36561978</v>
      </c>
      <c r="G39" s="314">
        <f>+G37/G38</f>
        <v>703528867.23010707</v>
      </c>
      <c r="H39" s="292"/>
      <c r="I39" s="311">
        <f>+I37/I38</f>
        <v>1249507502.9693086</v>
      </c>
      <c r="J39" s="312"/>
      <c r="K39" s="312"/>
      <c r="L39" s="313">
        <f>+L37/L38</f>
        <v>499175898.51376635</v>
      </c>
      <c r="M39" s="314">
        <f>+M37/M38</f>
        <v>750331604.45554197</v>
      </c>
      <c r="N39" s="292"/>
      <c r="O39" s="311">
        <f>+O37/O38</f>
        <v>1228927881.9413571</v>
      </c>
      <c r="P39" s="312"/>
      <c r="Q39" s="312"/>
      <c r="R39" s="313">
        <f>+R37/R38</f>
        <v>478596277.48581499</v>
      </c>
      <c r="S39" s="314">
        <f>+S37/S38</f>
        <v>750331604.45554197</v>
      </c>
    </row>
    <row r="40" spans="1:19" x14ac:dyDescent="0.25">
      <c r="A40" s="261">
        <f t="shared" si="1"/>
        <v>30</v>
      </c>
      <c r="B40" s="277" t="s">
        <v>112</v>
      </c>
      <c r="C40" s="319">
        <v>20282959</v>
      </c>
      <c r="D40" s="320" t="s">
        <v>248</v>
      </c>
      <c r="E40" s="320"/>
      <c r="F40" s="271"/>
      <c r="G40" s="272"/>
      <c r="H40" s="292"/>
      <c r="I40" s="319">
        <v>20535748.503355935</v>
      </c>
      <c r="J40" s="320"/>
      <c r="K40" s="320"/>
      <c r="L40" s="271"/>
      <c r="M40" s="272"/>
      <c r="N40" s="292"/>
      <c r="O40" s="319">
        <v>20535748.503355935</v>
      </c>
      <c r="P40" s="320"/>
      <c r="Q40" s="320"/>
      <c r="R40" s="271"/>
      <c r="S40" s="272"/>
    </row>
    <row r="41" spans="1:19" x14ac:dyDescent="0.25">
      <c r="A41" s="261">
        <f t="shared" si="1"/>
        <v>31</v>
      </c>
      <c r="B41" s="266"/>
      <c r="C41" s="321"/>
      <c r="D41" s="322" t="s">
        <v>249</v>
      </c>
      <c r="E41" s="322"/>
      <c r="F41" s="322" t="s">
        <v>227</v>
      </c>
      <c r="G41" s="323" t="s">
        <v>229</v>
      </c>
      <c r="H41" s="292"/>
      <c r="I41" s="321"/>
      <c r="J41" s="322" t="s">
        <v>249</v>
      </c>
      <c r="K41" s="322"/>
      <c r="L41" s="322" t="s">
        <v>227</v>
      </c>
      <c r="M41" s="323" t="s">
        <v>229</v>
      </c>
      <c r="N41" s="292"/>
      <c r="O41" s="321"/>
      <c r="P41" s="322" t="s">
        <v>249</v>
      </c>
      <c r="Q41" s="322"/>
      <c r="R41" s="322" t="s">
        <v>227</v>
      </c>
      <c r="S41" s="323" t="s">
        <v>229</v>
      </c>
    </row>
    <row r="42" spans="1:19" x14ac:dyDescent="0.25">
      <c r="A42" s="261">
        <f t="shared" si="1"/>
        <v>32</v>
      </c>
      <c r="B42" s="277" t="s">
        <v>250</v>
      </c>
      <c r="C42" s="324"/>
      <c r="D42" s="325"/>
      <c r="E42" s="325"/>
      <c r="F42" s="325"/>
      <c r="G42" s="326"/>
      <c r="H42" s="292"/>
      <c r="I42" s="324"/>
      <c r="J42" s="325"/>
      <c r="K42" s="325"/>
      <c r="L42" s="325"/>
      <c r="M42" s="326"/>
      <c r="N42" s="292"/>
      <c r="O42" s="324"/>
      <c r="P42" s="325"/>
      <c r="Q42" s="325"/>
      <c r="R42" s="325"/>
      <c r="S42" s="326"/>
    </row>
    <row r="43" spans="1:19" x14ac:dyDescent="0.25">
      <c r="A43" s="261">
        <f t="shared" si="1"/>
        <v>33</v>
      </c>
      <c r="B43" s="277" t="s">
        <v>251</v>
      </c>
      <c r="C43" s="327"/>
      <c r="D43" s="328">
        <f>+F43+G43</f>
        <v>59.175947652631848</v>
      </c>
      <c r="E43" s="328"/>
      <c r="F43" s="328">
        <f>+F37/$C$40</f>
        <v>26.14176147960784</v>
      </c>
      <c r="G43" s="329">
        <f>+G37/$C$40</f>
        <v>33.034186173024004</v>
      </c>
      <c r="H43" s="292"/>
      <c r="I43" s="327"/>
      <c r="J43" s="328">
        <v>57.872</v>
      </c>
      <c r="K43" s="328"/>
      <c r="L43" s="328">
        <v>23.119</v>
      </c>
      <c r="M43" s="329">
        <v>34.753</v>
      </c>
      <c r="N43" s="292"/>
      <c r="O43" s="327"/>
      <c r="P43" s="328">
        <v>56.918999999999997</v>
      </c>
      <c r="Q43" s="328"/>
      <c r="R43" s="328">
        <v>22.166</v>
      </c>
      <c r="S43" s="329">
        <v>34.753</v>
      </c>
    </row>
    <row r="44" spans="1:19" ht="15.75" thickBot="1" x14ac:dyDescent="0.3">
      <c r="A44" s="261">
        <f t="shared" si="1"/>
        <v>34</v>
      </c>
      <c r="B44" s="277" t="s">
        <v>252</v>
      </c>
      <c r="C44" s="330"/>
      <c r="D44" s="331">
        <f>+F44+G44</f>
        <v>62.134415722860105</v>
      </c>
      <c r="E44" s="331"/>
      <c r="F44" s="331">
        <f>+F39/$C$40</f>
        <v>27.448704075456632</v>
      </c>
      <c r="G44" s="332">
        <f>+G39/$C$40</f>
        <v>34.685711647403473</v>
      </c>
      <c r="H44" s="292"/>
      <c r="I44" s="330"/>
      <c r="J44" s="331">
        <v>60.846000000000004</v>
      </c>
      <c r="K44" s="331"/>
      <c r="L44" s="331">
        <v>24.306999999999999</v>
      </c>
      <c r="M44" s="332">
        <v>36.539000000000001</v>
      </c>
      <c r="N44" s="292"/>
      <c r="O44" s="330"/>
      <c r="P44" s="331">
        <v>59.844000000000001</v>
      </c>
      <c r="Q44" s="331"/>
      <c r="R44" s="331">
        <v>23.305</v>
      </c>
      <c r="S44" s="332">
        <v>36.539000000000001</v>
      </c>
    </row>
    <row r="45" spans="1:19" x14ac:dyDescent="0.25">
      <c r="A45" s="261">
        <f t="shared" si="1"/>
        <v>35</v>
      </c>
      <c r="B45" s="277"/>
      <c r="C45" s="333"/>
      <c r="D45" s="333"/>
      <c r="E45" s="333"/>
      <c r="F45" s="333"/>
      <c r="G45" s="333"/>
      <c r="H45" s="292"/>
      <c r="I45" s="333"/>
      <c r="J45" s="333"/>
      <c r="K45" s="333"/>
      <c r="L45" s="333"/>
      <c r="M45" s="333"/>
      <c r="N45" s="292"/>
      <c r="O45" s="333"/>
      <c r="P45" s="333"/>
      <c r="Q45" s="333"/>
      <c r="R45" s="333"/>
      <c r="S45" s="333"/>
    </row>
    <row r="46" spans="1:19" x14ac:dyDescent="0.25">
      <c r="A46" s="261">
        <f t="shared" si="1"/>
        <v>36</v>
      </c>
      <c r="B46" s="277" t="s">
        <v>253</v>
      </c>
      <c r="C46" s="334"/>
      <c r="D46" s="334"/>
      <c r="E46" s="334"/>
      <c r="F46" s="334"/>
      <c r="G46" s="334"/>
      <c r="H46" s="292"/>
      <c r="I46" s="334"/>
      <c r="J46" s="334"/>
      <c r="K46" s="334"/>
      <c r="L46" s="334"/>
      <c r="M46" s="334"/>
      <c r="N46" s="292"/>
      <c r="O46" s="334"/>
      <c r="P46" s="334"/>
      <c r="Q46" s="334"/>
      <c r="R46" s="334"/>
      <c r="S46" s="334"/>
    </row>
    <row r="47" spans="1:19" x14ac:dyDescent="0.25">
      <c r="B47" s="335"/>
      <c r="C47" s="335"/>
      <c r="D47" s="334"/>
      <c r="E47" s="334"/>
      <c r="F47" s="334"/>
      <c r="G47" s="334"/>
      <c r="H47" s="292"/>
      <c r="I47" s="335"/>
      <c r="J47" s="334"/>
      <c r="K47" s="334"/>
      <c r="L47" s="334"/>
      <c r="M47" s="334"/>
      <c r="N47" s="292"/>
      <c r="O47" s="335"/>
      <c r="P47" s="334"/>
      <c r="Q47" s="334"/>
      <c r="R47" s="334"/>
      <c r="S47" s="334"/>
    </row>
    <row r="48" spans="1:19" x14ac:dyDescent="0.25">
      <c r="B48" s="334"/>
      <c r="C48" s="334"/>
      <c r="D48" s="334"/>
      <c r="E48" s="334"/>
      <c r="F48" s="334"/>
      <c r="G48" s="334"/>
      <c r="H48" s="292"/>
      <c r="I48" s="334"/>
      <c r="J48" s="334"/>
      <c r="K48" s="334"/>
      <c r="L48" s="334"/>
      <c r="M48" s="334"/>
      <c r="N48" s="292"/>
      <c r="O48" s="334"/>
      <c r="P48" s="334"/>
      <c r="Q48" s="334"/>
      <c r="R48" s="334"/>
      <c r="S48" s="334"/>
    </row>
    <row r="49" spans="1:19" x14ac:dyDescent="0.25">
      <c r="B49" s="334"/>
      <c r="C49" s="334"/>
      <c r="D49" s="334"/>
      <c r="E49" s="334"/>
      <c r="F49" s="334"/>
      <c r="G49" s="334"/>
      <c r="H49" s="292"/>
      <c r="I49" s="334"/>
      <c r="J49" s="334"/>
      <c r="K49" s="334"/>
      <c r="L49" s="334"/>
      <c r="M49" s="334"/>
      <c r="N49" s="292"/>
      <c r="O49" s="334"/>
      <c r="P49" s="334"/>
      <c r="Q49" s="334"/>
      <c r="R49" s="334"/>
      <c r="S49" s="334"/>
    </row>
    <row r="50" spans="1:19" x14ac:dyDescent="0.25">
      <c r="B50" s="334"/>
      <c r="C50" s="334"/>
      <c r="D50" s="334"/>
      <c r="E50" s="334"/>
      <c r="F50" s="334"/>
      <c r="G50" s="334"/>
      <c r="H50" s="334"/>
      <c r="I50" s="334"/>
      <c r="J50" s="334"/>
      <c r="K50" s="334"/>
      <c r="L50" s="334"/>
      <c r="M50" s="334"/>
      <c r="N50" s="334"/>
      <c r="O50" s="334"/>
      <c r="P50" s="334"/>
      <c r="Q50" s="334"/>
      <c r="R50" s="334"/>
      <c r="S50" s="334"/>
    </row>
    <row r="51" spans="1:19" x14ac:dyDescent="0.25">
      <c r="B51" s="334"/>
      <c r="C51" s="334"/>
      <c r="D51" s="334"/>
      <c r="E51" s="334"/>
      <c r="F51" s="334"/>
      <c r="G51" s="334"/>
      <c r="H51" s="334"/>
      <c r="I51" s="334"/>
      <c r="J51" s="334"/>
      <c r="K51" s="334"/>
      <c r="L51" s="334"/>
      <c r="M51" s="334"/>
      <c r="N51" s="334"/>
      <c r="O51" s="334"/>
      <c r="P51" s="334"/>
      <c r="Q51" s="334"/>
      <c r="R51" s="334"/>
      <c r="S51" s="334"/>
    </row>
    <row r="52" spans="1:19" x14ac:dyDescent="0.25">
      <c r="B52" s="334"/>
      <c r="C52" s="334"/>
      <c r="D52" s="334"/>
      <c r="E52" s="334"/>
      <c r="F52" s="334"/>
      <c r="G52" s="334"/>
      <c r="H52" s="334"/>
      <c r="I52" s="334"/>
      <c r="J52" s="334"/>
      <c r="K52" s="334"/>
      <c r="L52" s="334"/>
      <c r="M52" s="334"/>
      <c r="N52" s="334"/>
      <c r="O52" s="334"/>
      <c r="P52" s="334"/>
      <c r="Q52" s="334"/>
      <c r="R52" s="334"/>
      <c r="S52" s="334"/>
    </row>
    <row r="53" spans="1:19" x14ac:dyDescent="0.25">
      <c r="B53" s="334"/>
      <c r="C53" s="334"/>
      <c r="D53" s="334"/>
      <c r="E53" s="334"/>
      <c r="F53" s="334"/>
      <c r="G53" s="334"/>
      <c r="H53" s="334"/>
      <c r="I53" s="334"/>
      <c r="J53" s="334"/>
      <c r="K53" s="334"/>
      <c r="L53" s="334"/>
      <c r="M53" s="334"/>
      <c r="N53" s="334"/>
      <c r="O53" s="334"/>
      <c r="P53" s="334"/>
      <c r="Q53" s="334"/>
      <c r="R53" s="334"/>
      <c r="S53" s="334"/>
    </row>
    <row r="54" spans="1:19" x14ac:dyDescent="0.25">
      <c r="B54" s="334"/>
      <c r="C54" s="334"/>
      <c r="D54" s="334"/>
      <c r="E54" s="334"/>
      <c r="F54" s="334"/>
      <c r="G54" s="334"/>
      <c r="H54" s="334"/>
      <c r="I54" s="334"/>
      <c r="J54" s="334"/>
      <c r="K54" s="334"/>
      <c r="L54" s="334"/>
      <c r="M54" s="334"/>
      <c r="N54" s="334"/>
      <c r="O54" s="334"/>
      <c r="P54" s="334"/>
      <c r="Q54" s="334"/>
      <c r="R54" s="334"/>
      <c r="S54" s="334"/>
    </row>
    <row r="55" spans="1:19" x14ac:dyDescent="0.25">
      <c r="B55" s="334"/>
      <c r="C55" s="334"/>
      <c r="D55" s="334"/>
      <c r="E55" s="334"/>
      <c r="F55" s="334"/>
      <c r="G55" s="334"/>
      <c r="H55" s="334"/>
      <c r="I55" s="334"/>
      <c r="J55" s="334"/>
      <c r="K55" s="334"/>
      <c r="L55" s="334"/>
      <c r="M55" s="334"/>
      <c r="N55" s="334"/>
      <c r="O55" s="334"/>
      <c r="P55" s="334"/>
      <c r="Q55" s="334"/>
      <c r="R55" s="334"/>
      <c r="S55" s="334"/>
    </row>
    <row r="56" spans="1:19" x14ac:dyDescent="0.25">
      <c r="B56" s="334"/>
      <c r="C56" s="334"/>
      <c r="D56" s="334"/>
      <c r="E56" s="334"/>
      <c r="F56" s="334"/>
      <c r="G56" s="334"/>
      <c r="H56" s="334"/>
      <c r="I56" s="334"/>
      <c r="J56" s="334"/>
      <c r="K56" s="334"/>
      <c r="L56" s="334"/>
      <c r="M56" s="334"/>
      <c r="N56" s="334"/>
      <c r="O56" s="334"/>
      <c r="P56" s="334"/>
      <c r="Q56" s="334"/>
      <c r="R56" s="334"/>
      <c r="S56" s="334"/>
    </row>
    <row r="57" spans="1:19" x14ac:dyDescent="0.25">
      <c r="B57" s="334"/>
      <c r="C57" s="334"/>
      <c r="D57" s="334"/>
      <c r="E57" s="334"/>
      <c r="F57" s="334"/>
      <c r="G57" s="334"/>
      <c r="H57" s="334"/>
      <c r="I57" s="334"/>
      <c r="J57" s="334"/>
      <c r="K57" s="334"/>
      <c r="L57" s="334"/>
      <c r="M57" s="334"/>
      <c r="N57" s="334"/>
      <c r="O57" s="334"/>
      <c r="P57" s="334"/>
      <c r="Q57" s="334"/>
      <c r="R57" s="334"/>
      <c r="S57" s="334"/>
    </row>
    <row r="58" spans="1:19" x14ac:dyDescent="0.25">
      <c r="B58" s="334"/>
      <c r="C58" s="334"/>
      <c r="D58" s="334"/>
      <c r="E58" s="334"/>
      <c r="F58" s="334"/>
      <c r="G58" s="334"/>
      <c r="H58" s="334"/>
      <c r="I58" s="334"/>
      <c r="J58" s="334"/>
      <c r="K58" s="334"/>
      <c r="L58" s="334"/>
      <c r="M58" s="334"/>
      <c r="N58" s="334"/>
      <c r="O58" s="334"/>
      <c r="P58" s="334"/>
      <c r="Q58" s="334"/>
      <c r="R58" s="334"/>
      <c r="S58" s="334"/>
    </row>
    <row r="59" spans="1:19" x14ac:dyDescent="0.25">
      <c r="B59" s="334"/>
      <c r="C59" s="334"/>
      <c r="D59" s="334"/>
      <c r="E59" s="334"/>
      <c r="F59" s="334"/>
      <c r="G59" s="334"/>
      <c r="H59" s="334"/>
      <c r="I59" s="334"/>
      <c r="J59" s="334"/>
      <c r="K59" s="334"/>
      <c r="L59" s="334"/>
      <c r="M59" s="334"/>
      <c r="N59" s="334"/>
      <c r="O59" s="334"/>
      <c r="P59" s="334"/>
      <c r="Q59" s="334"/>
      <c r="R59" s="334"/>
      <c r="S59" s="334"/>
    </row>
    <row r="60" spans="1:19" x14ac:dyDescent="0.25">
      <c r="A60" s="336"/>
      <c r="B60" s="334"/>
      <c r="C60" s="334"/>
      <c r="D60" s="334"/>
      <c r="E60" s="334"/>
      <c r="F60" s="334"/>
      <c r="G60" s="334"/>
      <c r="H60" s="334"/>
      <c r="I60" s="334"/>
      <c r="J60" s="334"/>
      <c r="K60" s="334"/>
      <c r="L60" s="334"/>
      <c r="M60" s="334"/>
      <c r="N60" s="334"/>
      <c r="O60" s="334"/>
      <c r="P60" s="334"/>
      <c r="Q60" s="334"/>
      <c r="R60" s="334"/>
      <c r="S60" s="334"/>
    </row>
    <row r="61" spans="1:19" x14ac:dyDescent="0.25">
      <c r="A61" s="336"/>
      <c r="B61" s="334"/>
      <c r="C61" s="334"/>
      <c r="D61" s="334"/>
      <c r="E61" s="334"/>
      <c r="F61" s="334"/>
      <c r="G61" s="334"/>
      <c r="H61" s="292"/>
      <c r="I61" s="334"/>
      <c r="J61" s="334"/>
      <c r="K61" s="334"/>
      <c r="L61" s="334"/>
      <c r="M61" s="334"/>
      <c r="N61" s="292"/>
      <c r="O61" s="334"/>
      <c r="P61" s="334"/>
      <c r="Q61" s="334"/>
      <c r="R61" s="334"/>
      <c r="S61" s="334"/>
    </row>
    <row r="62" spans="1:19" x14ac:dyDescent="0.25">
      <c r="B62" s="337"/>
    </row>
  </sheetData>
  <pageMargins left="0.2" right="0.2" top="0.75" bottom="0.75" header="0.3" footer="0.3"/>
  <pageSetup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D147EB60933849A9AB3E607915BF4F" ma:contentTypeVersion="44" ma:contentTypeDescription="" ma:contentTypeScope="" ma:versionID="f38396dd721ebab57462e446b2f93bd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CaseType>
    <IndustryCode xmlns="dc463f71-b30c-4ab2-9473-d307f9d35888">140</IndustryCode>
    <CaseStatus xmlns="dc463f71-b30c-4ab2-9473-d307f9d35888">Closed</CaseStatus>
    <OpenedDate xmlns="dc463f71-b30c-4ab2-9473-d307f9d35888">2021-04-30T07:00:00+00:00</OpenedDate>
    <SignificantOrder xmlns="dc463f71-b30c-4ab2-9473-d307f9d35888">false</SignificantOrder>
    <Date1 xmlns="dc463f71-b30c-4ab2-9473-d307f9d35888">2021-04-30T07:00:00+00:00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210300</DocketNumber>
    <DelegatedOrder xmlns="dc463f71-b30c-4ab2-9473-d307f9d35888">false</DelegatedOrder>
  </documentManagement>
</p:properties>
</file>

<file path=customXml/itemProps1.xml><?xml version="1.0" encoding="utf-8"?>
<ds:datastoreItem xmlns:ds="http://schemas.openxmlformats.org/officeDocument/2006/customXml" ds:itemID="{29AB8B7F-B0F5-4AD5-8B51-33C60281F356}"/>
</file>

<file path=customXml/itemProps2.xml><?xml version="1.0" encoding="utf-8"?>
<ds:datastoreItem xmlns:ds="http://schemas.openxmlformats.org/officeDocument/2006/customXml" ds:itemID="{B6119F3E-23CA-4585-B9FA-E8420CAC76A5}"/>
</file>

<file path=customXml/itemProps3.xml><?xml version="1.0" encoding="utf-8"?>
<ds:datastoreItem xmlns:ds="http://schemas.openxmlformats.org/officeDocument/2006/customXml" ds:itemID="{3ACEEDCF-7FC3-4006-8123-5F1AEA84C6E0}"/>
</file>

<file path=customXml/itemProps4.xml><?xml version="1.0" encoding="utf-8"?>
<ds:datastoreItem xmlns:ds="http://schemas.openxmlformats.org/officeDocument/2006/customXml" ds:itemID="{682E8C12-3C6B-4C8B-BA5A-B0FA1B3813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SEF-3 TOC</vt:lpstr>
      <vt:lpstr>SEF-3 p 1 PC Summary</vt:lpstr>
      <vt:lpstr>SEF-3 p 2 Actual BLR</vt:lpstr>
      <vt:lpstr>SEF-3 p 3 Sch B</vt:lpstr>
      <vt:lpstr>SEF-3 p 4 Bands</vt:lpstr>
      <vt:lpstr>SEF-3 p 5 Interest</vt:lpstr>
      <vt:lpstr>SEF-3 p 6 Approved BLRs</vt:lpstr>
      <vt:lpstr>'SEF-3 p 4 Bands'!Print_Area</vt:lpstr>
      <vt:lpstr>'SEF-3 p 4 Bands'!Print_Titles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Marvelous Marina</dc:creator>
  <cp:lastModifiedBy>Barnett, Donna L. (BEL)</cp:lastModifiedBy>
  <cp:lastPrinted>2021-04-29T15:50:14Z</cp:lastPrinted>
  <dcterms:created xsi:type="dcterms:W3CDTF">2021-04-19T17:26:04Z</dcterms:created>
  <dcterms:modified xsi:type="dcterms:W3CDTF">2021-04-29T23:41:36Z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0x0101006E56B4D1795A2E4DB2F0B01679ED314A00EBD147EB60933849A9AB3E607915BF4F</vt:lpwstr>
  </property>
  <property fmtid="{D5CDD505-2E9C-101B-9397-08002B2CF9AE}" pid="3" name="_docset_NoMedatataSyncRequired">
    <vt:lpwstr>False</vt:lpwstr>
  </property>
  <property fmtid="{D5CDD505-2E9C-101B-9397-08002B2CF9AE}" pid="4" name="IsEFSEC">
    <vt:bool>false</vt:bool>
  </property>
</Properties>
</file>