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44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ome.utc.wa.gov/sites/ue-190529/Staffs Testimony and Exhibits/"/>
    </mc:Choice>
  </mc:AlternateContent>
  <xr:revisionPtr revIDLastSave="0" documentId="14_{88369DD2-6521-4E4B-ABA4-62C1DD8F30BB}" xr6:coauthVersionLast="45" xr6:coauthVersionMax="45" xr10:uidLastSave="{00000000-0000-0000-0000-000000000000}"/>
  <bookViews>
    <workbookView xWindow="28680" yWindow="-120" windowWidth="29040" windowHeight="15840" tabRatio="835" activeTab="1" xr2:uid="{00000000-000D-0000-FFFF-FFFF00000000}"/>
  </bookViews>
  <sheets>
    <sheet name="COC-Restating" sheetId="45" r:id="rId1"/>
    <sheet name="COC, Def, ConvF" sheetId="42" r:id="rId2"/>
    <sheet name="Staff CoC" sheetId="50" r:id="rId3"/>
    <sheet name="Summary" sheetId="43" r:id="rId4"/>
    <sheet name="Detailed Summary" sheetId="44" r:id="rId5"/>
    <sheet name="Exhibit A-1" sheetId="62" r:id="rId6"/>
    <sheet name="Common Adj" sheetId="46" r:id="rId7"/>
    <sheet name="Electric Adj" sheetId="47" r:id="rId8"/>
    <sheet name="Power Cost Bridge to A-1" sheetId="49" r:id="rId9"/>
    <sheet name="Staff Smart Burn" sheetId="51" r:id="rId10"/>
    <sheet name="Staff Colstrip Outage" sheetId="52" r:id="rId11"/>
    <sheet name="Staff Green Direct" sheetId="57" r:id="rId12"/>
    <sheet name="Staff Shuffleton" sheetId="59" r:id="rId13"/>
    <sheet name="DO NOT PRINT---&gt;" sheetId="64" r:id="rId14"/>
    <sheet name="Named Ranges E" sheetId="4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_AMAtoEOP_Depr_E">'Common Adj'!$EO$5:$EV$33</definedName>
    <definedName name="_AMAtoEOP_RB_E">'Common Adj'!$EG$5:$EN$21</definedName>
    <definedName name="_AMI_E">'Common Adj'!$FM$5:$FT$42</definedName>
    <definedName name="_AnnualizeRent_E">'Common Adj'!$FU$5:$GB$33</definedName>
    <definedName name="_BadDebt_E">'Common Adj'!$AW$5:$BD$20</definedName>
    <definedName name="_CreditCardPmt_E">'Common Adj'!$GK$5:$GR$21</definedName>
    <definedName name="_D_And_O_E">'Common Adj'!$BU$5:$CB$22</definedName>
    <definedName name="_DefGain_E">'Common Adj'!$EW$5:$FD$20</definedName>
    <definedName name="_EmplInsurance_E">'Common Adj'!$DY$5:$EF$26</definedName>
    <definedName name="_EnvRemed_E">'Common Adj'!$FE$5:$FL$19</definedName>
    <definedName name="_ExcTax_E">'Common Adj'!$BM$5:$BT$21</definedName>
    <definedName name="_FIT_E">'Common Adj'!$Q$5:$X$17</definedName>
    <definedName name="_GTZ_E">'Common Adj'!$GC$5:$GJ$38</definedName>
    <definedName name="_HRTops">'Common Adj'!$HQ$5:$HX$30</definedName>
    <definedName name="_Incentives_E">'Common Adj'!$BE$5:$BL$30</definedName>
    <definedName name="_InjAndDam_E">'Common Adj'!$AO$5:$AV$22</definedName>
    <definedName name="_IntOnCustDeposits_E">'Common Adj'!$CC$5:$CJ$17</definedName>
    <definedName name="_Investment_E">'Common Adj'!$DQ$5:$DX$34</definedName>
    <definedName name="_Order1">255</definedName>
    <definedName name="_Order2">255</definedName>
    <definedName name="_PassThru_E">'Common Adj'!$AG$5:$AN$52</definedName>
    <definedName name="_Pension_E">'Common Adj'!$CS$5:$CZ$19</definedName>
    <definedName name="_PropAndLiab_E">'Common Adj'!$DA$5:$DH$20</definedName>
    <definedName name="_RateCaseExp_E">'Common Adj'!$CK$5:$CR$24</definedName>
    <definedName name="_RevAndExp_E">'Common Adj'!$A$5:$H$53</definedName>
    <definedName name="_TBOPI_E">'Common Adj'!$Y$5:$AF$24</definedName>
    <definedName name="_TempNorm_E">'Common Adj'!$I$5:$P$32</definedName>
    <definedName name="_UnprotcdFFIT_E">'Common Adj'!$GS$5:$GZ$23</definedName>
    <definedName name="_WageInc_E">'Common Adj'!$DI$5:$DP$30</definedName>
    <definedName name="AccessDatabase">"I:\COMTREL\FINICLE\TradeSummary.mdb"</definedName>
    <definedName name="AS2DocOpenMode">"AS2DocumentEdit"</definedName>
    <definedName name="BD_E">'Common Adj'!$EI$13</definedName>
    <definedName name="CASE_E">'Named Ranges E'!$C$4</definedName>
    <definedName name="CBWorkbookPriority">-2060790043</definedName>
    <definedName name="Comp_E">'Named Ranges E'!$C$8</definedName>
    <definedName name="Conv_Factor_E">'COC, Def, ConvF'!$I$2:$L$22</definedName>
    <definedName name="COST_OF_CAPITAL_E">'COC, Def, ConvF'!$D$2:$H$23</definedName>
    <definedName name="DOCKETNUMBER_E">'Named Ranges E'!$C$6</definedName>
    <definedName name="EXHIBIT_E">'Named Ranges E'!$C$7</definedName>
    <definedName name="FF_E">'Common Adj'!$EI$14</definedName>
    <definedName name="FIT_E">'Named Ranges E'!$C$3</definedName>
    <definedName name="_xlnm.Print_Area" localSheetId="1">'COC, Def, ConvF'!$A$1:$AH$46</definedName>
    <definedName name="_xlnm.Print_Area" localSheetId="6">'Common Adj'!$A$2:$HX$57</definedName>
    <definedName name="_xlnm.Print_Area" localSheetId="4">'Detailed Summary'!$A$1:$BP$64</definedName>
    <definedName name="_xlnm.Print_Area" localSheetId="7">'Electric Adj'!$A$1:$CB$59</definedName>
    <definedName name="_xlnm.Print_Area" localSheetId="5">'Exhibit A-1'!$A$1:$H$83</definedName>
    <definedName name="_xlnm.Print_Area" localSheetId="10">'Staff Colstrip Outage'!$A$1:$F$25</definedName>
    <definedName name="_xlnm.Print_Area" localSheetId="11">'Staff Green Direct'!$A$1:$E$30</definedName>
    <definedName name="_xlnm.Print_Area" localSheetId="12">'Staff Shuffleton'!$A$1:$F$22</definedName>
    <definedName name="_xlnm.Print_Area" localSheetId="9">'Staff Smart Burn'!$A$1:$F$25</definedName>
    <definedName name="_xlnm.Print_Area" localSheetId="3">Summary!$A$1:$I$64</definedName>
    <definedName name="_xlnm.Print_Titles" localSheetId="4">'Detailed Summary'!$A:$B,'Detailed Summary'!$1:$12</definedName>
    <definedName name="_xlnm.Print_Titles" localSheetId="3">Summary!$A:$B,Summary!$1:$12</definedName>
    <definedName name="RATE_Increase_E">'COC, Def, ConvF'!$A$2:$C$22</definedName>
    <definedName name="RY_E">'Named Ranges E'!$C$9</definedName>
    <definedName name="TESTYEAR_E">'Named Ranges E'!$C$5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N_E">'Common Adj'!$EI$15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K17" i="46" l="1"/>
  <c r="EK14" i="46"/>
  <c r="HP2" i="46" l="1"/>
  <c r="AB42" i="46" l="1"/>
  <c r="AB38" i="46"/>
  <c r="EK19" i="46" l="1"/>
  <c r="EJ19" i="46"/>
  <c r="EJ18" i="46"/>
  <c r="EJ17" i="46"/>
  <c r="EK16" i="46"/>
  <c r="EJ16" i="46"/>
  <c r="EK15" i="46"/>
  <c r="EJ15" i="46"/>
  <c r="EJ14" i="46"/>
  <c r="C58" i="44"/>
  <c r="C57" i="44"/>
  <c r="C56" i="44"/>
  <c r="C55" i="44"/>
  <c r="C54" i="44"/>
  <c r="C53" i="44"/>
  <c r="C33" i="62" l="1"/>
  <c r="C24" i="62"/>
  <c r="C22" i="62"/>
  <c r="C21" i="62"/>
  <c r="C8" i="62"/>
  <c r="C34" i="62"/>
  <c r="C7" i="62"/>
  <c r="S15" i="42"/>
  <c r="S13" i="42"/>
  <c r="S12" i="42"/>
  <c r="G30" i="47" l="1"/>
  <c r="E30" i="47"/>
  <c r="D30" i="47"/>
  <c r="E29" i="47"/>
  <c r="D29" i="47"/>
  <c r="E28" i="47"/>
  <c r="D28" i="47"/>
  <c r="G23" i="47"/>
  <c r="E23" i="47"/>
  <c r="D23" i="47"/>
  <c r="G22" i="47"/>
  <c r="G21" i="47"/>
  <c r="G18" i="47"/>
  <c r="G17" i="47"/>
  <c r="E17" i="47"/>
  <c r="D17" i="47"/>
  <c r="G16" i="47"/>
  <c r="E16" i="47"/>
  <c r="D16" i="47"/>
  <c r="C39" i="62"/>
  <c r="F27" i="49"/>
  <c r="E27" i="49"/>
  <c r="F26" i="49"/>
  <c r="E26" i="49"/>
  <c r="F25" i="49"/>
  <c r="E25" i="49"/>
  <c r="I24" i="49"/>
  <c r="H24" i="49"/>
  <c r="F24" i="49"/>
  <c r="F20" i="49"/>
  <c r="E20" i="49"/>
  <c r="F19" i="49"/>
  <c r="F18" i="49"/>
  <c r="I16" i="49"/>
  <c r="H16" i="49"/>
  <c r="F15" i="49"/>
  <c r="F14" i="49"/>
  <c r="E14" i="49"/>
  <c r="F13" i="49"/>
  <c r="E13" i="49"/>
  <c r="K8" i="49"/>
  <c r="M18" i="47" l="1"/>
  <c r="L18" i="47"/>
  <c r="O16" i="47"/>
  <c r="M16" i="47"/>
  <c r="L16" i="47"/>
  <c r="C40" i="42" l="1"/>
  <c r="C25" i="42"/>
  <c r="C24" i="42"/>
  <c r="C23" i="42"/>
  <c r="GI32" i="46" l="1"/>
  <c r="GI31" i="46"/>
  <c r="GI30" i="46"/>
  <c r="GI24" i="46"/>
  <c r="GG24" i="46"/>
  <c r="GF24" i="46"/>
  <c r="GI23" i="46"/>
  <c r="GG23" i="46"/>
  <c r="GF23" i="46"/>
  <c r="GI22" i="46"/>
  <c r="GG22" i="46"/>
  <c r="GF22" i="46"/>
  <c r="GG18" i="46"/>
  <c r="GF18" i="46"/>
  <c r="GG17" i="46"/>
  <c r="GF17" i="46"/>
  <c r="GI16" i="46"/>
  <c r="GG16" i="46"/>
  <c r="GF16" i="46"/>
  <c r="N30" i="46" l="1"/>
  <c r="O18" i="46"/>
  <c r="N18" i="46"/>
  <c r="P14" i="46"/>
  <c r="O14" i="46"/>
  <c r="N14" i="46"/>
  <c r="M14" i="46"/>
  <c r="L14" i="46"/>
  <c r="F38" i="46" l="1"/>
  <c r="F37" i="46"/>
  <c r="H30" i="46"/>
  <c r="H29" i="46"/>
  <c r="F28" i="46"/>
  <c r="F27" i="46"/>
  <c r="H26" i="46"/>
  <c r="F25" i="46"/>
  <c r="F22" i="46"/>
  <c r="F21" i="46"/>
  <c r="H20" i="46"/>
  <c r="F19" i="46"/>
  <c r="F18" i="46"/>
  <c r="H17" i="46"/>
  <c r="H16" i="46"/>
  <c r="F15" i="46"/>
  <c r="F14" i="46"/>
  <c r="FA15" i="46" l="1"/>
  <c r="EZ15" i="46"/>
  <c r="L28" i="47" l="1"/>
  <c r="L29" i="47" s="1"/>
  <c r="AR43" i="47" l="1"/>
  <c r="AS43" i="47" s="1"/>
  <c r="AT43" i="47" s="1"/>
  <c r="AU43" i="47"/>
  <c r="BQ43" i="47"/>
  <c r="AV43" i="47" l="1"/>
  <c r="EJ26" i="46" l="1"/>
  <c r="D15" i="52" l="1"/>
  <c r="F15" i="52" s="1"/>
  <c r="FQ46" i="46" l="1"/>
  <c r="FQ47" i="46" s="1"/>
  <c r="FQ48" i="46" s="1"/>
  <c r="FS31" i="46"/>
  <c r="D24" i="52" l="1"/>
  <c r="L49" i="46" l="1"/>
  <c r="L39" i="46"/>
  <c r="P30" i="46"/>
  <c r="O16" i="46"/>
  <c r="N32" i="46"/>
  <c r="N31" i="46" l="1"/>
  <c r="N16" i="46"/>
  <c r="M36" i="46"/>
  <c r="N36" i="46" l="1"/>
  <c r="M16" i="46"/>
  <c r="L16" i="46"/>
  <c r="L18" i="46" s="1"/>
  <c r="K18" i="47"/>
  <c r="P16" i="46" l="1"/>
  <c r="M18" i="46"/>
  <c r="P18" i="46" s="1"/>
  <c r="F57" i="46"/>
  <c r="M46" i="46" l="1"/>
  <c r="P32" i="46"/>
  <c r="P31" i="46" s="1"/>
  <c r="N46" i="46" l="1"/>
  <c r="C17" i="57" l="1"/>
  <c r="C16" i="57"/>
  <c r="E16" i="57" s="1"/>
  <c r="C15" i="57"/>
  <c r="E15" i="57" s="1"/>
  <c r="AH53" i="44" s="1"/>
  <c r="A15" i="57"/>
  <c r="A16" i="57" s="1"/>
  <c r="A17" i="57" s="1"/>
  <c r="A18" i="57" s="1"/>
  <c r="D18" i="57"/>
  <c r="E17" i="57"/>
  <c r="AH56" i="44" s="1"/>
  <c r="C28" i="57"/>
  <c r="E28" i="57"/>
  <c r="D28" i="57"/>
  <c r="E18" i="57" l="1"/>
  <c r="C18" i="57"/>
  <c r="P53" i="62" l="1"/>
  <c r="P51" i="62"/>
  <c r="P49" i="62"/>
  <c r="P37" i="62"/>
  <c r="P36" i="62"/>
  <c r="P32" i="62"/>
  <c r="P31" i="62"/>
  <c r="F22" i="62"/>
  <c r="A9" i="62"/>
  <c r="A10" i="62" s="1"/>
  <c r="A11" i="62" s="1"/>
  <c r="A12" i="62" s="1"/>
  <c r="D22" i="62" l="1"/>
  <c r="K40" i="62"/>
  <c r="P40" i="62" s="1"/>
  <c r="EW15" i="46" l="1"/>
  <c r="FC17" i="46"/>
  <c r="E21" i="59" l="1"/>
  <c r="C16" i="59"/>
  <c r="D16" i="59" s="1"/>
  <c r="D17" i="59" s="1"/>
  <c r="F17" i="59" s="1"/>
  <c r="F15" i="59"/>
  <c r="C25" i="59" s="1"/>
  <c r="C26" i="59" s="1"/>
  <c r="A15" i="59"/>
  <c r="A16" i="59" s="1"/>
  <c r="A17" i="59" s="1"/>
  <c r="A18" i="59" s="1"/>
  <c r="A19" i="59" s="1"/>
  <c r="A20" i="59" s="1"/>
  <c r="A21" i="59" s="1"/>
  <c r="B8" i="59"/>
  <c r="B7" i="59"/>
  <c r="FC19" i="46"/>
  <c r="EW16" i="46"/>
  <c r="EW17" i="46" s="1"/>
  <c r="EW18" i="46" s="1"/>
  <c r="EW19" i="46" s="1"/>
  <c r="EW20" i="46" s="1"/>
  <c r="BK36" i="44" l="1"/>
  <c r="C27" i="59"/>
  <c r="G13" i="42"/>
  <c r="F16" i="59" l="1"/>
  <c r="BK42" i="44" s="1"/>
  <c r="BK44" i="44" s="1"/>
  <c r="BK46" i="44" s="1"/>
  <c r="F20" i="59"/>
  <c r="D21" i="59"/>
  <c r="F21" i="59" l="1"/>
  <c r="C30" i="59"/>
  <c r="BK53" i="44"/>
  <c r="BK59" i="44" l="1"/>
  <c r="BQ40" i="47" l="1"/>
  <c r="HU44" i="46" l="1"/>
  <c r="GJ32" i="46" l="1"/>
  <c r="FP47" i="46"/>
  <c r="FP48" i="46" s="1"/>
  <c r="FR46" i="46"/>
  <c r="FR48" i="46" l="1"/>
  <c r="FR47" i="46"/>
  <c r="G12" i="42" l="1"/>
  <c r="F13" i="42"/>
  <c r="F12" i="42"/>
  <c r="D16" i="50"/>
  <c r="C16" i="50"/>
  <c r="D15" i="50"/>
  <c r="C15" i="50"/>
  <c r="C13" i="50"/>
  <c r="E12" i="50"/>
  <c r="E11" i="50"/>
  <c r="E15" i="50" s="1"/>
  <c r="A11" i="50"/>
  <c r="A12" i="50" s="1"/>
  <c r="A13" i="50" s="1"/>
  <c r="A14" i="50" s="1"/>
  <c r="A15" i="50" s="1"/>
  <c r="A16" i="50" s="1"/>
  <c r="A17" i="50" s="1"/>
  <c r="E16" i="50" l="1"/>
  <c r="E17" i="50" s="1"/>
  <c r="E13" i="50"/>
  <c r="A15" i="51" l="1"/>
  <c r="A16" i="51" s="1"/>
  <c r="BO73" i="44" l="1"/>
  <c r="AI73" i="44"/>
  <c r="AJ73" i="44" s="1"/>
  <c r="BP73" i="44" l="1"/>
  <c r="BO58" i="44" l="1"/>
  <c r="BO57" i="44"/>
  <c r="BO40" i="44"/>
  <c r="BO34" i="44"/>
  <c r="BO26" i="44"/>
  <c r="AI38" i="44"/>
  <c r="AI25" i="44"/>
  <c r="AI16" i="44"/>
  <c r="B8" i="57"/>
  <c r="B7" i="57"/>
  <c r="AH59" i="44" l="1"/>
  <c r="BN59" i="44"/>
  <c r="A14" i="52" l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G29" i="47" l="1"/>
  <c r="G28" i="47" l="1"/>
  <c r="F21" i="52" l="1"/>
  <c r="AG54" i="44" s="1"/>
  <c r="D61" i="52"/>
  <c r="C57" i="52"/>
  <c r="C51" i="52"/>
  <c r="D46" i="52"/>
  <c r="D47" i="52"/>
  <c r="D48" i="52"/>
  <c r="D49" i="52"/>
  <c r="D50" i="52"/>
  <c r="D54" i="52"/>
  <c r="D55" i="52"/>
  <c r="D56" i="52"/>
  <c r="D59" i="52"/>
  <c r="D45" i="52"/>
  <c r="E24" i="52"/>
  <c r="F22" i="52"/>
  <c r="AG56" i="44" s="1"/>
  <c r="C16" i="52"/>
  <c r="B8" i="52"/>
  <c r="B7" i="52"/>
  <c r="D51" i="52" l="1"/>
  <c r="D14" i="52" s="1"/>
  <c r="D57" i="52"/>
  <c r="D16" i="52" l="1"/>
  <c r="F16" i="52" s="1"/>
  <c r="C29" i="52" s="1"/>
  <c r="F14" i="52"/>
  <c r="D17" i="52"/>
  <c r="F17" i="52" s="1"/>
  <c r="D62" i="52"/>
  <c r="F20" i="52"/>
  <c r="G24" i="49" l="1"/>
  <c r="G28" i="49" s="1"/>
  <c r="C28" i="52"/>
  <c r="C30" i="52" s="1"/>
  <c r="F24" i="52"/>
  <c r="C33" i="52" s="1"/>
  <c r="AG53" i="44"/>
  <c r="AG59" i="44" s="1"/>
  <c r="F34" i="51"/>
  <c r="F33" i="51"/>
  <c r="D15" i="51" s="1"/>
  <c r="F15" i="51" s="1"/>
  <c r="F29" i="51"/>
  <c r="D22" i="51" s="1"/>
  <c r="F30" i="51"/>
  <c r="D23" i="51" s="1"/>
  <c r="F28" i="51"/>
  <c r="E24" i="51"/>
  <c r="D21" i="51" l="1"/>
  <c r="D24" i="51" s="1"/>
  <c r="C43" i="51"/>
  <c r="AG48" i="44"/>
  <c r="D17" i="51"/>
  <c r="F17" i="51" s="1"/>
  <c r="F32" i="51"/>
  <c r="C39" i="51"/>
  <c r="AF36" i="44"/>
  <c r="C37" i="51"/>
  <c r="F23" i="51"/>
  <c r="AF56" i="44" s="1"/>
  <c r="A17" i="51"/>
  <c r="A18" i="51" s="1"/>
  <c r="A19" i="51" s="1"/>
  <c r="A20" i="51" s="1"/>
  <c r="A21" i="51" s="1"/>
  <c r="A22" i="51" s="1"/>
  <c r="A23" i="51" s="1"/>
  <c r="A24" i="51" s="1"/>
  <c r="F22" i="51"/>
  <c r="AF54" i="44" s="1"/>
  <c r="C16" i="51"/>
  <c r="D16" i="51" s="1"/>
  <c r="D18" i="51" s="1"/>
  <c r="B7" i="51"/>
  <c r="B8" i="51"/>
  <c r="F16" i="51" l="1"/>
  <c r="AF42" i="44" s="1"/>
  <c r="F18" i="51"/>
  <c r="F21" i="51"/>
  <c r="C38" i="51"/>
  <c r="C40" i="51" s="1"/>
  <c r="AF44" i="44" l="1"/>
  <c r="F24" i="51"/>
  <c r="AF53" i="44"/>
  <c r="AF59" i="44" s="1"/>
  <c r="AF48" i="44" s="1"/>
  <c r="AF46" i="44"/>
  <c r="H13" i="42" l="1"/>
  <c r="H12" i="42"/>
  <c r="H14" i="42" l="1"/>
  <c r="H16" i="42"/>
  <c r="EK25" i="46" l="1"/>
  <c r="BY39" i="47"/>
  <c r="HE37" i="46"/>
  <c r="HE38" i="46" s="1"/>
  <c r="FQ52" i="46"/>
  <c r="N13" i="42"/>
  <c r="N14" i="42" s="1"/>
  <c r="J27" i="49" l="1"/>
  <c r="J26" i="49"/>
  <c r="K26" i="49" s="1"/>
  <c r="J25" i="49"/>
  <c r="K25" i="49" s="1"/>
  <c r="J8" i="49"/>
  <c r="I21" i="49"/>
  <c r="H21" i="49"/>
  <c r="J20" i="49"/>
  <c r="J19" i="49"/>
  <c r="K19" i="49" s="1"/>
  <c r="J18" i="49"/>
  <c r="J15" i="49"/>
  <c r="J14" i="49"/>
  <c r="A12" i="49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K6" i="49"/>
  <c r="K19" i="62" l="1"/>
  <c r="P19" i="62" s="1"/>
  <c r="C28" i="62"/>
  <c r="K23" i="62"/>
  <c r="K22" i="62"/>
  <c r="C32" i="62"/>
  <c r="K20" i="49"/>
  <c r="K15" i="49"/>
  <c r="K18" i="49"/>
  <c r="H28" i="49"/>
  <c r="I28" i="49"/>
  <c r="J24" i="49"/>
  <c r="K24" i="49" s="1"/>
  <c r="K14" i="49"/>
  <c r="J13" i="49"/>
  <c r="K27" i="49"/>
  <c r="C19" i="62" l="1"/>
  <c r="D19" i="62" s="1"/>
  <c r="C26" i="62"/>
  <c r="D26" i="62" s="1"/>
  <c r="K21" i="62"/>
  <c r="K33" i="62" s="1"/>
  <c r="P33" i="62" s="1"/>
  <c r="C27" i="62"/>
  <c r="K18" i="62"/>
  <c r="P18" i="62" s="1"/>
  <c r="K27" i="62"/>
  <c r="P27" i="62" s="1"/>
  <c r="P22" i="62"/>
  <c r="P23" i="62"/>
  <c r="K28" i="62"/>
  <c r="P28" i="62" s="1"/>
  <c r="K44" i="62"/>
  <c r="P44" i="62" s="1"/>
  <c r="F32" i="62"/>
  <c r="D32" i="62"/>
  <c r="C15" i="62"/>
  <c r="K20" i="62"/>
  <c r="C31" i="62"/>
  <c r="F28" i="62"/>
  <c r="K43" i="62"/>
  <c r="P43" i="62" s="1"/>
  <c r="D28" i="62"/>
  <c r="K13" i="49"/>
  <c r="G26" i="62" l="1"/>
  <c r="G19" i="62"/>
  <c r="K59" i="62"/>
  <c r="K64" i="62"/>
  <c r="K26" i="62"/>
  <c r="P26" i="62" s="1"/>
  <c r="P21" i="62"/>
  <c r="K72" i="62"/>
  <c r="D27" i="62"/>
  <c r="G27" i="62"/>
  <c r="C18" i="62"/>
  <c r="K17" i="62"/>
  <c r="P17" i="62" s="1"/>
  <c r="G31" i="62"/>
  <c r="D31" i="62"/>
  <c r="K47" i="62"/>
  <c r="P47" i="62" s="1"/>
  <c r="K67" i="62"/>
  <c r="G15" i="62"/>
  <c r="D15" i="62"/>
  <c r="P20" i="62"/>
  <c r="K25" i="62"/>
  <c r="P25" i="62" s="1"/>
  <c r="K58" i="62" l="1"/>
  <c r="K60" i="62" s="1"/>
  <c r="D18" i="62"/>
  <c r="G18" i="62"/>
  <c r="X9" i="42" l="1"/>
  <c r="AB9" i="42"/>
  <c r="Y15" i="42"/>
  <c r="AB15" i="42"/>
  <c r="Y18" i="42"/>
  <c r="AB18" i="42"/>
  <c r="Y19" i="42"/>
  <c r="AB19" i="42"/>
  <c r="Y20" i="42"/>
  <c r="AA20" i="42"/>
  <c r="Y21" i="42"/>
  <c r="AA21" i="42"/>
  <c r="Y22" i="42"/>
  <c r="AA22" i="42"/>
  <c r="Y23" i="42"/>
  <c r="AB23" i="42"/>
  <c r="Y24" i="42"/>
  <c r="AA24" i="42"/>
  <c r="Y25" i="42"/>
  <c r="AB25" i="42"/>
  <c r="Y26" i="42"/>
  <c r="AB26" i="42"/>
  <c r="Y27" i="42"/>
  <c r="AB27" i="42"/>
  <c r="Y28" i="42"/>
  <c r="AA28" i="42"/>
  <c r="Y29" i="42"/>
  <c r="AA29" i="42"/>
  <c r="Y30" i="42"/>
  <c r="AB30" i="42"/>
  <c r="Y31" i="42"/>
  <c r="AB31" i="42"/>
  <c r="Y32" i="42"/>
  <c r="AA32" i="42"/>
  <c r="Y33" i="42"/>
  <c r="AA33" i="42"/>
  <c r="Y34" i="42"/>
  <c r="AA34" i="42"/>
  <c r="Y35" i="42"/>
  <c r="AA35" i="42"/>
  <c r="Y38" i="42"/>
  <c r="AA38" i="42" s="1"/>
  <c r="AB38" i="42" s="1"/>
  <c r="AD6" i="42"/>
  <c r="AD7" i="42"/>
  <c r="AD8" i="42"/>
  <c r="AH9" i="42"/>
  <c r="AD10" i="42"/>
  <c r="X16" i="42" s="1"/>
  <c r="AE18" i="42"/>
  <c r="AH18" i="42"/>
  <c r="AE19" i="42"/>
  <c r="AH19" i="42"/>
  <c r="AD20" i="42"/>
  <c r="AE20" i="42" s="1"/>
  <c r="AD21" i="42"/>
  <c r="AG21" i="42" s="1"/>
  <c r="AD22" i="42"/>
  <c r="AE22" i="42" s="1"/>
  <c r="AD24" i="42"/>
  <c r="AG24" i="42" s="1"/>
  <c r="AE26" i="42"/>
  <c r="AH26" i="42"/>
  <c r="AE27" i="42"/>
  <c r="AH27" i="42"/>
  <c r="AD28" i="42"/>
  <c r="AG28" i="42" s="1"/>
  <c r="AD29" i="42"/>
  <c r="AE29" i="42" s="1"/>
  <c r="AE30" i="42"/>
  <c r="AH30" i="42"/>
  <c r="AE31" i="42"/>
  <c r="AH31" i="42"/>
  <c r="AD32" i="42"/>
  <c r="AG32" i="42" s="1"/>
  <c r="AD33" i="42"/>
  <c r="AG33" i="42" s="1"/>
  <c r="AD34" i="42"/>
  <c r="AE34" i="42" s="1"/>
  <c r="V35" i="42"/>
  <c r="V36" i="42" s="1"/>
  <c r="V37" i="42" s="1"/>
  <c r="V38" i="42" s="1"/>
  <c r="V39" i="42" s="1"/>
  <c r="V40" i="42" s="1"/>
  <c r="V41" i="42" s="1"/>
  <c r="V42" i="42" s="1"/>
  <c r="V43" i="42" s="1"/>
  <c r="V44" i="42" s="1"/>
  <c r="V45" i="42" s="1"/>
  <c r="V46" i="42" s="1"/>
  <c r="AD35" i="42"/>
  <c r="AG35" i="42" s="1"/>
  <c r="AD38" i="42"/>
  <c r="AE38" i="42" s="1"/>
  <c r="AG38" i="42" s="1"/>
  <c r="AH38" i="42" s="1"/>
  <c r="N15" i="42"/>
  <c r="N16" i="42" s="1"/>
  <c r="Q13" i="42"/>
  <c r="Q14" i="42" s="1"/>
  <c r="Q15" i="42" s="1"/>
  <c r="Q16" i="42" s="1"/>
  <c r="Q17" i="42" s="1"/>
  <c r="Q18" i="42" s="1"/>
  <c r="Q5" i="42"/>
  <c r="Q4" i="42"/>
  <c r="T15" i="42"/>
  <c r="N5" i="42"/>
  <c r="N4" i="42"/>
  <c r="AG20" i="42" l="1"/>
  <c r="AD15" i="42"/>
  <c r="AE28" i="42"/>
  <c r="AB37" i="42"/>
  <c r="AB43" i="42" s="1"/>
  <c r="AG22" i="42"/>
  <c r="Y16" i="42"/>
  <c r="AA16" i="42"/>
  <c r="AD14" i="42"/>
  <c r="AE14" i="42" s="1"/>
  <c r="X17" i="42"/>
  <c r="X14" i="42"/>
  <c r="T13" i="42"/>
  <c r="AG29" i="42"/>
  <c r="AD17" i="42"/>
  <c r="AE17" i="42" s="1"/>
  <c r="AD16" i="42"/>
  <c r="AG16" i="42" s="1"/>
  <c r="AG34" i="42"/>
  <c r="AE32" i="42"/>
  <c r="AD25" i="42"/>
  <c r="AH25" i="42" s="1"/>
  <c r="AE35" i="42"/>
  <c r="AE24" i="42"/>
  <c r="AH15" i="42"/>
  <c r="AE15" i="42"/>
  <c r="AE33" i="42"/>
  <c r="AE21" i="42"/>
  <c r="AD9" i="42"/>
  <c r="AD23" i="42"/>
  <c r="AG14" i="42" l="1"/>
  <c r="AE25" i="42"/>
  <c r="AB39" i="42"/>
  <c r="AB44" i="42" s="1"/>
  <c r="AE16" i="42"/>
  <c r="AG17" i="42"/>
  <c r="AG37" i="42" s="1"/>
  <c r="AG39" i="42" s="1"/>
  <c r="AG44" i="42" s="1"/>
  <c r="Y14" i="42"/>
  <c r="AA14" i="42"/>
  <c r="X37" i="42"/>
  <c r="X39" i="42" s="1"/>
  <c r="Y17" i="42"/>
  <c r="AA17" i="42"/>
  <c r="AE23" i="42"/>
  <c r="AH23" i="42"/>
  <c r="AH37" i="42" s="1"/>
  <c r="AD37" i="42"/>
  <c r="AD39" i="42" s="1"/>
  <c r="AE37" i="42" l="1"/>
  <c r="AE39" i="42" s="1"/>
  <c r="AG43" i="42"/>
  <c r="AA37" i="42"/>
  <c r="Y37" i="42"/>
  <c r="Y39" i="42" s="1"/>
  <c r="AH43" i="42"/>
  <c r="AE43" i="42" s="1"/>
  <c r="T12" i="42"/>
  <c r="T14" i="42" s="1"/>
  <c r="T16" i="42" s="1"/>
  <c r="AH39" i="42"/>
  <c r="AH44" i="42" s="1"/>
  <c r="AE44" i="42" s="1"/>
  <c r="AA43" i="42" l="1"/>
  <c r="Y43" i="42" s="1"/>
  <c r="AA39" i="42"/>
  <c r="AA44" i="42" s="1"/>
  <c r="Y44" i="42" s="1"/>
  <c r="HQ5" i="46" l="1"/>
  <c r="HI5" i="46"/>
  <c r="HA5" i="46"/>
  <c r="GS5" i="46"/>
  <c r="GK5" i="46"/>
  <c r="GC5" i="46"/>
  <c r="FU5" i="46"/>
  <c r="BQ24" i="47" l="1"/>
  <c r="BQ26" i="47" s="1"/>
  <c r="BP24" i="47"/>
  <c r="BP26" i="47" s="1"/>
  <c r="Q5" i="46" l="1"/>
  <c r="B69" i="47"/>
  <c r="B68" i="47"/>
  <c r="B67" i="47"/>
  <c r="AR62" i="47"/>
  <c r="BG56" i="44" s="1"/>
  <c r="AR61" i="47"/>
  <c r="BG55" i="44" s="1"/>
  <c r="AU48" i="47"/>
  <c r="AR48" i="47"/>
  <c r="AS48" i="47" s="1"/>
  <c r="AT48" i="47" s="1"/>
  <c r="AU47" i="47"/>
  <c r="D51" i="62" s="1"/>
  <c r="AR47" i="47"/>
  <c r="AS47" i="47" s="1"/>
  <c r="AU46" i="47"/>
  <c r="AR46" i="47"/>
  <c r="AS46" i="47" s="1"/>
  <c r="AT46" i="47" s="1"/>
  <c r="AU45" i="47"/>
  <c r="AR45" i="47"/>
  <c r="AS45" i="47" s="1"/>
  <c r="AU44" i="47"/>
  <c r="AR44" i="47"/>
  <c r="AS44" i="47" s="1"/>
  <c r="AT44" i="47" s="1"/>
  <c r="AU42" i="47"/>
  <c r="AR42" i="47"/>
  <c r="AS42" i="47" s="1"/>
  <c r="AT42" i="47" s="1"/>
  <c r="AU41" i="47"/>
  <c r="D52" i="62" s="1"/>
  <c r="AR41" i="47"/>
  <c r="AS41" i="47" s="1"/>
  <c r="AU37" i="47"/>
  <c r="D53" i="62" s="1"/>
  <c r="AR37" i="47"/>
  <c r="AS37" i="47" s="1"/>
  <c r="AS34" i="47"/>
  <c r="AS33" i="47"/>
  <c r="AS32" i="47"/>
  <c r="H32" i="47"/>
  <c r="AU30" i="47"/>
  <c r="AR30" i="47"/>
  <c r="AS30" i="47" s="1"/>
  <c r="AT30" i="47" s="1"/>
  <c r="AU29" i="47"/>
  <c r="AR29" i="47"/>
  <c r="AS29" i="47" s="1"/>
  <c r="AT29" i="47" s="1"/>
  <c r="AY28" i="47"/>
  <c r="AU28" i="47"/>
  <c r="AR28" i="47"/>
  <c r="AS28" i="47" s="1"/>
  <c r="AT28" i="47" s="1"/>
  <c r="AY27" i="47"/>
  <c r="AU27" i="47"/>
  <c r="AR27" i="47"/>
  <c r="AS27" i="47" s="1"/>
  <c r="AT27" i="47" s="1"/>
  <c r="BC26" i="47"/>
  <c r="BA26" i="47"/>
  <c r="AZ26" i="47"/>
  <c r="AZ32" i="47" s="1"/>
  <c r="AU26" i="47"/>
  <c r="AR26" i="47"/>
  <c r="AS26" i="47" s="1"/>
  <c r="AT26" i="47" s="1"/>
  <c r="U26" i="47"/>
  <c r="W26" i="47" s="1"/>
  <c r="X26" i="47" s="1"/>
  <c r="T26" i="47"/>
  <c r="BK25" i="47"/>
  <c r="AU25" i="47"/>
  <c r="AR25" i="47"/>
  <c r="AS25" i="47" s="1"/>
  <c r="AT25" i="47" s="1"/>
  <c r="AU24" i="47"/>
  <c r="AR24" i="47"/>
  <c r="AS24" i="47" s="1"/>
  <c r="CA23" i="47"/>
  <c r="CA24" i="47" s="1"/>
  <c r="CA26" i="47" s="1"/>
  <c r="BZ23" i="47"/>
  <c r="BZ24" i="47" s="1"/>
  <c r="BZ26" i="47" s="1"/>
  <c r="BY23" i="47"/>
  <c r="BY24" i="47" s="1"/>
  <c r="BY26" i="47" s="1"/>
  <c r="BX23" i="47"/>
  <c r="BX24" i="47" s="1"/>
  <c r="BX26" i="47" s="1"/>
  <c r="BS23" i="47"/>
  <c r="BS24" i="47" s="1"/>
  <c r="BS26" i="47" s="1"/>
  <c r="BR23" i="47"/>
  <c r="BR24" i="47" s="1"/>
  <c r="BR26" i="47" s="1"/>
  <c r="BH23" i="47"/>
  <c r="BI23" i="47" s="1"/>
  <c r="AU23" i="47"/>
  <c r="AR23" i="47"/>
  <c r="AS23" i="47" s="1"/>
  <c r="AT23" i="47" s="1"/>
  <c r="AU22" i="47"/>
  <c r="AR22" i="47"/>
  <c r="AS22" i="47" s="1"/>
  <c r="AT22" i="47" s="1"/>
  <c r="U22" i="47"/>
  <c r="T22" i="47"/>
  <c r="T24" i="47" s="1"/>
  <c r="AU21" i="47"/>
  <c r="AR21" i="47"/>
  <c r="AS21" i="47" s="1"/>
  <c r="AM21" i="47"/>
  <c r="AJ21" i="47"/>
  <c r="AK21" i="47" s="1"/>
  <c r="AL21" i="47" s="1"/>
  <c r="BP20" i="47"/>
  <c r="BR20" i="47" s="1"/>
  <c r="BK20" i="47"/>
  <c r="BA20" i="47"/>
  <c r="BC20" i="47" s="1"/>
  <c r="BD20" i="47" s="1"/>
  <c r="AZ20" i="47"/>
  <c r="AU20" i="47"/>
  <c r="AR20" i="47"/>
  <c r="AS20" i="47" s="1"/>
  <c r="AT20" i="47" s="1"/>
  <c r="CA19" i="47"/>
  <c r="BZ19" i="47"/>
  <c r="BY19" i="47"/>
  <c r="BX19" i="47"/>
  <c r="BS19" i="47"/>
  <c r="BQ19" i="47"/>
  <c r="BR19" i="47" s="1"/>
  <c r="BH19" i="47"/>
  <c r="BI19" i="47" s="1"/>
  <c r="AU19" i="47"/>
  <c r="AR19" i="47"/>
  <c r="AS19" i="47" s="1"/>
  <c r="CA18" i="47"/>
  <c r="BZ18" i="47"/>
  <c r="BY18" i="47"/>
  <c r="BX18" i="47"/>
  <c r="BS18" i="47"/>
  <c r="BQ18" i="47"/>
  <c r="BR18" i="47" s="1"/>
  <c r="BH18" i="47"/>
  <c r="BI18" i="47" s="1"/>
  <c r="BL18" i="47" s="1"/>
  <c r="BH54" i="44" s="1"/>
  <c r="BC18" i="47"/>
  <c r="BA18" i="47"/>
  <c r="AZ18" i="47"/>
  <c r="AU18" i="47"/>
  <c r="AR18" i="47"/>
  <c r="AS18" i="47" s="1"/>
  <c r="AT18" i="47" s="1"/>
  <c r="U18" i="47"/>
  <c r="W18" i="47" s="1"/>
  <c r="X18" i="47" s="1"/>
  <c r="T18" i="47"/>
  <c r="CA17" i="47"/>
  <c r="BZ17" i="47"/>
  <c r="BY17" i="47"/>
  <c r="BX17" i="47"/>
  <c r="BS17" i="47"/>
  <c r="BQ17" i="47"/>
  <c r="BH17" i="47"/>
  <c r="BI17" i="47" s="1"/>
  <c r="AU17" i="47"/>
  <c r="AR17" i="47"/>
  <c r="AS17" i="47" s="1"/>
  <c r="AK17" i="47"/>
  <c r="AM17" i="47" s="1"/>
  <c r="AN17" i="47" s="1"/>
  <c r="AJ17" i="47"/>
  <c r="AE17" i="47"/>
  <c r="AE19" i="47" s="1"/>
  <c r="AC17" i="47"/>
  <c r="AC19" i="47" s="1"/>
  <c r="U17" i="47"/>
  <c r="W17" i="47" s="1"/>
  <c r="X17" i="47" s="1"/>
  <c r="T17" i="47"/>
  <c r="BU16" i="47"/>
  <c r="BU17" i="47" s="1"/>
  <c r="BU18" i="47" s="1"/>
  <c r="BU19" i="47" s="1"/>
  <c r="BU20" i="47" s="1"/>
  <c r="BU21" i="47" s="1"/>
  <c r="BU22" i="47" s="1"/>
  <c r="BU23" i="47" s="1"/>
  <c r="BU24" i="47" s="1"/>
  <c r="BU25" i="47" s="1"/>
  <c r="BU26" i="47" s="1"/>
  <c r="BU27" i="47" s="1"/>
  <c r="BU28" i="47" s="1"/>
  <c r="BU29" i="47" s="1"/>
  <c r="BE16" i="47"/>
  <c r="BE17" i="47" s="1"/>
  <c r="BE18" i="47" s="1"/>
  <c r="BE19" i="47" s="1"/>
  <c r="BE20" i="47" s="1"/>
  <c r="BE21" i="47" s="1"/>
  <c r="BE22" i="47" s="1"/>
  <c r="BE23" i="47" s="1"/>
  <c r="BE24" i="47" s="1"/>
  <c r="BE25" i="47" s="1"/>
  <c r="BE26" i="47" s="1"/>
  <c r="BE27" i="47" s="1"/>
  <c r="BE28" i="47" s="1"/>
  <c r="AW16" i="47"/>
  <c r="AW17" i="47" s="1"/>
  <c r="AW18" i="47" s="1"/>
  <c r="AW19" i="47" s="1"/>
  <c r="AW20" i="47" s="1"/>
  <c r="AW21" i="47" s="1"/>
  <c r="AW22" i="47" s="1"/>
  <c r="AW23" i="47" s="1"/>
  <c r="AW24" i="47" s="1"/>
  <c r="AW25" i="47" s="1"/>
  <c r="AW26" i="47" s="1"/>
  <c r="AW27" i="47" s="1"/>
  <c r="AW28" i="47" s="1"/>
  <c r="AW29" i="47" s="1"/>
  <c r="AW30" i="47" s="1"/>
  <c r="AW31" i="47" s="1"/>
  <c r="AW32" i="47" s="1"/>
  <c r="AW33" i="47" s="1"/>
  <c r="AW34" i="47" s="1"/>
  <c r="AW35" i="47" s="1"/>
  <c r="AU16" i="47"/>
  <c r="AR16" i="47"/>
  <c r="AS16" i="47" s="1"/>
  <c r="AO16" i="47"/>
  <c r="AO17" i="47" s="1"/>
  <c r="AO18" i="47" s="1"/>
  <c r="AO19" i="47" s="1"/>
  <c r="AO20" i="47" s="1"/>
  <c r="AO21" i="47" s="1"/>
  <c r="AO22" i="47" s="1"/>
  <c r="AO23" i="47" s="1"/>
  <c r="AO24" i="47" s="1"/>
  <c r="AO25" i="47" s="1"/>
  <c r="AO26" i="47" s="1"/>
  <c r="AO27" i="47" s="1"/>
  <c r="AO28" i="47" s="1"/>
  <c r="AO29" i="47" s="1"/>
  <c r="AO30" i="47" s="1"/>
  <c r="AO31" i="47" s="1"/>
  <c r="AO32" i="47" s="1"/>
  <c r="AO33" i="47" s="1"/>
  <c r="AO34" i="47" s="1"/>
  <c r="AO35" i="47" s="1"/>
  <c r="AO36" i="47" s="1"/>
  <c r="AO37" i="47" s="1"/>
  <c r="AO38" i="47" s="1"/>
  <c r="AO39" i="47" s="1"/>
  <c r="AO40" i="47" s="1"/>
  <c r="AO41" i="47" s="1"/>
  <c r="AO42" i="47" s="1"/>
  <c r="Y16" i="47"/>
  <c r="Y17" i="47" s="1"/>
  <c r="Y18" i="47" s="1"/>
  <c r="Y19" i="47" s="1"/>
  <c r="Y20" i="47" s="1"/>
  <c r="Y21" i="47" s="1"/>
  <c r="Y22" i="47" s="1"/>
  <c r="Y23" i="47" s="1"/>
  <c r="U16" i="47"/>
  <c r="T16" i="47"/>
  <c r="Q16" i="47"/>
  <c r="Q17" i="47" s="1"/>
  <c r="Q18" i="47" s="1"/>
  <c r="Q19" i="47" s="1"/>
  <c r="Q20" i="47" s="1"/>
  <c r="Q21" i="47" s="1"/>
  <c r="Q22" i="47" s="1"/>
  <c r="Q23" i="47" s="1"/>
  <c r="Q24" i="47" s="1"/>
  <c r="Q25" i="47" s="1"/>
  <c r="Q26" i="47" s="1"/>
  <c r="Q27" i="47" s="1"/>
  <c r="O17" i="47"/>
  <c r="M17" i="47"/>
  <c r="I16" i="47"/>
  <c r="I17" i="47" s="1"/>
  <c r="I18" i="47" s="1"/>
  <c r="I19" i="47" s="1"/>
  <c r="I20" i="47" s="1"/>
  <c r="I21" i="47" s="1"/>
  <c r="I22" i="47" s="1"/>
  <c r="A16" i="47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CC15" i="47"/>
  <c r="CC16" i="47" s="1"/>
  <c r="CC17" i="47" s="1"/>
  <c r="CC18" i="47" s="1"/>
  <c r="CC19" i="47" s="1"/>
  <c r="CC20" i="47" s="1"/>
  <c r="CC21" i="47" s="1"/>
  <c r="CC22" i="47" s="1"/>
  <c r="CC23" i="47" s="1"/>
  <c r="CC24" i="47" s="1"/>
  <c r="CC25" i="47" s="1"/>
  <c r="CC26" i="47" s="1"/>
  <c r="CC27" i="47" s="1"/>
  <c r="CC28" i="47" s="1"/>
  <c r="CC29" i="47" s="1"/>
  <c r="CC30" i="47" s="1"/>
  <c r="AK15" i="47"/>
  <c r="AJ15" i="47"/>
  <c r="AF15" i="47"/>
  <c r="AF17" i="47" s="1"/>
  <c r="AF19" i="47" s="1"/>
  <c r="CB10" i="47"/>
  <c r="BT10" i="47"/>
  <c r="BL10" i="47"/>
  <c r="F10" i="47"/>
  <c r="BU9" i="47"/>
  <c r="BM9" i="47"/>
  <c r="BE9" i="47"/>
  <c r="AW9" i="47"/>
  <c r="AO9" i="47"/>
  <c r="AG9" i="47"/>
  <c r="Z9" i="47"/>
  <c r="R9" i="47"/>
  <c r="J9" i="47"/>
  <c r="B9" i="47"/>
  <c r="BU8" i="47"/>
  <c r="BM8" i="47"/>
  <c r="BE8" i="47"/>
  <c r="AW8" i="47"/>
  <c r="AO8" i="47"/>
  <c r="AG8" i="47"/>
  <c r="Z8" i="47"/>
  <c r="R8" i="47"/>
  <c r="J8" i="47"/>
  <c r="B8" i="47"/>
  <c r="CJ2" i="47"/>
  <c r="CB2" i="47"/>
  <c r="BT2" i="47"/>
  <c r="BL2" i="47"/>
  <c r="BD2" i="47"/>
  <c r="AV2" i="47"/>
  <c r="AN2" i="47"/>
  <c r="AF2" i="47"/>
  <c r="X2" i="47"/>
  <c r="P2" i="47"/>
  <c r="AK46" i="46"/>
  <c r="AM46" i="46" s="1"/>
  <c r="AN46" i="46" s="1"/>
  <c r="AJ46" i="46"/>
  <c r="AK45" i="46"/>
  <c r="AJ45" i="46"/>
  <c r="AK44" i="46"/>
  <c r="AM44" i="46" s="1"/>
  <c r="AN44" i="46" s="1"/>
  <c r="AJ44" i="46"/>
  <c r="AK43" i="46"/>
  <c r="AJ43" i="46"/>
  <c r="AK42" i="46"/>
  <c r="AJ42" i="46"/>
  <c r="AK41" i="46"/>
  <c r="AM41" i="46" s="1"/>
  <c r="AN41" i="46" s="1"/>
  <c r="AJ41" i="46"/>
  <c r="AK40" i="46"/>
  <c r="AM40" i="46" s="1"/>
  <c r="AN40" i="46" s="1"/>
  <c r="AJ40" i="46"/>
  <c r="AK39" i="46"/>
  <c r="AM39" i="46" s="1"/>
  <c r="AN39" i="46" s="1"/>
  <c r="AJ39" i="46"/>
  <c r="H39" i="46"/>
  <c r="GH38" i="46"/>
  <c r="GG38" i="46"/>
  <c r="GF38" i="46"/>
  <c r="AK38" i="46"/>
  <c r="AM38" i="46" s="1"/>
  <c r="AN38" i="46" s="1"/>
  <c r="AJ38" i="46"/>
  <c r="HV29" i="46"/>
  <c r="FR37" i="46"/>
  <c r="AK37" i="46"/>
  <c r="AJ37" i="46"/>
  <c r="AE37" i="46"/>
  <c r="HV27" i="46"/>
  <c r="GH33" i="46"/>
  <c r="GG33" i="46"/>
  <c r="GF33" i="46"/>
  <c r="FQ33" i="46"/>
  <c r="FP33" i="46"/>
  <c r="AK33" i="46"/>
  <c r="AJ33" i="46"/>
  <c r="FS32" i="46"/>
  <c r="FR32" i="46"/>
  <c r="AK32" i="46"/>
  <c r="AM32" i="46" s="1"/>
  <c r="AN32" i="46" s="1"/>
  <c r="AJ32" i="46"/>
  <c r="GJ31" i="46"/>
  <c r="AX39" i="44" s="1"/>
  <c r="FR31" i="46"/>
  <c r="FT31" i="46" s="1"/>
  <c r="AK31" i="46"/>
  <c r="AM31" i="46" s="1"/>
  <c r="AN31" i="46" s="1"/>
  <c r="AJ31" i="46"/>
  <c r="AL14" i="44"/>
  <c r="GJ30" i="46"/>
  <c r="AX37" i="44" s="1"/>
  <c r="FS30" i="46"/>
  <c r="FR30" i="46"/>
  <c r="E15" i="44"/>
  <c r="HW24" i="46"/>
  <c r="HV24" i="46"/>
  <c r="HU24" i="46"/>
  <c r="HT24" i="46"/>
  <c r="FS29" i="46"/>
  <c r="FR29" i="46"/>
  <c r="GA28" i="46"/>
  <c r="FY28" i="46"/>
  <c r="FX28" i="46"/>
  <c r="GA27" i="46"/>
  <c r="FY27" i="46"/>
  <c r="FX27" i="46"/>
  <c r="AK27" i="46"/>
  <c r="AJ27" i="46"/>
  <c r="GA26" i="46"/>
  <c r="FY26" i="46"/>
  <c r="FX26" i="46"/>
  <c r="DS26" i="46"/>
  <c r="AK26" i="46"/>
  <c r="AM26" i="46" s="1"/>
  <c r="AN26" i="46" s="1"/>
  <c r="AJ26" i="46"/>
  <c r="GH25" i="46"/>
  <c r="GA25" i="46"/>
  <c r="FY25" i="46"/>
  <c r="FX25" i="46"/>
  <c r="DP25" i="46"/>
  <c r="AQ41" i="44" s="1"/>
  <c r="DN25" i="46"/>
  <c r="R41" i="44" s="1"/>
  <c r="DL25" i="46"/>
  <c r="BL25" i="46"/>
  <c r="BK25" i="46"/>
  <c r="BJ25" i="46"/>
  <c r="K41" i="44" s="1"/>
  <c r="BI25" i="46"/>
  <c r="BH25" i="46"/>
  <c r="AK25" i="46"/>
  <c r="AJ25" i="46"/>
  <c r="HF24" i="46"/>
  <c r="HE24" i="46"/>
  <c r="HD24" i="46"/>
  <c r="GJ24" i="46"/>
  <c r="GA24" i="46"/>
  <c r="FY24" i="46"/>
  <c r="FX24" i="46"/>
  <c r="FQ24" i="46"/>
  <c r="FP24" i="46"/>
  <c r="AK24" i="46"/>
  <c r="AJ24" i="46"/>
  <c r="GJ23" i="46"/>
  <c r="FS23" i="46"/>
  <c r="FR23" i="46"/>
  <c r="AK23" i="46"/>
  <c r="AM23" i="46" s="1"/>
  <c r="AN23" i="46" s="1"/>
  <c r="AJ23" i="46"/>
  <c r="GJ22" i="46"/>
  <c r="GA22" i="46"/>
  <c r="FY22" i="46"/>
  <c r="FX22" i="46"/>
  <c r="FS22" i="46"/>
  <c r="FR22" i="46"/>
  <c r="DO22" i="46"/>
  <c r="DM22" i="46"/>
  <c r="DL22" i="46"/>
  <c r="BL22" i="46"/>
  <c r="BK22" i="46"/>
  <c r="BJ22" i="46"/>
  <c r="K35" i="44" s="1"/>
  <c r="BI22" i="46"/>
  <c r="BH22" i="46"/>
  <c r="AK22" i="46"/>
  <c r="AM22" i="46" s="1"/>
  <c r="AN22" i="46" s="1"/>
  <c r="AJ22" i="46"/>
  <c r="HG21" i="46"/>
  <c r="HF21" i="46"/>
  <c r="GA21" i="46"/>
  <c r="FY21" i="46"/>
  <c r="FX21" i="46"/>
  <c r="FS21" i="46"/>
  <c r="FR21" i="46"/>
  <c r="DW21" i="46"/>
  <c r="DU21" i="46"/>
  <c r="DT21" i="46"/>
  <c r="DO21" i="46"/>
  <c r="DM21" i="46"/>
  <c r="DL21" i="46"/>
  <c r="BL21" i="46"/>
  <c r="BK21" i="46"/>
  <c r="BJ21" i="46"/>
  <c r="BI21" i="46"/>
  <c r="BH21" i="46"/>
  <c r="AK21" i="46"/>
  <c r="AM21" i="46" s="1"/>
  <c r="AN21" i="46" s="1"/>
  <c r="AJ21" i="46"/>
  <c r="D15" i="44"/>
  <c r="GA20" i="46"/>
  <c r="FY20" i="46"/>
  <c r="FX20" i="46"/>
  <c r="ES20" i="46"/>
  <c r="EU20" i="46" s="1"/>
  <c r="EV20" i="46" s="1"/>
  <c r="ER20" i="46"/>
  <c r="EE20" i="46"/>
  <c r="EC20" i="46"/>
  <c r="EB20" i="46"/>
  <c r="DO20" i="46"/>
  <c r="DM20" i="46"/>
  <c r="DL20" i="46"/>
  <c r="BL20" i="46"/>
  <c r="BK20" i="46"/>
  <c r="BJ20" i="46"/>
  <c r="BI20" i="46"/>
  <c r="BH20" i="46"/>
  <c r="AK20" i="46"/>
  <c r="AM20" i="46" s="1"/>
  <c r="AN20" i="46" s="1"/>
  <c r="AJ20" i="46"/>
  <c r="GY19" i="46"/>
  <c r="GY20" i="46" s="1"/>
  <c r="GY23" i="46" s="1"/>
  <c r="GV19" i="46"/>
  <c r="GV20" i="46" s="1"/>
  <c r="GV23" i="46" s="1"/>
  <c r="GH19" i="46"/>
  <c r="GA19" i="46"/>
  <c r="FY19" i="46"/>
  <c r="FX19" i="46"/>
  <c r="FQ19" i="46"/>
  <c r="FP19" i="46"/>
  <c r="FP26" i="46" s="1"/>
  <c r="EA19" i="46"/>
  <c r="DO19" i="46"/>
  <c r="DM19" i="46"/>
  <c r="DL19" i="46"/>
  <c r="CO19" i="46"/>
  <c r="CN19" i="46"/>
  <c r="BL19" i="46"/>
  <c r="BK19" i="46"/>
  <c r="BJ19" i="46"/>
  <c r="K32" i="44" s="1"/>
  <c r="BI19" i="46"/>
  <c r="BH19" i="46"/>
  <c r="AS19" i="46"/>
  <c r="AU19" i="46" s="1"/>
  <c r="AV19" i="46" s="1"/>
  <c r="AR19" i="46"/>
  <c r="AK19" i="46"/>
  <c r="AJ19" i="46"/>
  <c r="HW18" i="46"/>
  <c r="HU18" i="46"/>
  <c r="HT18" i="46"/>
  <c r="HD18" i="46"/>
  <c r="HF18" i="46" s="1"/>
  <c r="GA18" i="46"/>
  <c r="FY18" i="46"/>
  <c r="FX18" i="46"/>
  <c r="FS18" i="46"/>
  <c r="FR18" i="46"/>
  <c r="DW18" i="46"/>
  <c r="DU18" i="46"/>
  <c r="DT18" i="46"/>
  <c r="DO18" i="46"/>
  <c r="DM18" i="46"/>
  <c r="DL18" i="46"/>
  <c r="BL18" i="46"/>
  <c r="BK18" i="46"/>
  <c r="BJ18" i="46"/>
  <c r="K31" i="44" s="1"/>
  <c r="BI18" i="46"/>
  <c r="BH18" i="46"/>
  <c r="AS18" i="46"/>
  <c r="AR18" i="46"/>
  <c r="AK18" i="46"/>
  <c r="AJ18" i="46"/>
  <c r="HW17" i="46"/>
  <c r="HU17" i="46"/>
  <c r="HT17" i="46"/>
  <c r="HO17" i="46"/>
  <c r="HM17" i="46"/>
  <c r="HL17" i="46"/>
  <c r="HG17" i="46"/>
  <c r="HE17" i="46"/>
  <c r="HF17" i="46" s="1"/>
  <c r="GA17" i="46"/>
  <c r="FY17" i="46"/>
  <c r="FX17" i="46"/>
  <c r="FS17" i="46"/>
  <c r="AV54" i="44" s="1"/>
  <c r="FR17" i="46"/>
  <c r="DO17" i="46"/>
  <c r="DM17" i="46"/>
  <c r="DL17" i="46"/>
  <c r="BL17" i="46"/>
  <c r="BK17" i="46"/>
  <c r="BJ17" i="46"/>
  <c r="K30" i="44" s="1"/>
  <c r="BI17" i="46"/>
  <c r="BH17" i="46"/>
  <c r="AK17" i="46"/>
  <c r="AM17" i="46" s="1"/>
  <c r="AN17" i="46" s="1"/>
  <c r="AJ17" i="46"/>
  <c r="HW16" i="46"/>
  <c r="HU16" i="46"/>
  <c r="HT16" i="46"/>
  <c r="HO16" i="46"/>
  <c r="HM16" i="46"/>
  <c r="HL16" i="46"/>
  <c r="HG16" i="46"/>
  <c r="HE16" i="46"/>
  <c r="HF16" i="46" s="1"/>
  <c r="GJ16" i="46"/>
  <c r="AX53" i="44" s="1"/>
  <c r="GA16" i="46"/>
  <c r="FY16" i="46"/>
  <c r="FX16" i="46"/>
  <c r="FS16" i="46"/>
  <c r="FR16" i="46"/>
  <c r="EE16" i="46"/>
  <c r="EC16" i="46"/>
  <c r="EB16" i="46"/>
  <c r="DO16" i="46"/>
  <c r="DM16" i="46"/>
  <c r="DL16" i="46"/>
  <c r="CO16" i="46"/>
  <c r="CN16" i="46"/>
  <c r="CF16" i="46"/>
  <c r="BL16" i="46"/>
  <c r="BK16" i="46"/>
  <c r="BJ16" i="46"/>
  <c r="K29" i="44" s="1"/>
  <c r="BI16" i="46"/>
  <c r="BH16" i="46"/>
  <c r="AK16" i="46"/>
  <c r="AJ16" i="46"/>
  <c r="HQ15" i="46"/>
  <c r="HQ16" i="46" s="1"/>
  <c r="HQ17" i="46" s="1"/>
  <c r="HQ18" i="46" s="1"/>
  <c r="HQ19" i="46" s="1"/>
  <c r="HQ20" i="46" s="1"/>
  <c r="HQ21" i="46" s="1"/>
  <c r="HQ22" i="46" s="1"/>
  <c r="HQ23" i="46" s="1"/>
  <c r="HQ24" i="46" s="1"/>
  <c r="HQ25" i="46" s="1"/>
  <c r="HQ26" i="46" s="1"/>
  <c r="HQ27" i="46" s="1"/>
  <c r="HQ28" i="46" s="1"/>
  <c r="HQ29" i="46" s="1"/>
  <c r="HQ30" i="46" s="1"/>
  <c r="HO15" i="46"/>
  <c r="HM15" i="46"/>
  <c r="HL15" i="46"/>
  <c r="HI15" i="46"/>
  <c r="HI16" i="46" s="1"/>
  <c r="HI17" i="46" s="1"/>
  <c r="HI18" i="46" s="1"/>
  <c r="HI19" i="46" s="1"/>
  <c r="HI20" i="46" s="1"/>
  <c r="HI21" i="46" s="1"/>
  <c r="HG15" i="46"/>
  <c r="HE15" i="46"/>
  <c r="HF15" i="46" s="1"/>
  <c r="GY15" i="46"/>
  <c r="GV15" i="46"/>
  <c r="GV16" i="46" s="1"/>
  <c r="GS15" i="46"/>
  <c r="GS16" i="46" s="1"/>
  <c r="GS17" i="46" s="1"/>
  <c r="GS18" i="46" s="1"/>
  <c r="GS19" i="46" s="1"/>
  <c r="GS20" i="46" s="1"/>
  <c r="GS21" i="46" s="1"/>
  <c r="GS22" i="46" s="1"/>
  <c r="GS23" i="46" s="1"/>
  <c r="GQ15" i="46"/>
  <c r="GQ17" i="46" s="1"/>
  <c r="GO15" i="46"/>
  <c r="GO17" i="46" s="1"/>
  <c r="GN15" i="46"/>
  <c r="GN17" i="46" s="1"/>
  <c r="GK15" i="46"/>
  <c r="GK16" i="46" s="1"/>
  <c r="GK17" i="46" s="1"/>
  <c r="GK18" i="46" s="1"/>
  <c r="GK19" i="46" s="1"/>
  <c r="GK20" i="46" s="1"/>
  <c r="GC15" i="46"/>
  <c r="GC16" i="46" s="1"/>
  <c r="GC17" i="46" s="1"/>
  <c r="GC18" i="46" s="1"/>
  <c r="GC19" i="46" s="1"/>
  <c r="GC20" i="46" s="1"/>
  <c r="GC21" i="46" s="1"/>
  <c r="GC22" i="46" s="1"/>
  <c r="GC23" i="46" s="1"/>
  <c r="GC24" i="46" s="1"/>
  <c r="GC25" i="46" s="1"/>
  <c r="GC26" i="46" s="1"/>
  <c r="GC27" i="46" s="1"/>
  <c r="GC28" i="46" s="1"/>
  <c r="GC29" i="46" s="1"/>
  <c r="GC30" i="46" s="1"/>
  <c r="GC31" i="46" s="1"/>
  <c r="GC32" i="46" s="1"/>
  <c r="GC33" i="46" s="1"/>
  <c r="GC34" i="46" s="1"/>
  <c r="GC35" i="46" s="1"/>
  <c r="GC36" i="46" s="1"/>
  <c r="GC37" i="46" s="1"/>
  <c r="GC38" i="46" s="1"/>
  <c r="GA15" i="46"/>
  <c r="FY15" i="46"/>
  <c r="FX15" i="46"/>
  <c r="FM15" i="46"/>
  <c r="FM16" i="46" s="1"/>
  <c r="FM17" i="46" s="1"/>
  <c r="FM18" i="46" s="1"/>
  <c r="FM19" i="46" s="1"/>
  <c r="FM20" i="46" s="1"/>
  <c r="FM21" i="46" s="1"/>
  <c r="FM22" i="46" s="1"/>
  <c r="FM23" i="46" s="1"/>
  <c r="FM24" i="46" s="1"/>
  <c r="FM25" i="46" s="1"/>
  <c r="FM26" i="46" s="1"/>
  <c r="FM27" i="46" s="1"/>
  <c r="FM28" i="46" s="1"/>
  <c r="FM29" i="46" s="1"/>
  <c r="FM30" i="46" s="1"/>
  <c r="FM31" i="46" s="1"/>
  <c r="FM32" i="46" s="1"/>
  <c r="FM33" i="46" s="1"/>
  <c r="FM34" i="46" s="1"/>
  <c r="FM35" i="46" s="1"/>
  <c r="FM36" i="46" s="1"/>
  <c r="FM37" i="46" s="1"/>
  <c r="FM38" i="46" s="1"/>
  <c r="FM39" i="46" s="1"/>
  <c r="FM40" i="46" s="1"/>
  <c r="FM41" i="46" s="1"/>
  <c r="FM42" i="46" s="1"/>
  <c r="FK15" i="46"/>
  <c r="FK16" i="46" s="1"/>
  <c r="FI15" i="46"/>
  <c r="FI16" i="46" s="1"/>
  <c r="FH15" i="46"/>
  <c r="FH16" i="46" s="1"/>
  <c r="FE15" i="46"/>
  <c r="FE16" i="46" s="1"/>
  <c r="FE17" i="46" s="1"/>
  <c r="FE18" i="46" s="1"/>
  <c r="FE19" i="46" s="1"/>
  <c r="EO15" i="46"/>
  <c r="EO16" i="46" s="1"/>
  <c r="EO17" i="46" s="1"/>
  <c r="EO18" i="46" s="1"/>
  <c r="EO19" i="46" s="1"/>
  <c r="EO20" i="46" s="1"/>
  <c r="EO21" i="46" s="1"/>
  <c r="EO22" i="46" s="1"/>
  <c r="EO23" i="46" s="1"/>
  <c r="EO24" i="46" s="1"/>
  <c r="EO25" i="46" s="1"/>
  <c r="EO26" i="46" s="1"/>
  <c r="EO27" i="46" s="1"/>
  <c r="EO28" i="46" s="1"/>
  <c r="EO29" i="46" s="1"/>
  <c r="EO30" i="46" s="1"/>
  <c r="EO31" i="46" s="1"/>
  <c r="EO32" i="46" s="1"/>
  <c r="EG15" i="46"/>
  <c r="EG16" i="46" s="1"/>
  <c r="EG17" i="46" s="1"/>
  <c r="EG18" i="46" s="1"/>
  <c r="EG19" i="46" s="1"/>
  <c r="EG20" i="46" s="1"/>
  <c r="EE15" i="46"/>
  <c r="EC15" i="46"/>
  <c r="EB15" i="46"/>
  <c r="DW15" i="46"/>
  <c r="DU15" i="46"/>
  <c r="DT15" i="46"/>
  <c r="DQ15" i="46"/>
  <c r="DQ16" i="46" s="1"/>
  <c r="DQ17" i="46" s="1"/>
  <c r="DQ18" i="46" s="1"/>
  <c r="DQ19" i="46" s="1"/>
  <c r="DQ20" i="46" s="1"/>
  <c r="DQ21" i="46" s="1"/>
  <c r="DQ22" i="46" s="1"/>
  <c r="DQ23" i="46" s="1"/>
  <c r="DQ24" i="46" s="1"/>
  <c r="DQ25" i="46" s="1"/>
  <c r="DQ26" i="46" s="1"/>
  <c r="DQ27" i="46" s="1"/>
  <c r="DQ28" i="46" s="1"/>
  <c r="DQ29" i="46" s="1"/>
  <c r="DQ30" i="46" s="1"/>
  <c r="DQ31" i="46" s="1"/>
  <c r="DQ32" i="46" s="1"/>
  <c r="DQ33" i="46" s="1"/>
  <c r="DQ34" i="46" s="1"/>
  <c r="DO15" i="46"/>
  <c r="DM15" i="46"/>
  <c r="DL15" i="46"/>
  <c r="DI15" i="46"/>
  <c r="DI16" i="46" s="1"/>
  <c r="DI17" i="46" s="1"/>
  <c r="DI18" i="46" s="1"/>
  <c r="DI19" i="46" s="1"/>
  <c r="DI20" i="46" s="1"/>
  <c r="DI21" i="46" s="1"/>
  <c r="DI22" i="46" s="1"/>
  <c r="DI23" i="46" s="1"/>
  <c r="DI24" i="46" s="1"/>
  <c r="DI25" i="46" s="1"/>
  <c r="DI26" i="46" s="1"/>
  <c r="DI27" i="46" s="1"/>
  <c r="DI28" i="46" s="1"/>
  <c r="DI29" i="46" s="1"/>
  <c r="DI30" i="46" s="1"/>
  <c r="DG15" i="46"/>
  <c r="DE15" i="46"/>
  <c r="DD15" i="46"/>
  <c r="DA15" i="46"/>
  <c r="DA16" i="46" s="1"/>
  <c r="DA17" i="46" s="1"/>
  <c r="DA18" i="46" s="1"/>
  <c r="DA19" i="46" s="1"/>
  <c r="CS15" i="46"/>
  <c r="CS16" i="46" s="1"/>
  <c r="CS17" i="46" s="1"/>
  <c r="CS18" i="46" s="1"/>
  <c r="CK15" i="46"/>
  <c r="CK16" i="46" s="1"/>
  <c r="CK17" i="46" s="1"/>
  <c r="CK18" i="46" s="1"/>
  <c r="CK19" i="46" s="1"/>
  <c r="CK20" i="46" s="1"/>
  <c r="CK21" i="46" s="1"/>
  <c r="CK22" i="46" s="1"/>
  <c r="CK23" i="46" s="1"/>
  <c r="CC15" i="46"/>
  <c r="CC16" i="46" s="1"/>
  <c r="BU15" i="46"/>
  <c r="BU16" i="46" s="1"/>
  <c r="BU17" i="46" s="1"/>
  <c r="BU18" i="46" s="1"/>
  <c r="BU19" i="46" s="1"/>
  <c r="BU20" i="46" s="1"/>
  <c r="BU21" i="46" s="1"/>
  <c r="BS15" i="46"/>
  <c r="BQ15" i="46"/>
  <c r="BP15" i="46"/>
  <c r="BL15" i="46"/>
  <c r="BK15" i="46"/>
  <c r="BJ15" i="46"/>
  <c r="K24" i="44" s="1"/>
  <c r="BI15" i="46"/>
  <c r="BH15" i="46"/>
  <c r="BE15" i="46"/>
  <c r="BE16" i="46" s="1"/>
  <c r="BE17" i="46" s="1"/>
  <c r="BE18" i="46" s="1"/>
  <c r="BE19" i="46" s="1"/>
  <c r="BE20" i="46" s="1"/>
  <c r="BE21" i="46" s="1"/>
  <c r="BE22" i="46" s="1"/>
  <c r="BE23" i="46" s="1"/>
  <c r="BE24" i="46" s="1"/>
  <c r="BE25" i="46" s="1"/>
  <c r="BE26" i="46" s="1"/>
  <c r="BE27" i="46" s="1"/>
  <c r="BE28" i="46" s="1"/>
  <c r="BE29" i="46" s="1"/>
  <c r="BA15" i="46"/>
  <c r="BA17" i="46" s="1"/>
  <c r="AZ15" i="46"/>
  <c r="AZ17" i="46" s="1"/>
  <c r="AY15" i="46"/>
  <c r="M12" i="42" s="1"/>
  <c r="AW15" i="46"/>
  <c r="AW16" i="46" s="1"/>
  <c r="AW17" i="46" s="1"/>
  <c r="AW18" i="46" s="1"/>
  <c r="AW19" i="46" s="1"/>
  <c r="AS15" i="46"/>
  <c r="AU15" i="46" s="1"/>
  <c r="AV15" i="46" s="1"/>
  <c r="AR15" i="46"/>
  <c r="AO15" i="46"/>
  <c r="AO16" i="46" s="1"/>
  <c r="AO17" i="46" s="1"/>
  <c r="AO18" i="46" s="1"/>
  <c r="AO19" i="46" s="1"/>
  <c r="AO20" i="46" s="1"/>
  <c r="AO21" i="46" s="1"/>
  <c r="AK15" i="46"/>
  <c r="AJ15" i="46"/>
  <c r="Y15" i="46"/>
  <c r="Y16" i="46" s="1"/>
  <c r="Y17" i="46" s="1"/>
  <c r="Y18" i="46" s="1"/>
  <c r="Y19" i="46" s="1"/>
  <c r="Y20" i="46" s="1"/>
  <c r="Y21" i="46" s="1"/>
  <c r="Y22" i="46" s="1"/>
  <c r="U15" i="46"/>
  <c r="W15" i="46" s="1"/>
  <c r="X15" i="46" s="1"/>
  <c r="T15" i="46"/>
  <c r="Q15" i="46"/>
  <c r="Q16" i="46" s="1"/>
  <c r="A15" i="46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9" i="46" s="1"/>
  <c r="A40" i="46" s="1"/>
  <c r="A41" i="46" s="1"/>
  <c r="A42" i="46" s="1"/>
  <c r="A43" i="46" s="1"/>
  <c r="A44" i="46" s="1"/>
  <c r="A45" i="46" s="1"/>
  <c r="A46" i="46" s="1"/>
  <c r="A47" i="46" s="1"/>
  <c r="A48" i="46" s="1"/>
  <c r="A49" i="46" s="1"/>
  <c r="A50" i="46" s="1"/>
  <c r="A51" i="46" s="1"/>
  <c r="A52" i="46" s="1"/>
  <c r="A53" i="46" s="1"/>
  <c r="HO14" i="46"/>
  <c r="HM14" i="46"/>
  <c r="HL14" i="46"/>
  <c r="DG14" i="46"/>
  <c r="DE14" i="46"/>
  <c r="DD14" i="46"/>
  <c r="CW14" i="46"/>
  <c r="CY14" i="46" s="1"/>
  <c r="CV14" i="46"/>
  <c r="CV15" i="46" s="1"/>
  <c r="CG14" i="46"/>
  <c r="CG16" i="46" s="1"/>
  <c r="BY14" i="46"/>
  <c r="BY16" i="46" s="1"/>
  <c r="BY18" i="46" s="1"/>
  <c r="BX14" i="46"/>
  <c r="BX16" i="46" s="1"/>
  <c r="BX18" i="46" s="1"/>
  <c r="BS14" i="46"/>
  <c r="BQ14" i="46"/>
  <c r="BP14" i="46"/>
  <c r="AS14" i="46"/>
  <c r="AU14" i="46" s="1"/>
  <c r="AR14" i="46"/>
  <c r="AG14" i="46"/>
  <c r="AG15" i="46" s="1"/>
  <c r="AG16" i="46" s="1"/>
  <c r="AG17" i="46" s="1"/>
  <c r="AG18" i="46" s="1"/>
  <c r="AG19" i="46" s="1"/>
  <c r="AG20" i="46" s="1"/>
  <c r="AG21" i="46" s="1"/>
  <c r="AG22" i="46" s="1"/>
  <c r="AG23" i="46" s="1"/>
  <c r="AG24" i="46" s="1"/>
  <c r="AG25" i="46" s="1"/>
  <c r="AG26" i="46" s="1"/>
  <c r="AG27" i="46" s="1"/>
  <c r="AG28" i="46" s="1"/>
  <c r="AG29" i="46" s="1"/>
  <c r="AG30" i="46" s="1"/>
  <c r="AG31" i="46" s="1"/>
  <c r="AG32" i="46" s="1"/>
  <c r="AG33" i="46" s="1"/>
  <c r="AG34" i="46" s="1"/>
  <c r="AG35" i="46" s="1"/>
  <c r="AG36" i="46" s="1"/>
  <c r="AG37" i="46" s="1"/>
  <c r="AG38" i="46" s="1"/>
  <c r="AG39" i="46" s="1"/>
  <c r="AG40" i="46" s="1"/>
  <c r="AG41" i="46" s="1"/>
  <c r="AG42" i="46" s="1"/>
  <c r="AG43" i="46" s="1"/>
  <c r="AG44" i="46" s="1"/>
  <c r="AG45" i="46" s="1"/>
  <c r="AG46" i="46" s="1"/>
  <c r="AG47" i="46" s="1"/>
  <c r="AG48" i="46" s="1"/>
  <c r="AG49" i="46" s="1"/>
  <c r="AG50" i="46" s="1"/>
  <c r="AG51" i="46" s="1"/>
  <c r="U14" i="46"/>
  <c r="T14" i="46"/>
  <c r="I14" i="46"/>
  <c r="I15" i="46" s="1"/>
  <c r="I16" i="46" s="1"/>
  <c r="I17" i="46" s="1"/>
  <c r="I18" i="46" s="1"/>
  <c r="I19" i="46" s="1"/>
  <c r="I20" i="46" s="1"/>
  <c r="I21" i="46" s="1"/>
  <c r="I22" i="46" s="1"/>
  <c r="I23" i="46" s="1"/>
  <c r="I24" i="46" s="1"/>
  <c r="I25" i="46" s="1"/>
  <c r="I26" i="46" s="1"/>
  <c r="I27" i="46" s="1"/>
  <c r="I28" i="46" s="1"/>
  <c r="I29" i="46" s="1"/>
  <c r="I30" i="46" s="1"/>
  <c r="I31" i="46" s="1"/>
  <c r="I32" i="46" s="1"/>
  <c r="FZ9" i="46"/>
  <c r="FL9" i="46"/>
  <c r="FD9" i="46"/>
  <c r="EL9" i="46"/>
  <c r="ED9" i="46"/>
  <c r="DV9" i="46"/>
  <c r="DP9" i="46"/>
  <c r="DN9" i="46"/>
  <c r="DH9" i="46"/>
  <c r="DF9" i="46"/>
  <c r="F9" i="46"/>
  <c r="FM8" i="46"/>
  <c r="FE8" i="46"/>
  <c r="EW8" i="46"/>
  <c r="EO8" i="46"/>
  <c r="EG8" i="46"/>
  <c r="DY8" i="46"/>
  <c r="DQ8" i="46"/>
  <c r="DI8" i="46"/>
  <c r="DA8" i="46"/>
  <c r="CS8" i="46"/>
  <c r="CK8" i="46"/>
  <c r="CC8" i="46"/>
  <c r="BU8" i="46"/>
  <c r="BM8" i="46"/>
  <c r="BE8" i="46"/>
  <c r="AW8" i="46"/>
  <c r="AO8" i="46"/>
  <c r="AG8" i="46"/>
  <c r="Y8" i="46"/>
  <c r="Q8" i="46"/>
  <c r="I8" i="46"/>
  <c r="A8" i="46"/>
  <c r="FM7" i="46"/>
  <c r="FE7" i="46"/>
  <c r="EW7" i="46"/>
  <c r="EO7" i="46"/>
  <c r="EG7" i="46"/>
  <c r="DY7" i="46"/>
  <c r="DQ7" i="46"/>
  <c r="DI7" i="46"/>
  <c r="DA7" i="46"/>
  <c r="CS7" i="46"/>
  <c r="CK7" i="46"/>
  <c r="CC7" i="46"/>
  <c r="BU7" i="46"/>
  <c r="BM7" i="46"/>
  <c r="BE7" i="46"/>
  <c r="AW7" i="46"/>
  <c r="AO7" i="46"/>
  <c r="AG7" i="46"/>
  <c r="Y7" i="46"/>
  <c r="Q7" i="46"/>
  <c r="I7" i="46"/>
  <c r="A7" i="46"/>
  <c r="FM5" i="46"/>
  <c r="FE5" i="46"/>
  <c r="EW5" i="46"/>
  <c r="EO5" i="46"/>
  <c r="EG5" i="46"/>
  <c r="DY5" i="46"/>
  <c r="DQ5" i="46"/>
  <c r="DI5" i="46"/>
  <c r="DA5" i="46"/>
  <c r="CS5" i="46"/>
  <c r="CK5" i="46"/>
  <c r="CC5" i="46"/>
  <c r="BU5" i="46"/>
  <c r="BM5" i="46"/>
  <c r="BE5" i="46"/>
  <c r="AW5" i="46"/>
  <c r="AO5" i="46"/>
  <c r="AG5" i="46"/>
  <c r="Y5" i="46"/>
  <c r="I5" i="46"/>
  <c r="A5" i="46"/>
  <c r="HX2" i="46"/>
  <c r="HH2" i="46"/>
  <c r="GZ2" i="46"/>
  <c r="GR2" i="46"/>
  <c r="GJ2" i="46"/>
  <c r="GB2" i="46"/>
  <c r="FT2" i="46"/>
  <c r="FL2" i="46"/>
  <c r="FD2" i="46"/>
  <c r="EV2" i="46"/>
  <c r="EN2" i="46"/>
  <c r="EF2" i="46"/>
  <c r="DX2" i="46"/>
  <c r="DP2" i="46"/>
  <c r="DH2" i="46"/>
  <c r="CZ2" i="46"/>
  <c r="CR2" i="46"/>
  <c r="CJ2" i="46"/>
  <c r="CB2" i="46"/>
  <c r="BT2" i="46"/>
  <c r="BL2" i="46"/>
  <c r="BD2" i="46"/>
  <c r="AV2" i="46"/>
  <c r="AN2" i="46"/>
  <c r="AF2" i="46"/>
  <c r="D17" i="45"/>
  <c r="C17" i="45"/>
  <c r="D16" i="45"/>
  <c r="C16" i="45"/>
  <c r="C18" i="45" s="1"/>
  <c r="C14" i="45"/>
  <c r="E13" i="45"/>
  <c r="A13" i="45"/>
  <c r="A14" i="45" s="1"/>
  <c r="A15" i="45" s="1"/>
  <c r="A16" i="45" s="1"/>
  <c r="A17" i="45" s="1"/>
  <c r="A18" i="45" s="1"/>
  <c r="E12" i="45"/>
  <c r="AC18" i="46" s="1"/>
  <c r="A5" i="45"/>
  <c r="A4" i="45"/>
  <c r="BM59" i="44"/>
  <c r="BL59" i="44"/>
  <c r="BL48" i="44" s="1"/>
  <c r="BL82" i="44" s="1"/>
  <c r="BL85" i="44" s="1"/>
  <c r="BF59" i="44"/>
  <c r="BF48" i="44" s="1"/>
  <c r="BF82" i="44" s="1"/>
  <c r="BF85" i="44" s="1"/>
  <c r="BE59" i="44"/>
  <c r="BD59" i="44"/>
  <c r="BD48" i="44" s="1"/>
  <c r="BD82" i="44" s="1"/>
  <c r="BD85" i="44" s="1"/>
  <c r="BB59" i="44"/>
  <c r="BB48" i="44" s="1"/>
  <c r="BB82" i="44" s="1"/>
  <c r="BB85" i="44" s="1"/>
  <c r="AY59" i="44"/>
  <c r="AY48" i="44" s="1"/>
  <c r="AY82" i="44" s="1"/>
  <c r="AY85" i="44" s="1"/>
  <c r="AU59" i="44"/>
  <c r="AT59" i="44"/>
  <c r="AT48" i="44" s="1"/>
  <c r="AT82" i="44" s="1"/>
  <c r="AT85" i="44" s="1"/>
  <c r="AS59" i="44"/>
  <c r="AR59" i="44"/>
  <c r="AR48" i="44" s="1"/>
  <c r="AR82" i="44" s="1"/>
  <c r="AR85" i="44" s="1"/>
  <c r="AQ59" i="44"/>
  <c r="AP59" i="44"/>
  <c r="AP48" i="44" s="1"/>
  <c r="AP82" i="44" s="1"/>
  <c r="AP85" i="44" s="1"/>
  <c r="AO59" i="44"/>
  <c r="AO48" i="44" s="1"/>
  <c r="AO82" i="44" s="1"/>
  <c r="AO85" i="44" s="1"/>
  <c r="AN59" i="44"/>
  <c r="AN48" i="44" s="1"/>
  <c r="AN82" i="44" s="1"/>
  <c r="AN85" i="44" s="1"/>
  <c r="AM59" i="44"/>
  <c r="AL59" i="44"/>
  <c r="AL48" i="44" s="1"/>
  <c r="AL82" i="44" s="1"/>
  <c r="AL85" i="44" s="1"/>
  <c r="AK59" i="44"/>
  <c r="AK48" i="44" s="1"/>
  <c r="AK82" i="44" s="1"/>
  <c r="AK85" i="44" s="1"/>
  <c r="AE59" i="44"/>
  <c r="AD59" i="44"/>
  <c r="AB59" i="44"/>
  <c r="AB48" i="44" s="1"/>
  <c r="AB82" i="44" s="1"/>
  <c r="AB85" i="44" s="1"/>
  <c r="AA59" i="44"/>
  <c r="AA48" i="44" s="1"/>
  <c r="AA82" i="44" s="1"/>
  <c r="AA85" i="44" s="1"/>
  <c r="Y59" i="44"/>
  <c r="Y48" i="44" s="1"/>
  <c r="Y82" i="44" s="1"/>
  <c r="Y85" i="44" s="1"/>
  <c r="X59" i="44"/>
  <c r="W59" i="44"/>
  <c r="W48" i="44" s="1"/>
  <c r="W82" i="44" s="1"/>
  <c r="W85" i="44" s="1"/>
  <c r="T59" i="44"/>
  <c r="T48" i="44" s="1"/>
  <c r="T82" i="44" s="1"/>
  <c r="T85" i="44" s="1"/>
  <c r="S59" i="44"/>
  <c r="S48" i="44" s="1"/>
  <c r="S82" i="44" s="1"/>
  <c r="S85" i="44" s="1"/>
  <c r="R59" i="44"/>
  <c r="Q59" i="44"/>
  <c r="Q48" i="44" s="1"/>
  <c r="Q82" i="44" s="1"/>
  <c r="Q85" i="44" s="1"/>
  <c r="P59" i="44"/>
  <c r="P48" i="44" s="1"/>
  <c r="P82" i="44" s="1"/>
  <c r="P85" i="44" s="1"/>
  <c r="O59" i="44"/>
  <c r="O48" i="44" s="1"/>
  <c r="O82" i="44" s="1"/>
  <c r="O85" i="44" s="1"/>
  <c r="N59" i="44"/>
  <c r="M59" i="44"/>
  <c r="M48" i="44" s="1"/>
  <c r="M82" i="44" s="1"/>
  <c r="M85" i="44" s="1"/>
  <c r="L59" i="44"/>
  <c r="L48" i="44" s="1"/>
  <c r="L82" i="44" s="1"/>
  <c r="L85" i="44" s="1"/>
  <c r="K59" i="44"/>
  <c r="K48" i="44" s="1"/>
  <c r="K82" i="44" s="1"/>
  <c r="K85" i="44" s="1"/>
  <c r="J59" i="44"/>
  <c r="I59" i="44"/>
  <c r="I48" i="44" s="1"/>
  <c r="I82" i="44" s="1"/>
  <c r="I85" i="44" s="1"/>
  <c r="H59" i="44"/>
  <c r="H48" i="44" s="1"/>
  <c r="H82" i="44" s="1"/>
  <c r="H85" i="44" s="1"/>
  <c r="G59" i="44"/>
  <c r="G48" i="44" s="1"/>
  <c r="G82" i="44" s="1"/>
  <c r="G85" i="44" s="1"/>
  <c r="F59" i="44"/>
  <c r="E59" i="44"/>
  <c r="E48" i="44" s="1"/>
  <c r="E82" i="44" s="1"/>
  <c r="E85" i="44" s="1"/>
  <c r="D59" i="44"/>
  <c r="D48" i="44" s="1"/>
  <c r="D82" i="44" s="1"/>
  <c r="D85" i="44" s="1"/>
  <c r="AW56" i="44"/>
  <c r="AW54" i="44"/>
  <c r="AW53" i="44"/>
  <c r="BM48" i="44"/>
  <c r="BM82" i="44" s="1"/>
  <c r="BM85" i="44" s="1"/>
  <c r="BE48" i="44"/>
  <c r="BE82" i="44" s="1"/>
  <c r="BE85" i="44" s="1"/>
  <c r="AU48" i="44"/>
  <c r="AU82" i="44" s="1"/>
  <c r="AU85" i="44" s="1"/>
  <c r="AS48" i="44"/>
  <c r="AS82" i="44" s="1"/>
  <c r="AS85" i="44" s="1"/>
  <c r="AQ48" i="44"/>
  <c r="AQ82" i="44" s="1"/>
  <c r="AQ85" i="44" s="1"/>
  <c r="AM48" i="44"/>
  <c r="AM82" i="44" s="1"/>
  <c r="AM85" i="44" s="1"/>
  <c r="AE48" i="44"/>
  <c r="AE82" i="44" s="1"/>
  <c r="AE85" i="44" s="1"/>
  <c r="AD48" i="44"/>
  <c r="AD82" i="44" s="1"/>
  <c r="AD85" i="44" s="1"/>
  <c r="X48" i="44"/>
  <c r="X82" i="44" s="1"/>
  <c r="X85" i="44" s="1"/>
  <c r="R48" i="44"/>
  <c r="R82" i="44" s="1"/>
  <c r="R85" i="44" s="1"/>
  <c r="N48" i="44"/>
  <c r="N82" i="44" s="1"/>
  <c r="N85" i="44" s="1"/>
  <c r="J48" i="44"/>
  <c r="J82" i="44" s="1"/>
  <c r="J85" i="44" s="1"/>
  <c r="F48" i="44"/>
  <c r="F82" i="44" s="1"/>
  <c r="F85" i="44" s="1"/>
  <c r="AO45" i="44"/>
  <c r="AN45" i="44"/>
  <c r="C43" i="44"/>
  <c r="C43" i="43" s="1"/>
  <c r="C42" i="44"/>
  <c r="C42" i="43" s="1"/>
  <c r="C41" i="44"/>
  <c r="C41" i="43" s="1"/>
  <c r="C40" i="44"/>
  <c r="AB15" i="47" s="1"/>
  <c r="C39" i="44"/>
  <c r="C39" i="43" s="1"/>
  <c r="C38" i="44"/>
  <c r="AJ38" i="44" s="1"/>
  <c r="C37" i="44"/>
  <c r="C37" i="43" s="1"/>
  <c r="C36" i="44"/>
  <c r="C36" i="43" s="1"/>
  <c r="C35" i="44"/>
  <c r="C35" i="43" s="1"/>
  <c r="C34" i="44"/>
  <c r="C34" i="43" s="1"/>
  <c r="C33" i="44"/>
  <c r="C33" i="43" s="1"/>
  <c r="C32" i="44"/>
  <c r="C32" i="43" s="1"/>
  <c r="C31" i="44"/>
  <c r="C31" i="43" s="1"/>
  <c r="C30" i="44"/>
  <c r="C30" i="43" s="1"/>
  <c r="C29" i="44"/>
  <c r="C29" i="43" s="1"/>
  <c r="BM27" i="44"/>
  <c r="BM44" i="44" s="1"/>
  <c r="BL27" i="44"/>
  <c r="BL44" i="44" s="1"/>
  <c r="BJ27" i="44"/>
  <c r="BI27" i="44"/>
  <c r="BH27" i="44"/>
  <c r="BG27" i="44"/>
  <c r="BF27" i="44"/>
  <c r="BE27" i="44"/>
  <c r="BC27" i="44"/>
  <c r="BB27" i="44"/>
  <c r="BA27" i="44"/>
  <c r="AZ27" i="44"/>
  <c r="AY27" i="44"/>
  <c r="AX27" i="44"/>
  <c r="AW27" i="44"/>
  <c r="AV27" i="44"/>
  <c r="AU27" i="44"/>
  <c r="AT27" i="44"/>
  <c r="AS27" i="44"/>
  <c r="AR27" i="44"/>
  <c r="AP27" i="44"/>
  <c r="AO27" i="44"/>
  <c r="AN27" i="44"/>
  <c r="AM27" i="44"/>
  <c r="AL27" i="44"/>
  <c r="AK27" i="44"/>
  <c r="AE27" i="44"/>
  <c r="AE44" i="44" s="1"/>
  <c r="AD27" i="44"/>
  <c r="AD44" i="44" s="1"/>
  <c r="AC27" i="44"/>
  <c r="AB27" i="44"/>
  <c r="AA27" i="44"/>
  <c r="Z27" i="44"/>
  <c r="Y27" i="44"/>
  <c r="W27" i="44"/>
  <c r="V27" i="44"/>
  <c r="U27" i="44"/>
  <c r="U44" i="44" s="1"/>
  <c r="T27" i="44"/>
  <c r="S27" i="44"/>
  <c r="Q27" i="44"/>
  <c r="P27" i="44"/>
  <c r="O27" i="44"/>
  <c r="N27" i="44"/>
  <c r="M27" i="44"/>
  <c r="L27" i="44"/>
  <c r="J27" i="44"/>
  <c r="I27" i="44"/>
  <c r="G27" i="44"/>
  <c r="F27" i="44"/>
  <c r="E27" i="44"/>
  <c r="D27" i="44"/>
  <c r="F26" i="43"/>
  <c r="C26" i="44"/>
  <c r="C26" i="43" s="1"/>
  <c r="C25" i="44"/>
  <c r="C25" i="43" s="1"/>
  <c r="C24" i="44"/>
  <c r="C24" i="43" s="1"/>
  <c r="C23" i="44"/>
  <c r="BM18" i="44"/>
  <c r="BL18" i="44"/>
  <c r="BJ18" i="44"/>
  <c r="BI18" i="44"/>
  <c r="BH18" i="44"/>
  <c r="BG18" i="44"/>
  <c r="BF18" i="44"/>
  <c r="BE18" i="44"/>
  <c r="BC18" i="44"/>
  <c r="BB18" i="44"/>
  <c r="BA18" i="44"/>
  <c r="AZ18" i="44"/>
  <c r="AY18" i="44"/>
  <c r="AX18" i="44"/>
  <c r="AW18" i="44"/>
  <c r="AV18" i="44"/>
  <c r="AU18" i="44"/>
  <c r="AT18" i="44"/>
  <c r="AS18" i="44"/>
  <c r="AR18" i="44"/>
  <c r="AQ18" i="44"/>
  <c r="AP18" i="44"/>
  <c r="AO18" i="44"/>
  <c r="AN18" i="44"/>
  <c r="AM18" i="44"/>
  <c r="AE18" i="44"/>
  <c r="AD18" i="44"/>
  <c r="AC18" i="44"/>
  <c r="AB18" i="44"/>
  <c r="AA18" i="44"/>
  <c r="Z18" i="44"/>
  <c r="Y18" i="44"/>
  <c r="X18" i="44"/>
  <c r="V18" i="44"/>
  <c r="U18" i="44"/>
  <c r="T18" i="44"/>
  <c r="S18" i="44"/>
  <c r="R18" i="44"/>
  <c r="Q18" i="44"/>
  <c r="P18" i="44"/>
  <c r="O18" i="44"/>
  <c r="N18" i="44"/>
  <c r="M18" i="44"/>
  <c r="L18" i="44"/>
  <c r="K18" i="44"/>
  <c r="J18" i="44"/>
  <c r="I18" i="44"/>
  <c r="G18" i="44"/>
  <c r="F18" i="44"/>
  <c r="C17" i="44"/>
  <c r="C17" i="43" s="1"/>
  <c r="C16" i="44"/>
  <c r="C16" i="43" s="1"/>
  <c r="C15" i="44"/>
  <c r="C15" i="43" s="1"/>
  <c r="C14" i="44"/>
  <c r="C14" i="43" s="1"/>
  <c r="A14" i="44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A69" i="44" s="1"/>
  <c r="A65" i="44" s="1"/>
  <c r="A66" i="44" s="1"/>
  <c r="A67" i="44" s="1"/>
  <c r="A68" i="44" s="1"/>
  <c r="A70" i="44" s="1"/>
  <c r="A71" i="44" s="1"/>
  <c r="A72" i="44" s="1"/>
  <c r="A73" i="44" s="1"/>
  <c r="A74" i="44" s="1"/>
  <c r="BD9" i="44"/>
  <c r="H10" i="47" s="1"/>
  <c r="AV9" i="44"/>
  <c r="FT9" i="46" s="1"/>
  <c r="AR9" i="44"/>
  <c r="AK9" i="44"/>
  <c r="H9" i="46" s="1"/>
  <c r="Y9" i="44"/>
  <c r="V9" i="44"/>
  <c r="ET9" i="46" s="1"/>
  <c r="E9" i="44"/>
  <c r="N9" i="46" s="1"/>
  <c r="A5" i="44"/>
  <c r="A4" i="44"/>
  <c r="F58" i="43"/>
  <c r="F57" i="43"/>
  <c r="F40" i="43"/>
  <c r="D38" i="43"/>
  <c r="F34" i="43"/>
  <c r="H27" i="43"/>
  <c r="D25" i="43"/>
  <c r="D16" i="43"/>
  <c r="A14" i="43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54" i="43" s="1"/>
  <c r="A55" i="43" s="1"/>
  <c r="A56" i="43" s="1"/>
  <c r="A57" i="43" s="1"/>
  <c r="A58" i="43" s="1"/>
  <c r="A59" i="43" s="1"/>
  <c r="A60" i="43" s="1"/>
  <c r="A61" i="43" s="1"/>
  <c r="A62" i="43" s="1"/>
  <c r="A63" i="43" s="1"/>
  <c r="A64" i="43" s="1"/>
  <c r="A5" i="43"/>
  <c r="A4" i="43"/>
  <c r="H15" i="43"/>
  <c r="L14" i="42"/>
  <c r="C33" i="47" s="1"/>
  <c r="G33" i="47" s="1"/>
  <c r="M13" i="42"/>
  <c r="I13" i="42"/>
  <c r="I14" i="42" s="1"/>
  <c r="I15" i="42" s="1"/>
  <c r="I16" i="42" s="1"/>
  <c r="I17" i="42" s="1"/>
  <c r="G17" i="42"/>
  <c r="D13" i="42"/>
  <c r="D14" i="42" s="1"/>
  <c r="D15" i="42" s="1"/>
  <c r="D16" i="42" s="1"/>
  <c r="D17" i="42" s="1"/>
  <c r="D18" i="42" s="1"/>
  <c r="A13" i="42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G16" i="42"/>
  <c r="J5" i="42"/>
  <c r="D5" i="42"/>
  <c r="A5" i="42"/>
  <c r="J4" i="42"/>
  <c r="D4" i="42"/>
  <c r="A4" i="42"/>
  <c r="FQ26" i="46" l="1"/>
  <c r="BM46" i="44"/>
  <c r="E17" i="45"/>
  <c r="GH27" i="46"/>
  <c r="D54" i="62"/>
  <c r="C35" i="62" s="1"/>
  <c r="AO43" i="47"/>
  <c r="AO44" i="47" s="1"/>
  <c r="AO45" i="47" s="1"/>
  <c r="AO46" i="47" s="1"/>
  <c r="AO47" i="47" s="1"/>
  <c r="AO48" i="47" s="1"/>
  <c r="AO49" i="47" s="1"/>
  <c r="AO50" i="47" s="1"/>
  <c r="AO51" i="47" s="1"/>
  <c r="AO52" i="47" s="1"/>
  <c r="AO53" i="47" s="1"/>
  <c r="AO54" i="47" s="1"/>
  <c r="AO55" i="47" s="1"/>
  <c r="AO56" i="47" s="1"/>
  <c r="AO57" i="47" s="1"/>
  <c r="AO58" i="47" s="1"/>
  <c r="AO59" i="47" s="1"/>
  <c r="AO60" i="47" s="1"/>
  <c r="AO61" i="47" s="1"/>
  <c r="AO62" i="47" s="1"/>
  <c r="AO63" i="47" s="1"/>
  <c r="AK19" i="47"/>
  <c r="AK23" i="47" s="1"/>
  <c r="FA17" i="46"/>
  <c r="FA19" i="46" s="1"/>
  <c r="EZ17" i="46"/>
  <c r="EZ19" i="46" s="1"/>
  <c r="EZ20" i="46" s="1"/>
  <c r="K27" i="44"/>
  <c r="BA27" i="47"/>
  <c r="BA28" i="47"/>
  <c r="F29" i="47"/>
  <c r="F33" i="47" s="1"/>
  <c r="X41" i="44" s="1"/>
  <c r="F30" i="47"/>
  <c r="AW9" i="44"/>
  <c r="AD46" i="44"/>
  <c r="AD47" i="44" s="1"/>
  <c r="AL9" i="44"/>
  <c r="P9" i="46" s="1"/>
  <c r="F9" i="44"/>
  <c r="V9" i="46" s="1"/>
  <c r="BR17" i="47"/>
  <c r="BT17" i="47" s="1"/>
  <c r="BQ20" i="47"/>
  <c r="AE46" i="44"/>
  <c r="AE81" i="44" s="1"/>
  <c r="AE84" i="44" s="1"/>
  <c r="E25" i="43"/>
  <c r="E16" i="45"/>
  <c r="E18" i="45" s="1"/>
  <c r="C40" i="43"/>
  <c r="U16" i="46"/>
  <c r="AW59" i="44"/>
  <c r="K33" i="44"/>
  <c r="AL15" i="44"/>
  <c r="AL42" i="46"/>
  <c r="H39" i="44" s="1"/>
  <c r="HH17" i="46"/>
  <c r="H23" i="46"/>
  <c r="AK14" i="44" s="1"/>
  <c r="CO20" i="46"/>
  <c r="HH21" i="46"/>
  <c r="HH22" i="46" s="1"/>
  <c r="HH24" i="46" s="1"/>
  <c r="HD31" i="46" s="1"/>
  <c r="HH16" i="46"/>
  <c r="N16" i="47"/>
  <c r="N17" i="47" s="1"/>
  <c r="T27" i="47"/>
  <c r="FB15" i="46"/>
  <c r="FB17" i="46" s="1"/>
  <c r="AL16" i="46"/>
  <c r="AL18" i="46"/>
  <c r="H15" i="44" s="1"/>
  <c r="FT30" i="46"/>
  <c r="AL43" i="46"/>
  <c r="H24" i="44" s="1"/>
  <c r="AL45" i="46"/>
  <c r="H16" i="47"/>
  <c r="CB18" i="47"/>
  <c r="BJ54" i="44" s="1"/>
  <c r="F31" i="46"/>
  <c r="D17" i="44" s="1"/>
  <c r="BT18" i="47"/>
  <c r="FS24" i="46"/>
  <c r="FT22" i="46"/>
  <c r="M19" i="47"/>
  <c r="M21" i="47" s="1"/>
  <c r="M22" i="47" s="1"/>
  <c r="N18" i="47"/>
  <c r="AL24" i="46"/>
  <c r="H23" i="47"/>
  <c r="H28" i="47"/>
  <c r="AV36" i="44"/>
  <c r="AX55" i="44"/>
  <c r="F39" i="46"/>
  <c r="D39" i="44" s="1"/>
  <c r="AL17" i="47"/>
  <c r="AB30" i="44" s="1"/>
  <c r="AJ28" i="46"/>
  <c r="AM18" i="46"/>
  <c r="AN18" i="46" s="1"/>
  <c r="AL25" i="46"/>
  <c r="AL33" i="46"/>
  <c r="V16" i="47"/>
  <c r="Z53" i="44" s="1"/>
  <c r="BY20" i="47"/>
  <c r="AV23" i="47"/>
  <c r="AV29" i="47"/>
  <c r="AU49" i="47"/>
  <c r="AV42" i="47"/>
  <c r="AJ34" i="46"/>
  <c r="AV27" i="47"/>
  <c r="AL20" i="46"/>
  <c r="AM24" i="46"/>
  <c r="AN24" i="46" s="1"/>
  <c r="AL27" i="46"/>
  <c r="BS20" i="47"/>
  <c r="CA20" i="47"/>
  <c r="AV28" i="47"/>
  <c r="AR49" i="47"/>
  <c r="AV46" i="47"/>
  <c r="FS19" i="46"/>
  <c r="FT17" i="46"/>
  <c r="FT23" i="46"/>
  <c r="CN20" i="46"/>
  <c r="GB18" i="46"/>
  <c r="BS16" i="46"/>
  <c r="BS18" i="46" s="1"/>
  <c r="W14" i="46"/>
  <c r="X14" i="46" s="1"/>
  <c r="X16" i="46" s="1"/>
  <c r="AL15" i="46"/>
  <c r="AM16" i="46"/>
  <c r="AN16" i="46" s="1"/>
  <c r="FR33" i="46"/>
  <c r="AM43" i="46"/>
  <c r="AN43" i="46" s="1"/>
  <c r="W16" i="47"/>
  <c r="X16" i="47" s="1"/>
  <c r="X19" i="47" s="1"/>
  <c r="AV18" i="47"/>
  <c r="CB19" i="47"/>
  <c r="BJ56" i="44" s="1"/>
  <c r="AN21" i="47"/>
  <c r="BF38" i="44" s="1"/>
  <c r="AS49" i="47"/>
  <c r="AV44" i="47"/>
  <c r="AV48" i="47"/>
  <c r="AV55" i="44"/>
  <c r="T16" i="46"/>
  <c r="EB17" i="46"/>
  <c r="EB19" i="46" s="1"/>
  <c r="EB21" i="46" s="1"/>
  <c r="FR19" i="46"/>
  <c r="FT18" i="46"/>
  <c r="AL21" i="46"/>
  <c r="FR24" i="46"/>
  <c r="FZ24" i="46"/>
  <c r="H31" i="46"/>
  <c r="AK17" i="44" s="1"/>
  <c r="GB28" i="46"/>
  <c r="FT29" i="46"/>
  <c r="AL32" i="46"/>
  <c r="AK47" i="46"/>
  <c r="AL38" i="46"/>
  <c r="AL39" i="46"/>
  <c r="AL41" i="46"/>
  <c r="H26" i="44" s="1"/>
  <c r="AM45" i="46"/>
  <c r="AN45" i="46" s="1"/>
  <c r="AM15" i="47"/>
  <c r="AN15" i="47" s="1"/>
  <c r="AN19" i="47" s="1"/>
  <c r="T19" i="47"/>
  <c r="AU31" i="47"/>
  <c r="C6" i="62" s="1"/>
  <c r="BH20" i="47"/>
  <c r="BX20" i="47"/>
  <c r="CB17" i="47"/>
  <c r="AV25" i="47"/>
  <c r="F28" i="47"/>
  <c r="AT37" i="47"/>
  <c r="AR63" i="47"/>
  <c r="AV20" i="47"/>
  <c r="AV30" i="47"/>
  <c r="AZ43" i="44"/>
  <c r="AV53" i="44"/>
  <c r="AV56" i="44"/>
  <c r="F23" i="46"/>
  <c r="V14" i="46"/>
  <c r="F42" i="44" s="1"/>
  <c r="AK28" i="46"/>
  <c r="FT16" i="46"/>
  <c r="GF19" i="46"/>
  <c r="AL17" i="46"/>
  <c r="AR21" i="46"/>
  <c r="AL19" i="46"/>
  <c r="ED20" i="46"/>
  <c r="AM27" i="46"/>
  <c r="AN27" i="46" s="1"/>
  <c r="FT32" i="46"/>
  <c r="AV39" i="44" s="1"/>
  <c r="AM33" i="46"/>
  <c r="AN33" i="46" s="1"/>
  <c r="AL40" i="46"/>
  <c r="AJ19" i="47"/>
  <c r="AJ23" i="47" s="1"/>
  <c r="P16" i="47"/>
  <c r="P17" i="47" s="1"/>
  <c r="BZ20" i="47"/>
  <c r="AV22" i="47"/>
  <c r="BB26" i="47"/>
  <c r="C26" i="42"/>
  <c r="F17" i="47"/>
  <c r="H29" i="47"/>
  <c r="DG16" i="46"/>
  <c r="H17" i="47"/>
  <c r="F23" i="47"/>
  <c r="H30" i="47"/>
  <c r="BI20" i="47"/>
  <c r="BG59" i="44"/>
  <c r="O18" i="47"/>
  <c r="P18" i="47" s="1"/>
  <c r="DN16" i="46"/>
  <c r="R29" i="44" s="1"/>
  <c r="AI29" i="44" s="1"/>
  <c r="HV17" i="46"/>
  <c r="DV18" i="46"/>
  <c r="DF15" i="46"/>
  <c r="DV15" i="46"/>
  <c r="HX16" i="46"/>
  <c r="GB17" i="46"/>
  <c r="HN17" i="46"/>
  <c r="HX17" i="46"/>
  <c r="HV18" i="46"/>
  <c r="BD26" i="47"/>
  <c r="BD32" i="47" s="1"/>
  <c r="DD16" i="46"/>
  <c r="BT15" i="46"/>
  <c r="AN41" i="44" s="1"/>
  <c r="DM25" i="46"/>
  <c r="DO25" i="46" s="1"/>
  <c r="BI23" i="46"/>
  <c r="BI26" i="46" s="1"/>
  <c r="BR15" i="46"/>
  <c r="L41" i="44" s="1"/>
  <c r="FZ17" i="46"/>
  <c r="CP19" i="46"/>
  <c r="DN21" i="46"/>
  <c r="DN22" i="46"/>
  <c r="R35" i="44" s="1"/>
  <c r="GG25" i="46"/>
  <c r="FZ27" i="46"/>
  <c r="FZ28" i="46"/>
  <c r="BD18" i="47"/>
  <c r="HP14" i="46"/>
  <c r="ED16" i="46"/>
  <c r="FZ16" i="46"/>
  <c r="GG19" i="46"/>
  <c r="DN20" i="46"/>
  <c r="EF20" i="46"/>
  <c r="FZ20" i="46"/>
  <c r="BP16" i="46"/>
  <c r="BP18" i="46" s="1"/>
  <c r="DL23" i="46"/>
  <c r="DL26" i="46" s="1"/>
  <c r="DL28" i="46" s="1"/>
  <c r="EC17" i="46"/>
  <c r="EC19" i="46" s="1"/>
  <c r="FY29" i="46"/>
  <c r="DP16" i="46"/>
  <c r="AQ29" i="44" s="1"/>
  <c r="EF16" i="46"/>
  <c r="GB16" i="46"/>
  <c r="AS21" i="46"/>
  <c r="DP18" i="46"/>
  <c r="AQ31" i="44" s="1"/>
  <c r="DN19" i="46"/>
  <c r="R32" i="44" s="1"/>
  <c r="FZ19" i="46"/>
  <c r="HV25" i="46"/>
  <c r="BK23" i="46"/>
  <c r="BK26" i="46" s="1"/>
  <c r="HW19" i="46"/>
  <c r="HW21" i="46" s="1"/>
  <c r="GF25" i="46"/>
  <c r="GB25" i="46"/>
  <c r="FZ26" i="46"/>
  <c r="GB27" i="46"/>
  <c r="V26" i="47"/>
  <c r="Z42" i="44" s="1"/>
  <c r="E14" i="44"/>
  <c r="E18" i="44" s="1"/>
  <c r="U19" i="47"/>
  <c r="V18" i="47"/>
  <c r="Z56" i="44" s="1"/>
  <c r="M14" i="42"/>
  <c r="C18" i="43"/>
  <c r="C38" i="43"/>
  <c r="E38" i="43" s="1"/>
  <c r="AJ16" i="44"/>
  <c r="C27" i="44"/>
  <c r="C44" i="44" s="1"/>
  <c r="AJ25" i="44"/>
  <c r="CH14" i="46"/>
  <c r="HO18" i="46"/>
  <c r="AT15" i="46"/>
  <c r="BH23" i="46"/>
  <c r="BH26" i="46" s="1"/>
  <c r="BL23" i="46"/>
  <c r="BL26" i="46" s="1"/>
  <c r="DM23" i="46"/>
  <c r="GA29" i="46"/>
  <c r="GW15" i="46"/>
  <c r="GZ15" i="46" s="1"/>
  <c r="GZ16" i="46" s="1"/>
  <c r="AZ56" i="44" s="1"/>
  <c r="AZ59" i="44" s="1"/>
  <c r="HN15" i="46"/>
  <c r="HV16" i="46"/>
  <c r="DX18" i="46"/>
  <c r="DP19" i="46"/>
  <c r="AQ32" i="44" s="1"/>
  <c r="DP20" i="46"/>
  <c r="GB20" i="46"/>
  <c r="DP21" i="46"/>
  <c r="GB21" i="46"/>
  <c r="DP22" i="46"/>
  <c r="AQ35" i="44" s="1"/>
  <c r="FZ22" i="46"/>
  <c r="GJ25" i="46"/>
  <c r="GB24" i="46"/>
  <c r="HU25" i="46"/>
  <c r="HU27" i="46" s="1"/>
  <c r="GI33" i="46"/>
  <c r="GI35" i="46" s="1"/>
  <c r="GI37" i="46" s="1"/>
  <c r="GJ37" i="46" s="1"/>
  <c r="AX42" i="44" s="1"/>
  <c r="BR14" i="46"/>
  <c r="BZ14" i="46"/>
  <c r="BZ16" i="46" s="1"/>
  <c r="CI14" i="46"/>
  <c r="CI16" i="46" s="1"/>
  <c r="DE16" i="46"/>
  <c r="DH15" i="46"/>
  <c r="DO23" i="46"/>
  <c r="EF15" i="46"/>
  <c r="HG18" i="46"/>
  <c r="CP16" i="46"/>
  <c r="HP16" i="46"/>
  <c r="BB32" i="44" s="1"/>
  <c r="HU19" i="46"/>
  <c r="HU21" i="46" s="1"/>
  <c r="HX18" i="46"/>
  <c r="GB22" i="46"/>
  <c r="AW36" i="44" s="1"/>
  <c r="FZ25" i="46"/>
  <c r="GJ33" i="46"/>
  <c r="HV30" i="46"/>
  <c r="C18" i="44"/>
  <c r="AR16" i="46"/>
  <c r="CA14" i="46"/>
  <c r="CB14" i="46" s="1"/>
  <c r="CB16" i="46" s="1"/>
  <c r="CB18" i="46" s="1"/>
  <c r="AO35" i="44" s="1"/>
  <c r="HL18" i="46"/>
  <c r="BJ23" i="46"/>
  <c r="BJ26" i="46" s="1"/>
  <c r="DX15" i="46"/>
  <c r="FX29" i="46"/>
  <c r="CQ16" i="46"/>
  <c r="CR16" i="46" s="1"/>
  <c r="HN16" i="46"/>
  <c r="DN17" i="46"/>
  <c r="R30" i="44" s="1"/>
  <c r="DN18" i="46"/>
  <c r="R31" i="44" s="1"/>
  <c r="FZ18" i="46"/>
  <c r="GB19" i="46"/>
  <c r="FZ21" i="46"/>
  <c r="HX24" i="46"/>
  <c r="HT34" i="46" s="1"/>
  <c r="HT25" i="46"/>
  <c r="HT27" i="46" s="1"/>
  <c r="HT29" i="46" s="1"/>
  <c r="J18" i="42"/>
  <c r="I18" i="42"/>
  <c r="F17" i="42"/>
  <c r="H17" i="42" s="1"/>
  <c r="H18" i="42" s="1"/>
  <c r="C10" i="62" s="1"/>
  <c r="C42" i="46"/>
  <c r="AI31" i="46"/>
  <c r="K20" i="46"/>
  <c r="E16" i="43"/>
  <c r="N10" i="47"/>
  <c r="Z9" i="44"/>
  <c r="BE9" i="44"/>
  <c r="P10" i="47" s="1"/>
  <c r="DX9" i="46"/>
  <c r="AS9" i="44"/>
  <c r="EF9" i="46" s="1"/>
  <c r="F16" i="42"/>
  <c r="F14" i="42"/>
  <c r="C43" i="46"/>
  <c r="AI32" i="46"/>
  <c r="K21" i="46"/>
  <c r="N21" i="46" s="1"/>
  <c r="E35" i="44" s="1"/>
  <c r="BL46" i="44"/>
  <c r="AB17" i="47"/>
  <c r="AB19" i="47" s="1"/>
  <c r="AD15" i="47"/>
  <c r="U46" i="44"/>
  <c r="BM81" i="44"/>
  <c r="BM84" i="44" s="1"/>
  <c r="C23" i="43"/>
  <c r="D33" i="47"/>
  <c r="E33" i="47"/>
  <c r="GQ19" i="46"/>
  <c r="AU16" i="46"/>
  <c r="AV14" i="46"/>
  <c r="AV16" i="46" s="1"/>
  <c r="CY15" i="46"/>
  <c r="CZ14" i="46"/>
  <c r="CZ15" i="46" s="1"/>
  <c r="GN19" i="46"/>
  <c r="GN20" i="46" s="1"/>
  <c r="FC20" i="46"/>
  <c r="GO19" i="46"/>
  <c r="E14" i="45"/>
  <c r="G61" i="44" s="1"/>
  <c r="DH14" i="46"/>
  <c r="DP15" i="46"/>
  <c r="AQ24" i="44" s="1"/>
  <c r="GR15" i="46"/>
  <c r="HP15" i="46"/>
  <c r="GY16" i="46"/>
  <c r="DP17" i="46"/>
  <c r="AQ30" i="44" s="1"/>
  <c r="HP17" i="46"/>
  <c r="AU18" i="46"/>
  <c r="AM19" i="46"/>
  <c r="AN19" i="46" s="1"/>
  <c r="CQ19" i="46"/>
  <c r="CR19" i="46" s="1"/>
  <c r="HT19" i="46"/>
  <c r="HT21" i="46" s="1"/>
  <c r="DW24" i="46"/>
  <c r="BT14" i="46"/>
  <c r="CX14" i="46"/>
  <c r="CX15" i="46" s="1"/>
  <c r="HN14" i="46"/>
  <c r="CW15" i="46"/>
  <c r="ED15" i="46"/>
  <c r="FD15" i="46"/>
  <c r="FD17" i="46" s="1"/>
  <c r="FJ15" i="46"/>
  <c r="FJ16" i="46" s="1"/>
  <c r="GB15" i="46"/>
  <c r="AS16" i="46"/>
  <c r="BQ16" i="46"/>
  <c r="BQ18" i="46" s="1"/>
  <c r="EE17" i="46"/>
  <c r="EE19" i="46" s="1"/>
  <c r="AT14" i="46"/>
  <c r="DF14" i="46"/>
  <c r="V15" i="46"/>
  <c r="F43" i="44" s="1"/>
  <c r="AM15" i="46"/>
  <c r="BB15" i="46"/>
  <c r="DN15" i="46"/>
  <c r="R24" i="44" s="1"/>
  <c r="R27" i="44" s="1"/>
  <c r="GP15" i="46"/>
  <c r="GP17" i="46" s="1"/>
  <c r="HH15" i="46"/>
  <c r="HM18" i="46"/>
  <c r="AT19" i="46"/>
  <c r="I42" i="44" s="1"/>
  <c r="GW19" i="46"/>
  <c r="DT24" i="46"/>
  <c r="DT26" i="46" s="1"/>
  <c r="DT28" i="46" s="1"/>
  <c r="DT30" i="46" s="1"/>
  <c r="BC15" i="46"/>
  <c r="FL15" i="46"/>
  <c r="FZ15" i="46"/>
  <c r="AT18" i="46"/>
  <c r="DU24" i="46"/>
  <c r="DU26" i="46" s="1"/>
  <c r="DU28" i="46" s="1"/>
  <c r="DV21" i="46"/>
  <c r="AM25" i="46"/>
  <c r="AN25" i="46" s="1"/>
  <c r="GI25" i="46"/>
  <c r="FT21" i="46"/>
  <c r="HG22" i="46"/>
  <c r="HG24" i="46" s="1"/>
  <c r="AL23" i="46"/>
  <c r="ET20" i="46"/>
  <c r="DX21" i="46"/>
  <c r="AL22" i="46"/>
  <c r="AL26" i="46"/>
  <c r="GB26" i="46"/>
  <c r="FS33" i="46"/>
  <c r="FS35" i="46" s="1"/>
  <c r="HW25" i="46"/>
  <c r="HW27" i="46" s="1"/>
  <c r="AJ47" i="46"/>
  <c r="AK34" i="46"/>
  <c r="AT17" i="47"/>
  <c r="AV17" i="47"/>
  <c r="AT19" i="47"/>
  <c r="AV19" i="47"/>
  <c r="BT19" i="47"/>
  <c r="AL31" i="46"/>
  <c r="AL37" i="46"/>
  <c r="AT21" i="47"/>
  <c r="AV21" i="47"/>
  <c r="AM37" i="46"/>
  <c r="CC31" i="47"/>
  <c r="CC32" i="47" s="1"/>
  <c r="CC33" i="47"/>
  <c r="CC34" i="47" s="1"/>
  <c r="BL19" i="47"/>
  <c r="BH56" i="44" s="1"/>
  <c r="BJ19" i="47"/>
  <c r="AM42" i="46"/>
  <c r="AN42" i="46" s="1"/>
  <c r="AL44" i="46"/>
  <c r="AL46" i="46"/>
  <c r="F16" i="47"/>
  <c r="W22" i="47"/>
  <c r="V22" i="47"/>
  <c r="V24" i="47" s="1"/>
  <c r="U24" i="47"/>
  <c r="U27" i="47" s="1"/>
  <c r="AT24" i="47"/>
  <c r="AV24" i="47"/>
  <c r="AL15" i="47"/>
  <c r="AR31" i="47"/>
  <c r="AV16" i="47"/>
  <c r="L17" i="47"/>
  <c r="L19" i="47" s="1"/>
  <c r="V17" i="47"/>
  <c r="Z54" i="44" s="1"/>
  <c r="BJ17" i="47"/>
  <c r="BJ18" i="47"/>
  <c r="BB20" i="47"/>
  <c r="BI25" i="47"/>
  <c r="BL23" i="47"/>
  <c r="BL25" i="47" s="1"/>
  <c r="BJ23" i="47"/>
  <c r="BJ25" i="47" s="1"/>
  <c r="AV41" i="47"/>
  <c r="AT41" i="47"/>
  <c r="AV47" i="47"/>
  <c r="AT47" i="47"/>
  <c r="AS31" i="47"/>
  <c r="BL17" i="47"/>
  <c r="AZ19" i="47"/>
  <c r="AZ21" i="47" s="1"/>
  <c r="AT16" i="47"/>
  <c r="BB18" i="47"/>
  <c r="BA19" i="47"/>
  <c r="BA21" i="47" s="1"/>
  <c r="AV45" i="47"/>
  <c r="AT45" i="47"/>
  <c r="BT23" i="47"/>
  <c r="BT24" i="47" s="1"/>
  <c r="BA32" i="47"/>
  <c r="AV26" i="47"/>
  <c r="CB23" i="47"/>
  <c r="BH25" i="47"/>
  <c r="BC28" i="47"/>
  <c r="BC32" i="47"/>
  <c r="AV37" i="47"/>
  <c r="AZ27" i="47"/>
  <c r="AZ33" i="47" s="1"/>
  <c r="AZ28" i="47"/>
  <c r="AZ34" i="47" s="1"/>
  <c r="AD81" i="44" l="1"/>
  <c r="AD84" i="44" s="1"/>
  <c r="D55" i="62"/>
  <c r="FS26" i="46"/>
  <c r="AW48" i="44"/>
  <c r="AW82" i="44" s="1"/>
  <c r="AW85" i="44" s="1"/>
  <c r="O19" i="47"/>
  <c r="C23" i="62" s="1"/>
  <c r="AI39" i="44"/>
  <c r="D39" i="43" s="1"/>
  <c r="E39" i="43" s="1"/>
  <c r="BJ53" i="44"/>
  <c r="BX38" i="47"/>
  <c r="BX40" i="47" s="1"/>
  <c r="FT33" i="46"/>
  <c r="FT35" i="46" s="1"/>
  <c r="FT37" i="46" s="1"/>
  <c r="FT38" i="46" s="1"/>
  <c r="CB24" i="47"/>
  <c r="CB26" i="47" s="1"/>
  <c r="BX33" i="47" s="1"/>
  <c r="BY33" i="47"/>
  <c r="BJ36" i="44"/>
  <c r="BO14" i="44"/>
  <c r="F14" i="43" s="1"/>
  <c r="BB30" i="44"/>
  <c r="BO30" i="44" s="1"/>
  <c r="F30" i="43" s="1"/>
  <c r="BB35" i="44"/>
  <c r="BB31" i="44"/>
  <c r="BO31" i="44" s="1"/>
  <c r="K29" i="62"/>
  <c r="K34" i="62"/>
  <c r="FD19" i="46"/>
  <c r="FD20" i="46" s="1"/>
  <c r="FB19" i="46"/>
  <c r="FB20" i="46" s="1"/>
  <c r="HD32" i="46"/>
  <c r="HF32" i="46" s="1"/>
  <c r="HF31" i="46"/>
  <c r="HV34" i="46"/>
  <c r="HT35" i="46"/>
  <c r="HV35" i="46" s="1"/>
  <c r="G9" i="44"/>
  <c r="H9" i="44" s="1"/>
  <c r="AI30" i="44"/>
  <c r="D30" i="43" s="1"/>
  <c r="E30" i="43" s="1"/>
  <c r="BO15" i="44"/>
  <c r="F15" i="43" s="1"/>
  <c r="AI15" i="44"/>
  <c r="D15" i="43" s="1"/>
  <c r="E15" i="43" s="1"/>
  <c r="AI26" i="44"/>
  <c r="D26" i="43" s="1"/>
  <c r="E26" i="43" s="1"/>
  <c r="G26" i="43" s="1"/>
  <c r="BO55" i="44"/>
  <c r="F55" i="43" s="1"/>
  <c r="BO43" i="44"/>
  <c r="F43" i="43" s="1"/>
  <c r="H33" i="47"/>
  <c r="AE47" i="44"/>
  <c r="GB9" i="46"/>
  <c r="AX9" i="44"/>
  <c r="W19" i="47"/>
  <c r="FT24" i="46"/>
  <c r="J14" i="42"/>
  <c r="P13" i="42"/>
  <c r="BG48" i="44"/>
  <c r="BG82" i="44" s="1"/>
  <c r="BG85" i="44" s="1"/>
  <c r="W16" i="46"/>
  <c r="AM19" i="47"/>
  <c r="AM23" i="47" s="1"/>
  <c r="M20" i="46"/>
  <c r="N19" i="47"/>
  <c r="Y41" i="44" s="1"/>
  <c r="H33" i="44"/>
  <c r="BI59" i="44"/>
  <c r="BI48" i="44" s="1"/>
  <c r="BI82" i="44" s="1"/>
  <c r="BI85" i="44" s="1"/>
  <c r="CA16" i="46"/>
  <c r="CA18" i="46" s="1"/>
  <c r="W17" i="44"/>
  <c r="GF27" i="46"/>
  <c r="AL18" i="44"/>
  <c r="HU29" i="46"/>
  <c r="HU30" i="46" s="1"/>
  <c r="CB20" i="47"/>
  <c r="BY38" i="47" s="1"/>
  <c r="GJ35" i="46"/>
  <c r="GJ38" i="46" s="1"/>
  <c r="H35" i="44"/>
  <c r="AK18" i="44"/>
  <c r="BD23" i="44"/>
  <c r="BO23" i="44" s="1"/>
  <c r="AK49" i="46"/>
  <c r="FT19" i="46"/>
  <c r="AJ49" i="46"/>
  <c r="AN23" i="47"/>
  <c r="AT49" i="47"/>
  <c r="BG38" i="44"/>
  <c r="H32" i="46"/>
  <c r="H42" i="46" s="1"/>
  <c r="AK32" i="44" s="1"/>
  <c r="AX44" i="44"/>
  <c r="AX46" i="44" s="1"/>
  <c r="H27" i="44"/>
  <c r="HV19" i="46"/>
  <c r="HV21" i="46" s="1"/>
  <c r="CP20" i="46"/>
  <c r="O35" i="44" s="1"/>
  <c r="DF16" i="46"/>
  <c r="Q35" i="44" s="1"/>
  <c r="AJ29" i="44"/>
  <c r="D29" i="43"/>
  <c r="E29" i="43" s="1"/>
  <c r="H14" i="44"/>
  <c r="F44" i="44"/>
  <c r="F46" i="44" s="1"/>
  <c r="BD17" i="44"/>
  <c r="P19" i="47"/>
  <c r="BE41" i="44" s="1"/>
  <c r="H41" i="44"/>
  <c r="F32" i="46"/>
  <c r="F42" i="46" s="1"/>
  <c r="D14" i="44"/>
  <c r="BT20" i="47"/>
  <c r="BP38" i="47" s="1"/>
  <c r="ED19" i="46"/>
  <c r="GG27" i="46"/>
  <c r="BD19" i="47"/>
  <c r="BD21" i="47" s="1"/>
  <c r="AZ44" i="44"/>
  <c r="AZ46" i="44" s="1"/>
  <c r="AV59" i="44"/>
  <c r="FR26" i="46"/>
  <c r="N20" i="46"/>
  <c r="E32" i="44" s="1"/>
  <c r="O20" i="46"/>
  <c r="L20" i="46"/>
  <c r="AZ35" i="47"/>
  <c r="R33" i="44"/>
  <c r="BJ20" i="47"/>
  <c r="Z59" i="44"/>
  <c r="AT16" i="46"/>
  <c r="I35" i="44" s="1"/>
  <c r="DV24" i="46"/>
  <c r="DV26" i="46" s="1"/>
  <c r="ED17" i="46"/>
  <c r="FZ29" i="46"/>
  <c r="W35" i="44" s="1"/>
  <c r="O21" i="46"/>
  <c r="EC21" i="46"/>
  <c r="ED21" i="46" s="1"/>
  <c r="M21" i="46"/>
  <c r="CR20" i="46"/>
  <c r="AI33" i="46"/>
  <c r="GI38" i="46"/>
  <c r="BD28" i="47"/>
  <c r="CJ14" i="46"/>
  <c r="CJ16" i="46" s="1"/>
  <c r="DH16" i="46"/>
  <c r="AP35" i="44" s="1"/>
  <c r="F18" i="42"/>
  <c r="C44" i="46"/>
  <c r="DP23" i="46"/>
  <c r="DP26" i="46" s="1"/>
  <c r="DP28" i="46" s="1"/>
  <c r="BC59" i="44"/>
  <c r="BC48" i="44" s="1"/>
  <c r="BC82" i="44" s="1"/>
  <c r="BC85" i="44" s="1"/>
  <c r="GR19" i="46"/>
  <c r="AY42" i="44" s="1"/>
  <c r="M16" i="42"/>
  <c r="M18" i="42" s="1"/>
  <c r="C37" i="62" s="1"/>
  <c r="L21" i="46"/>
  <c r="EF17" i="46"/>
  <c r="AQ33" i="44"/>
  <c r="DN23" i="46"/>
  <c r="DN26" i="46" s="1"/>
  <c r="DN28" i="46" s="1"/>
  <c r="BR16" i="46"/>
  <c r="L35" i="44"/>
  <c r="DM26" i="46"/>
  <c r="HX25" i="46"/>
  <c r="CQ20" i="46"/>
  <c r="K22" i="46"/>
  <c r="GY1" i="46"/>
  <c r="AZ48" i="44"/>
  <c r="AZ82" i="44" s="1"/>
  <c r="AZ85" i="44" s="1"/>
  <c r="C46" i="44"/>
  <c r="BZ18" i="46"/>
  <c r="M35" i="44"/>
  <c r="HT30" i="46"/>
  <c r="HP18" i="46"/>
  <c r="HN18" i="46"/>
  <c r="GW16" i="46"/>
  <c r="GX15" i="46"/>
  <c r="GX16" i="46" s="1"/>
  <c r="CH16" i="46"/>
  <c r="N32" i="44"/>
  <c r="HX19" i="46"/>
  <c r="HX21" i="46" s="1"/>
  <c r="HT39" i="46" s="1"/>
  <c r="V27" i="47"/>
  <c r="Z36" i="44"/>
  <c r="BA34" i="47"/>
  <c r="BB28" i="47"/>
  <c r="AT31" i="47"/>
  <c r="AV31" i="47"/>
  <c r="X23" i="44"/>
  <c r="AI23" i="44" s="1"/>
  <c r="AT21" i="46"/>
  <c r="EE21" i="46"/>
  <c r="EF19" i="46"/>
  <c r="EF21" i="46" s="1"/>
  <c r="GB29" i="46"/>
  <c r="AT39" i="44"/>
  <c r="P35" i="44"/>
  <c r="C27" i="43"/>
  <c r="C44" i="43" s="1"/>
  <c r="C46" i="43" s="1"/>
  <c r="U81" i="44"/>
  <c r="U84" i="44" s="1"/>
  <c r="AD17" i="47"/>
  <c r="AD19" i="47" s="1"/>
  <c r="AA40" i="44"/>
  <c r="AI40" i="44" s="1"/>
  <c r="AE18" i="46"/>
  <c r="I19" i="42"/>
  <c r="I20" i="42" s="1"/>
  <c r="HX27" i="46"/>
  <c r="HW29" i="46"/>
  <c r="HX29" i="46" s="1"/>
  <c r="BC17" i="46"/>
  <c r="BD15" i="46"/>
  <c r="BD17" i="46" s="1"/>
  <c r="BB17" i="46"/>
  <c r="J32" i="44"/>
  <c r="AL28" i="46"/>
  <c r="BT16" i="46"/>
  <c r="BT18" i="46" s="1"/>
  <c r="AN35" i="44"/>
  <c r="AQ27" i="44"/>
  <c r="AD9" i="46"/>
  <c r="AL47" i="46"/>
  <c r="H34" i="44"/>
  <c r="BC27" i="47"/>
  <c r="BB27" i="47"/>
  <c r="BA33" i="47"/>
  <c r="AL34" i="46"/>
  <c r="H32" i="44"/>
  <c r="V19" i="47"/>
  <c r="FS37" i="46"/>
  <c r="AV42" i="44" s="1"/>
  <c r="DU30" i="46"/>
  <c r="DV28" i="46"/>
  <c r="FL16" i="46"/>
  <c r="AU39" i="44"/>
  <c r="GW20" i="46"/>
  <c r="GW23" i="46" s="1"/>
  <c r="GX19" i="46"/>
  <c r="GX20" i="46" s="1"/>
  <c r="GX23" i="46" s="1"/>
  <c r="HH18" i="46"/>
  <c r="HD36" i="46" s="1"/>
  <c r="AM28" i="46"/>
  <c r="AN15" i="46"/>
  <c r="AN28" i="46" s="1"/>
  <c r="GZ19" i="46"/>
  <c r="GZ20" i="46" s="1"/>
  <c r="GZ23" i="46" s="1"/>
  <c r="BR18" i="46"/>
  <c r="AU21" i="46"/>
  <c r="AU20" i="46"/>
  <c r="AV18" i="46"/>
  <c r="AV21" i="46" s="1"/>
  <c r="GP19" i="46"/>
  <c r="GP20" i="46" s="1"/>
  <c r="V16" i="46"/>
  <c r="GQ20" i="46"/>
  <c r="AV49" i="47"/>
  <c r="AV51" i="47" s="1"/>
  <c r="BB32" i="47"/>
  <c r="BC19" i="47"/>
  <c r="BC21" i="47" s="1"/>
  <c r="BB19" i="47"/>
  <c r="BB21" i="47" s="1"/>
  <c r="BL20" i="47"/>
  <c r="BH53" i="44"/>
  <c r="W24" i="47"/>
  <c r="W27" i="47" s="1"/>
  <c r="X22" i="47"/>
  <c r="X24" i="47" s="1"/>
  <c r="X27" i="47" s="1"/>
  <c r="AZ29" i="47"/>
  <c r="BT26" i="47"/>
  <c r="BP33" i="47" s="1"/>
  <c r="AC36" i="44"/>
  <c r="BA29" i="47"/>
  <c r="BH37" i="44"/>
  <c r="L21" i="47"/>
  <c r="L22" i="47" s="1"/>
  <c r="AL19" i="47"/>
  <c r="AL23" i="47" s="1"/>
  <c r="AB31" i="44"/>
  <c r="AI31" i="44" s="1"/>
  <c r="AM47" i="46"/>
  <c r="AN37" i="46"/>
  <c r="AN47" i="46" s="1"/>
  <c r="H17" i="44"/>
  <c r="FA20" i="46"/>
  <c r="DX24" i="46"/>
  <c r="DX26" i="46" s="1"/>
  <c r="DW26" i="46"/>
  <c r="DW28" i="46" s="1"/>
  <c r="GR17" i="46"/>
  <c r="AY32" i="44"/>
  <c r="GO20" i="46"/>
  <c r="CJ1" i="47"/>
  <c r="BL81" i="44"/>
  <c r="BL84" i="44" s="1"/>
  <c r="V10" i="47"/>
  <c r="AA9" i="44"/>
  <c r="FZ1" i="46" l="1"/>
  <c r="BP40" i="47"/>
  <c r="BR40" i="47" s="1"/>
  <c r="BR38" i="47"/>
  <c r="HD38" i="46"/>
  <c r="HF36" i="46"/>
  <c r="HT41" i="46"/>
  <c r="HV41" i="46" s="1"/>
  <c r="HV39" i="46"/>
  <c r="G37" i="62"/>
  <c r="F37" i="62"/>
  <c r="M27" i="47"/>
  <c r="M28" i="47" s="1"/>
  <c r="N28" i="47" s="1"/>
  <c r="BO36" i="44"/>
  <c r="AV44" i="44"/>
  <c r="AV46" i="44" s="1"/>
  <c r="AI34" i="44"/>
  <c r="AJ34" i="44" s="1"/>
  <c r="Z48" i="44"/>
  <c r="Z82" i="44" s="1"/>
  <c r="Z85" i="44" s="1"/>
  <c r="BZ38" i="47"/>
  <c r="BY40" i="47"/>
  <c r="BZ40" i="47" s="1"/>
  <c r="BJ59" i="44"/>
  <c r="AV48" i="44"/>
  <c r="AV82" i="44" s="1"/>
  <c r="AV85" i="44" s="1"/>
  <c r="K41" i="62"/>
  <c r="P41" i="62" s="1"/>
  <c r="G23" i="62"/>
  <c r="D23" i="62"/>
  <c r="D32" i="44"/>
  <c r="AI32" i="44" s="1"/>
  <c r="BH59" i="44"/>
  <c r="I44" i="44"/>
  <c r="I46" i="44" s="1"/>
  <c r="AT1" i="46" s="1"/>
  <c r="P29" i="62"/>
  <c r="P34" i="62"/>
  <c r="K35" i="62"/>
  <c r="AZ81" i="44"/>
  <c r="AZ84" i="44" s="1"/>
  <c r="FT26" i="46"/>
  <c r="FP51" i="46" s="1"/>
  <c r="FP53" i="46" s="1"/>
  <c r="AM9" i="44"/>
  <c r="AF9" i="46" s="1"/>
  <c r="BP34" i="47"/>
  <c r="BR34" i="47" s="1"/>
  <c r="BR33" i="47"/>
  <c r="BZ33" i="47"/>
  <c r="BX34" i="47"/>
  <c r="HT36" i="46"/>
  <c r="HV36" i="46" s="1"/>
  <c r="HF38" i="46"/>
  <c r="HD33" i="46"/>
  <c r="FB25" i="46"/>
  <c r="AT42" i="44"/>
  <c r="FB26" i="46"/>
  <c r="BD41" i="44"/>
  <c r="AJ15" i="44"/>
  <c r="AI33" i="44"/>
  <c r="AJ33" i="44" s="1"/>
  <c r="G15" i="43"/>
  <c r="I15" i="43" s="1"/>
  <c r="AJ26" i="44"/>
  <c r="BO37" i="44"/>
  <c r="BO53" i="44"/>
  <c r="BO38" i="44"/>
  <c r="F38" i="43" s="1"/>
  <c r="G38" i="43" s="1"/>
  <c r="I38" i="43" s="1"/>
  <c r="AI14" i="44"/>
  <c r="AI17" i="44"/>
  <c r="D17" i="43" s="1"/>
  <c r="E17" i="43" s="1"/>
  <c r="N44" i="44"/>
  <c r="N46" i="44" s="1"/>
  <c r="BO33" i="44"/>
  <c r="F33" i="43" s="1"/>
  <c r="BO17" i="44"/>
  <c r="GJ9" i="46"/>
  <c r="AY9" i="44"/>
  <c r="D18" i="44"/>
  <c r="N21" i="47"/>
  <c r="Y42" i="44" s="1"/>
  <c r="P21" i="47"/>
  <c r="BE42" i="44" s="1"/>
  <c r="AX81" i="44"/>
  <c r="AX84" i="44" s="1"/>
  <c r="W18" i="44"/>
  <c r="Z44" i="44"/>
  <c r="Z46" i="44" s="1"/>
  <c r="AJ30" i="44"/>
  <c r="F81" i="44"/>
  <c r="F84" i="44" s="1"/>
  <c r="I26" i="43"/>
  <c r="W1" i="47"/>
  <c r="F43" i="46"/>
  <c r="GZ1" i="46"/>
  <c r="P20" i="46"/>
  <c r="AL32" i="44" s="1"/>
  <c r="AJ39" i="44"/>
  <c r="GJ1" i="46"/>
  <c r="HW30" i="46"/>
  <c r="H43" i="46"/>
  <c r="AK35" i="44" s="1"/>
  <c r="BA35" i="47"/>
  <c r="P21" i="46"/>
  <c r="AL35" i="44" s="1"/>
  <c r="J20" i="42"/>
  <c r="C13" i="42"/>
  <c r="BK61" i="44" s="1"/>
  <c r="BK63" i="44" s="1"/>
  <c r="HW1" i="46"/>
  <c r="BC44" i="44"/>
  <c r="BC46" i="44" s="1"/>
  <c r="BC81" i="44" s="1"/>
  <c r="BC84" i="44" s="1"/>
  <c r="O21" i="47"/>
  <c r="O22" i="47" s="1"/>
  <c r="AY44" i="44"/>
  <c r="AY46" i="44" s="1"/>
  <c r="GR20" i="46"/>
  <c r="DO26" i="46"/>
  <c r="DO28" i="46" s="1"/>
  <c r="F44" i="46"/>
  <c r="D41" i="44" s="1"/>
  <c r="H44" i="46"/>
  <c r="G30" i="43"/>
  <c r="DM28" i="46"/>
  <c r="O22" i="46"/>
  <c r="L22" i="46"/>
  <c r="L23" i="46" s="1"/>
  <c r="L25" i="46" s="1"/>
  <c r="M22" i="46"/>
  <c r="M23" i="46" s="1"/>
  <c r="M25" i="46" s="1"/>
  <c r="N22" i="46"/>
  <c r="C81" i="44"/>
  <c r="C84" i="44" s="1"/>
  <c r="HV1" i="46"/>
  <c r="AV53" i="47"/>
  <c r="BG42" i="44" s="1"/>
  <c r="BG39" i="44"/>
  <c r="BO39" i="44" s="1"/>
  <c r="BA59" i="44"/>
  <c r="H18" i="44"/>
  <c r="BC33" i="47"/>
  <c r="BB33" i="47"/>
  <c r="AL49" i="46"/>
  <c r="FT1" i="46"/>
  <c r="AC42" i="44"/>
  <c r="BB29" i="47"/>
  <c r="AW35" i="44"/>
  <c r="AN49" i="46"/>
  <c r="DV30" i="46"/>
  <c r="S35" i="44"/>
  <c r="FS38" i="46"/>
  <c r="BD27" i="47"/>
  <c r="BD29" i="47" s="1"/>
  <c r="BC29" i="47"/>
  <c r="AS35" i="44"/>
  <c r="BC34" i="47"/>
  <c r="BD34" i="47" s="1"/>
  <c r="BB34" i="47"/>
  <c r="AD10" i="47"/>
  <c r="AB9" i="44"/>
  <c r="DW30" i="46"/>
  <c r="DX28" i="46"/>
  <c r="AC54" i="44"/>
  <c r="AM49" i="46"/>
  <c r="AL9" i="46"/>
  <c r="I9" i="44"/>
  <c r="T35" i="44"/>
  <c r="HX30" i="46"/>
  <c r="F31" i="43"/>
  <c r="C69" i="43"/>
  <c r="D34" i="43" l="1"/>
  <c r="E34" i="43" s="1"/>
  <c r="G34" i="43" s="1"/>
  <c r="BP26" i="44"/>
  <c r="BP34" i="44"/>
  <c r="BP30" i="44"/>
  <c r="BP15" i="44"/>
  <c r="N27" i="47"/>
  <c r="M29" i="47"/>
  <c r="FS1" i="46"/>
  <c r="AV81" i="44"/>
  <c r="AV84" i="44" s="1"/>
  <c r="AT44" i="44"/>
  <c r="AT46" i="44" s="1"/>
  <c r="FR1" i="46"/>
  <c r="BP38" i="44"/>
  <c r="BJ48" i="44"/>
  <c r="BJ82" i="44" s="1"/>
  <c r="BJ85" i="44" s="1"/>
  <c r="FQ51" i="46"/>
  <c r="FQ53" i="46" s="1"/>
  <c r="BO32" i="44"/>
  <c r="BH48" i="44"/>
  <c r="BH82" i="44" s="1"/>
  <c r="BH85" i="44" s="1"/>
  <c r="D35" i="44"/>
  <c r="AI35" i="44" s="1"/>
  <c r="N81" i="44"/>
  <c r="N84" i="44" s="1"/>
  <c r="P35" i="62"/>
  <c r="AY81" i="44"/>
  <c r="AY84" i="44" s="1"/>
  <c r="I81" i="44"/>
  <c r="I84" i="44" s="1"/>
  <c r="D33" i="43"/>
  <c r="E33" i="43" s="1"/>
  <c r="G33" i="43" s="1"/>
  <c r="I33" i="43" s="1"/>
  <c r="BE44" i="44"/>
  <c r="BE46" i="44" s="1"/>
  <c r="V1" i="47"/>
  <c r="Y44" i="44"/>
  <c r="Y46" i="44" s="1"/>
  <c r="FR53" i="46"/>
  <c r="BP35" i="47"/>
  <c r="BR35" i="47" s="1"/>
  <c r="N22" i="47"/>
  <c r="BX35" i="47"/>
  <c r="CH1" i="46"/>
  <c r="HF33" i="46"/>
  <c r="BA61" i="44"/>
  <c r="AH61" i="44"/>
  <c r="AH63" i="44" s="1"/>
  <c r="BN61" i="44"/>
  <c r="BN63" i="44" s="1"/>
  <c r="AG61" i="44"/>
  <c r="AG63" i="44" s="1"/>
  <c r="AF61" i="44"/>
  <c r="AF63" i="44" s="1"/>
  <c r="BP33" i="44"/>
  <c r="AI18" i="44"/>
  <c r="F23" i="43"/>
  <c r="F17" i="43"/>
  <c r="G17" i="43" s="1"/>
  <c r="I17" i="43" s="1"/>
  <c r="AC44" i="44"/>
  <c r="AC46" i="44" s="1"/>
  <c r="GR9" i="46"/>
  <c r="AZ9" i="44"/>
  <c r="P22" i="47"/>
  <c r="AJ17" i="44"/>
  <c r="Z81" i="44"/>
  <c r="Z84" i="44" s="1"/>
  <c r="BL61" i="44"/>
  <c r="BL63" i="44" s="1"/>
  <c r="I34" i="43"/>
  <c r="I30" i="43"/>
  <c r="D14" i="43"/>
  <c r="D18" i="43" s="1"/>
  <c r="AJ14" i="44"/>
  <c r="HX1" i="46"/>
  <c r="BJ61" i="44"/>
  <c r="AV55" i="47"/>
  <c r="F61" i="44"/>
  <c r="F63" i="44" s="1"/>
  <c r="F61" i="43"/>
  <c r="E61" i="43"/>
  <c r="AT61" i="44"/>
  <c r="AU61" i="44"/>
  <c r="AZ61" i="44"/>
  <c r="AZ63" i="44" s="1"/>
  <c r="BE61" i="44"/>
  <c r="K61" i="44"/>
  <c r="L61" i="44"/>
  <c r="Q61" i="44"/>
  <c r="V61" i="44"/>
  <c r="AA61" i="44"/>
  <c r="AB61" i="44"/>
  <c r="AJ61" i="44"/>
  <c r="AO61" i="44"/>
  <c r="F45" i="46"/>
  <c r="F47" i="46" s="1"/>
  <c r="I61" i="43"/>
  <c r="C61" i="43"/>
  <c r="O61" i="44"/>
  <c r="AE61" i="44"/>
  <c r="AE63" i="44" s="1"/>
  <c r="AX61" i="44"/>
  <c r="BP61" i="44"/>
  <c r="P61" i="44"/>
  <c r="AI61" i="44"/>
  <c r="AY61" i="44"/>
  <c r="AY63" i="44" s="1"/>
  <c r="E61" i="44"/>
  <c r="U61" i="44"/>
  <c r="AN61" i="44"/>
  <c r="BD61" i="44"/>
  <c r="J61" i="44"/>
  <c r="Z61" i="44"/>
  <c r="Z63" i="44" s="1"/>
  <c r="AS61" i="44"/>
  <c r="BI61" i="44"/>
  <c r="D61" i="43"/>
  <c r="G61" i="43"/>
  <c r="S61" i="44"/>
  <c r="AL61" i="44"/>
  <c r="BB61" i="44"/>
  <c r="D61" i="44"/>
  <c r="T61" i="44"/>
  <c r="AM61" i="44"/>
  <c r="BC61" i="44"/>
  <c r="BC63" i="44" s="1"/>
  <c r="I61" i="44"/>
  <c r="I63" i="44" s="1"/>
  <c r="Y61" i="44"/>
  <c r="AR61" i="44"/>
  <c r="BH61" i="44"/>
  <c r="N61" i="44"/>
  <c r="N63" i="44" s="1"/>
  <c r="AD61" i="44"/>
  <c r="AD63" i="44" s="1"/>
  <c r="AW61" i="44"/>
  <c r="BO61" i="44"/>
  <c r="H61" i="43"/>
  <c r="C61" i="44"/>
  <c r="W61" i="44"/>
  <c r="AP61" i="44"/>
  <c r="BF61" i="44"/>
  <c r="H61" i="44"/>
  <c r="X61" i="44"/>
  <c r="AQ61" i="44"/>
  <c r="BG61" i="44"/>
  <c r="M61" i="44"/>
  <c r="AC61" i="44"/>
  <c r="AV61" i="44"/>
  <c r="AV63" i="44" s="1"/>
  <c r="BM61" i="44"/>
  <c r="BM63" i="44" s="1"/>
  <c r="R61" i="44"/>
  <c r="AK61" i="44"/>
  <c r="BB35" i="47"/>
  <c r="BG44" i="44"/>
  <c r="BG46" i="44" s="1"/>
  <c r="GR1" i="46"/>
  <c r="AK41" i="44"/>
  <c r="H45" i="46"/>
  <c r="H47" i="46" s="1"/>
  <c r="P22" i="46"/>
  <c r="O23" i="46"/>
  <c r="O25" i="46" s="1"/>
  <c r="E41" i="44"/>
  <c r="N23" i="46"/>
  <c r="DX30" i="46"/>
  <c r="AR35" i="44"/>
  <c r="AJ32" i="44"/>
  <c r="D32" i="43"/>
  <c r="E32" i="43" s="1"/>
  <c r="D23" i="43"/>
  <c r="AJ23" i="44"/>
  <c r="AC56" i="44"/>
  <c r="F53" i="43"/>
  <c r="AL10" i="47"/>
  <c r="AC9" i="44"/>
  <c r="BF9" i="44"/>
  <c r="BD33" i="47"/>
  <c r="BD35" i="47" s="1"/>
  <c r="BC35" i="47"/>
  <c r="BA48" i="44"/>
  <c r="F37" i="43"/>
  <c r="AJ40" i="44"/>
  <c r="D40" i="43"/>
  <c r="E40" i="43" s="1"/>
  <c r="G40" i="43" s="1"/>
  <c r="AT9" i="46"/>
  <c r="J9" i="44"/>
  <c r="BP39" i="44"/>
  <c r="F39" i="43"/>
  <c r="G39" i="43" s="1"/>
  <c r="F36" i="43"/>
  <c r="D31" i="43"/>
  <c r="E31" i="43" s="1"/>
  <c r="G31" i="43" s="1"/>
  <c r="AJ31" i="44"/>
  <c r="BP31" i="44" l="1"/>
  <c r="BP40" i="44"/>
  <c r="BP17" i="44"/>
  <c r="N29" i="47"/>
  <c r="AT81" i="44"/>
  <c r="AT84" i="44" s="1"/>
  <c r="FD1" i="46"/>
  <c r="AT63" i="44"/>
  <c r="P1" i="47"/>
  <c r="BE63" i="44"/>
  <c r="N25" i="46"/>
  <c r="M37" i="46"/>
  <c r="N1" i="47"/>
  <c r="AI41" i="44"/>
  <c r="D41" i="43" s="1"/>
  <c r="E41" i="43" s="1"/>
  <c r="BO35" i="44"/>
  <c r="Y63" i="44"/>
  <c r="BD1" i="47"/>
  <c r="Y81" i="44"/>
  <c r="Y84" i="44" s="1"/>
  <c r="BE81" i="44"/>
  <c r="BE84" i="44" s="1"/>
  <c r="FB27" i="46"/>
  <c r="GZ9" i="46"/>
  <c r="BA9" i="44"/>
  <c r="AC81" i="44"/>
  <c r="AC84" i="44" s="1"/>
  <c r="BP14" i="44"/>
  <c r="E14" i="43"/>
  <c r="E18" i="43" s="1"/>
  <c r="BG63" i="44"/>
  <c r="AC59" i="44"/>
  <c r="I31" i="43"/>
  <c r="I39" i="43"/>
  <c r="I40" i="43"/>
  <c r="AJ18" i="44"/>
  <c r="BG81" i="44"/>
  <c r="BG84" i="44" s="1"/>
  <c r="AV1" i="47"/>
  <c r="AL41" i="44"/>
  <c r="P23" i="46"/>
  <c r="BB10" i="47"/>
  <c r="AD9" i="44"/>
  <c r="AE9" i="44" s="1"/>
  <c r="BP23" i="44"/>
  <c r="BB9" i="46"/>
  <c r="K9" i="44"/>
  <c r="F32" i="43"/>
  <c r="G32" i="43" s="1"/>
  <c r="BP32" i="44"/>
  <c r="HG1" i="46"/>
  <c r="BA82" i="44"/>
  <c r="BA85" i="44" s="1"/>
  <c r="E23" i="43"/>
  <c r="D35" i="43"/>
  <c r="E35" i="43" s="1"/>
  <c r="AJ35" i="44"/>
  <c r="AN10" i="47"/>
  <c r="BG9" i="44"/>
  <c r="AV10" i="47" s="1"/>
  <c r="N37" i="46" l="1"/>
  <c r="P25" i="46"/>
  <c r="M47" i="46"/>
  <c r="AJ41" i="44"/>
  <c r="AC63" i="44"/>
  <c r="BO41" i="44"/>
  <c r="F41" i="43" s="1"/>
  <c r="G41" i="43" s="1"/>
  <c r="BB9" i="44"/>
  <c r="HH9" i="46"/>
  <c r="G14" i="43"/>
  <c r="AC48" i="44"/>
  <c r="AC82" i="44" s="1"/>
  <c r="AC85" i="44" s="1"/>
  <c r="BC1" i="47"/>
  <c r="G23" i="43"/>
  <c r="BJ9" i="46"/>
  <c r="L9" i="44"/>
  <c r="BP35" i="44"/>
  <c r="F35" i="43"/>
  <c r="K61" i="62" l="1"/>
  <c r="K62" i="62" s="1"/>
  <c r="N47" i="46"/>
  <c r="BP41" i="44"/>
  <c r="HP9" i="46"/>
  <c r="BC9" i="44"/>
  <c r="HX9" i="46" s="1"/>
  <c r="BR9" i="46"/>
  <c r="AN9" i="44"/>
  <c r="BT9" i="46" s="1"/>
  <c r="M9" i="44"/>
  <c r="G35" i="43"/>
  <c r="I23" i="43"/>
  <c r="BZ9" i="46" l="1"/>
  <c r="AO9" i="44"/>
  <c r="CB9" i="46" s="1"/>
  <c r="N9" i="44"/>
  <c r="CH9" i="46" l="1"/>
  <c r="O9" i="44"/>
  <c r="CP9" i="46" l="1"/>
  <c r="P9" i="44"/>
  <c r="CX9" i="46" s="1"/>
  <c r="GE34" i="46" l="1"/>
  <c r="EM16" i="46" l="1"/>
  <c r="EN16" i="46" s="1"/>
  <c r="C55" i="43" l="1"/>
  <c r="EL16" i="46" l="1"/>
  <c r="U55" i="44" s="1"/>
  <c r="AI55" i="44" s="1"/>
  <c r="AJ55" i="44" l="1"/>
  <c r="BP55" i="44" s="1"/>
  <c r="D55" i="43"/>
  <c r="E55" i="43" s="1"/>
  <c r="G55" i="43" s="1"/>
  <c r="I55" i="43" l="1"/>
  <c r="C54" i="43"/>
  <c r="C58" i="43"/>
  <c r="C56" i="43"/>
  <c r="C53" i="43" l="1"/>
  <c r="EL19" i="46"/>
  <c r="EM19" i="46" l="1"/>
  <c r="EN19" i="46" s="1"/>
  <c r="U58" i="44"/>
  <c r="AI58" i="44" s="1"/>
  <c r="EM15" i="46"/>
  <c r="EN15" i="46" s="1"/>
  <c r="EM17" i="46"/>
  <c r="EN17" i="46" s="1"/>
  <c r="AJ58" i="44" l="1"/>
  <c r="BP58" i="44" s="1"/>
  <c r="D58" i="43"/>
  <c r="E58" i="43" s="1"/>
  <c r="G58" i="43" s="1"/>
  <c r="I58" i="43" l="1"/>
  <c r="EM14" i="46"/>
  <c r="EN14" i="46" l="1"/>
  <c r="C57" i="43" l="1"/>
  <c r="C59" i="44"/>
  <c r="C48" i="44" l="1"/>
  <c r="C63" i="44"/>
  <c r="C59" i="43"/>
  <c r="EK18" i="46"/>
  <c r="EL18" i="46" s="1"/>
  <c r="C48" i="43" l="1"/>
  <c r="C63" i="43"/>
  <c r="C82" i="44"/>
  <c r="C85" i="44" s="1"/>
  <c r="C50" i="44"/>
  <c r="C70" i="43" l="1"/>
  <c r="C50" i="43"/>
  <c r="U57" i="44"/>
  <c r="AI57" i="44" s="1"/>
  <c r="EM18" i="46"/>
  <c r="EK20" i="46"/>
  <c r="EN18" i="46" l="1"/>
  <c r="EN20" i="46" s="1"/>
  <c r="EM20" i="46"/>
  <c r="AJ57" i="44"/>
  <c r="BP57" i="44" s="1"/>
  <c r="D57" i="43"/>
  <c r="E57" i="43" s="1"/>
  <c r="G57" i="43" s="1"/>
  <c r="I57" i="43" l="1"/>
  <c r="EL15" i="46"/>
  <c r="U54" i="44" s="1"/>
  <c r="EL17" i="46" l="1"/>
  <c r="U56" i="44" s="1"/>
  <c r="EJ20" i="46" l="1"/>
  <c r="EL14" i="46"/>
  <c r="EL20" i="46" l="1"/>
  <c r="U53" i="44"/>
  <c r="AI53" i="44" s="1"/>
  <c r="AJ53" i="44" s="1"/>
  <c r="EK24" i="46" l="1"/>
  <c r="U59" i="44"/>
  <c r="EK26" i="46" l="1"/>
  <c r="EL26" i="46" s="1"/>
  <c r="EL24" i="46"/>
  <c r="D53" i="43"/>
  <c r="U63" i="44"/>
  <c r="EL1" i="46"/>
  <c r="U48" i="44"/>
  <c r="U82" i="44" s="1"/>
  <c r="U85" i="44" s="1"/>
  <c r="E53" i="43" l="1"/>
  <c r="BP53" i="44"/>
  <c r="G53" i="43" l="1"/>
  <c r="I53" i="43" l="1"/>
  <c r="AQ19" i="46" l="1"/>
  <c r="J19" i="42"/>
  <c r="HK20" i="46"/>
  <c r="HL20" i="46" s="1"/>
  <c r="HL21" i="46" s="1"/>
  <c r="BW20" i="46"/>
  <c r="AY18" i="46"/>
  <c r="BA18" i="46" s="1"/>
  <c r="HC26" i="46"/>
  <c r="HF26" i="46" s="1"/>
  <c r="HF27" i="46" s="1"/>
  <c r="EQ25" i="46"/>
  <c r="DC18" i="46"/>
  <c r="DE18" i="46" s="1"/>
  <c r="BG27" i="47"/>
  <c r="BI27" i="47" s="1"/>
  <c r="BO19" i="46"/>
  <c r="CU17" i="46"/>
  <c r="CV17" i="46" s="1"/>
  <c r="K27" i="46"/>
  <c r="O27" i="46" s="1"/>
  <c r="O28" i="46" s="1"/>
  <c r="DK29" i="46"/>
  <c r="DM29" i="46" s="1"/>
  <c r="DM30" i="46" s="1"/>
  <c r="CM22" i="46"/>
  <c r="CN22" i="46" s="1"/>
  <c r="CN23" i="46" s="1"/>
  <c r="AI25" i="47"/>
  <c r="BO28" i="47"/>
  <c r="DS32" i="46"/>
  <c r="EA23" i="46"/>
  <c r="FG18" i="46"/>
  <c r="FL18" i="46" s="1"/>
  <c r="FL19" i="46" s="1"/>
  <c r="BW28" i="47"/>
  <c r="AI50" i="46"/>
  <c r="AL50" i="46" s="1"/>
  <c r="AL51" i="46" s="1"/>
  <c r="AA21" i="47"/>
  <c r="AD21" i="47" s="1"/>
  <c r="AD23" i="47" s="1"/>
  <c r="BG28" i="46"/>
  <c r="BI28" i="46" s="1"/>
  <c r="AA21" i="46"/>
  <c r="M19" i="42"/>
  <c r="M20" i="42" s="1"/>
  <c r="FW31" i="46"/>
  <c r="C49" i="46"/>
  <c r="F49" i="46" s="1"/>
  <c r="L19" i="42"/>
  <c r="L30" i="47" l="1"/>
  <c r="M30" i="47"/>
  <c r="N30" i="47"/>
  <c r="EJ27" i="46"/>
  <c r="EK27" i="46"/>
  <c r="FQ49" i="46"/>
  <c r="C34" i="52"/>
  <c r="L40" i="46"/>
  <c r="L50" i="46"/>
  <c r="F57" i="42"/>
  <c r="E20" i="57"/>
  <c r="BX41" i="47"/>
  <c r="BY41" i="47"/>
  <c r="C28" i="59"/>
  <c r="C31" i="59"/>
  <c r="BK62" i="44"/>
  <c r="BK64" i="44" s="1"/>
  <c r="BP36" i="47"/>
  <c r="BX36" i="47"/>
  <c r="BP41" i="47"/>
  <c r="BR41" i="47" s="1"/>
  <c r="HE39" i="46"/>
  <c r="HE41" i="46" s="1"/>
  <c r="HT37" i="46"/>
  <c r="HD39" i="46"/>
  <c r="HT42" i="46"/>
  <c r="HV42" i="46" s="1"/>
  <c r="HD34" i="46"/>
  <c r="FP54" i="46"/>
  <c r="FP49" i="46"/>
  <c r="FQ54" i="46"/>
  <c r="C44" i="51"/>
  <c r="C41" i="51"/>
  <c r="AH62" i="44"/>
  <c r="AH64" i="44" s="1"/>
  <c r="BN62" i="44"/>
  <c r="BN64" i="44" s="1"/>
  <c r="AG62" i="44"/>
  <c r="AG64" i="44" s="1"/>
  <c r="AG74" i="44" s="1"/>
  <c r="C31" i="52"/>
  <c r="AF62" i="44"/>
  <c r="AF64" i="44" s="1"/>
  <c r="BX28" i="47"/>
  <c r="BX29" i="47" s="1"/>
  <c r="BZ28" i="47"/>
  <c r="BZ29" i="47" s="1"/>
  <c r="CA28" i="47"/>
  <c r="CA29" i="47" s="1"/>
  <c r="BY28" i="47"/>
  <c r="BY29" i="47" s="1"/>
  <c r="CB28" i="47"/>
  <c r="BP28" i="47"/>
  <c r="BP29" i="47" s="1"/>
  <c r="BQ28" i="47"/>
  <c r="BQ29" i="47" s="1"/>
  <c r="BR28" i="47"/>
  <c r="BR29" i="47" s="1"/>
  <c r="BS28" i="47"/>
  <c r="BS29" i="47" s="1"/>
  <c r="BT28" i="47"/>
  <c r="BT29" i="47" s="1"/>
  <c r="H49" i="46"/>
  <c r="H50" i="46" s="1"/>
  <c r="H56" i="46" s="1"/>
  <c r="HE26" i="46"/>
  <c r="HE27" i="46" s="1"/>
  <c r="N27" i="46"/>
  <c r="CW17" i="46"/>
  <c r="CW18" i="46" s="1"/>
  <c r="AZ18" i="46"/>
  <c r="AZ19" i="46" s="1"/>
  <c r="HO20" i="46"/>
  <c r="HO21" i="46" s="1"/>
  <c r="AU42" i="44"/>
  <c r="AR62" i="44"/>
  <c r="I62" i="44"/>
  <c r="I64" i="44" s="1"/>
  <c r="AC62" i="44"/>
  <c r="AC64" i="44" s="1"/>
  <c r="C62" i="43"/>
  <c r="C64" i="43" s="1"/>
  <c r="BD62" i="44"/>
  <c r="CV18" i="46"/>
  <c r="GA31" i="46"/>
  <c r="GA32" i="46" s="1"/>
  <c r="FX31" i="46"/>
  <c r="FX32" i="46" s="1"/>
  <c r="FZ31" i="46"/>
  <c r="FY31" i="46"/>
  <c r="FY32" i="46" s="1"/>
  <c r="GB31" i="46"/>
  <c r="F50" i="46"/>
  <c r="F56" i="46" s="1"/>
  <c r="D42" i="44"/>
  <c r="EC23" i="46"/>
  <c r="EC25" i="46" s="1"/>
  <c r="EE23" i="46"/>
  <c r="EE25" i="46" s="1"/>
  <c r="EB23" i="46"/>
  <c r="EB25" i="46" s="1"/>
  <c r="ED23" i="46"/>
  <c r="DT32" i="46"/>
  <c r="DT34" i="46" s="1"/>
  <c r="DW32" i="46"/>
  <c r="DW34" i="46" s="1"/>
  <c r="DU32" i="46"/>
  <c r="DU34" i="46" s="1"/>
  <c r="DX32" i="46"/>
  <c r="AM25" i="47"/>
  <c r="AM27" i="47" s="1"/>
  <c r="AJ25" i="47"/>
  <c r="AJ27" i="47" s="1"/>
  <c r="AK25" i="47"/>
  <c r="AK27" i="47" s="1"/>
  <c r="AN25" i="47"/>
  <c r="BH28" i="46"/>
  <c r="BL28" i="46"/>
  <c r="BL29" i="46" s="1"/>
  <c r="FK18" i="46"/>
  <c r="FK19" i="46" s="1"/>
  <c r="FI18" i="46"/>
  <c r="FI19" i="46" s="1"/>
  <c r="FH18" i="46"/>
  <c r="FH19" i="46" s="1"/>
  <c r="FJ18" i="46"/>
  <c r="FJ19" i="46" s="1"/>
  <c r="F62" i="44"/>
  <c r="F64" i="44" s="1"/>
  <c r="AA43" i="44"/>
  <c r="H42" i="44"/>
  <c r="EF23" i="46"/>
  <c r="DV32" i="46"/>
  <c r="AL25" i="47"/>
  <c r="CO22" i="46"/>
  <c r="Y62" i="44"/>
  <c r="Y64" i="44" s="1"/>
  <c r="T62" i="44"/>
  <c r="AB21" i="46"/>
  <c r="AB22" i="46" s="1"/>
  <c r="BI29" i="46"/>
  <c r="BK28" i="46"/>
  <c r="BK29" i="46" s="1"/>
  <c r="AC21" i="47"/>
  <c r="AC23" i="47" s="1"/>
  <c r="AE21" i="47"/>
  <c r="AE23" i="47" s="1"/>
  <c r="AB21" i="47"/>
  <c r="AB23" i="47" s="1"/>
  <c r="AJ50" i="46"/>
  <c r="AJ51" i="46" s="1"/>
  <c r="AK50" i="46"/>
  <c r="AK51" i="46" s="1"/>
  <c r="AN50" i="46"/>
  <c r="AN51" i="46" s="1"/>
  <c r="AM50" i="46"/>
  <c r="AM51" i="46" s="1"/>
  <c r="BI44" i="44"/>
  <c r="BI46" i="44" s="1"/>
  <c r="BZ20" i="46"/>
  <c r="CB20" i="46"/>
  <c r="BY20" i="46"/>
  <c r="BY21" i="46" s="1"/>
  <c r="BX20" i="46"/>
  <c r="BX21" i="46" s="1"/>
  <c r="CA20" i="46"/>
  <c r="CA21" i="46" s="1"/>
  <c r="AF21" i="47"/>
  <c r="AF23" i="47" s="1"/>
  <c r="BI28" i="47"/>
  <c r="BH42" i="44"/>
  <c r="M62" i="44"/>
  <c r="AP62" i="44"/>
  <c r="BI62" i="44"/>
  <c r="I62" i="43"/>
  <c r="W62" i="44"/>
  <c r="AS62" i="44"/>
  <c r="BP62" i="44"/>
  <c r="AO62" i="44"/>
  <c r="H62" i="43"/>
  <c r="K62" i="44"/>
  <c r="J62" i="44"/>
  <c r="N62" i="44"/>
  <c r="N64" i="44" s="1"/>
  <c r="AY62" i="44"/>
  <c r="AY64" i="44" s="1"/>
  <c r="C62" i="44"/>
  <c r="C64" i="44" s="1"/>
  <c r="AE62" i="44"/>
  <c r="AE64" i="44" s="1"/>
  <c r="O62" i="44"/>
  <c r="V62" i="44"/>
  <c r="C20" i="42"/>
  <c r="AW62" i="44"/>
  <c r="AJ62" i="44"/>
  <c r="AM62" i="44"/>
  <c r="E62" i="43"/>
  <c r="G62" i="43"/>
  <c r="BH62" i="44"/>
  <c r="BO62" i="44"/>
  <c r="L62" i="44"/>
  <c r="S62" i="44"/>
  <c r="E62" i="44"/>
  <c r="F62" i="43"/>
  <c r="BA62" i="44"/>
  <c r="AQ62" i="44"/>
  <c r="AB62" i="44"/>
  <c r="R62" i="44"/>
  <c r="BF62" i="44"/>
  <c r="AA62" i="44"/>
  <c r="BB62" i="44"/>
  <c r="G62" i="44"/>
  <c r="AK62" i="44"/>
  <c r="BM62" i="44"/>
  <c r="BM64" i="44" s="1"/>
  <c r="D62" i="43"/>
  <c r="AL62" i="44"/>
  <c r="AI62" i="44"/>
  <c r="BE62" i="44"/>
  <c r="BE64" i="44" s="1"/>
  <c r="AT62" i="44"/>
  <c r="AT64" i="44" s="1"/>
  <c r="BL62" i="44"/>
  <c r="BL64" i="44" s="1"/>
  <c r="X62" i="44"/>
  <c r="D62" i="44"/>
  <c r="AN62" i="44"/>
  <c r="H62" i="44"/>
  <c r="Z62" i="44"/>
  <c r="Z64" i="44" s="1"/>
  <c r="AV62" i="44"/>
  <c r="AV64" i="44" s="1"/>
  <c r="AD62" i="44"/>
  <c r="AD64" i="44" s="1"/>
  <c r="U62" i="44"/>
  <c r="U64" i="44" s="1"/>
  <c r="BC62" i="44"/>
  <c r="BC64" i="44" s="1"/>
  <c r="AU62" i="44"/>
  <c r="P62" i="44"/>
  <c r="Q62" i="44"/>
  <c r="BG62" i="44"/>
  <c r="BG64" i="44" s="1"/>
  <c r="AX62" i="44"/>
  <c r="AZ62" i="44"/>
  <c r="AZ64" i="44" s="1"/>
  <c r="DL29" i="46"/>
  <c r="DL30" i="46" s="1"/>
  <c r="DO29" i="46"/>
  <c r="DO30" i="46" s="1"/>
  <c r="DN29" i="46"/>
  <c r="DP29" i="46"/>
  <c r="BP19" i="46"/>
  <c r="BP20" i="46" s="1"/>
  <c r="BQ19" i="46"/>
  <c r="BS19" i="46"/>
  <c r="BS20" i="46" s="1"/>
  <c r="BT19" i="46"/>
  <c r="DE19" i="46"/>
  <c r="BC18" i="46"/>
  <c r="BA19" i="46"/>
  <c r="BJ62" i="44"/>
  <c r="L27" i="46"/>
  <c r="L28" i="46" s="1"/>
  <c r="M27" i="46"/>
  <c r="BL27" i="47"/>
  <c r="BL28" i="47" s="1"/>
  <c r="BK27" i="47"/>
  <c r="BK28" i="47" s="1"/>
  <c r="BH27" i="47"/>
  <c r="BH28" i="47" s="1"/>
  <c r="DG18" i="46"/>
  <c r="DD18" i="46"/>
  <c r="DD19" i="46" s="1"/>
  <c r="HG26" i="46"/>
  <c r="HG27" i="46" s="1"/>
  <c r="HH26" i="46"/>
  <c r="BJ27" i="47"/>
  <c r="BJ28" i="47" s="1"/>
  <c r="HD26" i="46"/>
  <c r="HD27" i="46" s="1"/>
  <c r="HM20" i="46"/>
  <c r="BX43" i="47" l="1"/>
  <c r="H57" i="46"/>
  <c r="EL27" i="46"/>
  <c r="BP43" i="47"/>
  <c r="C36" i="52"/>
  <c r="H44" i="44"/>
  <c r="H46" i="44" s="1"/>
  <c r="E42" i="44"/>
  <c r="M38" i="46"/>
  <c r="BY34" i="47"/>
  <c r="BJ42" i="44"/>
  <c r="BZ41" i="47"/>
  <c r="AU44" i="44"/>
  <c r="AU46" i="44" s="1"/>
  <c r="FL1" i="46" s="1"/>
  <c r="BH44" i="44"/>
  <c r="BH46" i="44" s="1"/>
  <c r="AI43" i="44"/>
  <c r="C33" i="59"/>
  <c r="BK68" i="44"/>
  <c r="BK74" i="44"/>
  <c r="HF39" i="46"/>
  <c r="HV37" i="46"/>
  <c r="HV44" i="46" s="1"/>
  <c r="HT44" i="46"/>
  <c r="HD41" i="46"/>
  <c r="HF34" i="46"/>
  <c r="BR36" i="47"/>
  <c r="BR43" i="47" s="1"/>
  <c r="FP56" i="46"/>
  <c r="FR49" i="46"/>
  <c r="FQ56" i="46"/>
  <c r="FR54" i="46"/>
  <c r="FB28" i="46"/>
  <c r="AF74" i="44"/>
  <c r="AH74" i="44"/>
  <c r="BN68" i="44"/>
  <c r="BN74" i="44"/>
  <c r="AZ68" i="44"/>
  <c r="AZ74" i="44"/>
  <c r="AD68" i="44"/>
  <c r="AD74" i="44"/>
  <c r="AT68" i="44"/>
  <c r="AT74" i="44"/>
  <c r="N68" i="44"/>
  <c r="N74" i="44"/>
  <c r="Y68" i="44"/>
  <c r="Y74" i="44"/>
  <c r="BL68" i="44"/>
  <c r="BL74" i="44"/>
  <c r="AY68" i="44"/>
  <c r="AY74" i="44"/>
  <c r="AV68" i="44"/>
  <c r="AV74" i="44"/>
  <c r="BM68" i="44"/>
  <c r="BM74" i="44"/>
  <c r="AE68" i="44"/>
  <c r="AE74" i="44"/>
  <c r="I68" i="44"/>
  <c r="I74" i="44"/>
  <c r="AH68" i="44"/>
  <c r="U68" i="44"/>
  <c r="U74" i="44"/>
  <c r="F68" i="44"/>
  <c r="F74" i="44"/>
  <c r="AG68" i="44"/>
  <c r="BE68" i="44"/>
  <c r="BE74" i="44"/>
  <c r="BG68" i="44"/>
  <c r="BG74" i="44"/>
  <c r="BC68" i="44"/>
  <c r="BC74" i="44"/>
  <c r="Z68" i="44"/>
  <c r="Z74" i="44"/>
  <c r="C68" i="44"/>
  <c r="C74" i="44"/>
  <c r="AF68" i="44"/>
  <c r="AC68" i="44"/>
  <c r="AC74" i="44"/>
  <c r="D34" i="52"/>
  <c r="C46" i="51"/>
  <c r="BB18" i="46"/>
  <c r="BB19" i="46" s="1"/>
  <c r="N28" i="46"/>
  <c r="CY17" i="46"/>
  <c r="CY18" i="46" s="1"/>
  <c r="AK42" i="44"/>
  <c r="CX17" i="46"/>
  <c r="CX18" i="46" s="1"/>
  <c r="CB29" i="47"/>
  <c r="BI63" i="44"/>
  <c r="BI64" i="44" s="1"/>
  <c r="BI81" i="44"/>
  <c r="BI84" i="44" s="1"/>
  <c r="CO23" i="46"/>
  <c r="CQ22" i="46"/>
  <c r="CP22" i="46"/>
  <c r="BQ20" i="46"/>
  <c r="BR19" i="46"/>
  <c r="M42" i="44"/>
  <c r="BZ21" i="46"/>
  <c r="AA44" i="44"/>
  <c r="AA46" i="44" s="1"/>
  <c r="BF42" i="44"/>
  <c r="AN27" i="47"/>
  <c r="DX34" i="46"/>
  <c r="AR42" i="44"/>
  <c r="ED25" i="46"/>
  <c r="T42" i="44"/>
  <c r="EF25" i="46"/>
  <c r="AS42" i="44"/>
  <c r="FZ32" i="46"/>
  <c r="W42" i="44"/>
  <c r="DH18" i="46"/>
  <c r="DG19" i="46"/>
  <c r="BD18" i="46"/>
  <c r="BD19" i="46" s="1"/>
  <c r="BC19" i="46"/>
  <c r="BT20" i="46"/>
  <c r="AN42" i="44"/>
  <c r="DP30" i="46"/>
  <c r="AQ42" i="44"/>
  <c r="AB42" i="44"/>
  <c r="AL27" i="47"/>
  <c r="BH29" i="46"/>
  <c r="BJ28" i="46"/>
  <c r="D44" i="44"/>
  <c r="D46" i="44" s="1"/>
  <c r="HN20" i="46"/>
  <c r="HN21" i="46" s="1"/>
  <c r="HM21" i="46"/>
  <c r="HP20" i="46"/>
  <c r="P27" i="46"/>
  <c r="M48" i="46" s="1"/>
  <c r="M28" i="46"/>
  <c r="HH27" i="46"/>
  <c r="DF18" i="46"/>
  <c r="DN30" i="46"/>
  <c r="R42" i="44"/>
  <c r="AO42" i="44"/>
  <c r="CB21" i="46"/>
  <c r="DV34" i="46"/>
  <c r="S42" i="44"/>
  <c r="GB32" i="46"/>
  <c r="AW42" i="44"/>
  <c r="BL1" i="47" l="1"/>
  <c r="C47" i="51"/>
  <c r="BE69" i="44"/>
  <c r="N31" i="47"/>
  <c r="E44" i="44"/>
  <c r="E46" i="44" s="1"/>
  <c r="U69" i="44"/>
  <c r="EL28" i="46"/>
  <c r="HF41" i="46"/>
  <c r="C34" i="59"/>
  <c r="H63" i="44"/>
  <c r="H64" i="44" s="1"/>
  <c r="H74" i="44" s="1"/>
  <c r="AL1" i="46"/>
  <c r="H81" i="44"/>
  <c r="H84" i="44" s="1"/>
  <c r="BJ44" i="44"/>
  <c r="BJ46" i="44" s="1"/>
  <c r="BH63" i="44"/>
  <c r="BH64" i="44" s="1"/>
  <c r="BH68" i="44" s="1"/>
  <c r="AU81" i="44"/>
  <c r="AU84" i="44" s="1"/>
  <c r="BH81" i="44"/>
  <c r="BH84" i="44" s="1"/>
  <c r="N38" i="46"/>
  <c r="N39" i="46" s="1"/>
  <c r="M39" i="46"/>
  <c r="M40" i="46" s="1"/>
  <c r="N40" i="46" s="1"/>
  <c r="AT69" i="44"/>
  <c r="N48" i="46"/>
  <c r="N49" i="46" s="1"/>
  <c r="M49" i="46"/>
  <c r="M50" i="46" s="1"/>
  <c r="N50" i="46" s="1"/>
  <c r="BY35" i="47"/>
  <c r="BZ34" i="47"/>
  <c r="T44" i="44"/>
  <c r="T46" i="44" s="1"/>
  <c r="M44" i="44"/>
  <c r="M46" i="44" s="1"/>
  <c r="S44" i="44"/>
  <c r="S46" i="44" s="1"/>
  <c r="AO44" i="44"/>
  <c r="AO46" i="44" s="1"/>
  <c r="FB29" i="46"/>
  <c r="AN44" i="44"/>
  <c r="AN46" i="44" s="1"/>
  <c r="AS44" i="44"/>
  <c r="AS46" i="44" s="1"/>
  <c r="AR44" i="44"/>
  <c r="AR46" i="44" s="1"/>
  <c r="AK44" i="44"/>
  <c r="AK46" i="44" s="1"/>
  <c r="AU63" i="44"/>
  <c r="AU64" i="44" s="1"/>
  <c r="AU68" i="44" s="1"/>
  <c r="AH69" i="44"/>
  <c r="E21" i="57"/>
  <c r="BK69" i="44"/>
  <c r="BC69" i="44"/>
  <c r="FR56" i="46"/>
  <c r="FR57" i="46" s="1"/>
  <c r="HV45" i="46"/>
  <c r="AF69" i="44"/>
  <c r="H68" i="44"/>
  <c r="BI68" i="44"/>
  <c r="BI74" i="44"/>
  <c r="J42" i="44"/>
  <c r="BA44" i="44"/>
  <c r="BA46" i="44" s="1"/>
  <c r="BA63" i="44" s="1"/>
  <c r="BA64" i="44" s="1"/>
  <c r="AW44" i="44"/>
  <c r="AW46" i="44" s="1"/>
  <c r="W44" i="44"/>
  <c r="W46" i="44" s="1"/>
  <c r="R44" i="44"/>
  <c r="R46" i="44" s="1"/>
  <c r="BF44" i="44"/>
  <c r="BF46" i="44" s="1"/>
  <c r="AB44" i="44"/>
  <c r="AB46" i="44" s="1"/>
  <c r="AQ44" i="44"/>
  <c r="AQ46" i="44" s="1"/>
  <c r="CZ17" i="46"/>
  <c r="CZ18" i="46" s="1"/>
  <c r="P42" i="44"/>
  <c r="P28" i="46"/>
  <c r="AL42" i="44"/>
  <c r="AA63" i="44"/>
  <c r="AA64" i="44" s="1"/>
  <c r="AD1" i="47"/>
  <c r="AA81" i="44"/>
  <c r="AA84" i="44" s="1"/>
  <c r="CQ23" i="46"/>
  <c r="CR22" i="46"/>
  <c r="CR23" i="46" s="1"/>
  <c r="DF19" i="46"/>
  <c r="Q42" i="44"/>
  <c r="HP21" i="46"/>
  <c r="BB42" i="44"/>
  <c r="F1" i="46"/>
  <c r="D81" i="44"/>
  <c r="D84" i="44" s="1"/>
  <c r="D63" i="44"/>
  <c r="BR20" i="46"/>
  <c r="L42" i="44"/>
  <c r="D43" i="43"/>
  <c r="E43" i="43" s="1"/>
  <c r="G43" i="43" s="1"/>
  <c r="AJ43" i="44"/>
  <c r="CP23" i="46"/>
  <c r="O42" i="44"/>
  <c r="BJ29" i="46"/>
  <c r="K42" i="44"/>
  <c r="DH19" i="46"/>
  <c r="AP42" i="44"/>
  <c r="AR63" i="44" l="1"/>
  <c r="AR64" i="44" s="1"/>
  <c r="BP43" i="44"/>
  <c r="E81" i="44"/>
  <c r="E84" i="44" s="1"/>
  <c r="BI69" i="44"/>
  <c r="AL44" i="44"/>
  <c r="AL46" i="44" s="1"/>
  <c r="CB1" i="47"/>
  <c r="BH74" i="44"/>
  <c r="AS81" i="44"/>
  <c r="AS84" i="44" s="1"/>
  <c r="ED1" i="46"/>
  <c r="AK63" i="44"/>
  <c r="AK64" i="44" s="1"/>
  <c r="EF1" i="46"/>
  <c r="H1" i="46"/>
  <c r="AK81" i="44"/>
  <c r="AK84" i="44" s="1"/>
  <c r="E63" i="44"/>
  <c r="E64" i="44" s="1"/>
  <c r="E68" i="44" s="1"/>
  <c r="N1" i="46"/>
  <c r="T63" i="44"/>
  <c r="T64" i="44" s="1"/>
  <c r="T68" i="44" s="1"/>
  <c r="AS63" i="44"/>
  <c r="AS64" i="44" s="1"/>
  <c r="AS68" i="44" s="1"/>
  <c r="T81" i="44"/>
  <c r="T84" i="44" s="1"/>
  <c r="AO81" i="44"/>
  <c r="AO84" i="44" s="1"/>
  <c r="AR81" i="44"/>
  <c r="AR84" i="44" s="1"/>
  <c r="M81" i="44"/>
  <c r="M84" i="44" s="1"/>
  <c r="M63" i="44"/>
  <c r="M64" i="44" s="1"/>
  <c r="M74" i="44" s="1"/>
  <c r="CB1" i="46"/>
  <c r="BJ81" i="44"/>
  <c r="BJ84" i="44" s="1"/>
  <c r="BJ63" i="44"/>
  <c r="BJ64" i="44" s="1"/>
  <c r="BJ68" i="44" s="1"/>
  <c r="BZ1" i="46"/>
  <c r="AO63" i="44"/>
  <c r="AO64" i="44" s="1"/>
  <c r="AO74" i="44" s="1"/>
  <c r="J44" i="44"/>
  <c r="J46" i="44" s="1"/>
  <c r="J63" i="44" s="1"/>
  <c r="J64" i="44" s="1"/>
  <c r="BZ35" i="47"/>
  <c r="BY36" i="47"/>
  <c r="BY43" i="47" s="1"/>
  <c r="BB44" i="44"/>
  <c r="BB46" i="44" s="1"/>
  <c r="R81" i="44"/>
  <c r="R84" i="44" s="1"/>
  <c r="L44" i="44"/>
  <c r="L46" i="44" s="1"/>
  <c r="P44" i="44"/>
  <c r="P46" i="44" s="1"/>
  <c r="AN81" i="44"/>
  <c r="AN84" i="44" s="1"/>
  <c r="O44" i="44"/>
  <c r="O46" i="44" s="1"/>
  <c r="DX1" i="46"/>
  <c r="AN63" i="44"/>
  <c r="AN64" i="44" s="1"/>
  <c r="AN74" i="44" s="1"/>
  <c r="S81" i="44"/>
  <c r="S84" i="44" s="1"/>
  <c r="DP1" i="46"/>
  <c r="W81" i="44"/>
  <c r="W84" i="44" s="1"/>
  <c r="AU74" i="44"/>
  <c r="DV1" i="46"/>
  <c r="AR74" i="44"/>
  <c r="S63" i="44"/>
  <c r="S64" i="44" s="1"/>
  <c r="S74" i="44" s="1"/>
  <c r="GB1" i="46"/>
  <c r="AN1" i="47"/>
  <c r="AL1" i="47"/>
  <c r="AV69" i="44"/>
  <c r="BR47" i="47"/>
  <c r="AW81" i="44"/>
  <c r="AW84" i="44" s="1"/>
  <c r="BA68" i="44"/>
  <c r="BA74" i="44"/>
  <c r="BF81" i="44"/>
  <c r="BF84" i="44" s="1"/>
  <c r="AO68" i="44"/>
  <c r="M68" i="44"/>
  <c r="AA68" i="44"/>
  <c r="AA74" i="44"/>
  <c r="BA81" i="44"/>
  <c r="BA84" i="44" s="1"/>
  <c r="AB81" i="44"/>
  <c r="AB84" i="44" s="1"/>
  <c r="AB63" i="44"/>
  <c r="AB64" i="44" s="1"/>
  <c r="HH1" i="46"/>
  <c r="R63" i="44"/>
  <c r="R64" i="44" s="1"/>
  <c r="DN1" i="46"/>
  <c r="AW63" i="44"/>
  <c r="AW64" i="44" s="1"/>
  <c r="W63" i="44"/>
  <c r="W64" i="44" s="1"/>
  <c r="BF63" i="44"/>
  <c r="BF64" i="44" s="1"/>
  <c r="AQ81" i="44"/>
  <c r="AQ84" i="44" s="1"/>
  <c r="AP44" i="44"/>
  <c r="AP46" i="44" s="1"/>
  <c r="Q44" i="44"/>
  <c r="Q46" i="44" s="1"/>
  <c r="AQ63" i="44"/>
  <c r="AQ64" i="44" s="1"/>
  <c r="I43" i="43"/>
  <c r="K44" i="44"/>
  <c r="K46" i="44" s="1"/>
  <c r="D64" i="44"/>
  <c r="T74" i="44" l="1"/>
  <c r="BB1" i="46"/>
  <c r="AN68" i="44"/>
  <c r="BB63" i="44"/>
  <c r="BB64" i="44" s="1"/>
  <c r="BB68" i="44" s="1"/>
  <c r="BR1" i="46"/>
  <c r="AS74" i="44"/>
  <c r="AR68" i="44"/>
  <c r="E74" i="44"/>
  <c r="BJ74" i="44"/>
  <c r="HP1" i="46"/>
  <c r="L63" i="44"/>
  <c r="L64" i="44" s="1"/>
  <c r="L68" i="44" s="1"/>
  <c r="L81" i="44"/>
  <c r="L84" i="44" s="1"/>
  <c r="BB81" i="44"/>
  <c r="BB84" i="44" s="1"/>
  <c r="S68" i="44"/>
  <c r="J74" i="44"/>
  <c r="J68" i="44"/>
  <c r="BZ36" i="47"/>
  <c r="J81" i="44"/>
  <c r="J84" i="44" s="1"/>
  <c r="DF1" i="46"/>
  <c r="P63" i="44"/>
  <c r="P64" i="44" s="1"/>
  <c r="O63" i="44"/>
  <c r="O64" i="44" s="1"/>
  <c r="O68" i="44" s="1"/>
  <c r="O81" i="44"/>
  <c r="O84" i="44" s="1"/>
  <c r="CX1" i="46"/>
  <c r="P81" i="44"/>
  <c r="P84" i="44" s="1"/>
  <c r="Q81" i="44"/>
  <c r="Q84" i="44" s="1"/>
  <c r="CP1" i="46"/>
  <c r="BA69" i="44"/>
  <c r="HF42" i="46"/>
  <c r="D68" i="44"/>
  <c r="D74" i="44"/>
  <c r="AK68" i="44"/>
  <c r="AK74" i="44"/>
  <c r="W68" i="44"/>
  <c r="W74" i="44"/>
  <c r="AW68" i="44"/>
  <c r="AW74" i="44"/>
  <c r="AB68" i="44"/>
  <c r="AB74" i="44"/>
  <c r="AQ68" i="44"/>
  <c r="AQ74" i="44"/>
  <c r="BF68" i="44"/>
  <c r="BF74" i="44"/>
  <c r="R68" i="44"/>
  <c r="R74" i="44"/>
  <c r="Q63" i="44"/>
  <c r="Q64" i="44" s="1"/>
  <c r="AP63" i="44"/>
  <c r="AP64" i="44" s="1"/>
  <c r="AP81" i="44"/>
  <c r="AP84" i="44" s="1"/>
  <c r="AL63" i="44"/>
  <c r="AL81" i="44"/>
  <c r="AL84" i="44" s="1"/>
  <c r="P1" i="46"/>
  <c r="BJ1" i="46"/>
  <c r="K63" i="44"/>
  <c r="K81" i="44"/>
  <c r="K84" i="44" s="1"/>
  <c r="BB74" i="44" l="1"/>
  <c r="L74" i="44"/>
  <c r="BZ43" i="47"/>
  <c r="E69" i="44"/>
  <c r="N41" i="46"/>
  <c r="O74" i="44"/>
  <c r="AK69" i="44"/>
  <c r="H58" i="46"/>
  <c r="P74" i="44"/>
  <c r="P68" i="44"/>
  <c r="AP68" i="44"/>
  <c r="AP74" i="44"/>
  <c r="Q68" i="44"/>
  <c r="Q74" i="44"/>
  <c r="K64" i="44"/>
  <c r="AL64" i="44"/>
  <c r="AL68" i="44" s="1"/>
  <c r="AL70" i="44" l="1"/>
  <c r="BZ47" i="47"/>
  <c r="BJ69" i="44"/>
  <c r="AL74" i="44"/>
  <c r="K68" i="44"/>
  <c r="K74" i="44"/>
  <c r="AL69" i="44" l="1"/>
  <c r="N51" i="46"/>
  <c r="ER16" i="46"/>
  <c r="ER17" i="46" l="1"/>
  <c r="ER14" i="46" l="1"/>
  <c r="ER15" i="46" l="1"/>
  <c r="ER18" i="46" s="1"/>
  <c r="ER19" i="46" l="1"/>
  <c r="ER21" i="46" s="1"/>
  <c r="ER23" i="46" s="1"/>
  <c r="ER30" i="46" l="1"/>
  <c r="ER31" i="46" s="1"/>
  <c r="ER32" i="46" s="1"/>
  <c r="ER25" i="46"/>
  <c r="ER27" i="46" s="1"/>
  <c r="ES16" i="46" l="1"/>
  <c r="EU16" i="46" l="1"/>
  <c r="EV16" i="46" s="1"/>
  <c r="ET16" i="46"/>
  <c r="ES19" i="46"/>
  <c r="EU19" i="46" l="1"/>
  <c r="EV19" i="46" s="1"/>
  <c r="ET19" i="46"/>
  <c r="ES17" i="46" l="1"/>
  <c r="EU17" i="46" l="1"/>
  <c r="EV17" i="46" s="1"/>
  <c r="ET17" i="46"/>
  <c r="V37" i="44" l="1"/>
  <c r="AI37" i="44" s="1"/>
  <c r="AJ37" i="44" s="1"/>
  <c r="ES14" i="46"/>
  <c r="BP37" i="44" l="1"/>
  <c r="D37" i="43"/>
  <c r="E37" i="43" s="1"/>
  <c r="G37" i="43" s="1"/>
  <c r="I37" i="43" s="1"/>
  <c r="ET14" i="46"/>
  <c r="EU14" i="46"/>
  <c r="EV14" i="46" l="1"/>
  <c r="ES15" i="46"/>
  <c r="EU15" i="46" l="1"/>
  <c r="ET15" i="46"/>
  <c r="ES18" i="46"/>
  <c r="ES21" i="46" s="1"/>
  <c r="ES23" i="46" s="1"/>
  <c r="ES30" i="46" l="1"/>
  <c r="ES31" i="46" s="1"/>
  <c r="ES32" i="46" s="1"/>
  <c r="ES25" i="46"/>
  <c r="ES27" i="46" s="1"/>
  <c r="ET18" i="46"/>
  <c r="ET21" i="46" s="1"/>
  <c r="ET23" i="46" s="1"/>
  <c r="V36" i="44"/>
  <c r="AI36" i="44" s="1"/>
  <c r="EV15" i="46"/>
  <c r="EV18" i="46" s="1"/>
  <c r="EV21" i="46" s="1"/>
  <c r="EV23" i="46" s="1"/>
  <c r="EU18" i="46"/>
  <c r="EU21" i="46" s="1"/>
  <c r="EU23" i="46" s="1"/>
  <c r="ET30" i="46" l="1"/>
  <c r="ET25" i="46"/>
  <c r="V42" i="44" s="1"/>
  <c r="EU30" i="46"/>
  <c r="EU31" i="46" s="1"/>
  <c r="EU32" i="46" s="1"/>
  <c r="EU25" i="46"/>
  <c r="EU27" i="46" s="1"/>
  <c r="EV30" i="46"/>
  <c r="EV31" i="46" s="1"/>
  <c r="EV32" i="46" s="1"/>
  <c r="EV25" i="46"/>
  <c r="EV27" i="46" s="1"/>
  <c r="V44" i="44" l="1"/>
  <c r="V46" i="44" s="1"/>
  <c r="ET31" i="46"/>
  <c r="V56" i="44" s="1"/>
  <c r="V54" i="44"/>
  <c r="AI54" i="44" s="1"/>
  <c r="ET27" i="46"/>
  <c r="D36" i="43"/>
  <c r="AJ36" i="44"/>
  <c r="V81" i="44" l="1"/>
  <c r="V84" i="44" s="1"/>
  <c r="ET1" i="46"/>
  <c r="AI56" i="44"/>
  <c r="AJ56" i="44" s="1"/>
  <c r="BP36" i="44"/>
  <c r="V59" i="44"/>
  <c r="E36" i="43"/>
  <c r="ET32" i="46"/>
  <c r="D56" i="43" l="1"/>
  <c r="E56" i="43" s="1"/>
  <c r="AI59" i="44"/>
  <c r="EU1" i="46"/>
  <c r="V48" i="44"/>
  <c r="V82" i="44" s="1"/>
  <c r="V85" i="44" s="1"/>
  <c r="V63" i="44"/>
  <c r="V64" i="44" s="1"/>
  <c r="AJ54" i="44"/>
  <c r="D54" i="43"/>
  <c r="G36" i="43"/>
  <c r="I36" i="43" s="1"/>
  <c r="AI48" i="44" l="1"/>
  <c r="AI82" i="44" s="1"/>
  <c r="AI85" i="44" s="1"/>
  <c r="V68" i="44"/>
  <c r="V74" i="44"/>
  <c r="D59" i="43"/>
  <c r="D48" i="43" s="1"/>
  <c r="E54" i="43"/>
  <c r="E59" i="43" s="1"/>
  <c r="AJ59" i="44"/>
  <c r="D70" i="43" l="1"/>
  <c r="AJ48" i="44"/>
  <c r="AJ82" i="44" s="1"/>
  <c r="AJ85" i="44" s="1"/>
  <c r="E48" i="43" l="1"/>
  <c r="E70" i="43" s="1"/>
  <c r="AC14" i="46"/>
  <c r="AC19" i="46" s="1"/>
  <c r="AD19" i="46" s="1"/>
  <c r="AD14" i="46"/>
  <c r="AD21" i="46" l="1"/>
  <c r="AC21" i="46"/>
  <c r="AC22" i="46" s="1"/>
  <c r="G42" i="44" l="1"/>
  <c r="AD22" i="46"/>
  <c r="AC38" i="46" s="1"/>
  <c r="AD38" i="46" s="1"/>
  <c r="AD39" i="46" s="1"/>
  <c r="G44" i="44" l="1"/>
  <c r="G46" i="44" s="1"/>
  <c r="G63" i="44" l="1"/>
  <c r="G81" i="44"/>
  <c r="G84" i="44" s="1"/>
  <c r="AD1" i="46"/>
  <c r="G64" i="44" l="1"/>
  <c r="G68" i="44" l="1"/>
  <c r="G74" i="44"/>
  <c r="AD40" i="46" s="1"/>
  <c r="F35" i="62" l="1"/>
  <c r="K38" i="62"/>
  <c r="P38" i="62" s="1"/>
  <c r="D35" i="62"/>
  <c r="C14" i="62" l="1"/>
  <c r="D14" i="62" l="1"/>
  <c r="F14" i="62"/>
  <c r="K46" i="62" l="1"/>
  <c r="P46" i="62" s="1"/>
  <c r="D34" i="62"/>
  <c r="F34" i="62"/>
  <c r="C16" i="62" l="1"/>
  <c r="F16" i="62" l="1"/>
  <c r="D16" i="62"/>
  <c r="U17" i="42" l="1"/>
  <c r="F24" i="62" l="1"/>
  <c r="K42" i="62"/>
  <c r="P42" i="62" s="1"/>
  <c r="D24" i="62"/>
  <c r="F33" i="62" l="1"/>
  <c r="K45" i="62"/>
  <c r="P45" i="62" s="1"/>
  <c r="D33" i="62"/>
  <c r="C17" i="62" l="1"/>
  <c r="C9" i="62"/>
  <c r="F17" i="62" l="1"/>
  <c r="K52" i="62"/>
  <c r="P52" i="62" s="1"/>
  <c r="D17" i="62"/>
  <c r="F21" i="62"/>
  <c r="D21" i="62"/>
  <c r="K39" i="62"/>
  <c r="K48" i="62" l="1"/>
  <c r="P39" i="62"/>
  <c r="P48" i="62" l="1"/>
  <c r="S14" i="42" l="1"/>
  <c r="S16" i="42" s="1"/>
  <c r="U16" i="42" s="1"/>
  <c r="U18" i="42" s="1"/>
  <c r="P14" i="42" s="1"/>
  <c r="GI17" i="46" l="1"/>
  <c r="GJ17" i="46" l="1"/>
  <c r="AX54" i="44" l="1"/>
  <c r="BO54" i="44" l="1"/>
  <c r="F54" i="43" l="1"/>
  <c r="BP54" i="44"/>
  <c r="G54" i="43" l="1"/>
  <c r="I54" i="43" l="1"/>
  <c r="GI18" i="46" l="1"/>
  <c r="GJ18" i="46" l="1"/>
  <c r="GI19" i="46"/>
  <c r="GI27" i="46" s="1"/>
  <c r="AX56" i="44" l="1"/>
  <c r="GJ19" i="46"/>
  <c r="GJ27" i="46" s="1"/>
  <c r="BO56" i="44" l="1"/>
  <c r="AX59" i="44"/>
  <c r="GI1" i="46" l="1"/>
  <c r="AX63" i="44"/>
  <c r="AX64" i="44" s="1"/>
  <c r="AX48" i="44"/>
  <c r="AX82" i="44" s="1"/>
  <c r="AX85" i="44" s="1"/>
  <c r="F56" i="43"/>
  <c r="BP56" i="44"/>
  <c r="BP59" i="44" s="1"/>
  <c r="BO59" i="44"/>
  <c r="BP48" i="44" l="1"/>
  <c r="BO48" i="44"/>
  <c r="AX68" i="44"/>
  <c r="AX74" i="44"/>
  <c r="G56" i="43"/>
  <c r="F59" i="43"/>
  <c r="F48" i="43" s="1"/>
  <c r="AX69" i="44" l="1"/>
  <c r="BP82" i="44"/>
  <c r="BP85" i="44" s="1"/>
  <c r="I56" i="43"/>
  <c r="I59" i="43" s="1"/>
  <c r="I48" i="43" s="1"/>
  <c r="G59" i="43"/>
  <c r="F70" i="43"/>
  <c r="BO82" i="44"/>
  <c r="BO85" i="44" s="1"/>
  <c r="G48" i="43" l="1"/>
  <c r="AE14" i="46"/>
  <c r="AE19" i="46" l="1"/>
  <c r="AF14" i="46"/>
  <c r="C12" i="42"/>
  <c r="C15" i="42" s="1"/>
  <c r="G70" i="43"/>
  <c r="AF19" i="46" l="1"/>
  <c r="AF21" i="46" s="1"/>
  <c r="AE21" i="46"/>
  <c r="AE22" i="46" s="1"/>
  <c r="AM42" i="44" l="1"/>
  <c r="AF22" i="46"/>
  <c r="AC42" i="46" s="1"/>
  <c r="AD42" i="46" s="1"/>
  <c r="AD43" i="46" l="1"/>
  <c r="AM44" i="44"/>
  <c r="AM46" i="44" s="1"/>
  <c r="AM63" i="44" l="1"/>
  <c r="AM81" i="44"/>
  <c r="AM84" i="44" s="1"/>
  <c r="AF1" i="46"/>
  <c r="AM64" i="44" l="1"/>
  <c r="AM68" i="44" l="1"/>
  <c r="AM74" i="44"/>
  <c r="AD44" i="46" l="1"/>
  <c r="E17" i="49"/>
  <c r="E24" i="49" l="1"/>
  <c r="D27" i="47"/>
  <c r="E20" i="47" l="1"/>
  <c r="F17" i="49"/>
  <c r="J17" i="49" s="1"/>
  <c r="K17" i="49" s="1"/>
  <c r="C25" i="62" s="1"/>
  <c r="D20" i="47"/>
  <c r="F20" i="47" l="1"/>
  <c r="G25" i="62"/>
  <c r="D25" i="62"/>
  <c r="K66" i="62"/>
  <c r="F16" i="49"/>
  <c r="F21" i="49" l="1"/>
  <c r="F22" i="49" s="1"/>
  <c r="F28" i="49" s="1"/>
  <c r="J16" i="49"/>
  <c r="J21" i="49" l="1"/>
  <c r="J22" i="49" s="1"/>
  <c r="J28" i="49" s="1"/>
  <c r="K16" i="49"/>
  <c r="C20" i="62" l="1"/>
  <c r="K21" i="49"/>
  <c r="K28" i="49" s="1"/>
  <c r="K16" i="62"/>
  <c r="K24" i="62" l="1"/>
  <c r="P16" i="62"/>
  <c r="F20" i="62"/>
  <c r="D20" i="62"/>
  <c r="K65" i="62"/>
  <c r="K68" i="62" s="1"/>
  <c r="P24" i="62" l="1"/>
  <c r="K30" i="62"/>
  <c r="P30" i="62" l="1"/>
  <c r="K50" i="62"/>
  <c r="K54" i="62" l="1"/>
  <c r="P54" i="62" s="1"/>
  <c r="P50" i="62"/>
  <c r="D18" i="47" l="1"/>
  <c r="D19" i="47"/>
  <c r="D22" i="47"/>
  <c r="D21" i="47"/>
  <c r="D24" i="47" l="1"/>
  <c r="D31" i="47" s="1"/>
  <c r="D34" i="47" s="1"/>
  <c r="D36" i="47" s="1"/>
  <c r="D37" i="47" s="1"/>
  <c r="E19" i="49"/>
  <c r="E27" i="47"/>
  <c r="F27" i="47" s="1"/>
  <c r="E16" i="49" l="1"/>
  <c r="G20" i="47"/>
  <c r="H20" i="47" s="1"/>
  <c r="E18" i="49"/>
  <c r="E22" i="47" l="1"/>
  <c r="G19" i="47"/>
  <c r="E19" i="47" l="1"/>
  <c r="F19" i="47" s="1"/>
  <c r="F22" i="47"/>
  <c r="H22" i="47"/>
  <c r="G24" i="47"/>
  <c r="E21" i="47"/>
  <c r="BD16" i="44" l="1"/>
  <c r="H19" i="47"/>
  <c r="H21" i="47"/>
  <c r="F21" i="47"/>
  <c r="BD25" i="44" l="1"/>
  <c r="BO25" i="44" s="1"/>
  <c r="BO16" i="44"/>
  <c r="BD18" i="44"/>
  <c r="BP25" i="44" l="1"/>
  <c r="F25" i="43"/>
  <c r="G25" i="43" s="1"/>
  <c r="BP16" i="44"/>
  <c r="BP18" i="44" s="1"/>
  <c r="BO18" i="44"/>
  <c r="F16" i="43"/>
  <c r="G16" i="43" l="1"/>
  <c r="F18" i="43"/>
  <c r="I25" i="43"/>
  <c r="K73" i="62"/>
  <c r="K74" i="62" s="1"/>
  <c r="G18" i="43" l="1"/>
  <c r="C30" i="62"/>
  <c r="I16" i="43"/>
  <c r="K81" i="62"/>
  <c r="D30" i="62" l="1"/>
  <c r="C46" i="62" s="1"/>
  <c r="D46" i="62" s="1"/>
  <c r="K80" i="62"/>
  <c r="K82" i="62" s="1"/>
  <c r="G30" i="62"/>
  <c r="G36" i="62" s="1"/>
  <c r="G38" i="62" s="1"/>
  <c r="K13" i="62"/>
  <c r="E15" i="49" l="1"/>
  <c r="E21" i="49" s="1"/>
  <c r="E22" i="49" l="1"/>
  <c r="E28" i="49" s="1"/>
  <c r="E18" i="47" l="1"/>
  <c r="E24" i="47" l="1"/>
  <c r="E31" i="47" s="1"/>
  <c r="E34" i="47" s="1"/>
  <c r="E36" i="47" s="1"/>
  <c r="E37" i="47" s="1"/>
  <c r="H18" i="47"/>
  <c r="F18" i="47"/>
  <c r="BD24" i="44" l="1"/>
  <c r="H24" i="47"/>
  <c r="F24" i="47"/>
  <c r="F31" i="47" s="1"/>
  <c r="F34" i="47" s="1"/>
  <c r="X24" i="44"/>
  <c r="BO24" i="44" l="1"/>
  <c r="BD27" i="44"/>
  <c r="F36" i="47"/>
  <c r="X42" i="44" s="1"/>
  <c r="X27" i="44"/>
  <c r="AI24" i="44"/>
  <c r="X44" i="44" l="1"/>
  <c r="X46" i="44" s="1"/>
  <c r="D24" i="43"/>
  <c r="AJ24" i="44"/>
  <c r="AJ27" i="44" s="1"/>
  <c r="AI27" i="44"/>
  <c r="BO27" i="44"/>
  <c r="F24" i="43"/>
  <c r="F27" i="43" s="1"/>
  <c r="F37" i="47"/>
  <c r="AI42" i="44"/>
  <c r="X81" i="44"/>
  <c r="X84" i="44" s="1"/>
  <c r="BP24" i="44" l="1"/>
  <c r="BP27" i="44" s="1"/>
  <c r="F1" i="47"/>
  <c r="X63" i="44"/>
  <c r="AI63" i="44" s="1"/>
  <c r="AI44" i="44"/>
  <c r="AI46" i="44" s="1"/>
  <c r="AJ42" i="44"/>
  <c r="AJ44" i="44" s="1"/>
  <c r="AJ46" i="44" s="1"/>
  <c r="D42" i="43"/>
  <c r="E42" i="43" s="1"/>
  <c r="D27" i="43"/>
  <c r="E24" i="43"/>
  <c r="X64" i="44" l="1"/>
  <c r="D44" i="43"/>
  <c r="D46" i="43" s="1"/>
  <c r="D63" i="43" s="1"/>
  <c r="D64" i="43" s="1"/>
  <c r="AI81" i="44"/>
  <c r="AI84" i="44" s="1"/>
  <c r="X68" i="44"/>
  <c r="X74" i="44"/>
  <c r="AI64" i="44"/>
  <c r="AJ63" i="44"/>
  <c r="AJ64" i="44" s="1"/>
  <c r="E27" i="43"/>
  <c r="E44" i="43" s="1"/>
  <c r="E46" i="43" s="1"/>
  <c r="E69" i="43" s="1"/>
  <c r="G24" i="43"/>
  <c r="AJ50" i="44"/>
  <c r="AJ81" i="44"/>
  <c r="AJ84" i="44" s="1"/>
  <c r="D69" i="43" l="1"/>
  <c r="AJ68" i="44"/>
  <c r="AJ74" i="44"/>
  <c r="K69" i="62"/>
  <c r="K70" i="62" s="1"/>
  <c r="G27" i="43"/>
  <c r="I24" i="43"/>
  <c r="I27" i="43" s="1"/>
  <c r="L13" i="62" s="1"/>
  <c r="AI68" i="44"/>
  <c r="AI74" i="44"/>
  <c r="E63" i="43"/>
  <c r="E64" i="43" s="1"/>
  <c r="E67" i="43" s="1"/>
  <c r="E50" i="43"/>
  <c r="L30" i="62" l="1"/>
  <c r="M30" i="62" s="1"/>
  <c r="M13" i="62"/>
  <c r="L24" i="62" l="1"/>
  <c r="M24" i="62" s="1"/>
  <c r="G27" i="47" l="1"/>
  <c r="H27" i="47" l="1"/>
  <c r="G31" i="47"/>
  <c r="G34" i="47" s="1"/>
  <c r="G36" i="47" s="1"/>
  <c r="G37" i="47" s="1"/>
  <c r="BD29" i="44" l="1"/>
  <c r="H31" i="47"/>
  <c r="H34" i="47" s="1"/>
  <c r="BO29" i="44" l="1"/>
  <c r="H36" i="47"/>
  <c r="BD42" i="44" s="1"/>
  <c r="H37" i="47" l="1"/>
  <c r="BD44" i="44"/>
  <c r="BD46" i="44" s="1"/>
  <c r="BO42" i="44"/>
  <c r="BO44" i="44" s="1"/>
  <c r="BO46" i="44" s="1"/>
  <c r="F29" i="43"/>
  <c r="BP29" i="44"/>
  <c r="L35" i="62" s="1"/>
  <c r="M35" i="62" s="1"/>
  <c r="H1" i="47" l="1"/>
  <c r="G29" i="43"/>
  <c r="BP42" i="44"/>
  <c r="BP44" i="44" s="1"/>
  <c r="BP46" i="44" s="1"/>
  <c r="F42" i="43"/>
  <c r="G42" i="43" s="1"/>
  <c r="BO81" i="44"/>
  <c r="BO84" i="44" s="1"/>
  <c r="BD81" i="44"/>
  <c r="BD84" i="44" s="1"/>
  <c r="BD63" i="44"/>
  <c r="G44" i="43" l="1"/>
  <c r="G46" i="43" s="1"/>
  <c r="G63" i="43" s="1"/>
  <c r="G64" i="43" s="1"/>
  <c r="F44" i="43"/>
  <c r="F46" i="43" s="1"/>
  <c r="BD64" i="44"/>
  <c r="BO63" i="44"/>
  <c r="BP63" i="44" s="1"/>
  <c r="BP64" i="44" s="1"/>
  <c r="BP81" i="44"/>
  <c r="BP84" i="44" s="1"/>
  <c r="BP50" i="44"/>
  <c r="K77" i="62"/>
  <c r="I29" i="43"/>
  <c r="C29" i="62"/>
  <c r="G69" i="43" l="1"/>
  <c r="G50" i="43"/>
  <c r="C17" i="42"/>
  <c r="C18" i="42" s="1"/>
  <c r="C21" i="42" s="1"/>
  <c r="H14" i="43" s="1"/>
  <c r="F63" i="43"/>
  <c r="F64" i="43" s="1"/>
  <c r="G67" i="43" s="1"/>
  <c r="F69" i="43"/>
  <c r="BP74" i="44"/>
  <c r="BP68" i="44"/>
  <c r="BD74" i="44"/>
  <c r="BD68" i="44"/>
  <c r="BO64" i="44"/>
  <c r="K76" i="62"/>
  <c r="K78" i="62" s="1"/>
  <c r="D29" i="62"/>
  <c r="F29" i="62"/>
  <c r="F36" i="62" s="1"/>
  <c r="F38" i="62" s="1"/>
  <c r="C36" i="62"/>
  <c r="H42" i="43" l="1"/>
  <c r="I42" i="43" s="1"/>
  <c r="H32" i="43"/>
  <c r="I32" i="43" s="1"/>
  <c r="C28" i="42"/>
  <c r="H35" i="43"/>
  <c r="I35" i="43" s="1"/>
  <c r="BP69" i="44"/>
  <c r="H41" i="43"/>
  <c r="I41" i="43" s="1"/>
  <c r="H18" i="43"/>
  <c r="I14" i="43"/>
  <c r="I18" i="43" s="1"/>
  <c r="BO68" i="44"/>
  <c r="BO74" i="44"/>
  <c r="BD69" i="44"/>
  <c r="C38" i="62"/>
  <c r="H38" i="62" s="1"/>
  <c r="H36" i="62"/>
  <c r="K55" i="62"/>
  <c r="D36" i="62"/>
  <c r="C44" i="62" s="1"/>
  <c r="D44" i="62" s="1"/>
  <c r="C45" i="62"/>
  <c r="H44" i="43" l="1"/>
  <c r="I44" i="43"/>
  <c r="I46" i="43" s="1"/>
  <c r="D45" i="62"/>
  <c r="D47" i="62" s="1"/>
  <c r="C47" i="62"/>
  <c r="H46" i="43"/>
  <c r="H63" i="43" s="1"/>
  <c r="H64" i="43" s="1"/>
  <c r="I11" i="43"/>
  <c r="I50" i="43" l="1"/>
  <c r="I63" i="43"/>
  <c r="I64" i="43" s="1"/>
  <c r="P16" i="42" l="1"/>
  <c r="C32" i="42" s="1"/>
  <c r="C36" i="42" s="1"/>
  <c r="C30" i="4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Liu, Jing (UTC)</author>
  </authors>
  <commentList>
    <comment ref="BX3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PSE initial filing did not include DFIT.</t>
        </r>
      </text>
    </comment>
  </commentList>
</comments>
</file>

<file path=xl/sharedStrings.xml><?xml version="1.0" encoding="utf-8"?>
<sst xmlns="http://schemas.openxmlformats.org/spreadsheetml/2006/main" count="2651" uniqueCount="971">
  <si>
    <t>OPERATING REVENUES</t>
  </si>
  <si>
    <t>SALES TO CUSTOMERS</t>
  </si>
  <si>
    <t>SALES FROM RESALE-FIRM/SPECIAL CONTRACT</t>
  </si>
  <si>
    <t>SALES TO OTHER UTILITIES</t>
  </si>
  <si>
    <t>OTHER OPERATING REVENUES</t>
  </si>
  <si>
    <t>TOTAL OPERATING REVENUES</t>
  </si>
  <si>
    <t>OPERATING REVENUE DEDUCTIONS:</t>
  </si>
  <si>
    <t>POWER COSTS:</t>
  </si>
  <si>
    <t xml:space="preserve"> FUEL</t>
  </si>
  <si>
    <t xml:space="preserve"> PURCHASED AND INTERCHANGED</t>
  </si>
  <si>
    <t xml:space="preserve"> WHEELING</t>
  </si>
  <si>
    <t xml:space="preserve"> RESIDENTIAL EXCHANGE</t>
  </si>
  <si>
    <t>TOTAL PRODUCTION EXPENSES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</si>
  <si>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</si>
  <si>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</si>
  <si>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</si>
  <si>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</si>
  <si>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</si>
  <si>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</si>
  <si>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</si>
  <si>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</si>
  <si>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</si>
  <si>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</si>
  <si>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</si>
  <si>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ASC 815</t>
  </si>
  <si>
    <t>TAXES OTHER THAN INCOME TAXES</t>
  </si>
  <si>
    <t>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</si>
  <si>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</si>
  <si>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</si>
  <si>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</si>
  <si>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</si>
  <si>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</si>
  <si>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RATE BASE:</t>
  </si>
  <si>
    <t>GROSS UTILITY PLANT IN SERVICE</t>
  </si>
  <si>
    <t>ACCUM DEPR AND AMORT</t>
  </si>
  <si>
    <t xml:space="preserve">  DEFERRED DEBITS AND CREDITS</t>
  </si>
  <si>
    <t xml:space="preserve">  DEFERRED TAXES</t>
  </si>
  <si>
    <t xml:space="preserve">  ALLOWANCE FOR WORKING CAPITAL</t>
  </si>
  <si>
    <t xml:space="preserve">  OTHER</t>
  </si>
  <si>
    <t>TOTAL RATE BASE</t>
  </si>
  <si>
    <t>ACTUAL</t>
  </si>
  <si>
    <t>RESULTS OF</t>
  </si>
  <si>
    <t xml:space="preserve">OPERATIONS </t>
  </si>
  <si>
    <t>LINE</t>
  </si>
  <si>
    <t>NO.</t>
  </si>
  <si>
    <t xml:space="preserve">PUGET SOUND ENERGY </t>
  </si>
  <si>
    <t>POWER</t>
  </si>
  <si>
    <t>COSTS</t>
  </si>
  <si>
    <t>TAX</t>
  </si>
  <si>
    <t>ASC</t>
  </si>
  <si>
    <t>REVENUES</t>
  </si>
  <si>
    <t>FEDERAL</t>
  </si>
  <si>
    <t>ADJUSTMENT</t>
  </si>
  <si>
    <t>&amp; EXPENSES</t>
  </si>
  <si>
    <t>INCOME TAX</t>
  </si>
  <si>
    <t>D&amp;O</t>
  </si>
  <si>
    <t>DEFERRED G/L ON</t>
  </si>
  <si>
    <t>PROPERTY &amp;</t>
  </si>
  <si>
    <t>WAGE</t>
  </si>
  <si>
    <t>INVESTMENT</t>
  </si>
  <si>
    <t>EMPLOYEE</t>
  </si>
  <si>
    <t>INSURANCE</t>
  </si>
  <si>
    <t>PROPERTY SALES</t>
  </si>
  <si>
    <t>LIABILITY INS</t>
  </si>
  <si>
    <t>PLAN</t>
  </si>
  <si>
    <t>INCREASE</t>
  </si>
  <si>
    <t>TOTAL</t>
  </si>
  <si>
    <t>ADJUSTED</t>
  </si>
  <si>
    <t>AFTER</t>
  </si>
  <si>
    <t>ADJUSTMENTS</t>
  </si>
  <si>
    <t>RATE</t>
  </si>
  <si>
    <t>OPERATIONS</t>
  </si>
  <si>
    <t>ELECTRIC RESULTS OF OPERATIONS</t>
  </si>
  <si>
    <t>DESCRIPTION</t>
  </si>
  <si>
    <t>RATE BASE</t>
  </si>
  <si>
    <t>OPERATING INCOME REQUIREMENT</t>
  </si>
  <si>
    <t>PRO FORMA OPERATING INCOME</t>
  </si>
  <si>
    <t>OPERATING INCOME DEFICIENCY</t>
  </si>
  <si>
    <t>CONVERSION FACTOR</t>
  </si>
  <si>
    <t>GENERAL RATE INCREASE</t>
  </si>
  <si>
    <t>EQUITY</t>
  </si>
  <si>
    <t>TOTAL AFTER TAX COST OF CAPITAL</t>
  </si>
  <si>
    <t>BAD DEBTS</t>
  </si>
  <si>
    <t>ANNUAL FILING FEE</t>
  </si>
  <si>
    <t>SUM OF TAXES OTHER</t>
  </si>
  <si>
    <t>FIT</t>
  </si>
  <si>
    <t>CASE</t>
  </si>
  <si>
    <t>TESTYEAR</t>
  </si>
  <si>
    <t>DOCKETNUMBER</t>
  </si>
  <si>
    <t>Exhibit No.</t>
  </si>
  <si>
    <t>EXHIBIT</t>
  </si>
  <si>
    <t>PUGET SOUND ENERGY-ELECTRIC</t>
  </si>
  <si>
    <t>POWER COST</t>
  </si>
  <si>
    <t>PROFORMA</t>
  </si>
  <si>
    <t>INCREASE (DECREASE) INCOME</t>
  </si>
  <si>
    <t>INCREASE (DECREASE) NOI</t>
  </si>
  <si>
    <t>MONTANA ELECTRIC ENERGY TAX</t>
  </si>
  <si>
    <t>INCREASE (DECREASE) EXPENSE</t>
  </si>
  <si>
    <t>WILD HORSE SOLAR</t>
  </si>
  <si>
    <t>PLANT BALANCE</t>
  </si>
  <si>
    <t xml:space="preserve">ACCUM DEPRECIATION </t>
  </si>
  <si>
    <t>DEFERRED INCOME TAX LIABILITY</t>
  </si>
  <si>
    <t>DEPRECIATION EXPENSE</t>
  </si>
  <si>
    <t>INCREASE (DECREASE ) EXPENSE</t>
  </si>
  <si>
    <t>ACCOUNTING STANDARDS CODIFICATION 815 (FORMERLY SFAS 133)</t>
  </si>
  <si>
    <t>RESTATED</t>
  </si>
  <si>
    <t>ASC 815 OPERATING EXPENSE</t>
  </si>
  <si>
    <t>INCREASE (DECREASE) IN EXPENSE</t>
  </si>
  <si>
    <t>INCREASE(DECREASE) OPERATING INCOME</t>
  </si>
  <si>
    <t>STORM DAMAGE</t>
  </si>
  <si>
    <t>INCREASE (DECREASE) OPERATING EXPENSE</t>
  </si>
  <si>
    <t>REGULATORY ASSETS AND LIABILITIES</t>
  </si>
  <si>
    <t>AMA OF REGULATORY ASSET/LIABILITY NET OF ACCUM AMORT AND DFIT</t>
  </si>
  <si>
    <t>WESTCOAST PIPELINE CAPACITY - UE-082013 (FB ENERGY)</t>
  </si>
  <si>
    <t>WESTCOAST PIPELINE CAPACITY - UE-100503 (BNP PARIBUS)</t>
  </si>
  <si>
    <t>AMORTIZATION OF REGULATORY ASSET/LIABILITY</t>
  </si>
  <si>
    <t>INCREASE (DECREASE) FIT</t>
  </si>
  <si>
    <t>PURCHASED POWER</t>
  </si>
  <si>
    <t>OTHER POWER SUPPLY</t>
  </si>
  <si>
    <t>PAYROLL TAXES</t>
  </si>
  <si>
    <t>INCREASE(DECREASE) EXPENSE</t>
  </si>
  <si>
    <t>INCREASE(DECREASE) NOI</t>
  </si>
  <si>
    <t>Description</t>
  </si>
  <si>
    <t>Comp</t>
  </si>
  <si>
    <t>RY</t>
  </si>
  <si>
    <t>UNCOLLECTIBLES @</t>
  </si>
  <si>
    <t>ANNUAL FILING FEE @</t>
  </si>
  <si>
    <t>STATE UTILITY TAX @</t>
  </si>
  <si>
    <t>INCREASE (DECREASE) FIT @</t>
  </si>
  <si>
    <t>REVENUES AND EXPENSES</t>
  </si>
  <si>
    <t>REMOVE REVENUE ASSOCIATED WITH RIDERS:</t>
  </si>
  <si>
    <t>REMOVE CONSERVATION RIDER - SCHEDULE 120</t>
  </si>
  <si>
    <t>REMOVE MUNICIPAL TAXES - SCHEDULE 81</t>
  </si>
  <si>
    <t>REMOVE LOW INCOME AMORTIZATION - SCHEDULE 129</t>
  </si>
  <si>
    <t>REMOVE RESIDENTIAL EXCHANGE - SCH 194</t>
  </si>
  <si>
    <t>GREEN POWER - SCH 135/136 (TAGS ELIM IN PAGE 4.03)</t>
  </si>
  <si>
    <t>GREEN POWER - SCH 135/136 ELIMINATE UNDER EXPENSED</t>
  </si>
  <si>
    <t>DECREASE REVENUE SENSITIVE ITEMS FOR DECREASE IN REVENUES:</t>
  </si>
  <si>
    <t>STATE UTILITY TAX</t>
  </si>
  <si>
    <t>REMOVE EXPENSES ASSOCIATED WITH RIDERS</t>
  </si>
  <si>
    <t>GREEN POWER - SCH 135/136 BENEFITS PORTION OF ADMIN</t>
  </si>
  <si>
    <t>GREEN POWER - SCH 135/136 TAXES PORTION OF ADMIN</t>
  </si>
  <si>
    <t>TOTAL INCREASE (DECREASE) EXPENSE</t>
  </si>
  <si>
    <t>INCREASE (DECREASE) OPERATING INCOME BEFORE FIT</t>
  </si>
  <si>
    <t>PASS-THROUGH REVENUES AND EXPENSES</t>
  </si>
  <si>
    <t>FEDERAL INCOME TAX</t>
  </si>
  <si>
    <t>INCREASE(DECREASE) FIT</t>
  </si>
  <si>
    <t>INCREASE(DECREASE) DEFERRED FIT</t>
  </si>
  <si>
    <t xml:space="preserve">INCREASE(DECREASE) NOI </t>
  </si>
  <si>
    <t>TAX BENEFIT OF PRO FORMA INTEREST</t>
  </si>
  <si>
    <t xml:space="preserve"> </t>
  </si>
  <si>
    <t>NET RATE BASE</t>
  </si>
  <si>
    <t>WEIGHTED COST OF DEBT</t>
  </si>
  <si>
    <t>PROFORMA INTEREST</t>
  </si>
  <si>
    <t xml:space="preserve">INCREASE (DECREASE) FIT @ </t>
  </si>
  <si>
    <t>INCREASE(DECREASE) FIT @</t>
  </si>
  <si>
    <t>NORMALIZE INJURIES AND DAMAGES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</si>
  <si>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</si>
  <si>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</si>
  <si>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</si>
  <si>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</si>
  <si>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INCENTIVE PAY</t>
  </si>
  <si>
    <t>TRANSMISSION</t>
  </si>
  <si>
    <t>DISTRIBUTION</t>
  </si>
  <si>
    <t>CUSTOMER ACCTS</t>
  </si>
  <si>
    <t>CUSTOMER SERVICE</t>
  </si>
  <si>
    <t>SALES</t>
  </si>
  <si>
    <t>ADMIN. &amp; GENERAL</t>
  </si>
  <si>
    <t>EXCISE TAX &amp; FILING FEE</t>
  </si>
  <si>
    <t>D &amp; O INS. CHG  EXPENSE</t>
  </si>
  <si>
    <t>DIRECTORS &amp; OFFICERS INSURANCE</t>
  </si>
  <si>
    <t>INTEREST ON CUSTOMER DEPOSITS</t>
  </si>
  <si>
    <t>INTEREST EXPENSE AT MOST CURRENT INTEREST RATE</t>
  </si>
  <si>
    <t>RATE CASE EXPENSES</t>
  </si>
  <si>
    <t>EXPENSES TO BE NORMALIZED:</t>
  </si>
  <si>
    <t>PROPERTY &amp; LIABILITY INSURANCE</t>
  </si>
  <si>
    <t>DEFERRED GAINS/LOSSES ON PROPERTY SALES</t>
  </si>
  <si>
    <t>PROPERTY INSURANCE EXPENSE</t>
  </si>
  <si>
    <t>LIABILITY INSURANCE EXPENSE</t>
  </si>
  <si>
    <t>PENSION PLAN</t>
  </si>
  <si>
    <t>QUALIFIED RETIREMENT FUND</t>
  </si>
  <si>
    <t>WAGE INCREASE</t>
  </si>
  <si>
    <t>WAGES:</t>
  </si>
  <si>
    <t>TOTAL WAGE INCREASE</t>
  </si>
  <si>
    <t>TOTAL WAGES &amp; TAXES</t>
  </si>
  <si>
    <t>INVESTMENT PLAN</t>
  </si>
  <si>
    <t>INVESTMENT PLAN APPLICABLE TO MANAGEMENT</t>
  </si>
  <si>
    <t>IBEW</t>
  </si>
  <si>
    <t>INVESTMENT PLAN APPLICABLE TO IBEW</t>
  </si>
  <si>
    <t>UA</t>
  </si>
  <si>
    <t>INVESTMENT PLAN APPLICABLE TO UA</t>
  </si>
  <si>
    <t>BENEFIT CONTRIBUTION:</t>
  </si>
  <si>
    <t>UNION EMPLOYEES</t>
  </si>
  <si>
    <t>APPLICABLE TO OPERATIONS @</t>
  </si>
  <si>
    <t>NOI</t>
  </si>
  <si>
    <t>ROR</t>
  </si>
  <si>
    <t>RATEBASE</t>
  </si>
  <si>
    <t>BEFORE CHANGES</t>
  </si>
  <si>
    <t>AFTER CHANGES</t>
  </si>
  <si>
    <t>NOI - After</t>
  </si>
  <si>
    <t>RATEBASE - After</t>
  </si>
  <si>
    <t>DIFFERENCE</t>
  </si>
  <si>
    <t>EMPLOYEE INSURANCE</t>
  </si>
  <si>
    <t>*</t>
  </si>
  <si>
    <t>12 ME APRIL 2021</t>
  </si>
  <si>
    <t>COMMON</t>
  </si>
  <si>
    <t>ELECTRIC</t>
  </si>
  <si>
    <t>REMEDIATION</t>
  </si>
  <si>
    <t>2019 GENERAL RATE CASE</t>
  </si>
  <si>
    <t>TOTAL INCREASE (DECREASE) OPERATING EXPENSE</t>
  </si>
  <si>
    <t>ENVIROMENTAL REMEDIATION</t>
  </si>
  <si>
    <t>SHORT AND LONG TERM DEBT</t>
  </si>
  <si>
    <t>REMOVE PROPERTY TAX TRACKER - SCHEDULE 140</t>
  </si>
  <si>
    <t>REMOVE REC PROCEEDS - SCH 137</t>
  </si>
  <si>
    <t>REMOVE EXPENSES ASSOCIATED WITH SCH 137 REC PROCEEDS</t>
  </si>
  <si>
    <t>REMOVE DECOUPLING SCH 142 REVENUE</t>
  </si>
  <si>
    <t>REMOVE DECOUPLING SCH 142 SURCHARGE AMORT EXPENSE</t>
  </si>
  <si>
    <t>REMOVE PROPERTY TAX AMORTIZATION EXP - SCHEDULE 140</t>
  </si>
  <si>
    <t>REMOVE AMORT ON INTEREST ON REC PROCEEDS SCH 137</t>
  </si>
  <si>
    <t>GREEN POWER - SCH 135/136 CHARGED TO C.99999.03.37.01</t>
  </si>
  <si>
    <t>EXPENSES OF LAST 2 COMPLETED GRCS</t>
  </si>
  <si>
    <t xml:space="preserve">      2017 AND 2011 GRC EXPENSES TO BE NORMALIZED</t>
  </si>
  <si>
    <t xml:space="preserve">EXPENSES OF LAST 2 COMPLETED PCORCS </t>
  </si>
  <si>
    <t xml:space="preserve">     2014 AND 2013 PCORC EXPENSES TO BE NORMALIZED</t>
  </si>
  <si>
    <t>TOTAL INCENTIVE / MERIT PAY</t>
  </si>
  <si>
    <t>PAYROLL TAXES ASSOCI WITH MERIT PAY</t>
  </si>
  <si>
    <t>INCREASE (DECREASE ) IN EXPENSE</t>
  </si>
  <si>
    <t>EXCISE TAXES</t>
  </si>
  <si>
    <t>WUTC FILING FEE</t>
  </si>
  <si>
    <t>INCREASE(DECREASE) EXCISE AND WUTC FILING FEE</t>
  </si>
  <si>
    <t xml:space="preserve">INCREASE(DECREASE) OPERATING EXPENSE </t>
  </si>
  <si>
    <t>INCREASE(DECREASE) OPERATING EXPENSE (LINE 3)</t>
  </si>
  <si>
    <t>Puget Sound Energy</t>
  </si>
  <si>
    <t>MINT FARM DEFFRED - UE-090704 (FERC 407.3)</t>
  </si>
  <si>
    <t>CHELAN PUD</t>
  </si>
  <si>
    <t xml:space="preserve">CHELAN - ROCK ISLAND SECURITY DEPOSIT </t>
  </si>
  <si>
    <t>COLSTRIP 1&amp;2 (WECo) PREPAYMENT</t>
  </si>
  <si>
    <t>LOWER SNAKE RIVER PP TRANSM PRINCIPAL $99.8M</t>
  </si>
  <si>
    <t>CARRYING CHARGES ON LSR PP TRANSM $99.8M (FERC 407.3)</t>
  </si>
  <si>
    <t>BAKER LICENSE UPGRADE DEFERRAL (2013 PCORC) (FERC 407.3)</t>
  </si>
  <si>
    <t>SNOQUALMIE LICENSE UPGRADE DEFERRAL (2013 PCORC) (FERC 407.3)</t>
  </si>
  <si>
    <t>FERNDALE DEFERRAL (2013 PCORC) (FERC 407.3)</t>
  </si>
  <si>
    <t>BAKER TREASURY GRANT DEFERRAL (2014 PCORC) (FERC 407.4)</t>
  </si>
  <si>
    <t>SNOQUALMIE TREASURY GRANT DEFERRAL (2014 PCORC) (FERC 407.4)</t>
  </si>
  <si>
    <t>ELECTRON UNRECOVERED COST (2014 PCORC) (FERC 407.3)</t>
  </si>
  <si>
    <t>TOTAL REGULATORY ASSETS</t>
  </si>
  <si>
    <t>|------------  (Note 1)  ------------|</t>
  </si>
  <si>
    <t>TOTAL AMORTIZATION OF REG ASSETS/LIABS</t>
  </si>
  <si>
    <t xml:space="preserve">TOTAL REGULATORY AMORT </t>
  </si>
  <si>
    <t xml:space="preserve">INCREASE (DECREASE) FIT </t>
  </si>
  <si>
    <t>CF</t>
  </si>
  <si>
    <t>Surplus / (Deficiency)</t>
  </si>
  <si>
    <t>Revenue Requirement or (Surplus)</t>
  </si>
  <si>
    <t>RESTATING</t>
  </si>
  <si>
    <t>PROFORMING</t>
  </si>
  <si>
    <t xml:space="preserve">RESTATING </t>
  </si>
  <si>
    <t>`</t>
  </si>
  <si>
    <t>OPEN</t>
  </si>
  <si>
    <t>DFIT</t>
  </si>
  <si>
    <t>AMI</t>
  </si>
  <si>
    <t>INCREASE(DECREASE) FIT @ 21%</t>
  </si>
  <si>
    <t>%'s</t>
  </si>
  <si>
    <t xml:space="preserve">UNCOLLECTIBLES CHARGED TO EXPENSE </t>
  </si>
  <si>
    <t>TY</t>
  </si>
  <si>
    <t>(a)</t>
  </si>
  <si>
    <t>(b)</t>
  </si>
  <si>
    <t>(c)=(b)-(a)</t>
  </si>
  <si>
    <t>(d)</t>
  </si>
  <si>
    <t>(e)=(d)-(b)</t>
  </si>
  <si>
    <t>WILD HORSE SOLAR RATEBASE (AMA)</t>
  </si>
  <si>
    <t>UTILITY PLANT RATEBASE</t>
  </si>
  <si>
    <t>NET WH SOLAR PLANT RATEBASE</t>
  </si>
  <si>
    <t>WILD HORSE SOLAR OPERATING EXPENSE</t>
  </si>
  <si>
    <t>12 MONTHS ENDED DECEMBER 31, 2018</t>
  </si>
  <si>
    <t>ELECTRIC STATEMENT OF OPERATING INCOME</t>
  </si>
  <si>
    <t>AND ADJUSTMENTS</t>
  </si>
  <si>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</si>
  <si>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</si>
  <si>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</si>
  <si>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</si>
  <si>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</si>
  <si>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</si>
  <si>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</si>
  <si>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</si>
  <si>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</si>
  <si>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</si>
  <si>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</si>
  <si>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</si>
  <si>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</si>
  <si>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u</t>
  </si>
  <si>
    <t>v</t>
  </si>
  <si>
    <t>ab</t>
  </si>
  <si>
    <t>ac</t>
  </si>
  <si>
    <t>ah</t>
  </si>
  <si>
    <t>ai</t>
  </si>
  <si>
    <t>aj</t>
  </si>
  <si>
    <t>am</t>
  </si>
  <si>
    <t>an</t>
  </si>
  <si>
    <t>ao</t>
  </si>
  <si>
    <t>ap</t>
  </si>
  <si>
    <t>ar</t>
  </si>
  <si>
    <t>as</t>
  </si>
  <si>
    <t>at</t>
  </si>
  <si>
    <t>au</t>
  </si>
  <si>
    <t>aw</t>
  </si>
  <si>
    <t>av</t>
  </si>
  <si>
    <t>ay</t>
  </si>
  <si>
    <t>az</t>
  </si>
  <si>
    <t>ba</t>
  </si>
  <si>
    <t>bc</t>
  </si>
  <si>
    <t>bd</t>
  </si>
  <si>
    <t>bf</t>
  </si>
  <si>
    <t>bg</t>
  </si>
  <si>
    <t>TEMPERATURE</t>
  </si>
  <si>
    <t>TAX BENEFIT OF</t>
  </si>
  <si>
    <t>PASS-THROUGH</t>
  </si>
  <si>
    <t>INJURIES &amp;</t>
  </si>
  <si>
    <t>BAD</t>
  </si>
  <si>
    <t>INCENTIVE</t>
  </si>
  <si>
    <t xml:space="preserve">EXCISE TAX </t>
  </si>
  <si>
    <t>RATE CASE</t>
  </si>
  <si>
    <t>PENSION</t>
  </si>
  <si>
    <t>AMA TO EOP</t>
  </si>
  <si>
    <t>ANNUALIZE</t>
  </si>
  <si>
    <t>MONTANA</t>
  </si>
  <si>
    <t>WILD HORSE</t>
  </si>
  <si>
    <t xml:space="preserve">STORM </t>
  </si>
  <si>
    <t>CREDIT  CARD</t>
  </si>
  <si>
    <t xml:space="preserve">REGULATORY </t>
  </si>
  <si>
    <t>NORMALIZATION</t>
  </si>
  <si>
    <t>REV &amp; EXP</t>
  </si>
  <si>
    <t>DAMAGES</t>
  </si>
  <si>
    <t>DEBTS</t>
  </si>
  <si>
    <t>PAY</t>
  </si>
  <si>
    <t>&amp; FILING FEE</t>
  </si>
  <si>
    <t>CUST DEPOSITS</t>
  </si>
  <si>
    <t>EXPENSE</t>
  </si>
  <si>
    <t>RENT EXP</t>
  </si>
  <si>
    <t>SOLAR</t>
  </si>
  <si>
    <t>815</t>
  </si>
  <si>
    <t>DAMAGE</t>
  </si>
  <si>
    <t/>
  </si>
  <si>
    <t>AMORT</t>
  </si>
  <si>
    <t>COST</t>
  </si>
  <si>
    <t>ASSETS &amp; LIAB</t>
  </si>
  <si>
    <t>ENVIRON</t>
  </si>
  <si>
    <t>INTEREST</t>
  </si>
  <si>
    <t>A</t>
  </si>
  <si>
    <t>B</t>
  </si>
  <si>
    <t>C =B-A</t>
  </si>
  <si>
    <t>D</t>
  </si>
  <si>
    <t>E=D-B</t>
  </si>
  <si>
    <t>COST OF CAPITAL - GRC</t>
  </si>
  <si>
    <t>restating ROR</t>
  </si>
  <si>
    <t xml:space="preserve">AMORTIZATION of NET DEFERRED GAIN </t>
  </si>
  <si>
    <t>APPROVED IN  UE-170033 &amp; PENDING APPROVAL</t>
  </si>
  <si>
    <t>INCREASE (DECREASE) EXPENSE  (LINE 2)</t>
  </si>
  <si>
    <t>AMA TO EOP RATE BASE</t>
  </si>
  <si>
    <t xml:space="preserve">INTEREST ON </t>
  </si>
  <si>
    <t>WHITE RIVER PLANT COSTS (2004 GRC)</t>
  </si>
  <si>
    <t>AFTER TAX SHORT TERM DEBT ( (LINE 1)* 79%)</t>
  </si>
  <si>
    <t>UE-__________</t>
  </si>
  <si>
    <t>CAPITAL</t>
  </si>
  <si>
    <t>STRUCTURE</t>
  </si>
  <si>
    <t>WEIGHTED</t>
  </si>
  <si>
    <t>reversing</t>
  </si>
  <si>
    <t>REMOVE SCHEDULE 132 - MERGER RATE CREDIT</t>
  </si>
  <si>
    <t>REMOVE SCHEDULE 95A - FEDERAL INCENTIVE TRACKER</t>
  </si>
  <si>
    <t>REMOVE SCHEDULE 95 - POWER COST ONLY RATE CASE</t>
  </si>
  <si>
    <t>REMOVE SCHEDULE 141 - EXPEDITED RATE FILING</t>
  </si>
  <si>
    <t>OTHER</t>
  </si>
  <si>
    <t>REMOVE OVEREARNINGS ACCRUALS</t>
  </si>
  <si>
    <t>REMOVE CURRENT PERIOD DECOUPLING DEFERRALS</t>
  </si>
  <si>
    <t>REMOVE REVENUE DEFERRALS FOR TAX REFORM</t>
  </si>
  <si>
    <t>REMOVE SCHEDULE 95A TREASURY GRANTS AMORTIZATION OF INTEREST AND GRANTS</t>
  </si>
  <si>
    <t>TOTAL INCREASE (DECREASE) EXPENSES</t>
  </si>
  <si>
    <t>TOTAL INCREASE (DECREASE) RSI</t>
  </si>
  <si>
    <t xml:space="preserve">STATE UTILITY TAX </t>
  </si>
  <si>
    <t>ADJUSTMENTS TO SALES TO CUSTOMERS</t>
  </si>
  <si>
    <t>ADJUSTMENTS TO OTHER OPERATING REVENUES</t>
  </si>
  <si>
    <t>REMOVE ACCRUAL FOR FUTURE PTC LIABILITY</t>
  </si>
  <si>
    <t>RECLASSIFY TRANPORTATION REVENUES TO SALES TO CUSTOMERS</t>
  </si>
  <si>
    <t>GPI IN KWH</t>
  </si>
  <si>
    <t>AVERAGE PRICING PER KWH</t>
  </si>
  <si>
    <t>INCREASE (DECREASE) OPERATING INCOME BEFORE INCOME TAXES</t>
  </si>
  <si>
    <t>PORTION OF LINE 6 ASSOCIATED WITH WHOLESALE CUSTOMERS</t>
  </si>
  <si>
    <t>PORTION OF LINE 6 ASSOCIATED WITH RETAIL CUSTOMERS</t>
  </si>
  <si>
    <t>REMOVE MUNICIPAL TAXES - SCHEDULE 81 - RETAIL CUSTOMERS</t>
  </si>
  <si>
    <t>REMOVE MUNICIPAL TAXES - SCHEDULE 81 - WHOLESALE CUSTOMERS</t>
  </si>
  <si>
    <t>403 ELEC. DEPRECIATION EXPENSE</t>
  </si>
  <si>
    <t>403 ELEC. PORTION OF COMMON</t>
  </si>
  <si>
    <t>SUBTOTAL DEPRECIATION EXPENSE 403</t>
  </si>
  <si>
    <t>403.1 ELEC. ASSET RETIREMENT COST DEPRECIATION</t>
  </si>
  <si>
    <t>411.10 ELEC. ASSET RETIREMENT OBLIGATION ACCRETION</t>
  </si>
  <si>
    <t>TOTAL DEPRECIATION AND ACCRETION</t>
  </si>
  <si>
    <t>ADJUSTMENT TO RATE BASE</t>
  </si>
  <si>
    <t>ADJUSTMENT TO ACCUM. DEPREC. AT 100% DEPREC. EXP. LINE 8</t>
  </si>
  <si>
    <t>TOTAL ADJUSTMENT TO RATEBASE</t>
  </si>
  <si>
    <t>PROPERTY AND</t>
  </si>
  <si>
    <t>LIAB INSURANCE</t>
  </si>
  <si>
    <t>STORM DAMAGE EXPENSE - DISTRIBUTION</t>
  </si>
  <si>
    <t>STORM DAMAGE EXPENSE - TRANSMISSION</t>
  </si>
  <si>
    <t>DEFERRED STORM DAMAGE AMORTIZATION EXPENSE</t>
  </si>
  <si>
    <t>NON-UNION EMPLOYEES</t>
  </si>
  <si>
    <t>TOTAL INSURANCE COSTS</t>
  </si>
  <si>
    <t>CHARGED TO EXPENSE</t>
  </si>
  <si>
    <t xml:space="preserve"> INSURANCE</t>
  </si>
  <si>
    <t>o</t>
  </si>
  <si>
    <t>NON-UNION (INC. EXECUTIVES)</t>
  </si>
  <si>
    <t>COSTS APPLICABLE TO OPERATIONS</t>
  </si>
  <si>
    <t>PAYROLL TAX</t>
  </si>
  <si>
    <t>WAGE &amp;</t>
  </si>
  <si>
    <t xml:space="preserve">INCREASE (DECREASE) FIT @ 21% </t>
  </si>
  <si>
    <t>EIM</t>
  </si>
  <si>
    <t>ANNUALIZE RENT EXPENSE</t>
  </si>
  <si>
    <t>Check to Detailed Summary</t>
  </si>
  <si>
    <t>check s/b zero==&gt;</t>
  </si>
  <si>
    <t>NOI s/b zero==&gt;</t>
  </si>
  <si>
    <t>Ratebase s/b zero==&gt;</t>
  </si>
  <si>
    <t>Total</t>
  </si>
  <si>
    <t>INCENTIVE / MERIT PAY:</t>
  </si>
  <si>
    <t>EIM EXPENSE</t>
  </si>
  <si>
    <t>ENERGY IMBALANCE MARKET ("EIM")</t>
  </si>
  <si>
    <t>PUBLIC IMPROVEMENT</t>
  </si>
  <si>
    <t>REMOVE UNPRO-</t>
  </si>
  <si>
    <t>TECTED DFIT</t>
  </si>
  <si>
    <t>PUBLIC</t>
  </si>
  <si>
    <t>IMPROVEMENT</t>
  </si>
  <si>
    <t>HIGH MOLECULAR</t>
  </si>
  <si>
    <t>WEIGHT CABLE</t>
  </si>
  <si>
    <t>HIGH MOLECULAR WEIGHT CABLE</t>
  </si>
  <si>
    <t xml:space="preserve">p </t>
  </si>
  <si>
    <t xml:space="preserve">q </t>
  </si>
  <si>
    <t>r</t>
  </si>
  <si>
    <t>s</t>
  </si>
  <si>
    <t>t</t>
  </si>
  <si>
    <t xml:space="preserve">w </t>
  </si>
  <si>
    <t>x</t>
  </si>
  <si>
    <t>y</t>
  </si>
  <si>
    <t>z</t>
  </si>
  <si>
    <t>bb</t>
  </si>
  <si>
    <t>af</t>
  </si>
  <si>
    <t>ak</t>
  </si>
  <si>
    <t>al</t>
  </si>
  <si>
    <t>PSE BLDG</t>
  </si>
  <si>
    <t>EST BLDG</t>
  </si>
  <si>
    <t xml:space="preserve">DEFERRED FIT </t>
  </si>
  <si>
    <t>TOTAL  RATEBASE</t>
  </si>
  <si>
    <t>RATEBASE (AMA) UTILITY PLANT RATEBASE</t>
  </si>
  <si>
    <t>PLANT ADDITIONS JAN-JUN 2019  (1)</t>
  </si>
  <si>
    <t>ACCUM DEPRECIATION  (1)</t>
  </si>
  <si>
    <t>DEFERRED INCOME TAX LIABILITY  (1)</t>
  </si>
  <si>
    <t>OPERATING EXPENSE</t>
  </si>
  <si>
    <t>DEPRECIATION EXPENSE  (1)</t>
  </si>
  <si>
    <t>TOTAL OPERATING EXPENSES</t>
  </si>
  <si>
    <t>TOTAL PLANT</t>
  </si>
  <si>
    <t>CONTRACT</t>
  </si>
  <si>
    <t>ESCALATIONS</t>
  </si>
  <si>
    <t>CONTRACT ESCALATIONS</t>
  </si>
  <si>
    <t>DEPRECIATION DEFERRAL  (3)</t>
  </si>
  <si>
    <t>ACCUM AMORT ON DEPRECIATION DEFERRAL  (2)</t>
  </si>
  <si>
    <t>DFIT ON DEPRECIATION DEFERRAL  (2)</t>
  </si>
  <si>
    <t>NET RATEBASE</t>
  </si>
  <si>
    <t>AMORT OF DEF'D RETURN THROUGH APR 2020:  3YRS MAY '20 - APR '23  (2)</t>
  </si>
  <si>
    <t>AMORT OF DEF'D DEPREC THROUGH APR 2020:  3YRS MAY '20 - APR '23  (3)</t>
  </si>
  <si>
    <t>ENERGY MGMT</t>
  </si>
  <si>
    <t>SYSTEM (EMS)</t>
  </si>
  <si>
    <t>RATEBASE:</t>
  </si>
  <si>
    <t>UNPROTECTED DFIT</t>
  </si>
  <si>
    <t>EXPENSES:</t>
  </si>
  <si>
    <t>411.1 ANNUAL AMORTIZATION</t>
  </si>
  <si>
    <t>N/A</t>
  </si>
  <si>
    <t>REMOVE</t>
  </si>
  <si>
    <t>UTILITY PLANT</t>
  </si>
  <si>
    <t>PLANT ADDITIONS JAN-JUN 2019</t>
  </si>
  <si>
    <t>ACCUM DEPRECIATION</t>
  </si>
  <si>
    <t>TOTAL UTILITY PLANT</t>
  </si>
  <si>
    <t>DEFERRALS</t>
  </si>
  <si>
    <t>DEPRECIATION DEFERRAL</t>
  </si>
  <si>
    <t>ACCUM AMORT ON DEPRECIATION DEFERRAL</t>
  </si>
  <si>
    <t xml:space="preserve">DFIT ON DEPRECIATION DEFERRAL </t>
  </si>
  <si>
    <t>TOTAL DEPRECIATION DEFERRALS</t>
  </si>
  <si>
    <t>AMORTIZATION OF CARRYING CHARGES DEFERRAL</t>
  </si>
  <si>
    <t>GTZ PLANT</t>
  </si>
  <si>
    <t>&amp; DFRL</t>
  </si>
  <si>
    <t>AMORTIZATION OF AMORTIZATION DEFERRAL</t>
  </si>
  <si>
    <t>GET TO ZERO PROFORMA PLANT ADDITIONS AND DEFERRAL ADJUSTMENT</t>
  </si>
  <si>
    <t>MONTANA TAX EXPENSE</t>
  </si>
  <si>
    <t>PRODUCTION FACTOR ON RATE YEAR</t>
  </si>
  <si>
    <t>HR TOPS</t>
  </si>
  <si>
    <t>DERCIATION EXPENSE ON UTILITY PLANT</t>
  </si>
  <si>
    <t>TOTAL INCREASE (DECREASE) IN REVENUES</t>
  </si>
  <si>
    <t>SUBTOTAL RESTATING</t>
  </si>
  <si>
    <t>AMA TO EOP DEPRECIATION</t>
  </si>
  <si>
    <t>CREDIT CARD PAYMENT PROCESSING FEES</t>
  </si>
  <si>
    <t>ELECTRON UNRECOVERED COST (2014 PCORC) (FERC 407.0)</t>
  </si>
  <si>
    <t>WHITE RIVER PLANT COSTS (FERC 407.0)</t>
  </si>
  <si>
    <t>TOTAL INCREASE (DECREASE) REVENUES - RETAIL</t>
  </si>
  <si>
    <t>404 ELEC. DEPRECIATION EXPENSE</t>
  </si>
  <si>
    <t>404 ELEC. PORTION OF COMMON</t>
  </si>
  <si>
    <t>COLSTRIP</t>
  </si>
  <si>
    <t>TEMPERATURE NORMALIZATION</t>
  </si>
  <si>
    <t>LESS AVOIDED DPERECIATION FROM AMR RETIREMENTS IN RATE YR (1)</t>
  </si>
  <si>
    <t>PUGET SOUND ENERGY - ELECTRIC</t>
  </si>
  <si>
    <t>c = a + b</t>
  </si>
  <si>
    <t>e = c + d</t>
  </si>
  <si>
    <t>g = e + f</t>
  </si>
  <si>
    <t>EXH. SEF-4E page 1 of 7</t>
  </si>
  <si>
    <t>EXH. SEF-4E page 2 of 7</t>
  </si>
  <si>
    <t>EXH. SEF-4E page 3 of 7</t>
  </si>
  <si>
    <t>EXH. SEF-4E page 4 of 7</t>
  </si>
  <si>
    <t>EXH. SEF-4E page 5 of 7</t>
  </si>
  <si>
    <t>EXH. SEF-4E page 6 of 7</t>
  </si>
  <si>
    <t>EXH. SEF-4E page 7 of 7</t>
  </si>
  <si>
    <t>COST OF CAPITAL - TEST YEAR</t>
  </si>
  <si>
    <t>aq</t>
  </si>
  <si>
    <t>ax</t>
  </si>
  <si>
    <t>ANNUALIZE TAX REFORM REVENUES EFFECTIVE 5-1-2019 FROM UE-180282 - SALES TO CUSTOMERS</t>
  </si>
  <si>
    <t>ANNUALIZE TAX REFORM REVENUES EFFECTIVE 5-1-2019 FROM UE-180282 - SALES FOR RESALE FIRM</t>
  </si>
  <si>
    <t>REMOVE 24 MONTH GAAP RESERVE</t>
  </si>
  <si>
    <t>POWEREX TRANSMISSION REVENUE FOR MICROSOFT-NON-RETAIL</t>
  </si>
  <si>
    <t>TEMPERATURE NORMALIZATION ADJUSTMENT</t>
  </si>
  <si>
    <t>NOTE 1</t>
  </si>
  <si>
    <t>REMOVE JPUD GAIN ON SALE SCH 133</t>
  </si>
  <si>
    <t>MIGRATE SCHEDULE 40 PURSUANT TO UE-170033</t>
  </si>
  <si>
    <t>TOTAL DEFERRED DEPRECIATION</t>
  </si>
  <si>
    <t>(1)  PRO FORMA PLANT ADDITIONS</t>
  </si>
  <si>
    <t xml:space="preserve">(2)  AMORT OF DEFERRAL OF RETURN ON INVESTMENT </t>
  </si>
  <si>
    <t>(3)  AMORT OF DEFERRAL OF DERPRECIATION</t>
  </si>
  <si>
    <t>VARIABLE ENERGY COSTS FROM POWER COST WITNESS</t>
  </si>
  <si>
    <t>COAL FUEL (501)</t>
  </si>
  <si>
    <t>NATURAL GAS FUEL (547)</t>
  </si>
  <si>
    <t>PURCHASED POWER (555)</t>
  </si>
  <si>
    <t>OTHER POWER EXPENSE (557)</t>
  </si>
  <si>
    <t>WHEELING  (565)</t>
  </si>
  <si>
    <t>SALES TO OTHER UTILITIES (447)</t>
  </si>
  <si>
    <t>PURCHASES / (SALES) OF NON -CORE GAS (456)</t>
  </si>
  <si>
    <t>INCREASE / (DECREASE) EXPENSE</t>
  </si>
  <si>
    <t>OTHER PRODUCTION COSTS</t>
  </si>
  <si>
    <t>PRODUCTION O&amp;M</t>
  </si>
  <si>
    <t>500KV TRANSMISSION EXPENSE</t>
  </si>
  <si>
    <t>TRANSMISSION REVENUE - COLSTRIP, 3RD AC &amp; NI</t>
  </si>
  <si>
    <t>EQUITY RETURN ON CENTRALIA COAL TRANSITION PPA</t>
  </si>
  <si>
    <t>STATE UTILITY TAX INCREASE ON HIGHER TRANSM REV</t>
  </si>
  <si>
    <t xml:space="preserve">NET INCREASE / (DECREASE) PRODUCTION EXPENSE </t>
  </si>
  <si>
    <t>INCREASE / (DECREASE) FIT @ 21%</t>
  </si>
  <si>
    <t>INCREASE / (DECREASE) NOI</t>
  </si>
  <si>
    <t>COLSTRIP DEPRECIATION</t>
  </si>
  <si>
    <t>ADJ 7.07ER</t>
  </si>
  <si>
    <t>AS RESTATED</t>
  </si>
  <si>
    <t>IN ADJ 6.19ER</t>
  </si>
  <si>
    <t>ADJUSTMENT TO COLSTRIP 1&amp;2 NET OPERATING INCOME AND RATE BASE</t>
  </si>
  <si>
    <t>REMOVE RESTATED DEPRECIATION EXPENSE</t>
  </si>
  <si>
    <t>FIT ON DEPRECIATION EXPENSE REMOVAL</t>
  </si>
  <si>
    <t>REMOVE COLSTRIP 1&amp;2 ARAM (TEST YEAR AMOUNT)</t>
  </si>
  <si>
    <t>ADJUSTMENT TO COLSTRIP 3&amp;4 NET OPERATING INCOME AND RATE BASE</t>
  </si>
  <si>
    <t>ADJUST DEPRECIATION EXPENSE FOR NEW DEPRECIATION RATES</t>
  </si>
  <si>
    <t>FIT ON DEPRECIATION EXPENSE</t>
  </si>
  <si>
    <t>IMPACT ON ACCUM DEP FOR CHANGE TO DEP EXPENSE</t>
  </si>
  <si>
    <t>IMPACT ON ACCUM DEF FED INC TAXES FOR CHANGE IN ACCUM DEP</t>
  </si>
  <si>
    <t>NOTE 1 - BECAUSE REVENUES ARE REFLECTED IN MULTIPLE REVENUE REQUIREMENT ADJUSTMENTS, IT IS NOT POSSIBLE TO PORTRAY TEST YEAR,</t>
  </si>
  <si>
    <t>RESTATED AND PROFORMA AMOUNTS AND SO ONLY THE AMOUNT OF THE ADJUSTMENTS IS DISPLAYED</t>
  </si>
  <si>
    <t xml:space="preserve">AMORTIZATION OF NET DEFERRED GAIN </t>
  </si>
  <si>
    <t>PSE BLDG 4TH FLOOR RENT</t>
  </si>
  <si>
    <t>PSE BLDG 4TH SUBLEASE</t>
  </si>
  <si>
    <t>PARKING</t>
  </si>
  <si>
    <t>BOTHELL O</t>
  </si>
  <si>
    <t>BOTHELL G/H</t>
  </si>
  <si>
    <t>VERNELL</t>
  </si>
  <si>
    <t>SMALL OFFICES:</t>
  </si>
  <si>
    <t>OAK HARBOR OFFICE</t>
  </si>
  <si>
    <t>BELLINGHAM BUSINESS OFFICE</t>
  </si>
  <si>
    <t>ELLENSBURG OFFICE 90 DAYS.</t>
  </si>
  <si>
    <t>SOUTH WHIDBEY BUSINESS OFFICE (2 FLOORS)</t>
  </si>
  <si>
    <t>LRO AND COMMISSIONS</t>
  </si>
  <si>
    <t>REVERSAL OF NET EXCESS DEFERRED TAXES</t>
  </si>
  <si>
    <t>IMPACT ON ACCUM DEF FED INC TAXES FOR EDIT REVERSAL</t>
  </si>
  <si>
    <t>UNPROTECTED EXCESS DEFERRED INCOME TAXES</t>
  </si>
  <si>
    <t xml:space="preserve">c </t>
  </si>
  <si>
    <t>aa</t>
  </si>
  <si>
    <t>GREEN POWER - SCH 135/136 TAGS CHARGED TO 557 (removed in Pwr Cost Adj)</t>
  </si>
  <si>
    <t>DECREASE TO SCHEDULE 95 POWER COST ADJUSTMENT CLAUSE</t>
  </si>
  <si>
    <t>DECREASE TO SCHEDULE 141 EXPEDITED RATE FILING RATE ADJUSTMENT</t>
  </si>
  <si>
    <t>INCREASE TO SCHEDULE 141Y TEMPORARY FEDERAL INCOME TAX RATE CREDIT</t>
  </si>
  <si>
    <t>SUBTOTAL CHANGES TO OTHER PRICE SCHEDULES</t>
  </si>
  <si>
    <t>NET REVENUE CHANGE BEFORE ATTRITION</t>
  </si>
  <si>
    <t>(1) AMOUNT RELATED TO WHOLESALE</t>
  </si>
  <si>
    <t>NET REVENUE</t>
  </si>
  <si>
    <t>CHANGE TO</t>
  </si>
  <si>
    <t>BASE RATES</t>
  </si>
  <si>
    <t>ENERGY  MANAGEMENT SYSTEM (EMS)</t>
  </si>
  <si>
    <r>
      <t xml:space="preserve">CHANGES TO OTHER PRICE SCHEDULES FROM </t>
    </r>
    <r>
      <rPr>
        <sz val="10"/>
        <rFont val="Times New Roman"/>
        <family val="1"/>
      </rPr>
      <t>EXH. JAP-14:</t>
    </r>
  </si>
  <si>
    <r>
      <t>NET REVENUE CHANGE REQUEST</t>
    </r>
    <r>
      <rPr>
        <sz val="10"/>
        <rFont val="Times New Roman"/>
        <family val="1"/>
      </rPr>
      <t>ED EXH. JAP-14</t>
    </r>
  </si>
  <si>
    <t>EXH. SEF-5E page 5 of 5</t>
  </si>
  <si>
    <t>ac = a + ab</t>
  </si>
  <si>
    <t>ad</t>
  </si>
  <si>
    <t>ag</t>
  </si>
  <si>
    <t>AMORTIZATION OF DEFERRED ENVIRONMENTAL REMEDIATION COSTS AND RECOVERIES</t>
  </si>
  <si>
    <t>FOUR FACTOR ALLOCATOR</t>
  </si>
  <si>
    <t xml:space="preserve">ACCUM DEPRECIATION  </t>
  </si>
  <si>
    <t xml:space="preserve">DEFERRED INCOME TAX LIABILITY  </t>
  </si>
  <si>
    <t xml:space="preserve">DEPRECIATION EXPENSE  </t>
  </si>
  <si>
    <t>(NOTE 1) THE ADJUSTMENTS FOR AMORTIZATION OF POWER COST RELATED REGULATORY ASSETS AND LIABILITIES ARE PERFORMED IN THE POWER COST</t>
  </si>
  <si>
    <t>ADJUSTMENT (ADJUSTMENT NO. 9.01) AND THEREFORE ARE NOT ADJUSTED HERE.</t>
  </si>
  <si>
    <t>(NOTE 2) THE COMPONENTS OF THE ADJUSTMENT ARE AS FOLLOWS:</t>
  </si>
  <si>
    <t>BALANCE OF REGULATORY ASSET OR LIABILITY</t>
  </si>
  <si>
    <t>ACCUMULATED DEFERRED INCOME TAXES</t>
  </si>
  <si>
    <t>TOTAL ADJUSTMENT</t>
  </si>
  <si>
    <t>NET REVENUE CHANGE AFTER ATTRITION</t>
  </si>
  <si>
    <t>REDUCTION TO SUPPORTED AMOUNT</t>
  </si>
  <si>
    <t>ATTRITION ADJUSTMENT</t>
  </si>
  <si>
    <t>AMOUNT</t>
  </si>
  <si>
    <t>DEFICIENCY ASSOCIATED WITH POWER COSTS FROM EXH. SEF-3E PAGE 5</t>
  </si>
  <si>
    <t>EXH. SEF-3E page 1 of 6</t>
  </si>
  <si>
    <t>EXH. SEF-3E page 3 of 6</t>
  </si>
  <si>
    <t>EXH. SEF-3E page 4 of 6</t>
  </si>
  <si>
    <t>Increase in Power Costs</t>
  </si>
  <si>
    <t>Current Load in MWh's</t>
  </si>
  <si>
    <t>Dollar per MWh</t>
  </si>
  <si>
    <t>Load in MWh's</t>
  </si>
  <si>
    <t>Total Grossed Up Variable Costs per Exhibit A-1</t>
  </si>
  <si>
    <t>Revenue Sensitive Items</t>
  </si>
  <si>
    <t>Total Variable Costs per Exhibit A-1</t>
  </si>
  <si>
    <t>Increase</t>
  </si>
  <si>
    <t>UE-190166</t>
  </si>
  <si>
    <t>2019 GRC</t>
  </si>
  <si>
    <t>Microsoft Update</t>
  </si>
  <si>
    <t>EXH. SEF-3E page 5 of 6</t>
  </si>
  <si>
    <t>(1) - Amortization is picked up in Regulatory Assets and Liabilities Adjustment and White River Adjustment.</t>
  </si>
  <si>
    <t>BLR Grossed Up for RSI</t>
  </si>
  <si>
    <t>BLR Net of RSI</t>
  </si>
  <si>
    <t>Baseline Rate Summarized</t>
  </si>
  <si>
    <t>Variable</t>
  </si>
  <si>
    <t xml:space="preserve">Fixed </t>
  </si>
  <si>
    <t xml:space="preserve"> &lt;-- includes Firm Wholesale</t>
  </si>
  <si>
    <t>Test Year DELIVERED Load (MWH's)</t>
  </si>
  <si>
    <t>Grossed up for RSI</t>
  </si>
  <si>
    <t>Subtotal &amp; Baseline Rate</t>
  </si>
  <si>
    <t>N/A (formerly hedging line of credit)</t>
  </si>
  <si>
    <t>F</t>
  </si>
  <si>
    <t>Amortization  - Regulatory Assets &amp; Liab - Non PC Only (1)</t>
  </si>
  <si>
    <t>Depreciation-Transmission</t>
  </si>
  <si>
    <t>Depreciation-Production (FERC 403)</t>
  </si>
  <si>
    <t>Transmission Exp - 500KV</t>
  </si>
  <si>
    <t>V</t>
  </si>
  <si>
    <t>456-Purch/Sales Non-Core Gas</t>
  </si>
  <si>
    <t>447-Sales to Others</t>
  </si>
  <si>
    <t>Production O&amp;M</t>
  </si>
  <si>
    <t>Transmission Revenue 456.1</t>
  </si>
  <si>
    <t>565-Wheeling Incl PC Reg Amort</t>
  </si>
  <si>
    <t>547-Fuel Incl PC Reg Amort</t>
  </si>
  <si>
    <t>Brokerage Fees 55700003</t>
  </si>
  <si>
    <t>15e</t>
  </si>
  <si>
    <t>Payroll Taxes on Production Wages</t>
  </si>
  <si>
    <t>15d</t>
  </si>
  <si>
    <t>Montana Electric Energy Tax</t>
  </si>
  <si>
    <t>15c</t>
  </si>
  <si>
    <t>Property Insurance</t>
  </si>
  <si>
    <t>15b</t>
  </si>
  <si>
    <t>Payroll Overheads - Benefits (Inc. Worker's Comp)</t>
  </si>
  <si>
    <t>15a</t>
  </si>
  <si>
    <t>557-Other Power Exp</t>
  </si>
  <si>
    <t>555-Purchased power Incl PC Reg Amort</t>
  </si>
  <si>
    <t>501-Steam Fuel Incl PC Reg Amort</t>
  </si>
  <si>
    <t>Fixed Asset Recovery-Prod Factored (on Row 5)</t>
  </si>
  <si>
    <t>Fixed Asset Recovery Other (on Row 4)</t>
  </si>
  <si>
    <t>Equity Adder Centralia Coal Transition PPA</t>
  </si>
  <si>
    <t>10a</t>
  </si>
  <si>
    <t>Regulatory Asset Recovery (on Row 3)</t>
  </si>
  <si>
    <t>(V)</t>
  </si>
  <si>
    <t>(IV)</t>
  </si>
  <si>
    <t>(III)</t>
  </si>
  <si>
    <t>(II)</t>
  </si>
  <si>
    <t>(I)</t>
  </si>
  <si>
    <t>9A</t>
  </si>
  <si>
    <t>In PCA</t>
  </si>
  <si>
    <t>In Decoupling</t>
  </si>
  <si>
    <t>F/V</t>
  </si>
  <si>
    <t>$/MWh</t>
  </si>
  <si>
    <t>Prod Cost</t>
  </si>
  <si>
    <t>Test Yr</t>
  </si>
  <si>
    <t xml:space="preserve">Variable </t>
  </si>
  <si>
    <t>Net of tax rate of return</t>
  </si>
  <si>
    <t>NO MS Variable PF=&gt;</t>
  </si>
  <si>
    <t>Settlement Variable PF=&gt;</t>
  </si>
  <si>
    <t>Production Rate Base (Fixed)</t>
  </si>
  <si>
    <t>Transmission Rate Base (Fixed)</t>
  </si>
  <si>
    <t>Regulatory Assets (1) (Fixed)</t>
  </si>
  <si>
    <t xml:space="preserve">Test Year </t>
  </si>
  <si>
    <t>Row</t>
  </si>
  <si>
    <t>&lt;=Contingent Calculation - NO MS Settlement=&gt;</t>
  </si>
  <si>
    <t>&lt;=Settlement=&gt;</t>
  </si>
  <si>
    <t>Exhibit A-1 Power Cost Baseline Rates With and Without Microsoft</t>
  </si>
  <si>
    <t>EXH. SEF-3E page 6 of 6</t>
  </si>
  <si>
    <t xml:space="preserve">TOTAL </t>
  </si>
  <si>
    <t>RECLASSIFY TRANSPORTATION REVENUES FROM OTHER OPERATING</t>
  </si>
  <si>
    <t>TOTAL PROFORMA COSTS</t>
  </si>
  <si>
    <t>INCREASE(DECREASE) PRODUCTION FACTORED EXPENSE</t>
  </si>
  <si>
    <t>NET  PLANT RATEBASE</t>
  </si>
  <si>
    <t xml:space="preserve">PLANT ADDITIONS </t>
  </si>
  <si>
    <t>BROKERAGE FEES (557 VARIABLE)</t>
  </si>
  <si>
    <t>Determination of Net Power Costs</t>
  </si>
  <si>
    <t xml:space="preserve">Test Year:  12MOE Dec 2018  </t>
  </si>
  <si>
    <t>Factor</t>
  </si>
  <si>
    <t>Complement</t>
  </si>
  <si>
    <t xml:space="preserve">Rate Year:  12MOE April 2021  </t>
  </si>
  <si>
    <t>Fixed PF</t>
  </si>
  <si>
    <t>Variable PF</t>
  </si>
  <si>
    <t>Restated TY</t>
  </si>
  <si>
    <t>RY:  PKW and RJR</t>
  </si>
  <si>
    <t>Remove</t>
  </si>
  <si>
    <t>Net RY Before</t>
  </si>
  <si>
    <t>Line</t>
  </si>
  <si>
    <t xml:space="preserve">FERC </t>
  </si>
  <si>
    <t>12MOE Dec 2018</t>
  </si>
  <si>
    <t>12MOE Apr 2021</t>
  </si>
  <si>
    <t>Benefits</t>
  </si>
  <si>
    <t>Payroll Tax</t>
  </si>
  <si>
    <t>Prod Factor</t>
  </si>
  <si>
    <t>VARIABLE ENERGY COSTS + 557</t>
  </si>
  <si>
    <t>BROKERAGE FEES</t>
  </si>
  <si>
    <t>various</t>
  </si>
  <si>
    <t xml:space="preserve">TRANS. EXP. INCL. 500KV O&amp;M </t>
  </si>
  <si>
    <t>456-17</t>
  </si>
  <si>
    <t>456-1 VARIABLE TRANSM. INCOME - COLSTRIP, 3RD AC &amp; NI</t>
  </si>
  <si>
    <t>n/a</t>
  </si>
  <si>
    <t>EQUITY RETURN ON CENTRALIA TRANSITION COAL PPA</t>
  </si>
  <si>
    <t>bf = ac + be</t>
  </si>
  <si>
    <t xml:space="preserve"> REVENUE CHANGE BEFORE ATTRITION AND RIDERS (1)</t>
  </si>
  <si>
    <t>CHANGES TO OTHER PRICE SCHEDULES</t>
  </si>
  <si>
    <t>ATTRITION DEFICIENCY FROM RON AMEN EXH. RJA-3 (DOES NOT INCLUDE POWER COSTS)</t>
  </si>
  <si>
    <t>NET REVENUE CHANGE AFTER ATTRITION FROM PAGE 4 OF 6</t>
  </si>
  <si>
    <t>EXH. SEF-3E page 2 of 6</t>
  </si>
  <si>
    <t>Exh. SEF-7 Page 2 of 11</t>
  </si>
  <si>
    <t>Exh. SEF-7E page 3 of 11</t>
  </si>
  <si>
    <t>Exh. SEF-7E page 4 of 11</t>
  </si>
  <si>
    <t>Exh. SEF-7E page 5 of 11</t>
  </si>
  <si>
    <t>Exh. SEF-7E page 6 of 11</t>
  </si>
  <si>
    <t>Exh. SEF-7E page 7 of 11</t>
  </si>
  <si>
    <t>Exh. SEF-7E page 8 of 11</t>
  </si>
  <si>
    <t>Exh. SEF-7E page 9 of 11</t>
  </si>
  <si>
    <t>Exh. SEF-7E page 10 of 11</t>
  </si>
  <si>
    <t>Exh. SEF-7E page 11 of 11</t>
  </si>
  <si>
    <t>Staff Recommendation</t>
  </si>
  <si>
    <t>ab = ∑ b thru aa + Staff Adjustments</t>
  </si>
  <si>
    <t>Staff</t>
  </si>
  <si>
    <t>SMART</t>
  </si>
  <si>
    <t>BURN</t>
  </si>
  <si>
    <t>2019 GRC Test Yr. ending 12/31/2018</t>
  </si>
  <si>
    <t>Unit 2</t>
  </si>
  <si>
    <t>Unit 3</t>
  </si>
  <si>
    <t>Unit 4</t>
  </si>
  <si>
    <t>Plant in Service</t>
  </si>
  <si>
    <t xml:space="preserve">Accumulated Depreciation </t>
  </si>
  <si>
    <t>Depreciation Expense</t>
  </si>
  <si>
    <t>Remove Smart Burn Investment in Colstrip Units 3&amp;4</t>
  </si>
  <si>
    <t>Accumulated Depreciation</t>
  </si>
  <si>
    <t>Accumulated Deferred FIT</t>
  </si>
  <si>
    <t>Total Rate Base</t>
  </si>
  <si>
    <t>Double Check</t>
  </si>
  <si>
    <t>Reduce depreciation expense</t>
  </si>
  <si>
    <t>Increase FIT</t>
  </si>
  <si>
    <t>Increase NOI</t>
  </si>
  <si>
    <t>Reduce rate base</t>
  </si>
  <si>
    <t>Revenue Impact due to NOI adjustment</t>
  </si>
  <si>
    <t>Revenue Impact due to RB adjustment</t>
  </si>
  <si>
    <t>Total Revenue Impact</t>
  </si>
  <si>
    <t>ARAM reversal</t>
  </si>
  <si>
    <t>ARAM reserval</t>
  </si>
  <si>
    <t>Units 3&amp;4</t>
  </si>
  <si>
    <t>Remove Colstrip Units 3&amp;4 Outage Costs Related to Particulate Matter Compliance</t>
  </si>
  <si>
    <t>O&amp;M EXPENSE</t>
  </si>
  <si>
    <t>MATS PM costs</t>
  </si>
  <si>
    <t>Event Q3 2018</t>
  </si>
  <si>
    <t>Work Type</t>
  </si>
  <si>
    <t>Amount</t>
  </si>
  <si>
    <t>O&amp;M</t>
  </si>
  <si>
    <t>Boiler Cleaning &amp; Inspection</t>
  </si>
  <si>
    <t>Boiler Tuning</t>
  </si>
  <si>
    <t>Instrumentation Monitoring</t>
  </si>
  <si>
    <t>Testing</t>
  </si>
  <si>
    <t>Wallblower</t>
  </si>
  <si>
    <t>Various Materials (Valves, screens, etc)</t>
  </si>
  <si>
    <t>Capital</t>
  </si>
  <si>
    <t>Distribution Plates</t>
  </si>
  <si>
    <t>Installation of Distribution Plates</t>
  </si>
  <si>
    <t>Design/Engineering Distribution Plates</t>
  </si>
  <si>
    <t xml:space="preserve">Internal Labor </t>
  </si>
  <si>
    <t>Grand Total</t>
  </si>
  <si>
    <t>PSE Response to UTC Staff Data Request No.38</t>
  </si>
  <si>
    <t>PSE Share</t>
  </si>
  <si>
    <t>Staff Adjustment</t>
  </si>
  <si>
    <t>Remove Colstrip Units 3&amp;4 Outage Cost</t>
  </si>
  <si>
    <t>PSE to Staff DR No. 76 and its Attachment A (re-stated with proposed depreciation rate)</t>
  </si>
  <si>
    <t>INCOME STATEMENT</t>
  </si>
  <si>
    <t>UTC Staff Adjustment</t>
  </si>
  <si>
    <t>Difference</t>
  </si>
  <si>
    <t>EDIT</t>
  </si>
  <si>
    <t>Rate Base</t>
  </si>
  <si>
    <t>PSE Response to Staff DR No. 71</t>
  </si>
  <si>
    <t>In UE-180544, the estimated billing system updates is $570,000, built in the Green Direct rates.</t>
  </si>
  <si>
    <t>Remove Rate Base Associated with Green Direct</t>
  </si>
  <si>
    <t>be = ∑ ad thru bd and Staff Adjustments</t>
  </si>
  <si>
    <t>PSE Supplemental</t>
  </si>
  <si>
    <t>Staff Adj. 11.12 EP</t>
  </si>
  <si>
    <t>Check</t>
  </si>
  <si>
    <t>RoR</t>
  </si>
  <si>
    <t>PSE Intital (Hard Coded)</t>
  </si>
  <si>
    <t>PSE Supplemental at 9.2% RoE (Hard Coded)</t>
  </si>
  <si>
    <t>Income Statement</t>
  </si>
  <si>
    <t xml:space="preserve">Increase (Decrease) FIT @ </t>
  </si>
  <si>
    <t>Reversal of Net Excess Deferred Taxes</t>
  </si>
  <si>
    <t xml:space="preserve">Remove </t>
  </si>
  <si>
    <t xml:space="preserve">Green Direct </t>
  </si>
  <si>
    <t>Updated by supplemental filing</t>
  </si>
  <si>
    <t>PSE</t>
  </si>
  <si>
    <t>Return</t>
  </si>
  <si>
    <t>PSE Initial</t>
  </si>
  <si>
    <t>Amortization of Net Deferred Gain</t>
  </si>
  <si>
    <t>Increase (Decrease) Expense</t>
  </si>
  <si>
    <t>Increase (Decrease) FIT</t>
  </si>
  <si>
    <t>Increase (Decrease) NOI</t>
  </si>
  <si>
    <t>Rev Impact due to NOI</t>
  </si>
  <si>
    <t>Combined Rev Impact</t>
  </si>
  <si>
    <t>PUGET SOUND ENERGY, INC.</t>
  </si>
  <si>
    <t>Utility Capital Structure</t>
  </si>
  <si>
    <t>Proposed Cost of Capital and Rate of Return</t>
  </si>
  <si>
    <t>No.</t>
  </si>
  <si>
    <t>PSE As Filed</t>
  </si>
  <si>
    <t>Rev Impact due to rate base</t>
  </si>
  <si>
    <t>Remove the entire adjustment</t>
  </si>
  <si>
    <t>Rev Impact</t>
  </si>
  <si>
    <t>Remove Shuffleton Expense and Rate Base</t>
  </si>
  <si>
    <t xml:space="preserve">REMOVE </t>
  </si>
  <si>
    <t>SHUFFLETON</t>
  </si>
  <si>
    <t xml:space="preserve">Net Book Value </t>
  </si>
  <si>
    <t>Accumulated Deferred FIT including ARAM reserval</t>
  </si>
  <si>
    <t>Accumulated Deferred FIT including ARAM reversal</t>
  </si>
  <si>
    <t>\</t>
  </si>
  <si>
    <t>Common</t>
  </si>
  <si>
    <t>Exhibit A-1 Power Cost Baseline Rate</t>
  </si>
  <si>
    <t>EXH. SEF-11 Page 1 of 1</t>
  </si>
  <si>
    <t>EOP Test Year</t>
  </si>
  <si>
    <t>Regulatory Assets (1) (Variable)</t>
  </si>
  <si>
    <t>INTERNAL RECON:</t>
  </si>
  <si>
    <r>
      <t>Net of tax rate of return</t>
    </r>
    <r>
      <rPr>
        <sz val="11"/>
        <color rgb="FF0000CC"/>
        <rFont val="Arial"/>
        <family val="2"/>
      </rPr>
      <t xml:space="preserve"> </t>
    </r>
  </si>
  <si>
    <t>Fixed</t>
  </si>
  <si>
    <t>Prod Costs</t>
  </si>
  <si>
    <t>Reconciliation to Model</t>
  </si>
  <si>
    <t>in PCA</t>
  </si>
  <si>
    <t>Main Items</t>
  </si>
  <si>
    <t>A-1</t>
  </si>
  <si>
    <t>In Model</t>
  </si>
  <si>
    <t>s/b zero</t>
  </si>
  <si>
    <t>PC Lines 10a, 13,14,15,16,17,20</t>
  </si>
  <si>
    <t>Staff - PSE</t>
  </si>
  <si>
    <t>From Power Cost Bridge</t>
  </si>
  <si>
    <t>Pwr Cost Bridge</t>
  </si>
  <si>
    <t>Purchased Power</t>
  </si>
  <si>
    <t>Fuel</t>
  </si>
  <si>
    <r>
      <t>501-Steam Fuel</t>
    </r>
    <r>
      <rPr>
        <sz val="8"/>
        <rFont val="Arial"/>
        <family val="2"/>
      </rPr>
      <t xml:space="preserve"> </t>
    </r>
    <r>
      <rPr>
        <sz val="8"/>
        <color rgb="FFFF0000"/>
        <rFont val="Arial"/>
        <family val="2"/>
      </rPr>
      <t>Incl Reg Amort</t>
    </r>
  </si>
  <si>
    <t>Wheeling</t>
  </si>
  <si>
    <r>
      <t>555-Purchased power</t>
    </r>
    <r>
      <rPr>
        <sz val="8"/>
        <rFont val="Arial"/>
        <family val="2"/>
      </rPr>
      <t xml:space="preserve"> </t>
    </r>
    <r>
      <rPr>
        <sz val="8"/>
        <color rgb="FFFF0000"/>
        <rFont val="Arial"/>
        <family val="2"/>
      </rPr>
      <t>Incl Reg Amort</t>
    </r>
  </si>
  <si>
    <t>Sales to Other Utilities</t>
  </si>
  <si>
    <t>Sales of Non Core Gas</t>
  </si>
  <si>
    <t>Payroll Overheads - Benefits</t>
  </si>
  <si>
    <t>Variable Transmission Inc</t>
  </si>
  <si>
    <t xml:space="preserve">    Subtotal</t>
  </si>
  <si>
    <t>Brokerage Fees #55700003</t>
  </si>
  <si>
    <t>Less: Sales of Non Core Gas</t>
  </si>
  <si>
    <r>
      <t xml:space="preserve">547-Fuel </t>
    </r>
    <r>
      <rPr>
        <sz val="8"/>
        <color rgb="FFFF0000"/>
        <rFont val="Arial"/>
        <family val="2"/>
      </rPr>
      <t>Incl Reg Amort</t>
    </r>
  </si>
  <si>
    <t>Less: Production O&amp;M</t>
  </si>
  <si>
    <r>
      <t xml:space="preserve">565-Wheeling </t>
    </r>
    <r>
      <rPr>
        <sz val="8"/>
        <color rgb="FFFF0000"/>
        <rFont val="Arial"/>
        <family val="2"/>
      </rPr>
      <t>Incl Reg Amort</t>
    </r>
  </si>
  <si>
    <t>Less:  Transmission Exp - 500KV</t>
  </si>
  <si>
    <t>Variable Transmission Income</t>
  </si>
  <si>
    <t>Less:  Variable Transmission Trans Inc</t>
  </si>
  <si>
    <t>Add:  Wage and Incentive Adj</t>
  </si>
  <si>
    <t>Power Cost O&amp;M</t>
  </si>
  <si>
    <t>Wages Increase and Incentive</t>
  </si>
  <si>
    <t>Total O&amp;M</t>
  </si>
  <si>
    <r>
      <t xml:space="preserve">Amortization  - Reg Assets - </t>
    </r>
    <r>
      <rPr>
        <sz val="8"/>
        <color rgb="FFFF0000"/>
        <rFont val="Arial"/>
        <family val="2"/>
      </rPr>
      <t>Non PC Only</t>
    </r>
  </si>
  <si>
    <t>Other Items in A-1</t>
  </si>
  <si>
    <t>Reg Assets &amp; Liab</t>
  </si>
  <si>
    <t>Test Year DELIVERED Load (MWh's)</t>
  </si>
  <si>
    <t>Payroll Overheads</t>
  </si>
  <si>
    <t>Before Rev.</t>
  </si>
  <si>
    <t>After Rev.</t>
  </si>
  <si>
    <t>Sensitive Items</t>
  </si>
  <si>
    <t>Payroll Taxes on Prod Wages</t>
  </si>
  <si>
    <t>Rev Req (Column (II) )</t>
  </si>
  <si>
    <t>Power Cost Baseline Rate</t>
  </si>
  <si>
    <t xml:space="preserve">Fixed Production Costs </t>
  </si>
  <si>
    <t>Depreciation &amp; Amort Prod (FERC 403)</t>
  </si>
  <si>
    <t>Variable Production Costs</t>
  </si>
  <si>
    <t>Depreciation Transmission</t>
  </si>
  <si>
    <t>456-Purch/Sale of Non-core Gas</t>
  </si>
  <si>
    <t>Rate Year</t>
  </si>
  <si>
    <t>NON POWER COST RELATED REG ASSETS &amp; LIAB</t>
  </si>
  <si>
    <t xml:space="preserve">Non PF'd </t>
  </si>
  <si>
    <t>Total Exhibits A-1 Expenses</t>
  </si>
  <si>
    <t>WHITE RIVER PLANT COSTS</t>
  </si>
  <si>
    <t>CARRYING CHARGES ON LSR PREPAID TRANSM</t>
  </si>
  <si>
    <t>Return on Rate Base</t>
  </si>
  <si>
    <t>MINT FARM DEFFRED - UE-090704 (ends Mar 2025)</t>
  </si>
  <si>
    <t>TOTAL NON-POWER COST RELATED</t>
  </si>
  <si>
    <t>Total A-1</t>
  </si>
  <si>
    <t>Check=&gt;</t>
  </si>
  <si>
    <t>s/b zero==&gt;</t>
  </si>
  <si>
    <t>Reconciliation Individual Line Items to I/S</t>
  </si>
  <si>
    <t>Line 13 - 501 Steam Fuel</t>
  </si>
  <si>
    <t>Line 16 - 547 Natural Gas Fuel</t>
  </si>
  <si>
    <t>Total Ex A-1 Fuel</t>
  </si>
  <si>
    <t>Income Statement Line 11 Fuel</t>
  </si>
  <si>
    <t>Line 14 - 555 Purchased Power</t>
  </si>
  <si>
    <t>Line 15 - 557 Other Power Exp</t>
  </si>
  <si>
    <t>Line 15e - Brokerage Fees 55700003</t>
  </si>
  <si>
    <t xml:space="preserve">Line 10a - Equity Adder Centralia Coal </t>
  </si>
  <si>
    <t>Ex A-1 Purchased and Interchanged</t>
  </si>
  <si>
    <t>Inc Stmt Line 12 Purch&amp;Interchgd</t>
  </si>
  <si>
    <t>Line 17 - 565 Wheeling</t>
  </si>
  <si>
    <t>Inc Stmt Line 13 Wheeling</t>
  </si>
  <si>
    <t>Line 19 Production O&amp;M</t>
  </si>
  <si>
    <t>Inc Stmt Line 17 Other Pwr Supply Exp</t>
  </si>
  <si>
    <t>Line 20 - 447 Sales to Others</t>
  </si>
  <si>
    <t>Inc Stmt Line 4 Sales to Other Util</t>
  </si>
  <si>
    <t>PSE Power Cost Baseline Rate</t>
  </si>
  <si>
    <t xml:space="preserve">Electric </t>
  </si>
  <si>
    <t>Accumulated DFIT</t>
  </si>
  <si>
    <t>Gas</t>
  </si>
  <si>
    <t>Source: PSE Response to Staff DR No. 123</t>
  </si>
  <si>
    <t>Impact on Revenue Requirement</t>
  </si>
  <si>
    <t>Green Direct Software Rate Base</t>
  </si>
  <si>
    <t>As Filed</t>
  </si>
  <si>
    <t>Difference in NOI</t>
  </si>
  <si>
    <t>Temperature Normalization Restating</t>
  </si>
  <si>
    <t>Gross Revenue</t>
  </si>
  <si>
    <t>Revenue Sensitive Expenses</t>
  </si>
  <si>
    <t xml:space="preserve">Staff </t>
  </si>
  <si>
    <t>Temperature Normalization Pro Forma</t>
  </si>
  <si>
    <t>PSE Response to UTC Staff Data Request No.122</t>
  </si>
  <si>
    <t>Reduce expense</t>
  </si>
  <si>
    <t>UE-190606</t>
  </si>
  <si>
    <t xml:space="preserve">Montana Electric Energy Tax - Pro Forma Adjustment </t>
  </si>
  <si>
    <t>Increase (decrease) expense</t>
  </si>
  <si>
    <t>Placeholder</t>
  </si>
  <si>
    <t xml:space="preserve">Note: </t>
  </si>
  <si>
    <t xml:space="preserve">Staff revised SEF-7.01 Power Costs reflect the expense adjustment; Staff 12.02E reflects rate base adjustment. </t>
  </si>
  <si>
    <r>
      <t>During our review, PSE identified billing software improvements related to Schedule 139 customers that were capitalized in October 2018 and placed in future use which is a component of rate base. As a result, the test year included $340,000 of common rate base related to Schedule 139. In its rebuttal testimony, or at the next available opportunity, PSE will remove this rate base item.</t>
    </r>
    <r>
      <rPr>
        <b/>
        <u/>
        <sz val="11"/>
        <rFont val="Times New Roman"/>
        <family val="1"/>
      </rPr>
      <t xml:space="preserve"> </t>
    </r>
  </si>
  <si>
    <t>Source: PSE Response to Staff Data Request No.92</t>
  </si>
  <si>
    <t>12.04E</t>
  </si>
  <si>
    <t>Staff Revised</t>
  </si>
  <si>
    <t>12.01E</t>
  </si>
  <si>
    <t>12.02E</t>
  </si>
  <si>
    <t>12.03E</t>
  </si>
  <si>
    <t>&amp; Staff Revised SEF-7.01 Part A</t>
  </si>
  <si>
    <t>Staff-12.02E</t>
  </si>
  <si>
    <t>Restating</t>
  </si>
  <si>
    <t>Pro Forma</t>
  </si>
  <si>
    <t>UTC Staff Revised</t>
  </si>
  <si>
    <t>Source:</t>
  </si>
  <si>
    <t xml:space="preserve">Exh. SEF-6E </t>
  </si>
  <si>
    <t>Exh. SEF-6E</t>
  </si>
  <si>
    <t>PSE revised gross plant and deferred tax in its supplement to exclude Green Direct.  Here is the initial filing amount.</t>
  </si>
  <si>
    <t>For Informational only</t>
  </si>
  <si>
    <t>For information only</t>
  </si>
  <si>
    <t>PSE Supplement</t>
  </si>
  <si>
    <t xml:space="preserve">Remove Colstrip </t>
  </si>
  <si>
    <t>Outage</t>
  </si>
  <si>
    <t>Staff Note:</t>
  </si>
  <si>
    <t xml:space="preserve">The dark blue shading indicates the primary change.  The attrition deficiency number is from Staff's revised attrition analysis. </t>
  </si>
  <si>
    <t>The light blue shading indicates the changes due to linked formulas.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</si>
</sst>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[Red]_(&quot;$&quot;* \(#,##0\);_(&quot;$&quot;* &quot;-&quot;_);_(@_)"/>
    <numFmt numFmtId="165" formatCode="0.000000"/>
    <numFmt numFmtId="166" formatCode="&quot;$&quot;#,##0"/>
    <numFmt numFmtId="167" formatCode="#,##0;\(#,##0\)"/>
    <numFmt numFmtId="168" formatCode="_(* #,##0_);_(* \(#,##0\);_(* &quot;-&quot;??_);_(@_)"/>
    <numFmt numFmtId="169" formatCode="_(&quot;$&quot;* #,##0_);_(&quot;$&quot;* \(#,##0\);_(&quot;$&quot;* &quot;-&quot;??_);_(@_)"/>
    <numFmt numFmtId="170" formatCode="yyyy"/>
    <numFmt numFmtId="171" formatCode="0.0000%"/>
    <numFmt numFmtId="172" formatCode="0.0%"/>
    <numFmt numFmtId="173" formatCode="0.0000000"/>
    <numFmt numFmtId="174" formatCode="#,##0.0000"/>
    <numFmt numFmtId="175" formatCode="0.00\ &quot;EP&quot;"/>
    <numFmt numFmtId="176" formatCode="0.00\ &quot;ER&quot;"/>
    <numFmt numFmtId="177" formatCode="_(&quot;$&quot;* #,##0.000000_);_(&quot;$&quot;* \(#,##0.000000\);_(&quot;$&quot;* &quot;-&quot;??????_);_(@_)"/>
    <numFmt numFmtId="178" formatCode="_(* #,##0.000000_);_(* \(#,##0.000000\);_(* &quot;-&quot;??????_);_(@_)"/>
    <numFmt numFmtId="179" formatCode="_(* #,##0.00_);_(* \(#,##0.00\);_(* &quot;-&quot;_);_(@_)"/>
    <numFmt numFmtId="180" formatCode="0.0000"/>
    <numFmt numFmtId="181" formatCode="&quot;ADJ&quot;\ 0.00\ &quot;ER&quot;"/>
    <numFmt numFmtId="182" formatCode="&quot;ADJ&quot;\ 0.00\ &quot;EP&quot;"/>
    <numFmt numFmtId="183" formatCode="_(&quot;$&quot;* #,##0.000_);_(&quot;$&quot;* \(#,##0.000\);_(&quot;$&quot;* &quot;-&quot;??_);_(@_)"/>
    <numFmt numFmtId="184" formatCode="_(* #,##0.0000000_);_(* \(#,##0.0000000\);_(* &quot;-&quot;??_);_(@_)"/>
    <numFmt numFmtId="185" formatCode="0_);\(0\)"/>
    <numFmt numFmtId="186" formatCode="0.000%"/>
    <numFmt numFmtId="187" formatCode="_(* #,##0.000000000_);_(* \(#,##0.000000000\);_(* &quot;-&quot;??_);_(@_)"/>
    <numFmt numFmtId="188" formatCode="0.000000000%"/>
    <numFmt numFmtId="189" formatCode="_(* #,##0.000000_);_(* \(#,##0.000000\);_(* &quot;-&quot;??_);_(@_)"/>
    <numFmt numFmtId="190" formatCode="&quot; As of &quot;mmmm\ d\,\ yyyy"/>
    <numFmt numFmtId="191" formatCode="_(* #,##0.000_);_(* \(#,##0.000\);_(* &quot;-&quot;??_);_(@_)"/>
    <numFmt numFmtId="192" formatCode="0.000"/>
  </numFmts>
  <fonts count="110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Times New Roman"/>
      <family val="1"/>
    </font>
    <font>
      <sz val="8"/>
      <name val="Helv"/>
    </font>
    <font>
      <u/>
      <sz val="10"/>
      <color rgb="FF0000CC"/>
      <name val="Times New Roman"/>
      <family val="1"/>
    </font>
    <font>
      <sz val="11"/>
      <name val="Arial"/>
      <family val="2"/>
    </font>
    <font>
      <i/>
      <sz val="10"/>
      <color rgb="FF0000FF"/>
      <name val="Times New Roman"/>
      <family val="1"/>
    </font>
    <font>
      <sz val="10"/>
      <color rgb="FF0000FF"/>
      <name val="Times New Roman"/>
      <family val="1"/>
    </font>
    <font>
      <b/>
      <sz val="11"/>
      <name val="Arial"/>
      <family val="2"/>
    </font>
    <font>
      <b/>
      <sz val="10"/>
      <color rgb="FF0000FF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b/>
      <sz val="12"/>
      <color rgb="FFFF0000"/>
      <name val="Times New Roman"/>
      <family val="1"/>
    </font>
    <font>
      <sz val="10"/>
      <color rgb="FF008000"/>
      <name val="Times New Roman"/>
      <family val="1"/>
    </font>
    <font>
      <sz val="10"/>
      <color rgb="FFFF66CC"/>
      <name val="Times New Roman"/>
      <family val="1"/>
    </font>
    <font>
      <sz val="10"/>
      <color rgb="FFFF0000"/>
      <name val="Times New Roman"/>
      <family val="1"/>
    </font>
    <font>
      <sz val="8"/>
      <color rgb="FFFF0000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2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14"/>
      <color rgb="FF0000FF"/>
      <name val="Helv"/>
    </font>
    <font>
      <b/>
      <sz val="14"/>
      <color rgb="FF0000FF"/>
      <name val="Times New Roman"/>
      <family val="1"/>
    </font>
    <font>
      <sz val="14"/>
      <name val="Calibri"/>
      <family val="2"/>
      <scheme val="minor"/>
    </font>
    <font>
      <b/>
      <sz val="14"/>
      <name val="Arial"/>
      <family val="2"/>
    </font>
    <font>
      <sz val="14"/>
      <name val="Times New Roman"/>
      <family val="1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rgb="FFCC00CC"/>
      <name val="Times New Roman"/>
      <family val="1"/>
    </font>
    <font>
      <b/>
      <sz val="11"/>
      <color rgb="FFCC00CC"/>
      <name val="Times New Roman"/>
      <family val="1"/>
    </font>
    <font>
      <sz val="10"/>
      <color indexed="8"/>
      <name val="Arial"/>
      <family val="2"/>
    </font>
    <font>
      <sz val="11"/>
      <color rgb="FFCC00CC"/>
      <name val="Calibri"/>
      <family val="2"/>
      <scheme val="minor"/>
    </font>
    <font>
      <sz val="10"/>
      <color rgb="FFCC00FF"/>
      <name val="Times New Roman"/>
      <family val="1"/>
    </font>
    <font>
      <b/>
      <sz val="10"/>
      <color rgb="FFCC00FF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0" tint="-0.499984740745262"/>
      <name val="Times New Roman"/>
      <family val="1"/>
    </font>
    <font>
      <sz val="10"/>
      <color rgb="FFCC00CC"/>
      <name val="Times New Roman"/>
      <family val="1"/>
    </font>
    <font>
      <b/>
      <sz val="12"/>
      <color rgb="FFCC00CC"/>
      <name val="Arial"/>
      <family val="2"/>
    </font>
    <font>
      <sz val="10"/>
      <name val="Geneva"/>
    </font>
    <font>
      <b/>
      <sz val="12"/>
      <name val="Times New Roman"/>
      <family val="1"/>
    </font>
    <font>
      <b/>
      <sz val="8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sz val="11"/>
      <color rgb="FFCC00CC"/>
      <name val="Calibri"/>
      <family val="2"/>
      <scheme val="minor"/>
    </font>
    <font>
      <sz val="11"/>
      <color rgb="FF7030A0"/>
      <name val="Times New Roman"/>
      <family val="1"/>
    </font>
    <font>
      <sz val="10"/>
      <color rgb="FF7030A0"/>
      <name val="Times New Roman"/>
      <family val="1"/>
    </font>
    <font>
      <b/>
      <sz val="10"/>
      <color rgb="FFCC00CC"/>
      <name val="Times New Roman"/>
      <family val="1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9"/>
      <color rgb="FF0000FF"/>
      <name val="Arial"/>
      <family val="2"/>
    </font>
    <font>
      <sz val="11"/>
      <color rgb="FF0000FF"/>
      <name val="Arial"/>
      <family val="2"/>
    </font>
    <font>
      <sz val="11"/>
      <color theme="0" tint="-0.499984740745262"/>
      <name val="Arial"/>
      <family val="2"/>
    </font>
    <font>
      <sz val="16"/>
      <color theme="1"/>
      <name val="Arial"/>
      <family val="2"/>
    </font>
    <font>
      <b/>
      <u/>
      <sz val="11"/>
      <color theme="1"/>
      <name val="Arial"/>
      <family val="2"/>
    </font>
    <font>
      <sz val="11"/>
      <color rgb="FFFF0000"/>
      <name val="Arial"/>
      <family val="2"/>
    </font>
    <font>
      <b/>
      <u/>
      <sz val="11"/>
      <color rgb="FF0000FF"/>
      <name val="Arial"/>
      <family val="2"/>
    </font>
    <font>
      <sz val="11"/>
      <color rgb="FF000000"/>
      <name val="Arial"/>
      <family val="2"/>
    </font>
    <font>
      <sz val="11"/>
      <color rgb="FF0000CC"/>
      <name val="Arial"/>
      <family val="2"/>
    </font>
    <font>
      <b/>
      <sz val="11"/>
      <color rgb="FF000000"/>
      <name val="Arial"/>
      <family val="2"/>
    </font>
    <font>
      <b/>
      <sz val="11"/>
      <color rgb="FF0000FF"/>
      <name val="Arial"/>
      <family val="2"/>
    </font>
    <font>
      <b/>
      <sz val="10"/>
      <color rgb="FF0000CC"/>
      <name val="Arial"/>
      <family val="2"/>
    </font>
    <font>
      <sz val="8"/>
      <color rgb="FF0000FF"/>
      <name val="Arial"/>
      <family val="2"/>
    </font>
    <font>
      <sz val="10"/>
      <color rgb="FF0000FF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9"/>
      <color theme="0" tint="-0.499984740745262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u/>
      <sz val="9"/>
      <name val="Arial"/>
      <family val="2"/>
    </font>
    <font>
      <u/>
      <sz val="9"/>
      <color rgb="FFFF5050"/>
      <name val="Arial"/>
      <family val="2"/>
    </font>
    <font>
      <sz val="10"/>
      <color rgb="FFFF5050"/>
      <name val="Arial"/>
      <family val="2"/>
    </font>
    <font>
      <sz val="10"/>
      <color theme="0" tint="-0.499984740745262"/>
      <name val="Arial"/>
      <family val="2"/>
    </font>
    <font>
      <u/>
      <sz val="10"/>
      <color theme="0" tint="-0.499984740745262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b/>
      <sz val="11"/>
      <color rgb="FFCC00FF"/>
      <name val="Times New Roman"/>
      <family val="1"/>
    </font>
    <font>
      <b/>
      <u/>
      <sz val="11"/>
      <name val="Times New Roman"/>
      <family val="1"/>
    </font>
    <font>
      <b/>
      <sz val="10"/>
      <color theme="6" tint="-0.249977111117893"/>
      <name val="Times New Roman"/>
      <family val="1"/>
    </font>
    <font>
      <sz val="11"/>
      <color theme="0" tint="-0.499984740745262"/>
      <name val="Times New Roman"/>
      <family val="1"/>
    </font>
    <font>
      <sz val="10"/>
      <color rgb="FFCC99FF"/>
      <name val="Times New Roman"/>
      <family val="1"/>
    </font>
    <font>
      <b/>
      <sz val="9"/>
      <name val="Times New Roman"/>
      <family val="1"/>
    </font>
    <font>
      <i/>
      <sz val="10"/>
      <color theme="6" tint="-0.249977111117893"/>
      <name val="Times New Roman"/>
      <family val="1"/>
    </font>
    <font>
      <strike/>
      <sz val="10"/>
      <name val="Times New Roman"/>
      <family val="1"/>
    </font>
    <font>
      <b/>
      <strike/>
      <sz val="10"/>
      <name val="Times New Roman"/>
      <family val="1"/>
    </font>
    <font>
      <strike/>
      <sz val="11"/>
      <name val="Times New Roman"/>
      <family val="1"/>
    </font>
    <font>
      <b/>
      <strike/>
      <sz val="12"/>
      <name val="Times New Roman"/>
      <family val="1"/>
    </font>
    <font>
      <sz val="10"/>
      <color theme="7" tint="-0.249977111117893"/>
      <name val="Times New Roman"/>
      <family val="1"/>
    </font>
    <font>
      <strike/>
      <sz val="11"/>
      <color theme="1"/>
      <name val="Calibri"/>
      <family val="2"/>
      <scheme val="minor"/>
    </font>
    <font>
      <strike/>
      <sz val="10"/>
      <color theme="1"/>
      <name val="Times New Roman"/>
      <family val="1"/>
    </font>
    <font>
      <b/>
      <strike/>
      <sz val="12"/>
      <color rgb="FFFF0000"/>
      <name val="Times New Roman"/>
      <family val="1"/>
    </font>
    <font>
      <b/>
      <sz val="10"/>
      <color rgb="FF7030A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gray0625"/>
    </fill>
    <fill>
      <patternFill patternType="solid">
        <fgColor rgb="FFCCFF3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</borders>
  <cellStyleXfs count="11">
    <xf numFmtId="0" fontId="0" fillId="0" borderId="0"/>
    <xf numFmtId="43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48" fillId="0" borderId="0"/>
    <xf numFmtId="10" fontId="57" fillId="0" borderId="0"/>
    <xf numFmtId="0" fontId="57" fillId="0" borderId="0"/>
    <xf numFmtId="37" fontId="57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091">
    <xf numFmtId="0" fontId="0" fillId="0" borderId="0" xfId="0"/>
    <xf numFmtId="0" fontId="19" fillId="0" borderId="0" xfId="0" applyFont="1"/>
    <xf numFmtId="0" fontId="1" fillId="0" borderId="0" xfId="0" quotePrefix="1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center"/>
    </xf>
    <xf numFmtId="9" fontId="0" fillId="0" borderId="0" xfId="0" applyNumberFormat="1" applyFont="1"/>
    <xf numFmtId="0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 applyProtection="1">
      <alignment horizontal="centerContinuous"/>
      <protection locked="0"/>
    </xf>
    <xf numFmtId="0" fontId="1" fillId="0" borderId="0" xfId="0" applyNumberFormat="1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1" fillId="0" borderId="0" xfId="0" applyNumberFormat="1" applyFont="1" applyFill="1" applyAlignment="1">
      <alignment horizontal="left" indent="2"/>
    </xf>
    <xf numFmtId="0" fontId="1" fillId="0" borderId="0" xfId="0" applyFont="1" applyFill="1" applyAlignment="1"/>
    <xf numFmtId="42" fontId="1" fillId="0" borderId="1" xfId="0" applyNumberFormat="1" applyFont="1" applyFill="1" applyBorder="1" applyAlignment="1"/>
    <xf numFmtId="168" fontId="1" fillId="0" borderId="0" xfId="0" applyNumberFormat="1" applyFont="1" applyFill="1" applyBorder="1" applyAlignment="1"/>
    <xf numFmtId="0" fontId="5" fillId="0" borderId="0" xfId="0" applyNumberFormat="1" applyFont="1" applyFill="1" applyAlignment="1"/>
    <xf numFmtId="0" fontId="3" fillId="0" borderId="0" xfId="0" applyNumberFormat="1" applyFont="1" applyFill="1" applyAlignment="1" applyProtection="1">
      <protection locked="0"/>
    </xf>
    <xf numFmtId="0" fontId="1" fillId="0" borderId="0" xfId="0" applyNumberFormat="1" applyFont="1" applyFill="1" applyAlignment="1" applyProtection="1">
      <alignment horizontal="center"/>
      <protection locked="0"/>
    </xf>
    <xf numFmtId="0" fontId="1" fillId="0" borderId="0" xfId="0" applyNumberFormat="1" applyFont="1" applyFill="1" applyBorder="1" applyAlignment="1">
      <alignment horizontal="center"/>
    </xf>
    <xf numFmtId="37" fontId="1" fillId="0" borderId="0" xfId="0" applyNumberFormat="1" applyFont="1" applyFill="1" applyAlignment="1">
      <alignment horizontal="right"/>
    </xf>
    <xf numFmtId="167" fontId="5" fillId="0" borderId="0" xfId="0" applyNumberFormat="1" applyFont="1" applyFill="1" applyBorder="1" applyAlignment="1"/>
    <xf numFmtId="0" fontId="1" fillId="0" borderId="0" xfId="0" quotePrefix="1" applyFont="1" applyBorder="1" applyAlignment="1">
      <alignment horizontal="left"/>
    </xf>
    <xf numFmtId="0" fontId="1" fillId="0" borderId="0" xfId="0" applyFont="1" applyBorder="1" applyAlignment="1"/>
    <xf numFmtId="0" fontId="5" fillId="0" borderId="0" xfId="0" applyFont="1" applyBorder="1" applyAlignment="1">
      <alignment horizontal="left"/>
    </xf>
    <xf numFmtId="37" fontId="1" fillId="0" borderId="0" xfId="0" applyNumberFormat="1" applyFont="1" applyFill="1" applyBorder="1" applyAlignment="1">
      <alignment horizontal="right"/>
    </xf>
    <xf numFmtId="0" fontId="3" fillId="0" borderId="0" xfId="0" quotePrefix="1" applyNumberFormat="1" applyFont="1" applyFill="1" applyAlignment="1"/>
    <xf numFmtId="0" fontId="1" fillId="0" borderId="0" xfId="0" applyNumberFormat="1" applyFont="1" applyFill="1" applyAlignment="1">
      <alignment horizontal="fill"/>
    </xf>
    <xf numFmtId="17" fontId="1" fillId="0" borderId="0" xfId="0" applyNumberFormat="1" applyFont="1" applyFill="1" applyBorder="1" applyAlignment="1">
      <alignment horizontal="left"/>
    </xf>
    <xf numFmtId="41" fontId="2" fillId="0" borderId="0" xfId="0" applyNumberFormat="1" applyFont="1" applyAlignment="1"/>
    <xf numFmtId="0" fontId="1" fillId="0" borderId="0" xfId="0" applyNumberFormat="1" applyFont="1" applyAlignment="1">
      <alignment horizontal="left"/>
    </xf>
    <xf numFmtId="0" fontId="4" fillId="0" borderId="0" xfId="0" applyFont="1" applyAlignment="1">
      <alignment horizontal="centerContinuous"/>
    </xf>
    <xf numFmtId="42" fontId="1" fillId="0" borderId="0" xfId="0" applyNumberFormat="1" applyFont="1" applyFill="1" applyAlignment="1" applyProtection="1">
      <protection locked="0"/>
    </xf>
    <xf numFmtId="0" fontId="1" fillId="0" borderId="0" xfId="0" applyFont="1" applyFill="1" applyAlignment="1">
      <alignment horizontal="left" vertical="center"/>
    </xf>
    <xf numFmtId="167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top"/>
    </xf>
    <xf numFmtId="10" fontId="1" fillId="0" borderId="0" xfId="0" applyNumberFormat="1" applyFont="1" applyFill="1" applyAlignment="1">
      <alignment horizontal="center"/>
    </xf>
    <xf numFmtId="15" fontId="1" fillId="0" borderId="0" xfId="0" applyNumberFormat="1" applyFont="1" applyFill="1" applyAlignment="1"/>
    <xf numFmtId="0" fontId="1" fillId="0" borderId="0" xfId="0" quotePrefix="1" applyFont="1" applyFill="1" applyAlignment="1">
      <alignment horizontal="left"/>
    </xf>
    <xf numFmtId="0" fontId="3" fillId="0" borderId="0" xfId="0" applyNumberFormat="1" applyFont="1" applyFill="1" applyBorder="1" applyAlignment="1" applyProtection="1">
      <protection locked="0"/>
    </xf>
    <xf numFmtId="0" fontId="8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Continuous" vertical="center" wrapText="1"/>
    </xf>
    <xf numFmtId="41" fontId="1" fillId="0" borderId="0" xfId="0" applyNumberFormat="1" applyFont="1" applyFill="1" applyBorder="1" applyAlignment="1">
      <alignment horizontal="centerContinuous" vertical="center" wrapText="1"/>
    </xf>
    <xf numFmtId="0" fontId="10" fillId="0" borderId="0" xfId="0" applyNumberFormat="1" applyFont="1" applyFill="1" applyAlignment="1"/>
    <xf numFmtId="10" fontId="5" fillId="0" borderId="0" xfId="0" applyNumberFormat="1" applyFont="1" applyFill="1" applyAlignment="1">
      <alignment horizontal="center"/>
    </xf>
    <xf numFmtId="169" fontId="1" fillId="0" borderId="0" xfId="0" applyNumberFormat="1" applyFont="1" applyFill="1"/>
    <xf numFmtId="165" fontId="1" fillId="0" borderId="0" xfId="0" quotePrefix="1" applyNumberFormat="1" applyFont="1" applyFill="1" applyBorder="1" applyAlignment="1">
      <alignment horizontal="left"/>
    </xf>
    <xf numFmtId="0" fontId="5" fillId="0" borderId="0" xfId="0" applyNumberFormat="1" applyFont="1" applyFill="1" applyAlignment="1">
      <alignment horizontal="left"/>
    </xf>
    <xf numFmtId="37" fontId="1" fillId="0" borderId="0" xfId="0" applyNumberFormat="1" applyFont="1" applyFill="1" applyBorder="1"/>
    <xf numFmtId="0" fontId="1" fillId="0" borderId="0" xfId="0" applyFont="1" applyFill="1" applyBorder="1"/>
    <xf numFmtId="42" fontId="1" fillId="0" borderId="0" xfId="0" applyNumberFormat="1" applyFont="1" applyFill="1"/>
    <xf numFmtId="0" fontId="1" fillId="0" borderId="0" xfId="0" applyFont="1" applyFill="1"/>
    <xf numFmtId="168" fontId="1" fillId="0" borderId="0" xfId="0" applyNumberFormat="1" applyFont="1" applyFill="1"/>
    <xf numFmtId="37" fontId="1" fillId="0" borderId="0" xfId="0" applyNumberFormat="1" applyFont="1" applyFill="1"/>
    <xf numFmtId="0" fontId="1" fillId="0" borderId="0" xfId="0" applyNumberFormat="1" applyFont="1" applyFill="1" applyBorder="1" applyAlignment="1" applyProtection="1">
      <protection locked="0"/>
    </xf>
    <xf numFmtId="41" fontId="1" fillId="0" borderId="0" xfId="0" applyNumberFormat="1" applyFont="1" applyFill="1" applyBorder="1" applyProtection="1">
      <protection locked="0"/>
    </xf>
    <xf numFmtId="9" fontId="1" fillId="0" borderId="0" xfId="0" applyNumberFormat="1" applyFont="1" applyFill="1" applyBorder="1" applyAlignment="1">
      <alignment horizontal="center"/>
    </xf>
    <xf numFmtId="42" fontId="1" fillId="0" borderId="5" xfId="0" applyNumberFormat="1" applyFont="1" applyFill="1" applyBorder="1" applyAlignment="1"/>
    <xf numFmtId="3" fontId="1" fillId="0" borderId="0" xfId="0" applyNumberFormat="1" applyFont="1" applyFill="1" applyBorder="1" applyAlignment="1"/>
    <xf numFmtId="41" fontId="1" fillId="0" borderId="0" xfId="0" applyNumberFormat="1" applyFont="1" applyFill="1" applyAlignment="1" applyProtection="1">
      <protection locked="0"/>
    </xf>
    <xf numFmtId="41" fontId="1" fillId="0" borderId="0" xfId="0" applyNumberFormat="1" applyFont="1" applyFill="1" applyBorder="1" applyAlignment="1" applyProtection="1">
      <protection locked="0"/>
    </xf>
    <xf numFmtId="37" fontId="1" fillId="0" borderId="0" xfId="0" applyNumberFormat="1" applyFont="1" applyFill="1" applyBorder="1" applyAlignment="1"/>
    <xf numFmtId="42" fontId="3" fillId="0" borderId="5" xfId="0" applyNumberFormat="1" applyFont="1" applyFill="1" applyBorder="1" applyAlignment="1"/>
    <xf numFmtId="168" fontId="1" fillId="0" borderId="0" xfId="0" applyNumberFormat="1" applyFont="1" applyFill="1" applyBorder="1" applyAlignment="1">
      <alignment horizontal="centerContinuous"/>
    </xf>
    <xf numFmtId="41" fontId="1" fillId="0" borderId="0" xfId="0" applyNumberFormat="1" applyFont="1" applyFill="1" applyBorder="1"/>
    <xf numFmtId="3" fontId="1" fillId="0" borderId="0" xfId="0" applyNumberFormat="1" applyFont="1" applyFill="1" applyBorder="1"/>
    <xf numFmtId="168" fontId="1" fillId="0" borderId="0" xfId="0" applyNumberFormat="1" applyFont="1" applyFill="1" applyBorder="1" applyAlignment="1">
      <alignment horizontal="left" wrapText="1"/>
    </xf>
    <xf numFmtId="173" fontId="1" fillId="0" borderId="0" xfId="0" applyNumberFormat="1" applyFont="1" applyFill="1" applyAlignment="1"/>
    <xf numFmtId="41" fontId="1" fillId="0" borderId="0" xfId="0" applyNumberFormat="1" applyFont="1" applyFill="1" applyAlignment="1"/>
    <xf numFmtId="174" fontId="1" fillId="0" borderId="0" xfId="0" applyNumberFormat="1" applyFont="1" applyFill="1" applyAlignment="1"/>
    <xf numFmtId="9" fontId="1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 applyProtection="1">
      <alignment horizontal="center"/>
      <protection locked="0"/>
    </xf>
    <xf numFmtId="168" fontId="1" fillId="0" borderId="0" xfId="0" applyNumberFormat="1" applyFont="1" applyFill="1" applyBorder="1" applyProtection="1">
      <protection locked="0"/>
    </xf>
    <xf numFmtId="0" fontId="1" fillId="0" borderId="0" xfId="0" applyNumberFormat="1" applyFont="1" applyFill="1" applyBorder="1" applyAlignment="1"/>
    <xf numFmtId="42" fontId="3" fillId="0" borderId="5" xfId="0" applyNumberFormat="1" applyFont="1" applyFill="1" applyBorder="1"/>
    <xf numFmtId="42" fontId="2" fillId="0" borderId="0" xfId="0" applyNumberFormat="1" applyFont="1" applyBorder="1"/>
    <xf numFmtId="0" fontId="1" fillId="0" borderId="0" xfId="0" applyNumberFormat="1" applyFont="1" applyAlignment="1"/>
    <xf numFmtId="0" fontId="1" fillId="0" borderId="0" xfId="0" applyNumberFormat="1" applyFont="1" applyFill="1" applyAlignment="1">
      <alignment vertical="center"/>
    </xf>
    <xf numFmtId="42" fontId="2" fillId="0" borderId="1" xfId="0" applyNumberFormat="1" applyFont="1" applyBorder="1"/>
    <xf numFmtId="168" fontId="1" fillId="0" borderId="0" xfId="0" quotePrefix="1" applyNumberFormat="1" applyFont="1" applyFill="1" applyBorder="1" applyAlignment="1">
      <alignment horizontal="left"/>
    </xf>
    <xf numFmtId="9" fontId="1" fillId="0" borderId="0" xfId="0" quotePrefix="1" applyNumberFormat="1" applyFont="1" applyFill="1" applyBorder="1" applyAlignment="1">
      <alignment horizontal="left"/>
    </xf>
    <xf numFmtId="168" fontId="1" fillId="0" borderId="0" xfId="0" applyNumberFormat="1" applyFont="1" applyFill="1" applyBorder="1" applyAlignment="1" applyProtection="1"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/>
    <xf numFmtId="168" fontId="1" fillId="0" borderId="0" xfId="0" applyNumberFormat="1" applyFont="1" applyFill="1" applyAlignment="1" applyProtection="1">
      <protection locked="0"/>
    </xf>
    <xf numFmtId="0" fontId="4" fillId="0" borderId="0" xfId="0" applyFont="1" applyAlignment="1">
      <alignment horizontal="center"/>
    </xf>
    <xf numFmtId="168" fontId="4" fillId="0" borderId="0" xfId="0" applyNumberFormat="1" applyFont="1" applyBorder="1"/>
    <xf numFmtId="0" fontId="15" fillId="0" borderId="0" xfId="0" applyFont="1" applyAlignment="1">
      <alignment horizontal="centerContinuous"/>
    </xf>
    <xf numFmtId="0" fontId="15" fillId="0" borderId="0" xfId="0" applyNumberFormat="1" applyFont="1" applyFill="1" applyAlignment="1" applyProtection="1">
      <alignment horizontal="centerContinuous"/>
      <protection locked="0"/>
    </xf>
    <xf numFmtId="0" fontId="15" fillId="0" borderId="0" xfId="0" applyNumberFormat="1" applyFont="1" applyFill="1" applyAlignment="1">
      <alignment horizontal="centerContinuous"/>
    </xf>
    <xf numFmtId="0" fontId="13" fillId="0" borderId="0" xfId="0" applyFont="1" applyAlignment="1">
      <alignment horizontal="centerContinuous"/>
    </xf>
    <xf numFmtId="0" fontId="15" fillId="0" borderId="0" xfId="0" applyFont="1"/>
    <xf numFmtId="0" fontId="16" fillId="0" borderId="0" xfId="0" applyFont="1" applyAlignment="1">
      <alignment horizontal="centerContinuous"/>
    </xf>
    <xf numFmtId="0" fontId="16" fillId="0" borderId="0" xfId="0" applyFont="1"/>
    <xf numFmtId="0" fontId="8" fillId="0" borderId="0" xfId="0" applyNumberFormat="1" applyFont="1" applyFill="1" applyAlignment="1"/>
    <xf numFmtId="164" fontId="2" fillId="0" borderId="0" xfId="0" applyNumberFormat="1" applyFont="1" applyFill="1" applyAlignment="1" applyProtection="1">
      <alignment horizontal="left"/>
    </xf>
    <xf numFmtId="42" fontId="4" fillId="2" borderId="0" xfId="0" applyNumberFormat="1" applyFont="1" applyFill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41" fontId="4" fillId="0" borderId="0" xfId="0" applyNumberFormat="1" applyFont="1"/>
    <xf numFmtId="0" fontId="1" fillId="0" borderId="0" xfId="0" applyFont="1" applyFill="1" applyAlignment="1">
      <alignment horizontal="left"/>
    </xf>
    <xf numFmtId="168" fontId="1" fillId="0" borderId="0" xfId="0" applyNumberFormat="1" applyFont="1" applyFill="1" applyBorder="1"/>
    <xf numFmtId="41" fontId="4" fillId="0" borderId="0" xfId="0" applyNumberFormat="1" applyFont="1" applyBorder="1"/>
    <xf numFmtId="0" fontId="4" fillId="0" borderId="0" xfId="0" applyNumberFormat="1" applyFont="1" applyFill="1" applyAlignment="1"/>
    <xf numFmtId="9" fontId="1" fillId="0" borderId="0" xfId="0" applyNumberFormat="1" applyFont="1" applyFill="1" applyBorder="1"/>
    <xf numFmtId="169" fontId="1" fillId="0" borderId="0" xfId="0" applyNumberFormat="1" applyFont="1" applyFill="1" applyBorder="1"/>
    <xf numFmtId="169" fontId="3" fillId="0" borderId="5" xfId="0" applyNumberFormat="1" applyFont="1" applyBorder="1"/>
    <xf numFmtId="170" fontId="1" fillId="0" borderId="0" xfId="0" applyNumberFormat="1" applyFont="1" applyFill="1" applyBorder="1" applyAlignment="1">
      <alignment horizontal="left"/>
    </xf>
    <xf numFmtId="42" fontId="1" fillId="0" borderId="0" xfId="0" applyNumberFormat="1" applyFont="1" applyFill="1" applyBorder="1" applyAlignment="1"/>
    <xf numFmtId="9" fontId="4" fillId="0" borderId="0" xfId="0" applyNumberFormat="1" applyFont="1"/>
    <xf numFmtId="0" fontId="1" fillId="0" borderId="0" xfId="0" applyFont="1" applyFill="1" applyBorder="1" applyAlignment="1"/>
    <xf numFmtId="41" fontId="1" fillId="0" borderId="0" xfId="0" applyNumberFormat="1" applyFont="1" applyFill="1" applyBorder="1" applyAlignment="1"/>
    <xf numFmtId="41" fontId="1" fillId="0" borderId="0" xfId="0" applyNumberFormat="1" applyFont="1" applyFill="1" applyBorder="1" applyAlignment="1">
      <alignment horizontal="center"/>
    </xf>
    <xf numFmtId="168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9" fontId="1" fillId="0" borderId="0" xfId="0" applyNumberFormat="1" applyFont="1" applyFill="1" applyBorder="1" applyAlignment="1"/>
    <xf numFmtId="41" fontId="1" fillId="0" borderId="0" xfId="0" applyNumberFormat="1" applyFont="1" applyFill="1" applyBorder="1" applyAlignment="1">
      <alignment horizontal="fill"/>
    </xf>
    <xf numFmtId="1" fontId="1" fillId="0" borderId="0" xfId="0" quotePrefix="1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/>
    <xf numFmtId="0" fontId="4" fillId="0" borderId="0" xfId="0" applyNumberFormat="1" applyFont="1" applyAlignment="1"/>
    <xf numFmtId="0" fontId="1" fillId="0" borderId="0" xfId="0" applyFont="1" applyFill="1" applyBorder="1" applyAlignment="1">
      <alignment horizontal="center"/>
    </xf>
    <xf numFmtId="0" fontId="4" fillId="0" borderId="0" xfId="0" applyFont="1" applyBorder="1"/>
    <xf numFmtId="0" fontId="3" fillId="0" borderId="0" xfId="0" applyNumberFormat="1" applyFont="1" applyFill="1" applyBorder="1" applyAlignment="1">
      <alignment horizontal="left"/>
    </xf>
    <xf numFmtId="0" fontId="1" fillId="0" borderId="0" xfId="0" applyFont="1" applyAlignment="1">
      <alignment horizontal="left" wrapText="1"/>
    </xf>
    <xf numFmtId="168" fontId="1" fillId="0" borderId="0" xfId="0" applyNumberFormat="1" applyFont="1" applyAlignment="1">
      <alignment horizontal="left" wrapText="1"/>
    </xf>
    <xf numFmtId="165" fontId="1" fillId="0" borderId="0" xfId="0" applyNumberFormat="1" applyFont="1" applyFill="1" applyBorder="1" applyAlignment="1">
      <alignment horizontal="left"/>
    </xf>
    <xf numFmtId="43" fontId="1" fillId="0" borderId="0" xfId="0" applyNumberFormat="1" applyFont="1" applyFill="1" applyBorder="1" applyAlignment="1"/>
    <xf numFmtId="0" fontId="4" fillId="0" borderId="0" xfId="0" applyFont="1" applyFill="1" applyAlignment="1">
      <alignment horizontal="centerContinuous"/>
    </xf>
    <xf numFmtId="0" fontId="13" fillId="0" borderId="0" xfId="0" applyFont="1"/>
    <xf numFmtId="0" fontId="13" fillId="0" borderId="0" xfId="0" applyFont="1" applyFill="1" applyAlignment="1">
      <alignment horizontal="centerContinuous"/>
    </xf>
    <xf numFmtId="169" fontId="3" fillId="0" borderId="0" xfId="0" applyNumberFormat="1" applyFont="1" applyBorder="1"/>
    <xf numFmtId="0" fontId="17" fillId="0" borderId="0" xfId="0" applyFont="1" applyAlignment="1">
      <alignment horizontal="centerContinuous"/>
    </xf>
    <xf numFmtId="10" fontId="4" fillId="0" borderId="0" xfId="0" applyNumberFormat="1" applyFont="1"/>
    <xf numFmtId="171" fontId="1" fillId="0" borderId="0" xfId="0" applyNumberFormat="1" applyFont="1" applyFill="1" applyAlignment="1"/>
    <xf numFmtId="165" fontId="1" fillId="0" borderId="0" xfId="0" applyNumberFormat="1" applyFont="1" applyFill="1" applyBorder="1" applyAlignment="1"/>
    <xf numFmtId="165" fontId="3" fillId="0" borderId="5" xfId="0" applyNumberFormat="1" applyFont="1" applyFill="1" applyBorder="1" applyAlignment="1" applyProtection="1">
      <protection locked="0"/>
    </xf>
    <xf numFmtId="165" fontId="4" fillId="0" borderId="0" xfId="0" applyNumberFormat="1" applyFont="1" applyFill="1" applyAlignment="1"/>
    <xf numFmtId="0" fontId="1" fillId="0" borderId="0" xfId="0" applyFont="1" applyAlignment="1">
      <alignment horizontal="center"/>
    </xf>
    <xf numFmtId="42" fontId="1" fillId="0" borderId="0" xfId="0" applyNumberFormat="1" applyFont="1" applyAlignment="1">
      <alignment horizontal="left"/>
    </xf>
    <xf numFmtId="10" fontId="4" fillId="0" borderId="0" xfId="0" applyNumberFormat="1" applyFont="1" applyFill="1"/>
    <xf numFmtId="42" fontId="1" fillId="0" borderId="0" xfId="0" applyNumberFormat="1" applyFont="1" applyFill="1" applyBorder="1" applyAlignment="1">
      <alignment horizontal="right"/>
    </xf>
    <xf numFmtId="41" fontId="1" fillId="0" borderId="0" xfId="0" applyNumberFormat="1" applyFont="1" applyFill="1" applyBorder="1" applyAlignment="1">
      <alignment horizontal="right"/>
    </xf>
    <xf numFmtId="0" fontId="1" fillId="0" borderId="0" xfId="0" quotePrefix="1" applyNumberFormat="1" applyFont="1" applyFill="1" applyAlignment="1">
      <alignment horizontal="left" indent="2"/>
    </xf>
    <xf numFmtId="10" fontId="5" fillId="0" borderId="0" xfId="0" applyNumberFormat="1" applyFont="1" applyFill="1" applyAlignment="1">
      <alignment horizontal="left"/>
    </xf>
    <xf numFmtId="37" fontId="1" fillId="0" borderId="0" xfId="0" applyNumberFormat="1" applyFont="1" applyFill="1" applyAlignment="1">
      <alignment horizontal="left"/>
    </xf>
    <xf numFmtId="41" fontId="1" fillId="0" borderId="0" xfId="0" applyNumberFormat="1" applyFont="1" applyFill="1" applyAlignment="1">
      <alignment horizontal="center"/>
    </xf>
    <xf numFmtId="42" fontId="1" fillId="0" borderId="0" xfId="0" applyNumberFormat="1" applyFont="1" applyFill="1" applyAlignment="1">
      <alignment horizontal="right"/>
    </xf>
    <xf numFmtId="42" fontId="4" fillId="0" borderId="0" xfId="0" applyNumberFormat="1" applyFont="1"/>
    <xf numFmtId="177" fontId="1" fillId="0" borderId="0" xfId="0" applyNumberFormat="1" applyFont="1" applyFill="1" applyAlignment="1">
      <alignment horizontal="right"/>
    </xf>
    <xf numFmtId="178" fontId="1" fillId="0" borderId="0" xfId="0" applyNumberFormat="1" applyFont="1" applyFill="1" applyAlignment="1">
      <alignment horizontal="right"/>
    </xf>
    <xf numFmtId="41" fontId="1" fillId="0" borderId="0" xfId="0" applyNumberFormat="1" applyFont="1" applyFill="1" applyAlignment="1">
      <alignment horizontal="right"/>
    </xf>
    <xf numFmtId="165" fontId="3" fillId="0" borderId="0" xfId="0" applyNumberFormat="1" applyFont="1" applyFill="1" applyAlignment="1" applyProtection="1">
      <alignment horizontal="centerContinuous"/>
      <protection locked="0"/>
    </xf>
    <xf numFmtId="165" fontId="3" fillId="0" borderId="0" xfId="0" applyNumberFormat="1" applyFont="1" applyFill="1" applyAlignment="1">
      <alignment horizontal="left"/>
    </xf>
    <xf numFmtId="165" fontId="3" fillId="0" borderId="0" xfId="0" applyNumberFormat="1" applyFont="1" applyFill="1" applyAlignment="1" applyProtection="1">
      <alignment horizontal="left"/>
      <protection locked="0"/>
    </xf>
    <xf numFmtId="165" fontId="3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1" fillId="0" borderId="0" xfId="0" applyNumberFormat="1" applyFont="1" applyFill="1" applyAlignment="1"/>
    <xf numFmtId="9" fontId="1" fillId="0" borderId="0" xfId="0" applyNumberFormat="1" applyFont="1" applyFill="1" applyAlignment="1"/>
    <xf numFmtId="42" fontId="4" fillId="0" borderId="0" xfId="0" applyNumberFormat="1" applyFont="1" applyBorder="1"/>
    <xf numFmtId="168" fontId="4" fillId="0" borderId="0" xfId="0" applyNumberFormat="1" applyFont="1" applyFill="1"/>
    <xf numFmtId="165" fontId="5" fillId="0" borderId="0" xfId="0" applyNumberFormat="1" applyFont="1" applyFill="1" applyAlignment="1"/>
    <xf numFmtId="165" fontId="1" fillId="0" borderId="0" xfId="0" applyNumberFormat="1" applyFont="1" applyFill="1" applyAlignment="1"/>
    <xf numFmtId="165" fontId="1" fillId="0" borderId="0" xfId="0" quotePrefix="1" applyNumberFormat="1" applyFont="1" applyFill="1" applyAlignment="1">
      <alignment horizontal="left"/>
    </xf>
    <xf numFmtId="169" fontId="3" fillId="0" borderId="5" xfId="0" applyNumberFormat="1" applyFont="1" applyFill="1" applyBorder="1" applyAlignment="1"/>
    <xf numFmtId="42" fontId="18" fillId="0" borderId="0" xfId="0" applyNumberFormat="1" applyFont="1" applyFill="1" applyBorder="1" applyAlignment="1"/>
    <xf numFmtId="0" fontId="19" fillId="0" borderId="0" xfId="0" applyFont="1" applyAlignment="1">
      <alignment horizontal="left" wrapText="1"/>
    </xf>
    <xf numFmtId="168" fontId="18" fillId="0" borderId="0" xfId="0" applyNumberFormat="1" applyFont="1" applyFill="1" applyBorder="1" applyAlignment="1"/>
    <xf numFmtId="0" fontId="18" fillId="0" borderId="0" xfId="0" applyFont="1" applyFill="1" applyBorder="1" applyAlignment="1">
      <alignment horizontal="center"/>
    </xf>
    <xf numFmtId="0" fontId="3" fillId="0" borderId="0" xfId="0" applyNumberFormat="1" applyFont="1" applyFill="1" applyAlignment="1">
      <alignment horizontal="left"/>
    </xf>
    <xf numFmtId="42" fontId="1" fillId="0" borderId="5" xfId="0" applyNumberFormat="1" applyFont="1" applyBorder="1" applyAlignment="1">
      <alignment horizontal="right"/>
    </xf>
    <xf numFmtId="169" fontId="1" fillId="0" borderId="5" xfId="0" applyNumberFormat="1" applyFont="1" applyBorder="1"/>
    <xf numFmtId="0" fontId="5" fillId="0" borderId="0" xfId="0" applyFont="1" applyFill="1"/>
    <xf numFmtId="0" fontId="1" fillId="0" borderId="0" xfId="0" applyFont="1" applyFill="1" applyAlignment="1">
      <alignment horizontal="left" indent="1"/>
    </xf>
    <xf numFmtId="168" fontId="1" fillId="0" borderId="0" xfId="0" applyNumberFormat="1" applyFont="1" applyAlignment="1">
      <alignment horizontal="right"/>
    </xf>
    <xf numFmtId="168" fontId="1" fillId="0" borderId="0" xfId="0" applyNumberFormat="1" applyFont="1" applyAlignment="1" applyProtection="1">
      <alignment horizontal="right"/>
      <protection locked="0"/>
    </xf>
    <xf numFmtId="169" fontId="1" fillId="0" borderId="0" xfId="0" applyNumberFormat="1" applyFont="1" applyFill="1" applyAlignment="1" applyProtection="1">
      <alignment vertical="center"/>
      <protection locked="0"/>
    </xf>
    <xf numFmtId="167" fontId="1" fillId="0" borderId="0" xfId="0" applyNumberFormat="1" applyFont="1" applyFill="1" applyProtection="1">
      <protection locked="0"/>
    </xf>
    <xf numFmtId="169" fontId="1" fillId="0" borderId="5" xfId="0" applyNumberFormat="1" applyFont="1" applyFill="1" applyBorder="1"/>
    <xf numFmtId="0" fontId="3" fillId="0" borderId="0" xfId="0" applyFont="1" applyFill="1" applyAlignment="1">
      <alignment horizontal="left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1" fillId="0" borderId="0" xfId="0" applyFont="1" applyAlignment="1">
      <alignment horizontal="left"/>
    </xf>
    <xf numFmtId="0" fontId="20" fillId="0" borderId="0" xfId="0" applyFont="1" applyFill="1" applyBorder="1" applyAlignment="1">
      <alignment horizontal="center"/>
    </xf>
    <xf numFmtId="42" fontId="1" fillId="0" borderId="0" xfId="0" applyNumberFormat="1" applyFont="1"/>
    <xf numFmtId="42" fontId="1" fillId="0" borderId="0" xfId="0" applyNumberFormat="1" applyFont="1" applyAlignment="1" applyProtection="1">
      <alignment horizontal="right"/>
      <protection locked="0"/>
    </xf>
    <xf numFmtId="37" fontId="1" fillId="0" borderId="0" xfId="0" applyNumberFormat="1" applyFont="1"/>
    <xf numFmtId="0" fontId="1" fillId="0" borderId="0" xfId="0" applyFont="1"/>
    <xf numFmtId="10" fontId="1" fillId="0" borderId="0" xfId="0" applyNumberFormat="1" applyFont="1" applyFill="1" applyBorder="1" applyAlignment="1">
      <alignment horizontal="center"/>
    </xf>
    <xf numFmtId="167" fontId="21" fillId="0" borderId="0" xfId="0" applyNumberFormat="1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168" fontId="1" fillId="0" borderId="0" xfId="0" applyNumberFormat="1" applyFont="1"/>
    <xf numFmtId="42" fontId="1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41" fontId="1" fillId="0" borderId="0" xfId="0" applyNumberFormat="1" applyFont="1" applyBorder="1" applyAlignment="1" applyProtection="1">
      <alignment horizontal="right"/>
      <protection locked="0"/>
    </xf>
    <xf numFmtId="0" fontId="8" fillId="0" borderId="0" xfId="0" applyNumberFormat="1" applyFont="1" applyFill="1" applyAlignment="1">
      <alignment horizontal="left"/>
    </xf>
    <xf numFmtId="165" fontId="18" fillId="0" borderId="0" xfId="0" applyNumberFormat="1" applyFont="1" applyFill="1" applyAlignment="1">
      <alignment horizontal="left"/>
    </xf>
    <xf numFmtId="165" fontId="18" fillId="0" borderId="0" xfId="0" applyNumberFormat="1" applyFont="1" applyFill="1" applyAlignment="1"/>
    <xf numFmtId="165" fontId="18" fillId="0" borderId="0" xfId="0" applyNumberFormat="1" applyFont="1" applyFill="1" applyBorder="1" applyAlignment="1">
      <alignment horizontal="left"/>
    </xf>
    <xf numFmtId="168" fontId="10" fillId="0" borderId="0" xfId="0" applyNumberFormat="1" applyFont="1" applyFill="1" applyAlignment="1"/>
    <xf numFmtId="168" fontId="1" fillId="0" borderId="0" xfId="0" applyNumberFormat="1" applyFont="1" applyFill="1" applyBorder="1" applyAlignment="1">
      <alignment horizontal="left" indent="1"/>
    </xf>
    <xf numFmtId="42" fontId="16" fillId="0" borderId="5" xfId="0" applyNumberFormat="1" applyFont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top"/>
    </xf>
    <xf numFmtId="15" fontId="1" fillId="0" borderId="0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168" fontId="1" fillId="0" borderId="0" xfId="0" applyNumberFormat="1" applyFont="1" applyFill="1" applyBorder="1" applyAlignment="1">
      <alignment horizontal="left"/>
    </xf>
    <xf numFmtId="0" fontId="6" fillId="0" borderId="0" xfId="0" applyNumberFormat="1" applyFont="1" applyAlignment="1"/>
    <xf numFmtId="0" fontId="1" fillId="0" borderId="0" xfId="0" applyFont="1" applyBorder="1"/>
    <xf numFmtId="0" fontId="1" fillId="0" borderId="0" xfId="0" applyFont="1" applyFill="1" applyBorder="1" applyAlignment="1">
      <alignment horizontal="left" indent="1"/>
    </xf>
    <xf numFmtId="42" fontId="1" fillId="0" borderId="0" xfId="0" applyNumberFormat="1" applyFont="1" applyFill="1" applyBorder="1" applyProtection="1">
      <protection locked="0"/>
    </xf>
    <xf numFmtId="165" fontId="5" fillId="0" borderId="0" xfId="0" applyNumberFormat="1" applyFont="1" applyFill="1" applyAlignment="1">
      <alignment horizontal="left"/>
    </xf>
    <xf numFmtId="165" fontId="1" fillId="0" borderId="0" xfId="0" applyNumberFormat="1" applyFont="1" applyFill="1" applyAlignment="1">
      <alignment horizontal="left" indent="2"/>
    </xf>
    <xf numFmtId="165" fontId="1" fillId="0" borderId="0" xfId="0" applyNumberFormat="1" applyFont="1" applyFill="1" applyAlignment="1">
      <alignment horizontal="left"/>
    </xf>
    <xf numFmtId="165" fontId="1" fillId="0" borderId="0" xfId="0" applyNumberFormat="1" applyFont="1" applyFill="1" applyAlignment="1">
      <alignment horizontal="left" indent="1"/>
    </xf>
    <xf numFmtId="9" fontId="1" fillId="0" borderId="0" xfId="0" quotePrefix="1" applyNumberFormat="1" applyFont="1" applyFill="1" applyBorder="1" applyAlignment="1">
      <alignment horizontal="center"/>
    </xf>
    <xf numFmtId="0" fontId="3" fillId="0" borderId="0" xfId="0" quotePrefix="1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left" indent="1"/>
    </xf>
    <xf numFmtId="168" fontId="1" fillId="0" borderId="21" xfId="0" applyNumberFormat="1" applyFont="1" applyBorder="1" applyAlignment="1"/>
    <xf numFmtId="41" fontId="1" fillId="0" borderId="21" xfId="0" applyNumberFormat="1" applyFont="1" applyBorder="1" applyAlignment="1"/>
    <xf numFmtId="171" fontId="4" fillId="0" borderId="0" xfId="0" applyNumberFormat="1" applyFont="1"/>
    <xf numFmtId="43" fontId="4" fillId="0" borderId="0" xfId="0" applyNumberFormat="1" applyFont="1"/>
    <xf numFmtId="44" fontId="4" fillId="0" borderId="0" xfId="0" applyNumberFormat="1" applyFont="1"/>
    <xf numFmtId="0" fontId="1" fillId="0" borderId="21" xfId="0" applyNumberFormat="1" applyFont="1" applyBorder="1" applyAlignment="1">
      <alignment horizontal="left"/>
    </xf>
    <xf numFmtId="167" fontId="1" fillId="0" borderId="21" xfId="0" applyNumberFormat="1" applyFont="1" applyBorder="1" applyAlignment="1" applyProtection="1">
      <alignment horizontal="right"/>
      <protection locked="0"/>
    </xf>
    <xf numFmtId="0" fontId="4" fillId="0" borderId="21" xfId="0" applyFont="1" applyBorder="1"/>
    <xf numFmtId="0" fontId="1" fillId="0" borderId="21" xfId="0" applyFont="1" applyBorder="1"/>
    <xf numFmtId="9" fontId="1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10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 indent="2"/>
    </xf>
    <xf numFmtId="0" fontId="1" fillId="0" borderId="0" xfId="0" applyFont="1" applyAlignment="1">
      <alignment horizontal="left" indent="2"/>
    </xf>
    <xf numFmtId="0" fontId="5" fillId="0" borderId="0" xfId="0" applyFont="1" applyAlignment="1">
      <alignment horizontal="left"/>
    </xf>
    <xf numFmtId="169" fontId="4" fillId="0" borderId="0" xfId="0" applyNumberFormat="1" applyFont="1"/>
    <xf numFmtId="169" fontId="1" fillId="0" borderId="0" xfId="0" applyNumberFormat="1" applyFont="1" applyFill="1" applyBorder="1" applyAlignment="1"/>
    <xf numFmtId="41" fontId="1" fillId="0" borderId="21" xfId="0" applyNumberFormat="1" applyFont="1" applyFill="1" applyBorder="1" applyAlignment="1"/>
    <xf numFmtId="0" fontId="22" fillId="0" borderId="0" xfId="0" applyNumberFormat="1" applyFont="1" applyFill="1" applyAlignment="1">
      <alignment horizontal="left" indent="2"/>
    </xf>
    <xf numFmtId="42" fontId="22" fillId="0" borderId="0" xfId="0" applyNumberFormat="1" applyFont="1" applyFill="1" applyBorder="1" applyAlignment="1"/>
    <xf numFmtId="0" fontId="17" fillId="0" borderId="0" xfId="0" applyFont="1" applyFill="1" applyAlignment="1">
      <alignment horizontal="left"/>
    </xf>
    <xf numFmtId="41" fontId="22" fillId="0" borderId="0" xfId="0" applyNumberFormat="1" applyFont="1" applyFill="1" applyBorder="1" applyAlignment="1"/>
    <xf numFmtId="169" fontId="1" fillId="0" borderId="5" xfId="0" applyNumberFormat="1" applyFont="1" applyFill="1" applyBorder="1" applyAlignment="1"/>
    <xf numFmtId="0" fontId="1" fillId="0" borderId="0" xfId="0" quotePrefix="1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/>
    <xf numFmtId="41" fontId="4" fillId="0" borderId="23" xfId="0" applyNumberFormat="1" applyFont="1" applyBorder="1"/>
    <xf numFmtId="10" fontId="1" fillId="0" borderId="0" xfId="0" applyNumberFormat="1" applyFont="1" applyFill="1" applyAlignment="1">
      <alignment horizontal="right"/>
    </xf>
    <xf numFmtId="41" fontId="1" fillId="0" borderId="23" xfId="0" applyNumberFormat="1" applyFont="1" applyFill="1" applyBorder="1" applyAlignment="1" applyProtection="1">
      <protection locked="0"/>
    </xf>
    <xf numFmtId="165" fontId="5" fillId="0" borderId="0" xfId="0" applyNumberFormat="1" applyFont="1" applyAlignment="1">
      <alignment horizontal="left"/>
    </xf>
    <xf numFmtId="0" fontId="6" fillId="0" borderId="0" xfId="0" applyFont="1" applyFill="1"/>
    <xf numFmtId="41" fontId="1" fillId="0" borderId="0" xfId="0" applyNumberFormat="1" applyFont="1" applyFill="1"/>
    <xf numFmtId="168" fontId="1" fillId="0" borderId="0" xfId="0" applyNumberFormat="1" applyFont="1" applyFill="1" applyAlignment="1">
      <alignment horizontal="left" wrapText="1"/>
    </xf>
    <xf numFmtId="37" fontId="1" fillId="0" borderId="21" xfId="0" applyNumberFormat="1" applyFont="1" applyFill="1" applyBorder="1" applyAlignment="1"/>
    <xf numFmtId="41" fontId="1" fillId="0" borderId="22" xfId="0" applyNumberFormat="1" applyFont="1" applyFill="1" applyBorder="1" applyAlignment="1">
      <alignment horizontal="right"/>
    </xf>
    <xf numFmtId="170" fontId="1" fillId="0" borderId="0" xfId="0" quotePrefix="1" applyNumberFormat="1" applyFont="1" applyFill="1" applyBorder="1" applyAlignment="1">
      <alignment horizontal="left"/>
    </xf>
    <xf numFmtId="168" fontId="18" fillId="0" borderId="0" xfId="0" applyNumberFormat="1" applyFont="1" applyFill="1" applyBorder="1"/>
    <xf numFmtId="168" fontId="18" fillId="0" borderId="21" xfId="0" applyNumberFormat="1" applyFont="1" applyFill="1" applyBorder="1"/>
    <xf numFmtId="9" fontId="1" fillId="0" borderId="0" xfId="0" applyNumberFormat="1" applyFont="1" applyFill="1" applyAlignment="1">
      <alignment horizontal="center"/>
    </xf>
    <xf numFmtId="168" fontId="4" fillId="0" borderId="0" xfId="0" applyNumberFormat="1" applyFont="1"/>
    <xf numFmtId="168" fontId="4" fillId="0" borderId="21" xfId="0" applyNumberFormat="1" applyFont="1" applyBorder="1"/>
    <xf numFmtId="43" fontId="1" fillId="0" borderId="0" xfId="0" applyNumberFormat="1" applyFont="1" applyFill="1" applyAlignment="1"/>
    <xf numFmtId="168" fontId="1" fillId="0" borderId="0" xfId="0" applyNumberFormat="1" applyFont="1" applyFill="1" applyAlignment="1"/>
    <xf numFmtId="0" fontId="4" fillId="0" borderId="23" xfId="0" applyFont="1" applyBorder="1"/>
    <xf numFmtId="10" fontId="4" fillId="0" borderId="0" xfId="0" applyNumberFormat="1" applyFont="1" applyBorder="1"/>
    <xf numFmtId="9" fontId="4" fillId="0" borderId="0" xfId="0" applyNumberFormat="1" applyFont="1" applyBorder="1"/>
    <xf numFmtId="0" fontId="1" fillId="0" borderId="21" xfId="0" applyNumberFormat="1" applyFont="1" applyFill="1" applyBorder="1" applyAlignment="1"/>
    <xf numFmtId="41" fontId="1" fillId="0" borderId="0" xfId="0" applyNumberFormat="1" applyFont="1" applyFill="1" applyBorder="1" applyAlignment="1" applyProtection="1">
      <alignment horizontal="left"/>
      <protection locked="0"/>
    </xf>
    <xf numFmtId="41" fontId="1" fillId="0" borderId="21" xfId="0" applyNumberFormat="1" applyFont="1" applyFill="1" applyBorder="1" applyAlignment="1" applyProtection="1">
      <alignment horizontal="right"/>
      <protection locked="0"/>
    </xf>
    <xf numFmtId="41" fontId="1" fillId="0" borderId="0" xfId="0" applyNumberFormat="1" applyFont="1" applyFill="1" applyAlignment="1" applyProtection="1">
      <alignment horizontal="right"/>
      <protection locked="0"/>
    </xf>
    <xf numFmtId="42" fontId="4" fillId="0" borderId="1" xfId="0" applyNumberFormat="1" applyFont="1" applyBorder="1"/>
    <xf numFmtId="169" fontId="7" fillId="0" borderId="5" xfId="0" applyNumberFormat="1" applyFont="1" applyFill="1" applyBorder="1"/>
    <xf numFmtId="42" fontId="18" fillId="0" borderId="0" xfId="0" applyNumberFormat="1" applyFont="1" applyFill="1" applyBorder="1"/>
    <xf numFmtId="42" fontId="1" fillId="0" borderId="0" xfId="0" applyNumberFormat="1" applyFont="1" applyAlignment="1">
      <alignment horizontal="left" wrapText="1"/>
    </xf>
    <xf numFmtId="42" fontId="1" fillId="0" borderId="0" xfId="0" applyNumberFormat="1" applyFont="1" applyFill="1" applyAlignment="1">
      <alignment horizontal="left" wrapText="1"/>
    </xf>
    <xf numFmtId="41" fontId="4" fillId="0" borderId="21" xfId="0" applyNumberFormat="1" applyFont="1" applyBorder="1"/>
    <xf numFmtId="0" fontId="3" fillId="0" borderId="0" xfId="0" quotePrefix="1" applyNumberFormat="1" applyFont="1" applyFill="1" applyBorder="1" applyAlignment="1" applyProtection="1">
      <alignment horizontal="center"/>
      <protection locked="0"/>
    </xf>
    <xf numFmtId="42" fontId="1" fillId="0" borderId="0" xfId="0" applyNumberFormat="1" applyFont="1" applyFill="1" applyAlignment="1" applyProtection="1">
      <alignment horizontal="right"/>
      <protection locked="0"/>
    </xf>
    <xf numFmtId="42" fontId="1" fillId="0" borderId="0" xfId="0" applyNumberFormat="1" applyFont="1" applyBorder="1"/>
    <xf numFmtId="0" fontId="1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/>
    <xf numFmtId="37" fontId="1" fillId="0" borderId="0" xfId="0" applyNumberFormat="1" applyFont="1" applyFill="1" applyAlignment="1"/>
    <xf numFmtId="42" fontId="1" fillId="0" borderId="0" xfId="0" applyNumberFormat="1" applyFont="1" applyFill="1" applyBorder="1"/>
    <xf numFmtId="172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left"/>
    </xf>
    <xf numFmtId="0" fontId="4" fillId="0" borderId="0" xfId="0" applyFont="1"/>
    <xf numFmtId="0" fontId="4" fillId="0" borderId="0" xfId="0" applyFont="1" applyFill="1"/>
    <xf numFmtId="41" fontId="2" fillId="0" borderId="0" xfId="0" applyNumberFormat="1" applyFont="1" applyFill="1" applyBorder="1" applyAlignment="1">
      <alignment horizontal="center"/>
    </xf>
    <xf numFmtId="42" fontId="4" fillId="0" borderId="5" xfId="0" applyNumberFormat="1" applyFont="1" applyBorder="1"/>
    <xf numFmtId="0" fontId="16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176" fontId="17" fillId="0" borderId="0" xfId="0" applyNumberFormat="1" applyFont="1" applyFill="1" applyAlignment="1" applyProtection="1">
      <alignment horizontal="center"/>
      <protection locked="0"/>
    </xf>
    <xf numFmtId="0" fontId="17" fillId="6" borderId="16" xfId="0" applyNumberFormat="1" applyFont="1" applyFill="1" applyBorder="1" applyAlignment="1">
      <alignment horizontal="center"/>
    </xf>
    <xf numFmtId="175" fontId="17" fillId="0" borderId="0" xfId="0" applyNumberFormat="1" applyFont="1" applyFill="1" applyAlignment="1" applyProtection="1">
      <alignment horizontal="center"/>
      <protection locked="0"/>
    </xf>
    <xf numFmtId="0" fontId="3" fillId="6" borderId="16" xfId="0" applyNumberFormat="1" applyFont="1" applyFill="1" applyBorder="1" applyAlignment="1">
      <alignment horizontal="center"/>
    </xf>
    <xf numFmtId="0" fontId="3" fillId="6" borderId="17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 wrapText="1"/>
    </xf>
    <xf numFmtId="0" fontId="3" fillId="0" borderId="0" xfId="0" quotePrefix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6" borderId="17" xfId="0" applyFont="1" applyFill="1" applyBorder="1" applyAlignment="1">
      <alignment horizontal="center"/>
    </xf>
    <xf numFmtId="0" fontId="4" fillId="6" borderId="17" xfId="0" applyFont="1" applyFill="1" applyBorder="1"/>
    <xf numFmtId="42" fontId="1" fillId="6" borderId="17" xfId="0" applyNumberFormat="1" applyFont="1" applyFill="1" applyBorder="1" applyAlignment="1" applyProtection="1">
      <protection locked="0"/>
    </xf>
    <xf numFmtId="41" fontId="1" fillId="6" borderId="17" xfId="0" applyNumberFormat="1" applyFont="1" applyFill="1" applyBorder="1" applyAlignment="1" applyProtection="1">
      <protection locked="0"/>
    </xf>
    <xf numFmtId="168" fontId="4" fillId="6" borderId="16" xfId="0" applyNumberFormat="1" applyFont="1" applyFill="1" applyBorder="1"/>
    <xf numFmtId="166" fontId="1" fillId="0" borderId="0" xfId="0" applyNumberFormat="1" applyFont="1" applyFill="1" applyAlignment="1"/>
    <xf numFmtId="166" fontId="4" fillId="0" borderId="0" xfId="0" applyNumberFormat="1" applyFont="1" applyBorder="1"/>
    <xf numFmtId="42" fontId="4" fillId="0" borderId="0" xfId="0" applyNumberFormat="1" applyFont="1" applyFill="1"/>
    <xf numFmtId="42" fontId="4" fillId="6" borderId="17" xfId="0" applyNumberFormat="1" applyFont="1" applyFill="1" applyBorder="1"/>
    <xf numFmtId="169" fontId="4" fillId="6" borderId="16" xfId="0" applyNumberFormat="1" applyFont="1" applyFill="1" applyBorder="1"/>
    <xf numFmtId="41" fontId="4" fillId="0" borderId="0" xfId="0" applyNumberFormat="1" applyFont="1" applyFill="1"/>
    <xf numFmtId="0" fontId="4" fillId="0" borderId="21" xfId="0" applyFont="1" applyFill="1" applyBorder="1"/>
    <xf numFmtId="0" fontId="4" fillId="6" borderId="16" xfId="0" applyFont="1" applyFill="1" applyBorder="1"/>
    <xf numFmtId="42" fontId="1" fillId="0" borderId="1" xfId="0" applyNumberFormat="1" applyFont="1" applyFill="1" applyBorder="1" applyAlignment="1" applyProtection="1">
      <protection locked="0"/>
    </xf>
    <xf numFmtId="42" fontId="1" fillId="6" borderId="20" xfId="0" applyNumberFormat="1" applyFont="1" applyFill="1" applyBorder="1" applyAlignment="1" applyProtection="1">
      <protection locked="0"/>
    </xf>
    <xf numFmtId="10" fontId="1" fillId="0" borderId="0" xfId="0" applyNumberFormat="1" applyFont="1" applyFill="1" applyAlignment="1" applyProtection="1">
      <protection locked="0"/>
    </xf>
    <xf numFmtId="10" fontId="1" fillId="6" borderId="17" xfId="0" applyNumberFormat="1" applyFont="1" applyFill="1" applyBorder="1" applyAlignment="1" applyProtection="1">
      <protection locked="0"/>
    </xf>
    <xf numFmtId="10" fontId="26" fillId="0" borderId="0" xfId="0" applyNumberFormat="1" applyFont="1"/>
    <xf numFmtId="10" fontId="26" fillId="6" borderId="17" xfId="0" applyNumberFormat="1" applyFont="1" applyFill="1" applyBorder="1"/>
    <xf numFmtId="0" fontId="26" fillId="0" borderId="0" xfId="0" applyFont="1"/>
    <xf numFmtId="0" fontId="26" fillId="6" borderId="17" xfId="0" applyFont="1" applyFill="1" applyBorder="1"/>
    <xf numFmtId="0" fontId="3" fillId="3" borderId="0" xfId="0" applyNumberFormat="1" applyFont="1" applyFill="1" applyBorder="1" applyAlignment="1">
      <alignment horizontal="left"/>
    </xf>
    <xf numFmtId="42" fontId="3" fillId="3" borderId="0" xfId="0" applyNumberFormat="1" applyFont="1" applyFill="1" applyBorder="1" applyAlignment="1"/>
    <xf numFmtId="42" fontId="1" fillId="3" borderId="0" xfId="0" applyNumberFormat="1" applyFont="1" applyFill="1" applyBorder="1" applyAlignment="1"/>
    <xf numFmtId="0" fontId="1" fillId="0" borderId="3" xfId="0" applyFont="1" applyFill="1" applyBorder="1" applyAlignment="1">
      <alignment horizontal="left"/>
    </xf>
    <xf numFmtId="166" fontId="1" fillId="0" borderId="21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/>
    <xf numFmtId="0" fontId="1" fillId="0" borderId="4" xfId="0" applyFont="1" applyFill="1" applyBorder="1" applyAlignment="1"/>
    <xf numFmtId="0" fontId="1" fillId="4" borderId="3" xfId="0" applyFont="1" applyFill="1" applyBorder="1" applyAlignment="1">
      <alignment horizontal="left"/>
    </xf>
    <xf numFmtId="0" fontId="1" fillId="4" borderId="4" xfId="0" applyNumberFormat="1" applyFont="1" applyFill="1" applyBorder="1" applyAlignment="1"/>
    <xf numFmtId="41" fontId="1" fillId="4" borderId="0" xfId="0" applyNumberFormat="1" applyFont="1" applyFill="1" applyBorder="1" applyAlignment="1"/>
    <xf numFmtId="0" fontId="1" fillId="0" borderId="3" xfId="0" applyNumberFormat="1" applyFont="1" applyFill="1" applyBorder="1" applyAlignment="1">
      <alignment horizontal="left"/>
    </xf>
    <xf numFmtId="0" fontId="4" fillId="0" borderId="0" xfId="0" applyFont="1" applyAlignment="1">
      <alignment vertical="center"/>
    </xf>
    <xf numFmtId="41" fontId="25" fillId="0" borderId="0" xfId="0" applyNumberFormat="1" applyFont="1" applyFill="1" applyBorder="1" applyAlignment="1">
      <alignment vertical="center"/>
    </xf>
    <xf numFmtId="3" fontId="4" fillId="0" borderId="0" xfId="0" applyNumberFormat="1" applyFont="1"/>
    <xf numFmtId="166" fontId="4" fillId="0" borderId="0" xfId="0" applyNumberFormat="1" applyFont="1"/>
    <xf numFmtId="0" fontId="4" fillId="0" borderId="0" xfId="0" applyFont="1" applyFill="1" applyBorder="1"/>
    <xf numFmtId="164" fontId="2" fillId="0" borderId="0" xfId="0" applyNumberFormat="1" applyFont="1" applyFill="1" applyBorder="1" applyAlignment="1" applyProtection="1">
      <alignment horizontal="left"/>
    </xf>
    <xf numFmtId="42" fontId="4" fillId="0" borderId="0" xfId="0" applyNumberFormat="1" applyFont="1" applyFill="1" applyBorder="1"/>
    <xf numFmtId="41" fontId="4" fillId="0" borderId="0" xfId="0" applyNumberFormat="1" applyFont="1" applyFill="1" applyBorder="1"/>
    <xf numFmtId="0" fontId="27" fillId="0" borderId="0" xfId="0" applyFont="1"/>
    <xf numFmtId="0" fontId="19" fillId="0" borderId="0" xfId="0" applyFont="1" applyFill="1"/>
    <xf numFmtId="0" fontId="2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166" fontId="19" fillId="0" borderId="0" xfId="0" applyNumberFormat="1" applyFont="1" applyBorder="1"/>
    <xf numFmtId="42" fontId="19" fillId="0" borderId="0" xfId="0" applyNumberFormat="1" applyFont="1" applyFill="1"/>
    <xf numFmtId="168" fontId="19" fillId="0" borderId="0" xfId="0" applyNumberFormat="1" applyFont="1" applyFill="1"/>
    <xf numFmtId="168" fontId="19" fillId="0" borderId="0" xfId="0" applyNumberFormat="1" applyFont="1"/>
    <xf numFmtId="0" fontId="25" fillId="0" borderId="7" xfId="0" applyNumberFormat="1" applyFont="1" applyFill="1" applyBorder="1" applyAlignment="1">
      <alignment horizontal="right"/>
    </xf>
    <xf numFmtId="0" fontId="19" fillId="0" borderId="8" xfId="0" applyFont="1" applyFill="1" applyBorder="1"/>
    <xf numFmtId="42" fontId="29" fillId="5" borderId="8" xfId="0" applyNumberFormat="1" applyFont="1" applyFill="1" applyBorder="1"/>
    <xf numFmtId="42" fontId="29" fillId="5" borderId="9" xfId="0" applyNumberFormat="1" applyFont="1" applyFill="1" applyBorder="1"/>
    <xf numFmtId="0" fontId="25" fillId="0" borderId="10" xfId="0" applyNumberFormat="1" applyFont="1" applyFill="1" applyBorder="1" applyAlignment="1">
      <alignment horizontal="right"/>
    </xf>
    <xf numFmtId="0" fontId="19" fillId="0" borderId="0" xfId="0" applyFont="1" applyFill="1" applyBorder="1"/>
    <xf numFmtId="0" fontId="19" fillId="0" borderId="11" xfId="0" applyFont="1" applyBorder="1"/>
    <xf numFmtId="42" fontId="29" fillId="5" borderId="0" xfId="0" applyNumberFormat="1" applyFont="1" applyFill="1" applyBorder="1"/>
    <xf numFmtId="42" fontId="29" fillId="5" borderId="11" xfId="0" applyNumberFormat="1" applyFont="1" applyFill="1" applyBorder="1"/>
    <xf numFmtId="0" fontId="25" fillId="0" borderId="13" xfId="0" applyNumberFormat="1" applyFont="1" applyFill="1" applyBorder="1" applyAlignment="1">
      <alignment horizontal="right"/>
    </xf>
    <xf numFmtId="42" fontId="29" fillId="5" borderId="14" xfId="0" applyNumberFormat="1" applyFont="1" applyFill="1" applyBorder="1"/>
    <xf numFmtId="42" fontId="29" fillId="5" borderId="15" xfId="0" applyNumberFormat="1" applyFont="1" applyFill="1" applyBorder="1"/>
    <xf numFmtId="166" fontId="1" fillId="0" borderId="0" xfId="0" applyNumberFormat="1" applyFont="1" applyFill="1" applyBorder="1" applyAlignment="1" applyProtection="1">
      <protection locked="0"/>
    </xf>
    <xf numFmtId="0" fontId="27" fillId="0" borderId="24" xfId="0" applyFont="1" applyBorder="1" applyAlignment="1">
      <alignment horizontal="centerContinuous"/>
    </xf>
    <xf numFmtId="0" fontId="27" fillId="0" borderId="12" xfId="0" applyFont="1" applyBorder="1" applyAlignment="1">
      <alignment horizontal="centerContinuous"/>
    </xf>
    <xf numFmtId="0" fontId="27" fillId="0" borderId="6" xfId="0" applyFont="1" applyBorder="1" applyAlignment="1">
      <alignment horizontal="centerContinuous"/>
    </xf>
    <xf numFmtId="0" fontId="27" fillId="0" borderId="22" xfId="0" applyFont="1" applyBorder="1" applyAlignment="1">
      <alignment horizontal="centerContinuous"/>
    </xf>
    <xf numFmtId="181" fontId="3" fillId="0" borderId="15" xfId="0" applyNumberFormat="1" applyFont="1" applyFill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3" fillId="0" borderId="9" xfId="0" applyNumberFormat="1" applyFont="1" applyFill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3" fillId="0" borderId="8" xfId="0" applyNumberFormat="1" applyFont="1" applyFill="1" applyBorder="1" applyAlignment="1">
      <alignment horizontal="right"/>
    </xf>
    <xf numFmtId="181" fontId="3" fillId="0" borderId="2" xfId="0" applyNumberFormat="1" applyFont="1" applyFill="1" applyBorder="1" applyAlignment="1">
      <alignment horizontal="center"/>
    </xf>
    <xf numFmtId="182" fontId="3" fillId="0" borderId="2" xfId="0" applyNumberFormat="1" applyFont="1" applyFill="1" applyBorder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left" indent="1"/>
    </xf>
    <xf numFmtId="41" fontId="30" fillId="0" borderId="0" xfId="0" applyNumberFormat="1" applyFont="1"/>
    <xf numFmtId="168" fontId="19" fillId="0" borderId="5" xfId="0" applyNumberFormat="1" applyFont="1" applyFill="1" applyBorder="1"/>
    <xf numFmtId="165" fontId="1" fillId="0" borderId="23" xfId="0" applyNumberFormat="1" applyFont="1" applyFill="1" applyBorder="1" applyAlignment="1">
      <alignment horizontal="left"/>
    </xf>
    <xf numFmtId="42" fontId="1" fillId="0" borderId="0" xfId="0" applyNumberFormat="1" applyFont="1" applyFill="1" applyAlignment="1"/>
    <xf numFmtId="0" fontId="4" fillId="0" borderId="7" xfId="0" applyFont="1" applyFill="1" applyBorder="1" applyAlignment="1">
      <alignment horizontal="right"/>
    </xf>
    <xf numFmtId="0" fontId="4" fillId="0" borderId="13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168" fontId="12" fillId="0" borderId="0" xfId="0" applyNumberFormat="1" applyFont="1" applyFill="1" applyBorder="1" applyAlignment="1">
      <alignment horizontal="centerContinuous"/>
    </xf>
    <xf numFmtId="168" fontId="13" fillId="0" borderId="0" xfId="0" applyNumberFormat="1" applyFont="1" applyFill="1" applyBorder="1" applyAlignment="1">
      <alignment horizontal="centerContinuous"/>
    </xf>
    <xf numFmtId="9" fontId="1" fillId="0" borderId="0" xfId="0" applyNumberFormat="1" applyFont="1" applyFill="1"/>
    <xf numFmtId="169" fontId="1" fillId="0" borderId="1" xfId="0" applyNumberFormat="1" applyFont="1" applyFill="1" applyBorder="1"/>
    <xf numFmtId="0" fontId="17" fillId="0" borderId="0" xfId="0" applyNumberFormat="1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168" fontId="4" fillId="0" borderId="21" xfId="0" applyNumberFormat="1" applyFont="1" applyFill="1" applyBorder="1"/>
    <xf numFmtId="169" fontId="1" fillId="0" borderId="21" xfId="0" applyNumberFormat="1" applyFont="1" applyFill="1" applyBorder="1"/>
    <xf numFmtId="181" fontId="3" fillId="0" borderId="0" xfId="0" applyNumberFormat="1" applyFont="1" applyFill="1" applyBorder="1" applyAlignment="1">
      <alignment horizontal="center"/>
    </xf>
    <xf numFmtId="0" fontId="13" fillId="0" borderId="0" xfId="0" applyFont="1" applyFill="1"/>
    <xf numFmtId="167" fontId="1" fillId="0" borderId="0" xfId="0" applyNumberFormat="1" applyFont="1" applyFill="1" applyBorder="1" applyAlignment="1" applyProtection="1">
      <alignment horizontal="left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12" fillId="0" borderId="0" xfId="0" applyNumberFormat="1" applyFont="1" applyFill="1" applyBorder="1" applyAlignment="1"/>
    <xf numFmtId="37" fontId="1" fillId="0" borderId="0" xfId="0" applyNumberFormat="1" applyFont="1" applyFill="1" applyAlignment="1">
      <alignment horizontal="left" indent="1"/>
    </xf>
    <xf numFmtId="0" fontId="1" fillId="0" borderId="0" xfId="0" applyFont="1" applyAlignment="1">
      <alignment horizontal="left" indent="1"/>
    </xf>
    <xf numFmtId="0" fontId="1" fillId="0" borderId="0" xfId="0" applyNumberFormat="1" applyFont="1" applyFill="1" applyAlignment="1">
      <alignment horizontal="left" indent="1"/>
    </xf>
    <xf numFmtId="42" fontId="1" fillId="0" borderId="5" xfId="0" applyNumberFormat="1" applyFont="1" applyFill="1" applyBorder="1"/>
    <xf numFmtId="171" fontId="1" fillId="0" borderId="0" xfId="0" applyNumberFormat="1" applyFont="1" applyFill="1" applyAlignment="1">
      <alignment horizontal="right"/>
    </xf>
    <xf numFmtId="43" fontId="4" fillId="0" borderId="0" xfId="0" applyNumberFormat="1" applyFont="1" applyFill="1"/>
    <xf numFmtId="41" fontId="1" fillId="0" borderId="0" xfId="0" applyNumberFormat="1" applyFont="1" applyFill="1" applyAlignment="1">
      <alignment horizontal="left"/>
    </xf>
    <xf numFmtId="0" fontId="4" fillId="0" borderId="0" xfId="0" applyFont="1" applyAlignment="1">
      <alignment horizontal="left" indent="1"/>
    </xf>
    <xf numFmtId="0" fontId="3" fillId="0" borderId="23" xfId="0" applyNumberFormat="1" applyFont="1" applyFill="1" applyBorder="1" applyAlignment="1">
      <alignment horizontal="center"/>
    </xf>
    <xf numFmtId="0" fontId="4" fillId="0" borderId="0" xfId="0" quotePrefix="1" applyFont="1"/>
    <xf numFmtId="0" fontId="1" fillId="0" borderId="0" xfId="0" applyFont="1" applyAlignment="1">
      <alignment horizontal="right" indent="1"/>
    </xf>
    <xf numFmtId="0" fontId="16" fillId="0" borderId="23" xfId="0" applyFont="1" applyBorder="1" applyAlignment="1">
      <alignment horizontal="center"/>
    </xf>
    <xf numFmtId="0" fontId="27" fillId="0" borderId="24" xfId="0" applyFont="1" applyFill="1" applyBorder="1" applyAlignment="1">
      <alignment horizontal="centerContinuous"/>
    </xf>
    <xf numFmtId="0" fontId="27" fillId="0" borderId="22" xfId="0" applyFont="1" applyFill="1" applyBorder="1" applyAlignment="1">
      <alignment horizontal="centerContinuous"/>
    </xf>
    <xf numFmtId="0" fontId="27" fillId="0" borderId="12" xfId="0" applyFont="1" applyFill="1" applyBorder="1" applyAlignment="1">
      <alignment horizontal="centerContinuous"/>
    </xf>
    <xf numFmtId="9" fontId="4" fillId="0" borderId="21" xfId="0" applyNumberFormat="1" applyFont="1" applyFill="1" applyBorder="1"/>
    <xf numFmtId="165" fontId="1" fillId="0" borderId="23" xfId="0" applyNumberFormat="1" applyFont="1" applyFill="1" applyBorder="1" applyAlignment="1"/>
    <xf numFmtId="9" fontId="4" fillId="0" borderId="21" xfId="0" applyNumberFormat="1" applyFont="1" applyBorder="1"/>
    <xf numFmtId="10" fontId="4" fillId="0" borderId="21" xfId="0" applyNumberFormat="1" applyFont="1" applyBorder="1"/>
    <xf numFmtId="178" fontId="4" fillId="0" borderId="23" xfId="0" applyNumberFormat="1" applyFont="1" applyFill="1" applyBorder="1"/>
    <xf numFmtId="168" fontId="19" fillId="0" borderId="21" xfId="0" applyNumberFormat="1" applyFont="1" applyFill="1" applyBorder="1"/>
    <xf numFmtId="169" fontId="19" fillId="0" borderId="21" xfId="0" applyNumberFormat="1" applyFont="1" applyFill="1" applyBorder="1"/>
    <xf numFmtId="0" fontId="19" fillId="0" borderId="21" xfId="0" applyFont="1" applyFill="1" applyBorder="1"/>
    <xf numFmtId="166" fontId="19" fillId="0" borderId="5" xfId="0" applyNumberFormat="1" applyFont="1" applyFill="1" applyBorder="1"/>
    <xf numFmtId="169" fontId="4" fillId="0" borderId="21" xfId="0" applyNumberFormat="1" applyFont="1" applyFill="1" applyBorder="1"/>
    <xf numFmtId="42" fontId="4" fillId="0" borderId="5" xfId="0" applyNumberFormat="1" applyFont="1" applyFill="1" applyBorder="1"/>
    <xf numFmtId="166" fontId="1" fillId="4" borderId="21" xfId="0" applyNumberFormat="1" applyFont="1" applyFill="1" applyBorder="1" applyAlignment="1" applyProtection="1">
      <protection locked="0"/>
    </xf>
    <xf numFmtId="41" fontId="25" fillId="0" borderId="21" xfId="0" applyNumberFormat="1" applyFont="1" applyFill="1" applyBorder="1" applyAlignment="1">
      <alignment vertical="center"/>
    </xf>
    <xf numFmtId="179" fontId="25" fillId="0" borderId="21" xfId="0" applyNumberFormat="1" applyFont="1" applyFill="1" applyBorder="1" applyAlignment="1">
      <alignment vertical="center"/>
    </xf>
    <xf numFmtId="0" fontId="3" fillId="0" borderId="23" xfId="0" applyNumberFormat="1" applyFont="1" applyFill="1" applyBorder="1" applyAlignment="1" applyProtection="1">
      <alignment horizontal="center"/>
      <protection locked="0"/>
    </xf>
    <xf numFmtId="0" fontId="3" fillId="0" borderId="23" xfId="0" applyFont="1" applyFill="1" applyBorder="1" applyAlignment="1">
      <alignment horizontal="center"/>
    </xf>
    <xf numFmtId="0" fontId="3" fillId="0" borderId="23" xfId="0" quotePrefix="1" applyNumberFormat="1" applyFont="1" applyFill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3" fillId="0" borderId="23" xfId="0" applyFont="1" applyBorder="1" applyAlignment="1" applyProtection="1">
      <alignment horizontal="left" wrapText="1"/>
      <protection locked="0"/>
    </xf>
    <xf numFmtId="0" fontId="3" fillId="0" borderId="23" xfId="0" applyNumberFormat="1" applyFont="1" applyFill="1" applyBorder="1" applyAlignment="1"/>
    <xf numFmtId="0" fontId="3" fillId="0" borderId="23" xfId="0" quotePrefix="1" applyFont="1" applyFill="1" applyBorder="1" applyAlignment="1" applyProtection="1">
      <alignment horizontal="center"/>
      <protection locked="0"/>
    </xf>
    <xf numFmtId="0" fontId="3" fillId="0" borderId="23" xfId="0" applyFont="1" applyFill="1" applyBorder="1" applyAlignment="1" applyProtection="1">
      <protection locked="0"/>
    </xf>
    <xf numFmtId="0" fontId="3" fillId="0" borderId="23" xfId="0" applyNumberFormat="1" applyFont="1" applyFill="1" applyBorder="1" applyAlignment="1" applyProtection="1">
      <protection locked="0"/>
    </xf>
    <xf numFmtId="0" fontId="3" fillId="0" borderId="23" xfId="0" applyNumberFormat="1" applyFont="1" applyFill="1" applyBorder="1" applyAlignment="1">
      <alignment horizontal="left"/>
    </xf>
    <xf numFmtId="0" fontId="3" fillId="0" borderId="23" xfId="0" applyFont="1" applyFill="1" applyBorder="1" applyAlignment="1">
      <alignment horizontal="left"/>
    </xf>
    <xf numFmtId="41" fontId="1" fillId="0" borderId="23" xfId="0" applyNumberFormat="1" applyFont="1" applyFill="1" applyBorder="1" applyAlignment="1">
      <alignment horizontal="center"/>
    </xf>
    <xf numFmtId="41" fontId="2" fillId="0" borderId="23" xfId="0" applyNumberFormat="1" applyFont="1" applyBorder="1"/>
    <xf numFmtId="168" fontId="1" fillId="0" borderId="23" xfId="0" applyNumberFormat="1" applyFont="1" applyFill="1" applyBorder="1"/>
    <xf numFmtId="42" fontId="1" fillId="0" borderId="21" xfId="0" applyNumberFormat="1" applyFont="1" applyFill="1" applyBorder="1" applyProtection="1">
      <protection locked="0"/>
    </xf>
    <xf numFmtId="41" fontId="1" fillId="0" borderId="23" xfId="0" applyNumberFormat="1" applyFont="1" applyFill="1" applyBorder="1" applyAlignment="1"/>
    <xf numFmtId="41" fontId="1" fillId="0" borderId="21" xfId="0" applyNumberFormat="1" applyFont="1" applyFill="1" applyBorder="1" applyAlignment="1">
      <alignment horizontal="center"/>
    </xf>
    <xf numFmtId="170" fontId="1" fillId="0" borderId="21" xfId="0" quotePrefix="1" applyNumberFormat="1" applyFont="1" applyFill="1" applyBorder="1" applyAlignment="1">
      <alignment horizontal="left"/>
    </xf>
    <xf numFmtId="42" fontId="1" fillId="0" borderId="21" xfId="0" applyNumberFormat="1" applyFont="1" applyFill="1" applyBorder="1"/>
    <xf numFmtId="41" fontId="1" fillId="0" borderId="21" xfId="0" applyNumberFormat="1" applyFont="1" applyFill="1" applyBorder="1" applyProtection="1">
      <protection locked="0"/>
    </xf>
    <xf numFmtId="42" fontId="1" fillId="0" borderId="21" xfId="0" applyNumberFormat="1" applyFont="1" applyFill="1" applyBorder="1" applyAlignment="1" applyProtection="1">
      <protection locked="0"/>
    </xf>
    <xf numFmtId="169" fontId="1" fillId="0" borderId="21" xfId="0" applyNumberFormat="1" applyFont="1" applyFill="1" applyBorder="1" applyAlignment="1" applyProtection="1">
      <protection locked="0"/>
    </xf>
    <xf numFmtId="168" fontId="1" fillId="0" borderId="23" xfId="0" applyNumberFormat="1" applyFont="1" applyFill="1" applyBorder="1" applyProtection="1">
      <protection locked="0"/>
    </xf>
    <xf numFmtId="168" fontId="4" fillId="0" borderId="23" xfId="0" applyNumberFormat="1" applyFont="1" applyBorder="1"/>
    <xf numFmtId="42" fontId="1" fillId="0" borderId="23" xfId="0" applyNumberFormat="1" applyFont="1" applyFill="1" applyBorder="1" applyAlignment="1"/>
    <xf numFmtId="37" fontId="1" fillId="0" borderId="21" xfId="0" applyNumberFormat="1" applyFont="1" applyFill="1" applyBorder="1" applyAlignment="1">
      <alignment horizontal="right"/>
    </xf>
    <xf numFmtId="168" fontId="1" fillId="0" borderId="23" xfId="0" applyNumberFormat="1" applyFont="1" applyFill="1" applyBorder="1" applyAlignment="1"/>
    <xf numFmtId="41" fontId="2" fillId="0" borderId="21" xfId="0" applyNumberFormat="1" applyFont="1" applyBorder="1"/>
    <xf numFmtId="168" fontId="1" fillId="0" borderId="21" xfId="0" applyNumberFormat="1" applyFont="1" applyFill="1" applyBorder="1"/>
    <xf numFmtId="41" fontId="1" fillId="0" borderId="23" xfId="0" applyNumberFormat="1" applyFont="1" applyFill="1" applyBorder="1" applyAlignment="1">
      <alignment horizontal="right"/>
    </xf>
    <xf numFmtId="168" fontId="1" fillId="0" borderId="23" xfId="0" applyNumberFormat="1" applyFont="1" applyBorder="1"/>
    <xf numFmtId="168" fontId="1" fillId="0" borderId="23" xfId="0" applyNumberFormat="1" applyFont="1" applyBorder="1" applyAlignment="1" applyProtection="1">
      <alignment horizontal="right"/>
      <protection locked="0"/>
    </xf>
    <xf numFmtId="41" fontId="1" fillId="0" borderId="21" xfId="0" applyNumberFormat="1" applyFont="1" applyFill="1" applyBorder="1" applyAlignment="1">
      <alignment horizontal="right"/>
    </xf>
    <xf numFmtId="37" fontId="1" fillId="0" borderId="23" xfId="0" applyNumberFormat="1" applyFont="1" applyFill="1" applyBorder="1" applyAlignment="1"/>
    <xf numFmtId="43" fontId="1" fillId="0" borderId="23" xfId="0" applyNumberFormat="1" applyFont="1" applyFill="1" applyBorder="1" applyAlignment="1"/>
    <xf numFmtId="165" fontId="3" fillId="0" borderId="23" xfId="0" applyNumberFormat="1" applyFont="1" applyFill="1" applyBorder="1" applyAlignment="1">
      <alignment horizontal="center"/>
    </xf>
    <xf numFmtId="165" fontId="3" fillId="0" borderId="23" xfId="0" applyNumberFormat="1" applyFont="1" applyFill="1" applyBorder="1" applyAlignment="1">
      <alignment horizontal="left"/>
    </xf>
    <xf numFmtId="0" fontId="16" fillId="0" borderId="23" xfId="0" applyFont="1" applyFill="1" applyBorder="1" applyAlignment="1">
      <alignment horizontal="center"/>
    </xf>
    <xf numFmtId="168" fontId="18" fillId="0" borderId="21" xfId="0" applyNumberFormat="1" applyFont="1" applyFill="1" applyBorder="1" applyAlignment="1"/>
    <xf numFmtId="168" fontId="1" fillId="0" borderId="21" xfId="0" applyNumberFormat="1" applyFont="1" applyFill="1" applyBorder="1" applyAlignment="1"/>
    <xf numFmtId="168" fontId="1" fillId="0" borderId="21" xfId="0" applyNumberFormat="1" applyFont="1" applyFill="1" applyBorder="1" applyAlignment="1">
      <alignment horizontal="left" wrapText="1"/>
    </xf>
    <xf numFmtId="37" fontId="1" fillId="0" borderId="23" xfId="0" applyNumberFormat="1" applyFont="1" applyFill="1" applyBorder="1"/>
    <xf numFmtId="42" fontId="1" fillId="0" borderId="5" xfId="0" applyNumberFormat="1" applyFont="1" applyFill="1" applyBorder="1" applyProtection="1">
      <protection locked="0"/>
    </xf>
    <xf numFmtId="37" fontId="1" fillId="0" borderId="21" xfId="0" applyNumberFormat="1" applyFont="1" applyBorder="1"/>
    <xf numFmtId="41" fontId="1" fillId="0" borderId="21" xfId="0" applyNumberFormat="1" applyFont="1" applyFill="1" applyBorder="1" applyAlignment="1">
      <alignment horizontal="left" indent="1"/>
    </xf>
    <xf numFmtId="10" fontId="19" fillId="0" borderId="0" xfId="0" applyNumberFormat="1" applyFont="1" applyFill="1" applyAlignment="1">
      <alignment horizontal="center"/>
    </xf>
    <xf numFmtId="10" fontId="19" fillId="0" borderId="0" xfId="0" applyNumberFormat="1" applyFont="1" applyFill="1"/>
    <xf numFmtId="41" fontId="19" fillId="0" borderId="21" xfId="0" applyNumberFormat="1" applyFont="1" applyFill="1" applyBorder="1"/>
    <xf numFmtId="43" fontId="19" fillId="0" borderId="21" xfId="0" applyNumberFormat="1" applyFont="1" applyFill="1" applyBorder="1"/>
    <xf numFmtId="42" fontId="1" fillId="0" borderId="5" xfId="0" applyNumberFormat="1" applyFont="1" applyBorder="1" applyAlignment="1" applyProtection="1">
      <alignment horizontal="right"/>
      <protection locked="0"/>
    </xf>
    <xf numFmtId="41" fontId="22" fillId="0" borderId="21" xfId="0" applyNumberFormat="1" applyFont="1" applyFill="1" applyBorder="1" applyAlignment="1"/>
    <xf numFmtId="41" fontId="18" fillId="0" borderId="0" xfId="0" applyNumberFormat="1" applyFont="1" applyFill="1" applyBorder="1"/>
    <xf numFmtId="41" fontId="18" fillId="0" borderId="21" xfId="0" applyNumberFormat="1" applyFont="1" applyFill="1" applyBorder="1"/>
    <xf numFmtId="41" fontId="19" fillId="0" borderId="0" xfId="0" applyNumberFormat="1" applyFont="1"/>
    <xf numFmtId="42" fontId="3" fillId="0" borderId="5" xfId="0" applyNumberFormat="1" applyFont="1" applyBorder="1"/>
    <xf numFmtId="42" fontId="3" fillId="0" borderId="5" xfId="0" quotePrefix="1" applyNumberFormat="1" applyFont="1" applyFill="1" applyBorder="1" applyAlignment="1">
      <alignment horizontal="left"/>
    </xf>
    <xf numFmtId="41" fontId="4" fillId="0" borderId="23" xfId="0" applyNumberFormat="1" applyFont="1" applyBorder="1" applyAlignment="1">
      <alignment horizontal="right"/>
    </xf>
    <xf numFmtId="41" fontId="1" fillId="0" borderId="0" xfId="0" quotePrefix="1" applyNumberFormat="1" applyFont="1" applyFill="1" applyBorder="1" applyAlignment="1">
      <alignment horizontal="left"/>
    </xf>
    <xf numFmtId="41" fontId="1" fillId="0" borderId="22" xfId="0" quotePrefix="1" applyNumberFormat="1" applyFont="1" applyFill="1" applyBorder="1" applyAlignment="1">
      <alignment horizontal="left"/>
    </xf>
    <xf numFmtId="41" fontId="4" fillId="0" borderId="21" xfId="0" applyNumberFormat="1" applyFont="1" applyFill="1" applyBorder="1"/>
    <xf numFmtId="42" fontId="4" fillId="0" borderId="1" xfId="0" applyNumberFormat="1" applyFont="1" applyFill="1" applyBorder="1"/>
    <xf numFmtId="41" fontId="1" fillId="0" borderId="21" xfId="0" quotePrefix="1" applyNumberFormat="1" applyFont="1" applyFill="1" applyBorder="1" applyAlignment="1">
      <alignment horizontal="left"/>
    </xf>
    <xf numFmtId="41" fontId="11" fillId="0" borderId="21" xfId="0" applyNumberFormat="1" applyFont="1" applyBorder="1"/>
    <xf numFmtId="41" fontId="14" fillId="0" borderId="21" xfId="0" applyNumberFormat="1" applyFont="1" applyBorder="1"/>
    <xf numFmtId="41" fontId="0" fillId="0" borderId="0" xfId="0" applyNumberFormat="1" applyAlignment="1"/>
    <xf numFmtId="41" fontId="0" fillId="0" borderId="21" xfId="0" applyNumberFormat="1" applyBorder="1" applyAlignment="1"/>
    <xf numFmtId="41" fontId="11" fillId="0" borderId="0" xfId="0" applyNumberFormat="1" applyFont="1" applyBorder="1"/>
    <xf numFmtId="41" fontId="14" fillId="0" borderId="0" xfId="0" applyNumberFormat="1" applyFont="1" applyBorder="1"/>
    <xf numFmtId="41" fontId="0" fillId="0" borderId="0" xfId="0" applyNumberFormat="1"/>
    <xf numFmtId="41" fontId="0" fillId="0" borderId="21" xfId="0" applyNumberFormat="1" applyBorder="1"/>
    <xf numFmtId="0" fontId="4" fillId="0" borderId="12" xfId="0" applyFont="1" applyBorder="1" applyAlignment="1">
      <alignment horizontal="centerContinuous"/>
    </xf>
    <xf numFmtId="178" fontId="4" fillId="0" borderId="0" xfId="0" applyNumberFormat="1" applyFont="1" applyAlignment="1"/>
    <xf numFmtId="42" fontId="4" fillId="0" borderId="21" xfId="0" applyNumberFormat="1" applyFont="1" applyBorder="1"/>
    <xf numFmtId="183" fontId="1" fillId="0" borderId="5" xfId="0" applyNumberFormat="1" applyFont="1" applyBorder="1" applyAlignment="1"/>
    <xf numFmtId="165" fontId="9" fillId="0" borderId="0" xfId="0" applyNumberFormat="1" applyFont="1" applyAlignment="1">
      <alignment horizontal="left" wrapText="1"/>
    </xf>
    <xf numFmtId="0" fontId="32" fillId="0" borderId="0" xfId="0" applyNumberFormat="1" applyFont="1" applyFill="1" applyAlignment="1"/>
    <xf numFmtId="0" fontId="33" fillId="0" borderId="0" xfId="0" applyNumberFormat="1" applyFont="1" applyAlignment="1"/>
    <xf numFmtId="0" fontId="34" fillId="0" borderId="0" xfId="0" applyNumberFormat="1" applyFont="1" applyFill="1" applyAlignment="1"/>
    <xf numFmtId="0" fontId="34" fillId="0" borderId="0" xfId="0" applyNumberFormat="1" applyFont="1" applyFill="1" applyAlignment="1">
      <alignment horizontal="center"/>
    </xf>
    <xf numFmtId="0" fontId="33" fillId="0" borderId="0" xfId="0" applyNumberFormat="1" applyFont="1" applyFill="1" applyAlignment="1"/>
    <xf numFmtId="183" fontId="34" fillId="0" borderId="15" xfId="0" applyNumberFormat="1" applyFont="1" applyBorder="1" applyAlignment="1"/>
    <xf numFmtId="183" fontId="34" fillId="0" borderId="14" xfId="0" applyNumberFormat="1" applyFont="1" applyBorder="1" applyAlignment="1"/>
    <xf numFmtId="0" fontId="33" fillId="0" borderId="13" xfId="0" applyNumberFormat="1" applyFont="1" applyBorder="1" applyAlignment="1"/>
    <xf numFmtId="183" fontId="34" fillId="0" borderId="11" xfId="0" applyNumberFormat="1" applyFont="1" applyBorder="1" applyAlignment="1"/>
    <xf numFmtId="183" fontId="34" fillId="0" borderId="0" xfId="0" applyNumberFormat="1" applyFont="1" applyBorder="1" applyAlignment="1"/>
    <xf numFmtId="169" fontId="33" fillId="0" borderId="10" xfId="0" applyNumberFormat="1" applyFont="1" applyBorder="1" applyAlignment="1"/>
    <xf numFmtId="0" fontId="33" fillId="0" borderId="11" xfId="0" applyNumberFormat="1" applyFont="1" applyBorder="1" applyAlignment="1"/>
    <xf numFmtId="0" fontId="33" fillId="0" borderId="0" xfId="0" applyNumberFormat="1" applyFont="1" applyBorder="1" applyAlignment="1"/>
    <xf numFmtId="0" fontId="33" fillId="0" borderId="10" xfId="0" applyNumberFormat="1" applyFont="1" applyBorder="1" applyAlignment="1"/>
    <xf numFmtId="0" fontId="34" fillId="0" borderId="11" xfId="0" applyNumberFormat="1" applyFont="1" applyBorder="1" applyAlignment="1">
      <alignment horizontal="center" wrapText="1"/>
    </xf>
    <xf numFmtId="0" fontId="34" fillId="0" borderId="0" xfId="0" applyNumberFormat="1" applyFont="1" applyBorder="1" applyAlignment="1">
      <alignment horizontal="center" wrapText="1"/>
    </xf>
    <xf numFmtId="169" fontId="34" fillId="0" borderId="10" xfId="0" applyNumberFormat="1" applyFont="1" applyBorder="1" applyAlignment="1"/>
    <xf numFmtId="169" fontId="35" fillId="0" borderId="10" xfId="0" applyNumberFormat="1" applyFont="1" applyBorder="1" applyAlignment="1"/>
    <xf numFmtId="0" fontId="34" fillId="0" borderId="0" xfId="0" applyNumberFormat="1" applyFont="1" applyFill="1" applyAlignment="1">
      <alignment horizontal="left"/>
    </xf>
    <xf numFmtId="0" fontId="34" fillId="0" borderId="11" xfId="0" applyNumberFormat="1" applyFont="1" applyBorder="1" applyAlignment="1"/>
    <xf numFmtId="0" fontId="34" fillId="0" borderId="0" xfId="0" applyNumberFormat="1" applyFont="1" applyBorder="1" applyAlignment="1"/>
    <xf numFmtId="168" fontId="34" fillId="0" borderId="0" xfId="0" applyNumberFormat="1" applyFont="1" applyFill="1" applyBorder="1"/>
    <xf numFmtId="168" fontId="34" fillId="0" borderId="10" xfId="0" applyNumberFormat="1" applyFont="1" applyFill="1" applyBorder="1" applyAlignment="1"/>
    <xf numFmtId="169" fontId="34" fillId="0" borderId="26" xfId="0" applyNumberFormat="1" applyFont="1" applyFill="1" applyBorder="1" applyAlignment="1"/>
    <xf numFmtId="169" fontId="34" fillId="0" borderId="21" xfId="0" applyNumberFormat="1" applyFont="1" applyFill="1" applyBorder="1" applyAlignment="1"/>
    <xf numFmtId="183" fontId="34" fillId="0" borderId="21" xfId="0" applyNumberFormat="1" applyFont="1" applyBorder="1" applyAlignment="1"/>
    <xf numFmtId="169" fontId="34" fillId="0" borderId="27" xfId="0" applyNumberFormat="1" applyFont="1" applyFill="1" applyBorder="1" applyAlignment="1"/>
    <xf numFmtId="184" fontId="34" fillId="0" borderId="11" xfId="0" applyNumberFormat="1" applyFont="1" applyBorder="1" applyAlignment="1"/>
    <xf numFmtId="184" fontId="34" fillId="0" borderId="0" xfId="0" applyNumberFormat="1" applyFont="1" applyBorder="1" applyAlignment="1"/>
    <xf numFmtId="184" fontId="34" fillId="0" borderId="0" xfId="0" applyNumberFormat="1" applyFont="1" applyFill="1" applyBorder="1" applyAlignment="1">
      <alignment horizontal="right"/>
    </xf>
    <xf numFmtId="184" fontId="34" fillId="0" borderId="10" xfId="0" applyNumberFormat="1" applyFont="1" applyFill="1" applyBorder="1" applyAlignment="1">
      <alignment horizontal="right"/>
    </xf>
    <xf numFmtId="0" fontId="34" fillId="0" borderId="0" xfId="0" applyNumberFormat="1" applyFont="1" applyFill="1" applyAlignment="1">
      <alignment horizontal="left" vertical="center" indent="1"/>
    </xf>
    <xf numFmtId="0" fontId="33" fillId="0" borderId="11" xfId="0" applyNumberFormat="1" applyFont="1" applyFill="1" applyBorder="1" applyAlignment="1"/>
    <xf numFmtId="0" fontId="33" fillId="0" borderId="0" xfId="0" applyNumberFormat="1" applyFont="1" applyFill="1" applyBorder="1" applyAlignment="1"/>
    <xf numFmtId="168" fontId="34" fillId="0" borderId="0" xfId="0" applyNumberFormat="1" applyFont="1" applyFill="1" applyBorder="1" applyAlignment="1">
      <alignment horizontal="center"/>
    </xf>
    <xf numFmtId="0" fontId="33" fillId="0" borderId="10" xfId="0" applyNumberFormat="1" applyFont="1" applyFill="1" applyBorder="1" applyAlignment="1"/>
    <xf numFmtId="168" fontId="32" fillId="0" borderId="0" xfId="0" applyNumberFormat="1" applyFont="1" applyFill="1" applyAlignment="1"/>
    <xf numFmtId="0" fontId="36" fillId="0" borderId="0" xfId="0" applyNumberFormat="1" applyFont="1" applyAlignment="1"/>
    <xf numFmtId="168" fontId="34" fillId="0" borderId="0" xfId="0" applyNumberFormat="1" applyFont="1" applyBorder="1" applyAlignment="1"/>
    <xf numFmtId="183" fontId="34" fillId="0" borderId="0" xfId="0" applyNumberFormat="1" applyFont="1" applyFill="1" applyBorder="1" applyAlignment="1"/>
    <xf numFmtId="168" fontId="34" fillId="0" borderId="10" xfId="0" applyNumberFormat="1" applyFont="1" applyFill="1" applyBorder="1" applyAlignment="1">
      <alignment horizontal="right"/>
    </xf>
    <xf numFmtId="0" fontId="34" fillId="0" borderId="0" xfId="0" quotePrefix="1" applyNumberFormat="1" applyFont="1" applyFill="1" applyAlignment="1">
      <alignment horizontal="left"/>
    </xf>
    <xf numFmtId="0" fontId="34" fillId="0" borderId="0" xfId="0" quotePrefix="1" applyNumberFormat="1" applyFont="1" applyFill="1" applyBorder="1" applyAlignment="1">
      <alignment horizontal="left"/>
    </xf>
    <xf numFmtId="168" fontId="34" fillId="0" borderId="11" xfId="0" applyNumberFormat="1" applyFont="1" applyBorder="1" applyAlignment="1"/>
    <xf numFmtId="0" fontId="34" fillId="0" borderId="0" xfId="0" applyNumberFormat="1" applyFont="1" applyFill="1" applyAlignment="1">
      <alignment vertical="top"/>
    </xf>
    <xf numFmtId="0" fontId="34" fillId="0" borderId="0" xfId="0" applyNumberFormat="1" applyFont="1" applyFill="1" applyAlignment="1">
      <alignment horizontal="center" vertical="top"/>
    </xf>
    <xf numFmtId="0" fontId="34" fillId="0" borderId="0" xfId="0" applyNumberFormat="1" applyFont="1" applyFill="1" applyBorder="1" applyAlignment="1">
      <alignment horizontal="left" indent="1"/>
    </xf>
    <xf numFmtId="168" fontId="34" fillId="0" borderId="10" xfId="0" applyNumberFormat="1" applyFont="1" applyFill="1" applyBorder="1" applyAlignment="1"/>
    <xf numFmtId="169" fontId="34" fillId="0" borderId="11" xfId="0" applyNumberFormat="1" applyFont="1" applyBorder="1" applyAlignment="1"/>
    <xf numFmtId="169" fontId="34" fillId="0" borderId="0" xfId="0" applyNumberFormat="1" applyFont="1" applyBorder="1" applyAlignment="1"/>
    <xf numFmtId="169" fontId="34" fillId="0" borderId="10" xfId="0" applyNumberFormat="1" applyFont="1" applyFill="1" applyBorder="1" applyAlignment="1"/>
    <xf numFmtId="168" fontId="37" fillId="0" borderId="11" xfId="0" applyNumberFormat="1" applyFont="1" applyFill="1" applyBorder="1" applyAlignment="1">
      <alignment horizontal="center"/>
    </xf>
    <xf numFmtId="168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10" xfId="0" applyNumberFormat="1" applyFont="1" applyFill="1" applyBorder="1" applyAlignment="1">
      <alignment horizontal="center"/>
    </xf>
    <xf numFmtId="0" fontId="34" fillId="0" borderId="10" xfId="0" applyNumberFormat="1" applyFont="1" applyBorder="1" applyAlignment="1"/>
    <xf numFmtId="43" fontId="34" fillId="0" borderId="0" xfId="0" applyNumberFormat="1" applyFont="1" applyFill="1" applyAlignment="1">
      <alignment horizontal="left"/>
    </xf>
    <xf numFmtId="0" fontId="37" fillId="0" borderId="11" xfId="0" applyNumberFormat="1" applyFont="1" applyFill="1" applyBorder="1" applyAlignment="1">
      <alignment horizontal="center"/>
    </xf>
    <xf numFmtId="0" fontId="32" fillId="0" borderId="0" xfId="0" applyNumberFormat="1" applyFont="1" applyAlignment="1"/>
    <xf numFmtId="169" fontId="34" fillId="0" borderId="0" xfId="0" applyNumberFormat="1" applyFont="1" applyFill="1" applyAlignment="1">
      <alignment horizontal="left"/>
    </xf>
    <xf numFmtId="0" fontId="34" fillId="0" borderId="0" xfId="0" applyNumberFormat="1" applyFont="1" applyFill="1" applyBorder="1" applyAlignment="1">
      <alignment horizontal="center"/>
    </xf>
    <xf numFmtId="43" fontId="34" fillId="0" borderId="0" xfId="0" applyNumberFormat="1" applyFont="1" applyFill="1" applyBorder="1" applyAlignment="1">
      <alignment horizontal="right"/>
    </xf>
    <xf numFmtId="10" fontId="34" fillId="0" borderId="10" xfId="0" applyNumberFormat="1" applyFont="1" applyBorder="1" applyAlignment="1"/>
    <xf numFmtId="173" fontId="33" fillId="0" borderId="28" xfId="0" applyNumberFormat="1" applyFont="1" applyBorder="1" applyAlignment="1"/>
    <xf numFmtId="0" fontId="33" fillId="0" borderId="0" xfId="0" applyNumberFormat="1" applyFont="1" applyFill="1" applyBorder="1" applyAlignment="1">
      <alignment horizontal="center"/>
    </xf>
    <xf numFmtId="0" fontId="34" fillId="0" borderId="0" xfId="0" applyNumberFormat="1" applyFont="1" applyFill="1" applyBorder="1" applyAlignment="1"/>
    <xf numFmtId="169" fontId="34" fillId="0" borderId="27" xfId="0" applyNumberFormat="1" applyFont="1" applyFill="1" applyBorder="1" applyAlignment="1">
      <alignment horizontal="right"/>
    </xf>
    <xf numFmtId="0" fontId="36" fillId="0" borderId="0" xfId="0" applyNumberFormat="1" applyFont="1" applyFill="1" applyBorder="1" applyAlignment="1">
      <alignment horizontal="center"/>
    </xf>
    <xf numFmtId="173" fontId="33" fillId="0" borderId="29" xfId="0" applyNumberFormat="1" applyFont="1" applyBorder="1" applyAlignment="1"/>
    <xf numFmtId="0" fontId="33" fillId="0" borderId="12" xfId="0" applyNumberFormat="1" applyFont="1" applyBorder="1" applyAlignment="1">
      <alignment horizontal="right"/>
    </xf>
    <xf numFmtId="0" fontId="34" fillId="0" borderId="24" xfId="0" applyNumberFormat="1" applyFont="1" applyBorder="1" applyAlignment="1"/>
    <xf numFmtId="0" fontId="38" fillId="0" borderId="24" xfId="0" applyNumberFormat="1" applyFont="1" applyBorder="1" applyAlignment="1"/>
    <xf numFmtId="165" fontId="9" fillId="0" borderId="11" xfId="0" applyNumberFormat="1" applyFont="1" applyBorder="1" applyAlignment="1">
      <alignment horizontal="left" wrapText="1"/>
    </xf>
    <xf numFmtId="165" fontId="9" fillId="0" borderId="0" xfId="0" applyNumberFormat="1" applyFont="1" applyBorder="1" applyAlignment="1">
      <alignment horizontal="left" wrapText="1"/>
    </xf>
    <xf numFmtId="165" fontId="9" fillId="0" borderId="11" xfId="0" applyNumberFormat="1" applyFont="1" applyBorder="1" applyAlignment="1">
      <alignment horizontal="left" wrapText="1"/>
    </xf>
    <xf numFmtId="165" fontId="9" fillId="0" borderId="0" xfId="0" applyNumberFormat="1" applyFont="1" applyBorder="1" applyAlignment="1">
      <alignment horizontal="left" wrapText="1"/>
    </xf>
    <xf numFmtId="0" fontId="32" fillId="0" borderId="9" xfId="0" applyNumberFormat="1" applyFont="1" applyBorder="1" applyAlignment="1"/>
    <xf numFmtId="0" fontId="32" fillId="0" borderId="8" xfId="0" applyNumberFormat="1" applyFont="1" applyBorder="1" applyAlignment="1"/>
    <xf numFmtId="0" fontId="37" fillId="0" borderId="7" xfId="0" applyNumberFormat="1" applyFont="1" applyFill="1" applyBorder="1" applyAlignment="1">
      <alignment horizontal="center"/>
    </xf>
    <xf numFmtId="0" fontId="33" fillId="0" borderId="9" xfId="0" applyNumberFormat="1" applyFont="1" applyBorder="1" applyAlignment="1"/>
    <xf numFmtId="0" fontId="33" fillId="0" borderId="8" xfId="0" applyNumberFormat="1" applyFont="1" applyBorder="1" applyAlignment="1"/>
    <xf numFmtId="165" fontId="39" fillId="5" borderId="30" xfId="0" applyNumberFormat="1" applyFont="1" applyFill="1" applyBorder="1" applyAlignment="1">
      <alignment horizontal="centerContinuous" wrapText="1"/>
    </xf>
    <xf numFmtId="165" fontId="39" fillId="5" borderId="25" xfId="0" applyNumberFormat="1" applyFont="1" applyFill="1" applyBorder="1" applyAlignment="1">
      <alignment horizontal="centerContinuous" wrapText="1"/>
    </xf>
    <xf numFmtId="0" fontId="40" fillId="5" borderId="25" xfId="0" applyNumberFormat="1" applyFont="1" applyFill="1" applyBorder="1" applyAlignment="1">
      <alignment horizontal="centerContinuous"/>
    </xf>
    <xf numFmtId="0" fontId="40" fillId="5" borderId="31" xfId="0" applyNumberFormat="1" applyFont="1" applyFill="1" applyBorder="1" applyAlignment="1">
      <alignment horizontal="centerContinuous"/>
    </xf>
    <xf numFmtId="0" fontId="41" fillId="0" borderId="0" xfId="0" applyNumberFormat="1" applyFont="1" applyAlignment="1"/>
    <xf numFmtId="0" fontId="31" fillId="0" borderId="0" xfId="0" applyNumberFormat="1" applyFont="1" applyFill="1" applyAlignment="1"/>
    <xf numFmtId="0" fontId="7" fillId="0" borderId="0" xfId="0" applyNumberFormat="1" applyFont="1" applyFill="1" applyAlignment="1">
      <alignment horizontal="left"/>
    </xf>
    <xf numFmtId="165" fontId="9" fillId="0" borderId="0" xfId="0" applyNumberFormat="1" applyFont="1" applyAlignment="1">
      <alignment horizontal="left" wrapText="1"/>
    </xf>
    <xf numFmtId="0" fontId="3" fillId="0" borderId="0" xfId="0" applyNumberFormat="1" applyFont="1" applyFill="1" applyAlignment="1">
      <alignment horizontal="right"/>
    </xf>
    <xf numFmtId="165" fontId="42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/>
    <xf numFmtId="0" fontId="42" fillId="0" borderId="0" xfId="0" applyNumberFormat="1" applyFont="1" applyFill="1" applyAlignment="1">
      <alignment horizontal="left"/>
    </xf>
    <xf numFmtId="185" fontId="1" fillId="0" borderId="0" xfId="0" applyNumberFormat="1" applyFont="1" applyAlignment="1">
      <alignment horizontal="left"/>
    </xf>
    <xf numFmtId="185" fontId="1" fillId="0" borderId="0" xfId="0" applyNumberFormat="1" applyFont="1" applyAlignment="1">
      <alignment horizontal="center"/>
    </xf>
    <xf numFmtId="0" fontId="43" fillId="0" borderId="0" xfId="0" applyNumberFormat="1" applyFont="1" applyAlignment="1">
      <alignment horizontal="left"/>
    </xf>
    <xf numFmtId="185" fontId="3" fillId="0" borderId="31" xfId="0" applyNumberFormat="1" applyFont="1" applyBorder="1" applyAlignment="1">
      <alignment horizontal="centerContinuous"/>
    </xf>
    <xf numFmtId="185" fontId="3" fillId="0" borderId="30" xfId="0" applyNumberFormat="1" applyFont="1" applyBorder="1" applyAlignment="1">
      <alignment horizontal="centerContinuous"/>
    </xf>
    <xf numFmtId="0" fontId="18" fillId="0" borderId="0" xfId="0" applyNumberFormat="1" applyFont="1" applyAlignment="1">
      <alignment horizontal="center"/>
    </xf>
    <xf numFmtId="0" fontId="18" fillId="0" borderId="32" xfId="0" applyNumberFormat="1" applyFont="1" applyBorder="1" applyAlignment="1">
      <alignment horizontal="center"/>
    </xf>
    <xf numFmtId="186" fontId="18" fillId="0" borderId="33" xfId="0" applyNumberFormat="1" applyFont="1" applyBorder="1" applyAlignment="1">
      <alignment horizontal="center"/>
    </xf>
    <xf numFmtId="184" fontId="18" fillId="0" borderId="33" xfId="0" applyNumberFormat="1" applyFont="1" applyBorder="1" applyAlignment="1">
      <alignment horizontal="center"/>
    </xf>
    <xf numFmtId="168" fontId="1" fillId="0" borderId="0" xfId="0" applyNumberFormat="1" applyFont="1" applyAlignment="1">
      <alignment horizontal="left"/>
    </xf>
    <xf numFmtId="185" fontId="3" fillId="0" borderId="0" xfId="0" applyNumberFormat="1" applyFont="1" applyFill="1" applyBorder="1" applyAlignment="1">
      <alignment horizontal="left"/>
    </xf>
    <xf numFmtId="165" fontId="1" fillId="0" borderId="0" xfId="0" applyNumberFormat="1" applyFont="1" applyAlignment="1">
      <alignment horizontal="left" wrapText="1"/>
    </xf>
    <xf numFmtId="0" fontId="1" fillId="0" borderId="0" xfId="0" applyNumberFormat="1" applyFont="1" applyAlignment="1">
      <alignment horizontal="center"/>
    </xf>
    <xf numFmtId="168" fontId="1" fillId="0" borderId="0" xfId="0" applyNumberFormat="1" applyFont="1" applyFill="1" applyAlignment="1">
      <alignment horizontal="left"/>
    </xf>
    <xf numFmtId="185" fontId="1" fillId="0" borderId="0" xfId="0" applyNumberFormat="1" applyFont="1" applyFill="1" applyBorder="1" applyAlignment="1">
      <alignment horizontal="left"/>
    </xf>
    <xf numFmtId="168" fontId="1" fillId="0" borderId="34" xfId="0" applyNumberFormat="1" applyFont="1" applyBorder="1" applyAlignment="1">
      <alignment horizontal="left"/>
    </xf>
    <xf numFmtId="168" fontId="25" fillId="0" borderId="0" xfId="0" applyNumberFormat="1" applyFont="1" applyAlignment="1">
      <alignment horizontal="left"/>
    </xf>
    <xf numFmtId="185" fontId="1" fillId="0" borderId="0" xfId="0" applyNumberFormat="1" applyFont="1" applyFill="1" applyBorder="1" applyAlignment="1"/>
    <xf numFmtId="168" fontId="1" fillId="0" borderId="5" xfId="0" applyNumberFormat="1" applyFont="1" applyBorder="1" applyAlignment="1">
      <alignment horizontal="left"/>
    </xf>
    <xf numFmtId="168" fontId="13" fillId="0" borderId="0" xfId="0" applyNumberFormat="1" applyFont="1" applyAlignment="1">
      <alignment horizontal="left"/>
    </xf>
    <xf numFmtId="165" fontId="9" fillId="0" borderId="0" xfId="0" applyNumberFormat="1" applyFont="1" applyAlignment="1">
      <alignment horizontal="left"/>
    </xf>
    <xf numFmtId="0" fontId="4" fillId="0" borderId="0" xfId="0" applyFont="1" applyAlignment="1"/>
    <xf numFmtId="188" fontId="4" fillId="0" borderId="0" xfId="0" applyNumberFormat="1" applyFont="1"/>
    <xf numFmtId="0" fontId="4" fillId="6" borderId="17" xfId="0" applyFont="1" applyFill="1" applyBorder="1" applyAlignment="1">
      <alignment horizontal="center" wrapText="1"/>
    </xf>
    <xf numFmtId="0" fontId="46" fillId="0" borderId="0" xfId="0" applyFont="1" applyBorder="1"/>
    <xf numFmtId="0" fontId="46" fillId="0" borderId="0" xfId="0" applyFont="1"/>
    <xf numFmtId="0" fontId="46" fillId="0" borderId="0" xfId="0" applyFont="1" applyFill="1" applyBorder="1"/>
    <xf numFmtId="0" fontId="46" fillId="0" borderId="0" xfId="0" applyFont="1" applyFill="1"/>
    <xf numFmtId="166" fontId="1" fillId="7" borderId="21" xfId="0" applyNumberFormat="1" applyFont="1" applyFill="1" applyBorder="1" applyAlignment="1" applyProtection="1">
      <protection locked="0"/>
    </xf>
    <xf numFmtId="41" fontId="1" fillId="7" borderId="0" xfId="0" applyNumberFormat="1" applyFont="1" applyFill="1" applyBorder="1" applyAlignment="1"/>
    <xf numFmtId="185" fontId="25" fillId="0" borderId="23" xfId="0" applyNumberFormat="1" applyFont="1" applyFill="1" applyBorder="1" applyAlignment="1">
      <alignment horizontal="right"/>
    </xf>
    <xf numFmtId="43" fontId="13" fillId="0" borderId="0" xfId="0" applyNumberFormat="1" applyFont="1" applyAlignment="1">
      <alignment horizontal="left"/>
    </xf>
    <xf numFmtId="0" fontId="4" fillId="0" borderId="0" xfId="0" applyFont="1" applyBorder="1" applyAlignment="1">
      <alignment horizontal="right"/>
    </xf>
    <xf numFmtId="0" fontId="47" fillId="0" borderId="0" xfId="0" applyFont="1" applyBorder="1" applyAlignment="1">
      <alignment horizontal="right"/>
    </xf>
    <xf numFmtId="0" fontId="50" fillId="0" borderId="0" xfId="0" applyFont="1"/>
    <xf numFmtId="0" fontId="19" fillId="0" borderId="0" xfId="0" applyFont="1" applyAlignment="1">
      <alignment horizontal="center" vertical="top" wrapText="1"/>
    </xf>
    <xf numFmtId="166" fontId="25" fillId="0" borderId="21" xfId="0" applyNumberFormat="1" applyFont="1" applyFill="1" applyBorder="1" applyAlignment="1">
      <alignment vertical="center"/>
    </xf>
    <xf numFmtId="42" fontId="19" fillId="0" borderId="0" xfId="0" applyNumberFormat="1" applyFont="1"/>
    <xf numFmtId="0" fontId="4" fillId="8" borderId="0" xfId="0" applyFont="1" applyFill="1"/>
    <xf numFmtId="0" fontId="1" fillId="8" borderId="0" xfId="0" applyNumberFormat="1" applyFont="1" applyFill="1" applyAlignment="1"/>
    <xf numFmtId="168" fontId="4" fillId="8" borderId="0" xfId="1" applyNumberFormat="1" applyFont="1" applyFill="1"/>
    <xf numFmtId="168" fontId="16" fillId="8" borderId="0" xfId="1" applyNumberFormat="1" applyFont="1" applyFill="1"/>
    <xf numFmtId="0" fontId="4" fillId="9" borderId="0" xfId="0" applyFont="1" applyFill="1"/>
    <xf numFmtId="168" fontId="4" fillId="9" borderId="0" xfId="0" applyNumberFormat="1" applyFont="1" applyFill="1"/>
    <xf numFmtId="0" fontId="4" fillId="10" borderId="0" xfId="0" applyFont="1" applyFill="1"/>
    <xf numFmtId="168" fontId="4" fillId="10" borderId="0" xfId="0" applyNumberFormat="1" applyFont="1" applyFill="1"/>
    <xf numFmtId="168" fontId="4" fillId="8" borderId="0" xfId="1" applyNumberFormat="1" applyFont="1" applyFill="1" applyAlignment="1">
      <alignment horizontal="right"/>
    </xf>
    <xf numFmtId="10" fontId="26" fillId="0" borderId="0" xfId="0" applyNumberFormat="1" applyFont="1" applyFill="1"/>
    <xf numFmtId="0" fontId="26" fillId="0" borderId="0" xfId="0" applyFont="1" applyFill="1"/>
    <xf numFmtId="168" fontId="4" fillId="0" borderId="0" xfId="0" applyNumberFormat="1" applyFont="1" applyFill="1" applyBorder="1"/>
    <xf numFmtId="0" fontId="17" fillId="11" borderId="0" xfId="0" applyFont="1" applyFill="1" applyAlignment="1">
      <alignment horizontal="center" wrapText="1"/>
    </xf>
    <xf numFmtId="42" fontId="4" fillId="11" borderId="0" xfId="0" applyNumberFormat="1" applyFont="1" applyFill="1"/>
    <xf numFmtId="0" fontId="54" fillId="0" borderId="0" xfId="0" applyFont="1"/>
    <xf numFmtId="169" fontId="54" fillId="0" borderId="0" xfId="2" applyNumberFormat="1" applyFont="1"/>
    <xf numFmtId="169" fontId="54" fillId="0" borderId="0" xfId="0" applyNumberFormat="1" applyFont="1"/>
    <xf numFmtId="0" fontId="55" fillId="0" borderId="0" xfId="0" applyFont="1" applyFill="1"/>
    <xf numFmtId="0" fontId="55" fillId="0" borderId="0" xfId="0" applyFont="1" applyFill="1" applyAlignment="1">
      <alignment horizontal="center" vertical="center"/>
    </xf>
    <xf numFmtId="169" fontId="55" fillId="0" borderId="0" xfId="0" applyNumberFormat="1" applyFont="1" applyFill="1"/>
    <xf numFmtId="168" fontId="55" fillId="0" borderId="0" xfId="1" applyNumberFormat="1" applyFont="1" applyFill="1"/>
    <xf numFmtId="0" fontId="55" fillId="0" borderId="0" xfId="0" applyFont="1"/>
    <xf numFmtId="169" fontId="55" fillId="0" borderId="0" xfId="0" applyNumberFormat="1" applyFont="1"/>
    <xf numFmtId="0" fontId="56" fillId="0" borderId="0" xfId="4" applyFont="1" applyFill="1" applyAlignment="1"/>
    <xf numFmtId="0" fontId="49" fillId="0" borderId="0" xfId="0" applyFont="1" applyFill="1"/>
    <xf numFmtId="10" fontId="1" fillId="0" borderId="0" xfId="6" applyFont="1"/>
    <xf numFmtId="0" fontId="31" fillId="0" borderId="0" xfId="7" applyFont="1" applyBorder="1" applyAlignment="1" applyProtection="1">
      <alignment horizontal="centerContinuous" vertical="center" wrapText="1"/>
    </xf>
    <xf numFmtId="10" fontId="7" fillId="0" borderId="0" xfId="6" applyFont="1" applyAlignment="1">
      <alignment horizontal="centerContinuous"/>
    </xf>
    <xf numFmtId="10" fontId="31" fillId="0" borderId="0" xfId="6" applyFont="1" applyBorder="1" applyAlignment="1" applyProtection="1">
      <alignment horizontal="centerContinuous" vertical="center" wrapText="1"/>
    </xf>
    <xf numFmtId="10" fontId="1" fillId="0" borderId="0" xfId="6" applyFont="1" applyAlignment="1">
      <alignment horizontal="centerContinuous"/>
    </xf>
    <xf numFmtId="190" fontId="3" fillId="0" borderId="0" xfId="6" applyNumberFormat="1" applyFont="1" applyBorder="1" applyAlignment="1" applyProtection="1">
      <alignment horizontal="centerContinuous" vertical="center" wrapText="1"/>
    </xf>
    <xf numFmtId="1" fontId="1" fillId="0" borderId="0" xfId="6" applyNumberFormat="1" applyFont="1" applyAlignment="1" applyProtection="1">
      <alignment horizontal="center"/>
    </xf>
    <xf numFmtId="1" fontId="3" fillId="0" borderId="0" xfId="6" applyNumberFormat="1" applyFont="1" applyAlignment="1" applyProtection="1">
      <alignment horizontal="center"/>
    </xf>
    <xf numFmtId="10" fontId="6" fillId="0" borderId="0" xfId="6" applyFont="1"/>
    <xf numFmtId="1" fontId="3" fillId="0" borderId="23" xfId="6" applyNumberFormat="1" applyFont="1" applyBorder="1" applyAlignment="1" applyProtection="1">
      <alignment horizontal="center"/>
    </xf>
    <xf numFmtId="37" fontId="59" fillId="0" borderId="23" xfId="8" applyFont="1" applyBorder="1" applyAlignment="1" applyProtection="1">
      <alignment horizontal="center"/>
    </xf>
    <xf numFmtId="37" fontId="59" fillId="0" borderId="0" xfId="8" applyFont="1" applyAlignment="1" applyProtection="1">
      <alignment horizontal="center"/>
    </xf>
    <xf numFmtId="10" fontId="6" fillId="0" borderId="0" xfId="6" applyFont="1" applyFill="1" applyAlignment="1">
      <alignment horizontal="center"/>
    </xf>
    <xf numFmtId="10" fontId="6" fillId="0" borderId="0" xfId="9" applyNumberFormat="1" applyFont="1" applyFill="1" applyAlignment="1">
      <alignment horizontal="center"/>
    </xf>
    <xf numFmtId="10" fontId="7" fillId="0" borderId="0" xfId="6" applyFont="1" applyAlignment="1">
      <alignment horizontal="center"/>
    </xf>
    <xf numFmtId="10" fontId="6" fillId="0" borderId="23" xfId="6" applyFont="1" applyFill="1" applyBorder="1" applyAlignment="1" applyProtection="1">
      <alignment horizontal="center"/>
    </xf>
    <xf numFmtId="10" fontId="6" fillId="0" borderId="23" xfId="9" applyNumberFormat="1" applyFont="1" applyFill="1" applyBorder="1" applyAlignment="1">
      <alignment horizontal="center"/>
    </xf>
    <xf numFmtId="10" fontId="7" fillId="0" borderId="0" xfId="6" applyFont="1" applyAlignment="1" applyProtection="1">
      <alignment horizontal="center"/>
    </xf>
    <xf numFmtId="10" fontId="60" fillId="0" borderId="0" xfId="6" applyFont="1" applyFill="1" applyAlignment="1" applyProtection="1">
      <alignment horizontal="center"/>
    </xf>
    <xf numFmtId="10" fontId="60" fillId="0" borderId="0" xfId="6" applyFont="1" applyAlignment="1" applyProtection="1">
      <alignment horizontal="center"/>
    </xf>
    <xf numFmtId="10" fontId="6" fillId="0" borderId="0" xfId="6" applyFont="1" applyAlignment="1" applyProtection="1">
      <alignment horizontal="left"/>
    </xf>
    <xf numFmtId="10" fontId="6" fillId="0" borderId="0" xfId="6" applyFont="1" applyFill="1" applyAlignment="1" applyProtection="1">
      <alignment horizontal="left"/>
    </xf>
    <xf numFmtId="10" fontId="6" fillId="0" borderId="0" xfId="10" applyNumberFormat="1" applyFont="1" applyAlignment="1" applyProtection="1">
      <alignment horizontal="center"/>
    </xf>
    <xf numFmtId="10" fontId="6" fillId="0" borderId="0" xfId="9" applyNumberFormat="1" applyFont="1" applyAlignment="1">
      <alignment horizontal="center"/>
    </xf>
    <xf numFmtId="10" fontId="6" fillId="0" borderId="0" xfId="6" applyFont="1" applyAlignment="1">
      <alignment horizontal="center"/>
    </xf>
    <xf numFmtId="10" fontId="6" fillId="0" borderId="0" xfId="6" applyNumberFormat="1" applyFont="1" applyAlignment="1" applyProtection="1"/>
    <xf numFmtId="10" fontId="6" fillId="0" borderId="23" xfId="10" applyNumberFormat="1" applyFont="1" applyBorder="1" applyAlignment="1" applyProtection="1">
      <alignment horizontal="center"/>
    </xf>
    <xf numFmtId="10" fontId="6" fillId="0" borderId="23" xfId="6" applyFont="1" applyBorder="1" applyAlignment="1">
      <alignment horizontal="center"/>
    </xf>
    <xf numFmtId="10" fontId="61" fillId="0" borderId="0" xfId="6" applyNumberFormat="1" applyFont="1" applyFill="1" applyAlignment="1" applyProtection="1"/>
    <xf numFmtId="10" fontId="7" fillId="0" borderId="0" xfId="6" applyFont="1"/>
    <xf numFmtId="5" fontId="6" fillId="0" borderId="0" xfId="6" applyNumberFormat="1" applyFont="1" applyAlignment="1"/>
    <xf numFmtId="10" fontId="6" fillId="0" borderId="0" xfId="6" applyFont="1" applyBorder="1" applyAlignment="1" applyProtection="1"/>
    <xf numFmtId="10" fontId="6" fillId="0" borderId="0" xfId="6" applyNumberFormat="1" applyFont="1" applyAlignment="1"/>
    <xf numFmtId="0" fontId="62" fillId="0" borderId="0" xfId="0" applyFont="1" applyFill="1" applyAlignment="1">
      <alignment horizontal="center" vertical="center"/>
    </xf>
    <xf numFmtId="0" fontId="63" fillId="0" borderId="0" xfId="0" applyFont="1"/>
    <xf numFmtId="0" fontId="63" fillId="0" borderId="0" xfId="0" applyFont="1" applyAlignment="1">
      <alignment horizontal="center" vertical="center"/>
    </xf>
    <xf numFmtId="0" fontId="64" fillId="0" borderId="0" xfId="0" applyFont="1" applyAlignment="1">
      <alignment horizontal="left" vertical="top"/>
    </xf>
    <xf numFmtId="168" fontId="64" fillId="0" borderId="0" xfId="1" applyNumberFormat="1" applyFont="1" applyAlignment="1">
      <alignment horizontal="left" indent="1"/>
    </xf>
    <xf numFmtId="0" fontId="63" fillId="0" borderId="0" xfId="0" applyFont="1" applyAlignment="1">
      <alignment vertical="top"/>
    </xf>
    <xf numFmtId="168" fontId="63" fillId="0" borderId="0" xfId="0" applyNumberFormat="1" applyFont="1"/>
    <xf numFmtId="42" fontId="63" fillId="0" borderId="0" xfId="0" applyNumberFormat="1" applyFont="1"/>
    <xf numFmtId="10" fontId="63" fillId="0" borderId="0" xfId="3" applyNumberFormat="1" applyFont="1"/>
    <xf numFmtId="168" fontId="63" fillId="0" borderId="0" xfId="1" applyNumberFormat="1" applyFont="1"/>
    <xf numFmtId="0" fontId="63" fillId="0" borderId="0" xfId="0" applyFont="1" applyAlignment="1">
      <alignment horizontal="left" vertical="top"/>
    </xf>
    <xf numFmtId="168" fontId="63" fillId="0" borderId="0" xfId="1" applyNumberFormat="1" applyFont="1" applyAlignment="1">
      <alignment horizontal="left" indent="1"/>
    </xf>
    <xf numFmtId="0" fontId="64" fillId="0" borderId="0" xfId="0" applyFont="1"/>
    <xf numFmtId="0" fontId="64" fillId="0" borderId="0" xfId="0" applyFont="1" applyAlignment="1">
      <alignment horizontal="center" vertical="center"/>
    </xf>
    <xf numFmtId="0" fontId="64" fillId="0" borderId="0" xfId="0" applyFont="1" applyAlignment="1">
      <alignment vertical="top"/>
    </xf>
    <xf numFmtId="168" fontId="64" fillId="0" borderId="0" xfId="0" applyNumberFormat="1" applyFont="1"/>
    <xf numFmtId="42" fontId="64" fillId="0" borderId="0" xfId="0" applyNumberFormat="1" applyFont="1"/>
    <xf numFmtId="43" fontId="64" fillId="0" borderId="0" xfId="1" applyFont="1"/>
    <xf numFmtId="10" fontId="64" fillId="0" borderId="0" xfId="3" applyNumberFormat="1" applyFont="1"/>
    <xf numFmtId="168" fontId="64" fillId="0" borderId="0" xfId="1" applyNumberFormat="1" applyFont="1"/>
    <xf numFmtId="43" fontId="64" fillId="0" borderId="0" xfId="1" applyNumberFormat="1" applyFont="1" applyAlignment="1">
      <alignment horizontal="right"/>
    </xf>
    <xf numFmtId="10" fontId="64" fillId="0" borderId="0" xfId="1" applyNumberFormat="1" applyFont="1"/>
    <xf numFmtId="168" fontId="64" fillId="0" borderId="0" xfId="1" applyNumberFormat="1" applyFont="1" applyAlignment="1">
      <alignment horizontal="right"/>
    </xf>
    <xf numFmtId="43" fontId="64" fillId="0" borderId="0" xfId="0" applyNumberFormat="1" applyFont="1"/>
    <xf numFmtId="168" fontId="55" fillId="0" borderId="0" xfId="1" applyNumberFormat="1" applyFont="1"/>
    <xf numFmtId="168" fontId="65" fillId="0" borderId="0" xfId="1" applyNumberFormat="1" applyFont="1" applyFill="1"/>
    <xf numFmtId="165" fontId="46" fillId="0" borderId="0" xfId="0" applyNumberFormat="1" applyFont="1"/>
    <xf numFmtId="0" fontId="46" fillId="0" borderId="23" xfId="0" applyFont="1" applyBorder="1"/>
    <xf numFmtId="168" fontId="55" fillId="0" borderId="23" xfId="1" applyNumberFormat="1" applyFont="1" applyFill="1" applyBorder="1"/>
    <xf numFmtId="0" fontId="65" fillId="0" borderId="0" xfId="0" applyFont="1"/>
    <xf numFmtId="0" fontId="55" fillId="0" borderId="23" xfId="0" applyFont="1" applyFill="1" applyBorder="1"/>
    <xf numFmtId="168" fontId="55" fillId="0" borderId="0" xfId="0" applyNumberFormat="1" applyFont="1" applyFill="1"/>
    <xf numFmtId="168" fontId="55" fillId="0" borderId="0" xfId="0" applyNumberFormat="1" applyFont="1"/>
    <xf numFmtId="0" fontId="65" fillId="0" borderId="0" xfId="0" applyFont="1" applyAlignment="1">
      <alignment horizontal="center" vertical="center"/>
    </xf>
    <xf numFmtId="0" fontId="47" fillId="0" borderId="0" xfId="0" applyFont="1"/>
    <xf numFmtId="168" fontId="55" fillId="0" borderId="23" xfId="0" applyNumberFormat="1" applyFont="1" applyBorder="1"/>
    <xf numFmtId="168" fontId="55" fillId="0" borderId="0" xfId="1" applyNumberFormat="1" applyFont="1" applyFill="1" applyAlignment="1">
      <alignment horizontal="center"/>
    </xf>
    <xf numFmtId="168" fontId="55" fillId="0" borderId="0" xfId="0" applyNumberFormat="1" applyFont="1" applyFill="1" applyAlignment="1">
      <alignment horizontal="center" vertical="center"/>
    </xf>
    <xf numFmtId="0" fontId="55" fillId="0" borderId="0" xfId="0" applyFont="1" applyAlignment="1">
      <alignment horizontal="center" vertical="center"/>
    </xf>
    <xf numFmtId="42" fontId="55" fillId="0" borderId="0" xfId="0" applyNumberFormat="1" applyFont="1"/>
    <xf numFmtId="41" fontId="17" fillId="11" borderId="0" xfId="0" applyNumberFormat="1" applyFont="1" applyFill="1" applyAlignment="1" applyProtection="1">
      <alignment horizontal="center" vertical="center"/>
      <protection locked="0"/>
    </xf>
    <xf numFmtId="0" fontId="55" fillId="0" borderId="0" xfId="0" applyNumberFormat="1" applyFont="1" applyFill="1" applyAlignment="1">
      <alignment horizontal="center"/>
    </xf>
    <xf numFmtId="0" fontId="55" fillId="0" borderId="0" xfId="0" applyNumberFormat="1" applyFont="1" applyFill="1" applyAlignment="1"/>
    <xf numFmtId="42" fontId="55" fillId="0" borderId="5" xfId="0" applyNumberFormat="1" applyFont="1" applyFill="1" applyBorder="1"/>
    <xf numFmtId="42" fontId="55" fillId="6" borderId="18" xfId="0" applyNumberFormat="1" applyFont="1" applyFill="1" applyBorder="1"/>
    <xf numFmtId="0" fontId="17" fillId="0" borderId="0" xfId="0" applyFont="1" applyFill="1" applyAlignment="1">
      <alignment horizontal="center"/>
    </xf>
    <xf numFmtId="0" fontId="66" fillId="0" borderId="0" xfId="0" applyFont="1"/>
    <xf numFmtId="0" fontId="67" fillId="0" borderId="0" xfId="0" applyFont="1"/>
    <xf numFmtId="0" fontId="27" fillId="0" borderId="24" xfId="4" applyFont="1" applyBorder="1" applyAlignment="1">
      <alignment horizontal="centerContinuous"/>
    </xf>
    <xf numFmtId="0" fontId="27" fillId="0" borderId="34" xfId="4" applyFont="1" applyBorder="1" applyAlignment="1">
      <alignment horizontal="centerContinuous"/>
    </xf>
    <xf numFmtId="0" fontId="27" fillId="0" borderId="12" xfId="4" applyFont="1" applyBorder="1" applyAlignment="1">
      <alignment horizontal="centerContinuous"/>
    </xf>
    <xf numFmtId="0" fontId="68" fillId="0" borderId="0" xfId="0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0" fontId="67" fillId="0" borderId="0" xfId="0" applyFont="1" applyAlignment="1">
      <alignment horizontal="center"/>
    </xf>
    <xf numFmtId="0" fontId="72" fillId="0" borderId="0" xfId="0" applyFont="1" applyFill="1" applyAlignment="1">
      <alignment horizontal="center"/>
    </xf>
    <xf numFmtId="0" fontId="67" fillId="0" borderId="0" xfId="0" applyNumberFormat="1" applyFont="1" applyFill="1" applyAlignment="1">
      <alignment horizontal="center"/>
    </xf>
    <xf numFmtId="169" fontId="67" fillId="0" borderId="0" xfId="0" applyNumberFormat="1" applyFont="1" applyFill="1"/>
    <xf numFmtId="41" fontId="67" fillId="0" borderId="0" xfId="0" applyNumberFormat="1" applyFont="1" applyFill="1"/>
    <xf numFmtId="0" fontId="73" fillId="0" borderId="0" xfId="0" applyFont="1"/>
    <xf numFmtId="169" fontId="67" fillId="0" borderId="21" xfId="0" applyNumberFormat="1" applyFont="1" applyFill="1" applyBorder="1"/>
    <xf numFmtId="0" fontId="74" fillId="0" borderId="7" xfId="0" applyFont="1" applyBorder="1"/>
    <xf numFmtId="0" fontId="68" fillId="0" borderId="8" xfId="0" applyFont="1" applyBorder="1"/>
    <xf numFmtId="0" fontId="69" fillId="0" borderId="8" xfId="0" applyFont="1" applyBorder="1"/>
    <xf numFmtId="0" fontId="69" fillId="0" borderId="9" xfId="0" applyFont="1" applyBorder="1"/>
    <xf numFmtId="0" fontId="75" fillId="0" borderId="0" xfId="0" applyNumberFormat="1" applyFont="1" applyFill="1" applyBorder="1" applyAlignment="1">
      <alignment horizontal="left"/>
    </xf>
    <xf numFmtId="10" fontId="7" fillId="0" borderId="0" xfId="0" applyNumberFormat="1" applyFont="1" applyFill="1" applyBorder="1" applyAlignment="1"/>
    <xf numFmtId="43" fontId="75" fillId="0" borderId="0" xfId="0" applyNumberFormat="1" applyFont="1" applyFill="1" applyBorder="1" applyAlignment="1">
      <alignment horizontal="right"/>
    </xf>
    <xf numFmtId="0" fontId="77" fillId="0" borderId="0" xfId="0" applyNumberFormat="1" applyFont="1" applyFill="1" applyBorder="1" applyAlignment="1">
      <alignment horizontal="center"/>
    </xf>
    <xf numFmtId="0" fontId="78" fillId="0" borderId="10" xfId="0" applyFont="1" applyBorder="1"/>
    <xf numFmtId="0" fontId="68" fillId="0" borderId="0" xfId="0" applyFont="1" applyBorder="1"/>
    <xf numFmtId="0" fontId="69" fillId="0" borderId="0" xfId="0" applyFont="1" applyBorder="1"/>
    <xf numFmtId="0" fontId="69" fillId="0" borderId="11" xfId="0" applyFont="1" applyBorder="1"/>
    <xf numFmtId="10" fontId="79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horizontal="center"/>
    </xf>
    <xf numFmtId="168" fontId="75" fillId="0" borderId="0" xfId="1" applyNumberFormat="1" applyFont="1" applyFill="1" applyBorder="1" applyAlignment="1">
      <alignment horizontal="left"/>
    </xf>
    <xf numFmtId="0" fontId="37" fillId="0" borderId="23" xfId="0" applyNumberFormat="1" applyFont="1" applyFill="1" applyBorder="1" applyAlignment="1">
      <alignment horizontal="center"/>
    </xf>
    <xf numFmtId="168" fontId="14" fillId="0" borderId="23" xfId="0" applyNumberFormat="1" applyFont="1" applyFill="1" applyBorder="1" applyAlignment="1">
      <alignment horizontal="center"/>
    </xf>
    <xf numFmtId="0" fontId="78" fillId="0" borderId="0" xfId="0" applyFont="1" applyBorder="1" applyAlignment="1">
      <alignment horizontal="center"/>
    </xf>
    <xf numFmtId="0" fontId="80" fillId="0" borderId="11" xfId="0" applyFont="1" applyBorder="1" applyAlignment="1">
      <alignment horizontal="center"/>
    </xf>
    <xf numFmtId="168" fontId="7" fillId="0" borderId="0" xfId="0" applyNumberFormat="1" applyFont="1" applyFill="1" applyBorder="1" applyAlignment="1">
      <alignment horizontal="center"/>
    </xf>
    <xf numFmtId="0" fontId="69" fillId="0" borderId="10" xfId="0" applyFont="1" applyBorder="1"/>
    <xf numFmtId="168" fontId="69" fillId="0" borderId="34" xfId="0" applyNumberFormat="1" applyFont="1" applyBorder="1"/>
    <xf numFmtId="41" fontId="69" fillId="0" borderId="34" xfId="0" applyNumberFormat="1" applyFont="1" applyBorder="1"/>
    <xf numFmtId="169" fontId="68" fillId="8" borderId="29" xfId="0" applyNumberFormat="1" applyFont="1" applyFill="1" applyBorder="1"/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169" fontId="6" fillId="0" borderId="0" xfId="0" applyNumberFormat="1" applyFont="1" applyFill="1" applyBorder="1" applyAlignment="1"/>
    <xf numFmtId="183" fontId="6" fillId="0" borderId="0" xfId="0" applyNumberFormat="1" applyFont="1" applyFill="1" applyBorder="1" applyAlignment="1"/>
    <xf numFmtId="183" fontId="6" fillId="0" borderId="0" xfId="0" applyNumberFormat="1" applyFont="1" applyFill="1" applyBorder="1" applyAlignment="1">
      <alignment horizontal="center"/>
    </xf>
    <xf numFmtId="0" fontId="68" fillId="0" borderId="10" xfId="0" applyFont="1" applyBorder="1"/>
    <xf numFmtId="44" fontId="70" fillId="0" borderId="0" xfId="0" applyNumberFormat="1" applyFont="1"/>
    <xf numFmtId="168" fontId="6" fillId="0" borderId="0" xfId="0" applyNumberFormat="1" applyFont="1" applyFill="1" applyBorder="1" applyAlignment="1"/>
    <xf numFmtId="0" fontId="74" fillId="0" borderId="10" xfId="0" applyFont="1" applyBorder="1"/>
    <xf numFmtId="0" fontId="74" fillId="0" borderId="0" xfId="0" applyFont="1" applyBorder="1" applyAlignment="1">
      <alignment horizontal="center"/>
    </xf>
    <xf numFmtId="168" fontId="69" fillId="0" borderId="11" xfId="0" applyNumberFormat="1" applyFont="1" applyBorder="1"/>
    <xf numFmtId="41" fontId="67" fillId="0" borderId="0" xfId="0" applyNumberFormat="1" applyFont="1"/>
    <xf numFmtId="168" fontId="70" fillId="0" borderId="0" xfId="0" applyNumberFormat="1" applyFont="1"/>
    <xf numFmtId="43" fontId="70" fillId="0" borderId="0" xfId="0" applyNumberFormat="1" applyFont="1"/>
    <xf numFmtId="0" fontId="6" fillId="0" borderId="0" xfId="0" applyNumberFormat="1" applyFont="1" applyFill="1" applyBorder="1" applyAlignment="1"/>
    <xf numFmtId="185" fontId="81" fillId="0" borderId="10" xfId="0" applyNumberFormat="1" applyFont="1" applyBorder="1" applyAlignment="1">
      <alignment horizontal="left"/>
    </xf>
    <xf numFmtId="168" fontId="69" fillId="0" borderId="0" xfId="0" applyNumberFormat="1" applyFont="1" applyFill="1" applyBorder="1"/>
    <xf numFmtId="43" fontId="67" fillId="0" borderId="0" xfId="0" applyNumberFormat="1" applyFont="1"/>
    <xf numFmtId="168" fontId="70" fillId="0" borderId="0" xfId="0" applyNumberFormat="1" applyFont="1" applyBorder="1"/>
    <xf numFmtId="168" fontId="69" fillId="0" borderId="0" xfId="0" applyNumberFormat="1" applyFont="1" applyBorder="1"/>
    <xf numFmtId="0" fontId="6" fillId="0" borderId="0" xfId="0" applyNumberFormat="1" applyFont="1" applyFill="1" applyBorder="1" applyAlignment="1">
      <alignment horizontal="left" indent="1"/>
    </xf>
    <xf numFmtId="168" fontId="69" fillId="0" borderId="21" xfId="0" applyNumberFormat="1" applyFont="1" applyBorder="1"/>
    <xf numFmtId="168" fontId="70" fillId="0" borderId="21" xfId="0" applyNumberFormat="1" applyFont="1" applyBorder="1"/>
    <xf numFmtId="5" fontId="69" fillId="0" borderId="34" xfId="0" applyNumberFormat="1" applyFont="1" applyBorder="1"/>
    <xf numFmtId="168" fontId="70" fillId="0" borderId="34" xfId="0" applyNumberFormat="1" applyFont="1" applyBorder="1"/>
    <xf numFmtId="0" fontId="6" fillId="0" borderId="0" xfId="0" applyNumberFormat="1" applyFont="1" applyFill="1" applyBorder="1" applyAlignment="1">
      <alignment vertical="top"/>
    </xf>
    <xf numFmtId="0" fontId="84" fillId="0" borderId="0" xfId="0" applyFont="1" applyBorder="1"/>
    <xf numFmtId="0" fontId="6" fillId="0" borderId="0" xfId="0" quotePrefix="1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 vertical="center" indent="1"/>
    </xf>
    <xf numFmtId="169" fontId="6" fillId="0" borderId="26" xfId="0" applyNumberFormat="1" applyFont="1" applyFill="1" applyBorder="1" applyAlignment="1">
      <alignment vertical="center"/>
    </xf>
    <xf numFmtId="183" fontId="7" fillId="0" borderId="36" xfId="0" applyNumberFormat="1" applyFont="1" applyFill="1" applyBorder="1" applyAlignment="1">
      <alignment vertical="center"/>
    </xf>
    <xf numFmtId="183" fontId="7" fillId="0" borderId="21" xfId="0" applyNumberFormat="1" applyFont="1" applyFill="1" applyBorder="1" applyAlignment="1">
      <alignment vertical="center"/>
    </xf>
    <xf numFmtId="169" fontId="6" fillId="0" borderId="21" xfId="0" applyNumberFormat="1" applyFont="1" applyFill="1" applyBorder="1" applyAlignment="1">
      <alignment vertical="center"/>
    </xf>
    <xf numFmtId="169" fontId="80" fillId="0" borderId="0" xfId="0" applyNumberFormat="1" applyFont="1"/>
    <xf numFmtId="169" fontId="83" fillId="0" borderId="0" xfId="0" applyNumberFormat="1" applyFont="1"/>
    <xf numFmtId="184" fontId="6" fillId="0" borderId="23" xfId="0" applyNumberFormat="1" applyFont="1" applyFill="1" applyBorder="1" applyAlignment="1"/>
    <xf numFmtId="191" fontId="6" fillId="0" borderId="0" xfId="0" applyNumberFormat="1" applyFont="1" applyFill="1" applyBorder="1" applyAlignment="1"/>
    <xf numFmtId="189" fontId="6" fillId="0" borderId="0" xfId="0" applyNumberFormat="1" applyFont="1" applyFill="1" applyBorder="1" applyAlignment="1"/>
    <xf numFmtId="169" fontId="6" fillId="0" borderId="21" xfId="0" applyNumberFormat="1" applyFont="1" applyFill="1" applyBorder="1" applyAlignment="1"/>
    <xf numFmtId="192" fontId="85" fillId="0" borderId="0" xfId="0" applyNumberFormat="1" applyFont="1" applyFill="1" applyBorder="1" applyAlignment="1"/>
    <xf numFmtId="43" fontId="6" fillId="0" borderId="0" xfId="0" applyNumberFormat="1" applyFont="1" applyFill="1" applyBorder="1" applyAlignment="1">
      <alignment horizontal="center"/>
    </xf>
    <xf numFmtId="191" fontId="86" fillId="0" borderId="0" xfId="0" applyNumberFormat="1" applyFont="1" applyFill="1" applyBorder="1" applyAlignment="1">
      <alignment horizontal="center"/>
    </xf>
    <xf numFmtId="191" fontId="87" fillId="0" borderId="0" xfId="0" applyNumberFormat="1" applyFont="1" applyFill="1" applyBorder="1" applyAlignment="1">
      <alignment horizontal="right"/>
    </xf>
    <xf numFmtId="191" fontId="88" fillId="0" borderId="0" xfId="0" applyNumberFormat="1" applyFont="1" applyFill="1" applyBorder="1" applyAlignment="1">
      <alignment horizontal="left"/>
    </xf>
    <xf numFmtId="0" fontId="86" fillId="0" borderId="0" xfId="0" applyNumberFormat="1" applyFont="1" applyFill="1" applyBorder="1" applyAlignment="1">
      <alignment horizontal="center"/>
    </xf>
    <xf numFmtId="0" fontId="87" fillId="0" borderId="0" xfId="0" applyNumberFormat="1" applyFont="1" applyFill="1" applyBorder="1" applyAlignment="1">
      <alignment horizontal="right"/>
    </xf>
    <xf numFmtId="0" fontId="88" fillId="0" borderId="0" xfId="0" applyNumberFormat="1" applyFont="1" applyFill="1" applyBorder="1" applyAlignment="1"/>
    <xf numFmtId="191" fontId="86" fillId="0" borderId="0" xfId="0" applyNumberFormat="1" applyFont="1" applyFill="1" applyBorder="1" applyAlignment="1">
      <alignment horizontal="centerContinuous"/>
    </xf>
    <xf numFmtId="0" fontId="6" fillId="0" borderId="0" xfId="0" applyNumberFormat="1" applyFont="1" applyFill="1" applyBorder="1" applyAlignment="1">
      <alignment horizontal="centerContinuous"/>
    </xf>
    <xf numFmtId="168" fontId="84" fillId="0" borderId="0" xfId="0" applyNumberFormat="1" applyFont="1" applyBorder="1"/>
    <xf numFmtId="183" fontId="89" fillId="0" borderId="0" xfId="0" applyNumberFormat="1" applyFont="1" applyFill="1" applyBorder="1" applyAlignment="1"/>
    <xf numFmtId="183" fontId="6" fillId="0" borderId="23" xfId="0" applyNumberFormat="1" applyFont="1" applyFill="1" applyBorder="1" applyAlignment="1"/>
    <xf numFmtId="165" fontId="6" fillId="0" borderId="0" xfId="0" applyNumberFormat="1" applyFont="1" applyFill="1" applyBorder="1" applyAlignment="1">
      <alignment horizontal="left"/>
    </xf>
    <xf numFmtId="0" fontId="82" fillId="0" borderId="0" xfId="0" applyNumberFormat="1" applyFont="1" applyFill="1" applyBorder="1" applyAlignment="1">
      <alignment horizontal="center"/>
    </xf>
    <xf numFmtId="165" fontId="59" fillId="0" borderId="7" xfId="0" applyNumberFormat="1" applyFont="1" applyFill="1" applyBorder="1" applyAlignment="1">
      <alignment horizontal="left"/>
    </xf>
    <xf numFmtId="0" fontId="59" fillId="0" borderId="8" xfId="0" applyNumberFormat="1" applyFont="1" applyFill="1" applyBorder="1" applyAlignment="1">
      <alignment horizontal="center"/>
    </xf>
    <xf numFmtId="0" fontId="59" fillId="0" borderId="9" xfId="0" applyNumberFormat="1" applyFont="1" applyFill="1" applyBorder="1" applyAlignment="1">
      <alignment horizontal="center"/>
    </xf>
    <xf numFmtId="5" fontId="84" fillId="0" borderId="0" xfId="0" applyNumberFormat="1" applyFont="1" applyBorder="1"/>
    <xf numFmtId="165" fontId="82" fillId="0" borderId="27" xfId="0" applyNumberFormat="1" applyFont="1" applyFill="1" applyBorder="1" applyAlignment="1">
      <alignment horizontal="left"/>
    </xf>
    <xf numFmtId="0" fontId="82" fillId="0" borderId="21" xfId="0" applyNumberFormat="1" applyFont="1" applyFill="1" applyBorder="1" applyAlignment="1">
      <alignment horizontal="center"/>
    </xf>
    <xf numFmtId="41" fontId="82" fillId="0" borderId="26" xfId="0" applyNumberFormat="1" applyFont="1" applyFill="1" applyBorder="1" applyAlignment="1"/>
    <xf numFmtId="165" fontId="82" fillId="0" borderId="10" xfId="0" applyNumberFormat="1" applyFont="1" applyFill="1" applyBorder="1" applyAlignment="1">
      <alignment horizontal="left"/>
    </xf>
    <xf numFmtId="41" fontId="82" fillId="0" borderId="11" xfId="0" applyNumberFormat="1" applyFont="1" applyFill="1" applyBorder="1" applyAlignment="1"/>
    <xf numFmtId="5" fontId="69" fillId="0" borderId="0" xfId="0" applyNumberFormat="1" applyFont="1" applyBorder="1"/>
    <xf numFmtId="0" fontId="68" fillId="0" borderId="21" xfId="0" applyFont="1" applyBorder="1"/>
    <xf numFmtId="0" fontId="84" fillId="0" borderId="21" xfId="0" applyFont="1" applyBorder="1"/>
    <xf numFmtId="0" fontId="82" fillId="0" borderId="0" xfId="0" applyNumberFormat="1" applyFont="1" applyFill="1" applyBorder="1" applyAlignment="1"/>
    <xf numFmtId="41" fontId="82" fillId="0" borderId="37" xfId="0" applyNumberFormat="1" applyFont="1" applyFill="1" applyBorder="1" applyAlignment="1"/>
    <xf numFmtId="5" fontId="69" fillId="0" borderId="21" xfId="0" applyNumberFormat="1" applyFont="1" applyBorder="1"/>
    <xf numFmtId="5" fontId="84" fillId="0" borderId="21" xfId="0" applyNumberFormat="1" applyFont="1" applyBorder="1"/>
    <xf numFmtId="0" fontId="82" fillId="0" borderId="13" xfId="0" applyNumberFormat="1" applyFont="1" applyBorder="1" applyAlignment="1"/>
    <xf numFmtId="0" fontId="80" fillId="0" borderId="14" xfId="0" applyNumberFormat="1" applyFont="1" applyBorder="1" applyAlignment="1">
      <alignment horizontal="right"/>
    </xf>
    <xf numFmtId="41" fontId="80" fillId="0" borderId="15" xfId="0" applyNumberFormat="1" applyFont="1" applyBorder="1" applyAlignment="1"/>
    <xf numFmtId="0" fontId="68" fillId="0" borderId="10" xfId="0" applyFont="1" applyBorder="1" applyAlignment="1">
      <alignment horizontal="right"/>
    </xf>
    <xf numFmtId="169" fontId="68" fillId="8" borderId="5" xfId="0" applyNumberFormat="1" applyFont="1" applyFill="1" applyBorder="1"/>
    <xf numFmtId="168" fontId="68" fillId="0" borderId="0" xfId="0" applyNumberFormat="1" applyFont="1" applyBorder="1"/>
    <xf numFmtId="168" fontId="68" fillId="0" borderId="21" xfId="0" applyNumberFormat="1" applyFont="1" applyBorder="1"/>
    <xf numFmtId="42" fontId="68" fillId="0" borderId="0" xfId="0" applyNumberFormat="1" applyFont="1" applyBorder="1"/>
    <xf numFmtId="168" fontId="68" fillId="8" borderId="34" xfId="0" applyNumberFormat="1" applyFont="1" applyFill="1" applyBorder="1"/>
    <xf numFmtId="41" fontId="68" fillId="0" borderId="0" xfId="0" applyNumberFormat="1" applyFont="1" applyBorder="1"/>
    <xf numFmtId="0" fontId="38" fillId="0" borderId="0" xfId="0" applyFont="1"/>
    <xf numFmtId="0" fontId="68" fillId="0" borderId="13" xfId="0" applyFont="1" applyBorder="1"/>
    <xf numFmtId="0" fontId="68" fillId="0" borderId="14" xfId="0" applyFont="1" applyBorder="1"/>
    <xf numFmtId="0" fontId="69" fillId="0" borderId="14" xfId="0" applyFont="1" applyBorder="1"/>
    <xf numFmtId="0" fontId="69" fillId="0" borderId="15" xfId="0" applyFont="1" applyBorder="1"/>
    <xf numFmtId="0" fontId="90" fillId="0" borderId="0" xfId="0" applyNumberFormat="1" applyFont="1" applyFill="1" applyBorder="1" applyAlignment="1"/>
    <xf numFmtId="191" fontId="91" fillId="0" borderId="0" xfId="0" applyNumberFormat="1" applyFont="1" applyFill="1" applyBorder="1" applyAlignment="1">
      <alignment horizontal="center"/>
    </xf>
    <xf numFmtId="0" fontId="91" fillId="0" borderId="0" xfId="0" applyNumberFormat="1" applyFont="1" applyFill="1" applyBorder="1" applyAlignment="1">
      <alignment horizontal="center"/>
    </xf>
    <xf numFmtId="191" fontId="91" fillId="0" borderId="0" xfId="0" applyNumberFormat="1" applyFont="1" applyFill="1" applyBorder="1" applyAlignment="1">
      <alignment horizontal="centerContinuous"/>
    </xf>
    <xf numFmtId="0" fontId="90" fillId="0" borderId="0" xfId="0" applyNumberFormat="1" applyFont="1" applyFill="1" applyBorder="1" applyAlignment="1">
      <alignment horizontal="centerContinuous"/>
    </xf>
    <xf numFmtId="183" fontId="90" fillId="0" borderId="0" xfId="0" applyNumberFormat="1" applyFont="1" applyFill="1" applyBorder="1" applyAlignment="1"/>
    <xf numFmtId="183" fontId="90" fillId="0" borderId="23" xfId="0" applyNumberFormat="1" applyFont="1" applyFill="1" applyBorder="1" applyAlignment="1"/>
    <xf numFmtId="0" fontId="19" fillId="0" borderId="6" xfId="0" applyFont="1" applyBorder="1"/>
    <xf numFmtId="0" fontId="19" fillId="0" borderId="6" xfId="0" applyFont="1" applyBorder="1" applyAlignment="1">
      <alignment horizontal="center" vertical="center"/>
    </xf>
    <xf numFmtId="10" fontId="19" fillId="0" borderId="6" xfId="0" applyNumberFormat="1" applyFont="1" applyBorder="1"/>
    <xf numFmtId="43" fontId="19" fillId="0" borderId="6" xfId="1" applyNumberFormat="1" applyFont="1" applyBorder="1" applyAlignment="1">
      <alignment horizontal="right"/>
    </xf>
    <xf numFmtId="0" fontId="27" fillId="0" borderId="6" xfId="0" applyFont="1" applyBorder="1"/>
    <xf numFmtId="43" fontId="27" fillId="0" borderId="6" xfId="0" applyNumberFormat="1" applyFont="1" applyBorder="1"/>
    <xf numFmtId="43" fontId="19" fillId="0" borderId="6" xfId="1" applyNumberFormat="1" applyFont="1" applyBorder="1"/>
    <xf numFmtId="0" fontId="20" fillId="0" borderId="0" xfId="0" applyFont="1"/>
    <xf numFmtId="0" fontId="92" fillId="0" borderId="0" xfId="0" applyFont="1"/>
    <xf numFmtId="0" fontId="93" fillId="0" borderId="0" xfId="0" applyFont="1"/>
    <xf numFmtId="0" fontId="19" fillId="0" borderId="6" xfId="0" applyFont="1" applyBorder="1" applyAlignment="1">
      <alignment horizontal="center"/>
    </xf>
    <xf numFmtId="169" fontId="50" fillId="0" borderId="0" xfId="0" applyNumberFormat="1" applyFont="1"/>
    <xf numFmtId="0" fontId="55" fillId="0" borderId="0" xfId="0" applyFont="1" applyFill="1" applyBorder="1"/>
    <xf numFmtId="168" fontId="55" fillId="0" borderId="0" xfId="1" applyNumberFormat="1" applyFont="1" applyFill="1" applyBorder="1"/>
    <xf numFmtId="168" fontId="55" fillId="0" borderId="0" xfId="0" applyNumberFormat="1" applyFont="1" applyBorder="1"/>
    <xf numFmtId="0" fontId="51" fillId="0" borderId="0" xfId="0" applyFont="1" applyFill="1" applyAlignment="1">
      <alignment horizontal="right"/>
    </xf>
    <xf numFmtId="41" fontId="4" fillId="13" borderId="0" xfId="0" applyNumberFormat="1" applyFont="1" applyFill="1" applyBorder="1"/>
    <xf numFmtId="41" fontId="4" fillId="13" borderId="0" xfId="0" applyNumberFormat="1" applyFont="1" applyFill="1"/>
    <xf numFmtId="168" fontId="4" fillId="13" borderId="0" xfId="0" applyNumberFormat="1" applyFont="1" applyFill="1"/>
    <xf numFmtId="168" fontId="4" fillId="13" borderId="21" xfId="0" applyNumberFormat="1" applyFont="1" applyFill="1" applyBorder="1"/>
    <xf numFmtId="0" fontId="15" fillId="14" borderId="0" xfId="0" applyNumberFormat="1" applyFont="1" applyFill="1" applyAlignment="1" applyProtection="1">
      <alignment horizontal="centerContinuous"/>
      <protection locked="0"/>
    </xf>
    <xf numFmtId="0" fontId="13" fillId="14" borderId="0" xfId="0" applyFont="1" applyFill="1" applyAlignment="1">
      <alignment horizontal="centerContinuous"/>
    </xf>
    <xf numFmtId="168" fontId="4" fillId="15" borderId="0" xfId="0" applyNumberFormat="1" applyFont="1" applyFill="1"/>
    <xf numFmtId="42" fontId="4" fillId="13" borderId="0" xfId="0" applyNumberFormat="1" applyFont="1" applyFill="1"/>
    <xf numFmtId="183" fontId="1" fillId="13" borderId="5" xfId="0" applyNumberFormat="1" applyFont="1" applyFill="1" applyBorder="1" applyAlignment="1"/>
    <xf numFmtId="42" fontId="4" fillId="13" borderId="5" xfId="0" applyNumberFormat="1" applyFont="1" applyFill="1" applyBorder="1"/>
    <xf numFmtId="169" fontId="4" fillId="6" borderId="18" xfId="2" applyNumberFormat="1" applyFont="1" applyFill="1" applyBorder="1"/>
    <xf numFmtId="190" fontId="15" fillId="13" borderId="0" xfId="6" applyNumberFormat="1" applyFont="1" applyFill="1" applyBorder="1" applyAlignment="1" applyProtection="1">
      <alignment horizontal="centerContinuous" vertical="center" wrapText="1"/>
    </xf>
    <xf numFmtId="10" fontId="3" fillId="13" borderId="0" xfId="6" applyFont="1" applyFill="1" applyBorder="1" applyAlignment="1">
      <alignment horizontal="left" vertical="top" wrapText="1"/>
    </xf>
    <xf numFmtId="190" fontId="3" fillId="13" borderId="0" xfId="6" applyNumberFormat="1" applyFont="1" applyFill="1" applyBorder="1" applyAlignment="1" applyProtection="1">
      <alignment horizontal="centerContinuous" vertical="center" wrapText="1"/>
    </xf>
    <xf numFmtId="176" fontId="17" fillId="13" borderId="0" xfId="0" applyNumberFormat="1" applyFont="1" applyFill="1" applyAlignment="1" applyProtection="1">
      <alignment horizontal="center"/>
      <protection locked="0"/>
    </xf>
    <xf numFmtId="0" fontId="3" fillId="13" borderId="0" xfId="0" applyNumberFormat="1" applyFont="1" applyFill="1" applyAlignment="1">
      <alignment horizontal="center"/>
    </xf>
    <xf numFmtId="175" fontId="17" fillId="13" borderId="0" xfId="0" applyNumberFormat="1" applyFont="1" applyFill="1" applyAlignment="1" applyProtection="1">
      <alignment horizontal="center"/>
      <protection locked="0"/>
    </xf>
    <xf numFmtId="0" fontId="17" fillId="13" borderId="0" xfId="0" applyFont="1" applyFill="1" applyAlignment="1">
      <alignment horizontal="center"/>
    </xf>
    <xf numFmtId="0" fontId="4" fillId="13" borderId="0" xfId="0" applyFont="1" applyFill="1"/>
    <xf numFmtId="168" fontId="6" fillId="13" borderId="0" xfId="0" applyNumberFormat="1" applyFont="1" applyFill="1" applyBorder="1" applyAlignment="1"/>
    <xf numFmtId="0" fontId="94" fillId="0" borderId="0" xfId="0" applyFont="1" applyBorder="1" applyAlignment="1">
      <alignment horizontal="right"/>
    </xf>
    <xf numFmtId="0" fontId="18" fillId="0" borderId="0" xfId="0" applyFont="1" applyFill="1" applyBorder="1"/>
    <xf numFmtId="0" fontId="20" fillId="0" borderId="0" xfId="0" applyFont="1" applyBorder="1" applyAlignment="1">
      <alignment horizontal="right"/>
    </xf>
    <xf numFmtId="0" fontId="18" fillId="0" borderId="0" xfId="0" applyFont="1" applyBorder="1"/>
    <xf numFmtId="0" fontId="18" fillId="0" borderId="0" xfId="0" applyFont="1" applyFill="1"/>
    <xf numFmtId="0" fontId="20" fillId="0" borderId="0" xfId="0" applyNumberFormat="1" applyFont="1" applyFill="1" applyAlignment="1" applyProtection="1">
      <alignment horizontal="centerContinuous"/>
      <protection locked="0"/>
    </xf>
    <xf numFmtId="0" fontId="18" fillId="0" borderId="0" xfId="0" applyFont="1" applyFill="1" applyAlignment="1">
      <alignment horizontal="centerContinuous"/>
    </xf>
    <xf numFmtId="0" fontId="20" fillId="0" borderId="0" xfId="0" applyNumberFormat="1" applyFont="1" applyFill="1" applyBorder="1" applyAlignment="1" applyProtection="1">
      <alignment horizontal="centerContinuous"/>
      <protection locked="0"/>
    </xf>
    <xf numFmtId="0" fontId="18" fillId="0" borderId="0" xfId="0" applyFont="1" applyFill="1" applyBorder="1" applyAlignment="1">
      <alignment horizontal="centerContinuous"/>
    </xf>
    <xf numFmtId="181" fontId="20" fillId="0" borderId="0" xfId="0" applyNumberFormat="1" applyFont="1" applyFill="1" applyBorder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0" fontId="20" fillId="0" borderId="0" xfId="0" applyNumberFormat="1" applyFont="1" applyFill="1" applyBorder="1" applyAlignment="1">
      <alignment horizontal="centerContinuous"/>
    </xf>
    <xf numFmtId="0" fontId="20" fillId="0" borderId="0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Fill="1" applyAlignment="1">
      <alignment horizontal="center"/>
    </xf>
    <xf numFmtId="0" fontId="20" fillId="0" borderId="23" xfId="0" applyFont="1" applyFill="1" applyBorder="1" applyAlignment="1">
      <alignment horizontal="center"/>
    </xf>
    <xf numFmtId="0" fontId="20" fillId="0" borderId="23" xfId="0" applyNumberFormat="1" applyFont="1" applyFill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0" fillId="0" borderId="23" xfId="0" applyNumberFormat="1" applyFont="1" applyFill="1" applyBorder="1" applyAlignment="1" applyProtection="1">
      <alignment horizontal="center"/>
      <protection locked="0"/>
    </xf>
    <xf numFmtId="0" fontId="18" fillId="0" borderId="0" xfId="0" applyNumberFormat="1" applyFont="1" applyFill="1" applyAlignment="1">
      <alignment horizontal="center"/>
    </xf>
    <xf numFmtId="169" fontId="18" fillId="0" borderId="0" xfId="0" applyNumberFormat="1" applyFont="1" applyFill="1"/>
    <xf numFmtId="44" fontId="18" fillId="0" borderId="0" xfId="2" applyFont="1" applyFill="1"/>
    <xf numFmtId="168" fontId="18" fillId="0" borderId="0" xfId="1" applyNumberFormat="1" applyFont="1" applyFill="1"/>
    <xf numFmtId="168" fontId="18" fillId="0" borderId="1" xfId="1" applyNumberFormat="1" applyFont="1" applyFill="1" applyBorder="1"/>
    <xf numFmtId="0" fontId="18" fillId="0" borderId="1" xfId="0" applyFont="1" applyFill="1" applyBorder="1"/>
    <xf numFmtId="169" fontId="18" fillId="0" borderId="0" xfId="0" applyNumberFormat="1" applyFont="1"/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vertical="top" wrapText="1"/>
    </xf>
    <xf numFmtId="10" fontId="4" fillId="13" borderId="0" xfId="0" applyNumberFormat="1" applyFont="1" applyFill="1"/>
    <xf numFmtId="10" fontId="4" fillId="13" borderId="21" xfId="0" applyNumberFormat="1" applyFont="1" applyFill="1" applyBorder="1"/>
    <xf numFmtId="0" fontId="96" fillId="0" borderId="0" xfId="0" applyFont="1" applyAlignment="1">
      <alignment horizontal="centerContinuous"/>
    </xf>
    <xf numFmtId="10" fontId="6" fillId="13" borderId="23" xfId="6" applyFont="1" applyFill="1" applyBorder="1" applyAlignment="1">
      <alignment horizontal="center"/>
    </xf>
    <xf numFmtId="10" fontId="60" fillId="13" borderId="0" xfId="6" applyFont="1" applyFill="1" applyAlignment="1" applyProtection="1">
      <alignment horizontal="center"/>
    </xf>
    <xf numFmtId="0" fontId="17" fillId="13" borderId="0" xfId="0" applyFont="1" applyFill="1" applyAlignment="1">
      <alignment horizontal="center" vertical="center"/>
    </xf>
    <xf numFmtId="41" fontId="17" fillId="0" borderId="0" xfId="0" applyNumberFormat="1" applyFont="1" applyFill="1" applyAlignment="1" applyProtection="1">
      <alignment horizontal="center" vertical="center"/>
      <protection locked="0"/>
    </xf>
    <xf numFmtId="0" fontId="17" fillId="0" borderId="0" xfId="0" applyNumberFormat="1" applyFont="1" applyFill="1" applyAlignment="1">
      <alignment horizontal="center"/>
    </xf>
    <xf numFmtId="41" fontId="67" fillId="13" borderId="0" xfId="0" applyNumberFormat="1" applyFont="1" applyFill="1"/>
    <xf numFmtId="0" fontId="20" fillId="0" borderId="0" xfId="0" quotePrefix="1" applyNumberFormat="1" applyFont="1" applyFill="1" applyBorder="1" applyAlignment="1">
      <alignment horizontal="centerContinuous"/>
    </xf>
    <xf numFmtId="0" fontId="20" fillId="0" borderId="0" xfId="0" applyNumberFormat="1" applyFont="1" applyFill="1" applyAlignment="1"/>
    <xf numFmtId="0" fontId="20" fillId="0" borderId="23" xfId="0" quotePrefix="1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 vertical="center"/>
    </xf>
    <xf numFmtId="167" fontId="18" fillId="0" borderId="0" xfId="0" applyNumberFormat="1" applyFont="1" applyFill="1" applyBorder="1" applyAlignment="1" applyProtection="1">
      <alignment horizontal="left"/>
      <protection locked="0"/>
    </xf>
    <xf numFmtId="0" fontId="18" fillId="0" borderId="0" xfId="0" applyNumberFormat="1" applyFont="1" applyFill="1" applyAlignment="1">
      <alignment horizontal="left"/>
    </xf>
    <xf numFmtId="9" fontId="18" fillId="0" borderId="0" xfId="0" applyNumberFormat="1" applyFont="1" applyFill="1" applyAlignment="1"/>
    <xf numFmtId="42" fontId="18" fillId="0" borderId="35" xfId="0" applyNumberFormat="1" applyFont="1" applyFill="1" applyBorder="1"/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69" fontId="18" fillId="0" borderId="0" xfId="2" applyNumberFormat="1" applyFont="1"/>
    <xf numFmtId="169" fontId="20" fillId="0" borderId="0" xfId="0" applyNumberFormat="1" applyFont="1"/>
    <xf numFmtId="6" fontId="18" fillId="0" borderId="0" xfId="0" applyNumberFormat="1" applyFont="1" applyFill="1" applyBorder="1"/>
    <xf numFmtId="168" fontId="18" fillId="0" borderId="0" xfId="1" applyNumberFormat="1" applyFont="1" applyFill="1" applyBorder="1"/>
    <xf numFmtId="43" fontId="18" fillId="0" borderId="0" xfId="1" applyFont="1"/>
    <xf numFmtId="0" fontId="95" fillId="0" borderId="0" xfId="0" applyFont="1"/>
    <xf numFmtId="6" fontId="18" fillId="0" borderId="0" xfId="0" applyNumberFormat="1" applyFont="1"/>
    <xf numFmtId="6" fontId="20" fillId="0" borderId="0" xfId="0" applyNumberFormat="1" applyFont="1"/>
    <xf numFmtId="168" fontId="18" fillId="0" borderId="1" xfId="0" applyNumberFormat="1" applyFont="1" applyFill="1" applyBorder="1"/>
    <xf numFmtId="42" fontId="18" fillId="0" borderId="1" xfId="0" applyNumberFormat="1" applyFont="1" applyFill="1" applyBorder="1"/>
    <xf numFmtId="169" fontId="18" fillId="0" borderId="1" xfId="0" applyNumberFormat="1" applyFont="1" applyFill="1" applyBorder="1"/>
    <xf numFmtId="0" fontId="3" fillId="13" borderId="8" xfId="0" applyNumberFormat="1" applyFont="1" applyFill="1" applyBorder="1" applyAlignment="1">
      <alignment horizontal="right"/>
    </xf>
    <xf numFmtId="0" fontId="51" fillId="13" borderId="0" xfId="0" applyFont="1" applyFill="1" applyAlignment="1">
      <alignment horizontal="right"/>
    </xf>
    <xf numFmtId="42" fontId="1" fillId="13" borderId="0" xfId="0" applyNumberFormat="1" applyFont="1" applyFill="1" applyBorder="1" applyAlignment="1"/>
    <xf numFmtId="41" fontId="1" fillId="13" borderId="0" xfId="0" applyNumberFormat="1" applyFont="1" applyFill="1" applyBorder="1" applyAlignment="1"/>
    <xf numFmtId="41" fontId="1" fillId="13" borderId="0" xfId="0" applyNumberFormat="1" applyFont="1" applyFill="1" applyAlignment="1">
      <alignment horizontal="center"/>
    </xf>
    <xf numFmtId="42" fontId="1" fillId="13" borderId="0" xfId="0" applyNumberFormat="1" applyFont="1" applyFill="1" applyAlignment="1">
      <alignment horizontal="right"/>
    </xf>
    <xf numFmtId="0" fontId="16" fillId="13" borderId="0" xfId="0" applyFont="1" applyFill="1"/>
    <xf numFmtId="0" fontId="3" fillId="13" borderId="0" xfId="0" applyFont="1" applyFill="1"/>
    <xf numFmtId="0" fontId="13" fillId="13" borderId="0" xfId="0" applyFont="1" applyFill="1" applyAlignment="1">
      <alignment horizontal="centerContinuous"/>
    </xf>
    <xf numFmtId="168" fontId="1" fillId="13" borderId="0" xfId="0" applyNumberFormat="1" applyFont="1" applyFill="1" applyAlignment="1">
      <alignment horizontal="left" wrapText="1"/>
    </xf>
    <xf numFmtId="42" fontId="1" fillId="13" borderId="0" xfId="0" applyNumberFormat="1" applyFont="1" applyFill="1" applyAlignment="1">
      <alignment horizontal="left" wrapText="1"/>
    </xf>
    <xf numFmtId="42" fontId="1" fillId="12" borderId="0" xfId="0" applyNumberFormat="1" applyFont="1" applyFill="1" applyAlignment="1">
      <alignment horizontal="left" wrapText="1"/>
    </xf>
    <xf numFmtId="168" fontId="1" fillId="12" borderId="0" xfId="0" applyNumberFormat="1" applyFont="1" applyFill="1" applyAlignment="1">
      <alignment horizontal="left" wrapText="1"/>
    </xf>
    <xf numFmtId="168" fontId="18" fillId="12" borderId="21" xfId="0" applyNumberFormat="1" applyFont="1" applyFill="1" applyBorder="1" applyAlignment="1"/>
    <xf numFmtId="0" fontId="1" fillId="13" borderId="0" xfId="0" applyFont="1" applyFill="1"/>
    <xf numFmtId="169" fontId="3" fillId="13" borderId="5" xfId="0" applyNumberFormat="1" applyFont="1" applyFill="1" applyBorder="1"/>
    <xf numFmtId="168" fontId="1" fillId="13" borderId="0" xfId="0" applyNumberFormat="1" applyFont="1" applyFill="1" applyAlignment="1">
      <alignment horizontal="left"/>
    </xf>
    <xf numFmtId="185" fontId="1" fillId="13" borderId="0" xfId="0" applyNumberFormat="1" applyFont="1" applyFill="1" applyAlignment="1">
      <alignment horizontal="center"/>
    </xf>
    <xf numFmtId="185" fontId="1" fillId="13" borderId="0" xfId="0" applyNumberFormat="1" applyFont="1" applyFill="1" applyAlignment="1">
      <alignment horizontal="center" wrapText="1"/>
    </xf>
    <xf numFmtId="187" fontId="18" fillId="13" borderId="33" xfId="0" applyNumberFormat="1" applyFont="1" applyFill="1" applyBorder="1" applyAlignment="1">
      <alignment horizontal="center"/>
    </xf>
    <xf numFmtId="17" fontId="54" fillId="0" borderId="0" xfId="0" applyNumberFormat="1" applyFont="1" applyFill="1" applyBorder="1" applyAlignment="1">
      <alignment horizontal="left"/>
    </xf>
    <xf numFmtId="42" fontId="54" fillId="0" borderId="0" xfId="0" applyNumberFormat="1" applyFont="1" applyFill="1" applyAlignment="1">
      <alignment horizontal="right"/>
    </xf>
    <xf numFmtId="0" fontId="97" fillId="0" borderId="0" xfId="0" applyFont="1" applyFill="1" applyBorder="1"/>
    <xf numFmtId="0" fontId="54" fillId="0" borderId="0" xfId="0" applyFont="1" applyFill="1" applyAlignment="1"/>
    <xf numFmtId="42" fontId="54" fillId="0" borderId="0" xfId="0" applyNumberFormat="1" applyFont="1" applyFill="1" applyBorder="1" applyAlignment="1"/>
    <xf numFmtId="0" fontId="97" fillId="0" borderId="0" xfId="0" applyFont="1" applyFill="1"/>
    <xf numFmtId="10" fontId="97" fillId="0" borderId="0" xfId="0" applyNumberFormat="1" applyFont="1" applyFill="1" applyAlignment="1">
      <alignment horizontal="center"/>
    </xf>
    <xf numFmtId="10" fontId="97" fillId="0" borderId="0" xfId="0" applyNumberFormat="1" applyFont="1" applyFill="1"/>
    <xf numFmtId="168" fontId="97" fillId="0" borderId="21" xfId="0" applyNumberFormat="1" applyFont="1" applyFill="1" applyBorder="1"/>
    <xf numFmtId="41" fontId="97" fillId="0" borderId="21" xfId="0" applyNumberFormat="1" applyFont="1" applyFill="1" applyBorder="1"/>
    <xf numFmtId="43" fontId="97" fillId="0" borderId="21" xfId="0" applyNumberFormat="1" applyFont="1" applyFill="1" applyBorder="1"/>
    <xf numFmtId="9" fontId="54" fillId="0" borderId="0" xfId="0" applyNumberFormat="1" applyFont="1"/>
    <xf numFmtId="168" fontId="97" fillId="0" borderId="0" xfId="0" applyNumberFormat="1" applyFont="1" applyFill="1"/>
    <xf numFmtId="168" fontId="97" fillId="0" borderId="5" xfId="0" applyNumberFormat="1" applyFont="1" applyFill="1" applyBorder="1"/>
    <xf numFmtId="0" fontId="98" fillId="0" borderId="0" xfId="0" applyFont="1"/>
    <xf numFmtId="0" fontId="98" fillId="0" borderId="0" xfId="0" applyFont="1" applyFill="1"/>
    <xf numFmtId="168" fontId="98" fillId="0" borderId="0" xfId="0" applyNumberFormat="1" applyFont="1" applyFill="1"/>
    <xf numFmtId="168" fontId="98" fillId="0" borderId="0" xfId="1" applyNumberFormat="1" applyFont="1" applyFill="1"/>
    <xf numFmtId="169" fontId="98" fillId="0" borderId="0" xfId="0" applyNumberFormat="1" applyFont="1" applyFill="1"/>
    <xf numFmtId="169" fontId="98" fillId="0" borderId="0" xfId="0" applyNumberFormat="1" applyFont="1"/>
    <xf numFmtId="0" fontId="40" fillId="16" borderId="31" xfId="0" applyNumberFormat="1" applyFont="1" applyFill="1" applyBorder="1" applyAlignment="1">
      <alignment horizontal="centerContinuous"/>
    </xf>
    <xf numFmtId="0" fontId="40" fillId="16" borderId="25" xfId="0" applyNumberFormat="1" applyFont="1" applyFill="1" applyBorder="1" applyAlignment="1">
      <alignment horizontal="centerContinuous"/>
    </xf>
    <xf numFmtId="165" fontId="39" fillId="16" borderId="25" xfId="0" applyNumberFormat="1" applyFont="1" applyFill="1" applyBorder="1" applyAlignment="1">
      <alignment horizontal="centerContinuous" wrapText="1"/>
    </xf>
    <xf numFmtId="165" fontId="39" fillId="16" borderId="30" xfId="0" applyNumberFormat="1" applyFont="1" applyFill="1" applyBorder="1" applyAlignment="1">
      <alignment horizontal="centerContinuous" wrapText="1"/>
    </xf>
    <xf numFmtId="0" fontId="99" fillId="13" borderId="0" xfId="0" applyNumberFormat="1" applyFont="1" applyFill="1" applyAlignment="1">
      <alignment horizontal="center"/>
    </xf>
    <xf numFmtId="0" fontId="99" fillId="0" borderId="0" xfId="0" applyNumberFormat="1" applyFont="1" applyFill="1" applyAlignment="1">
      <alignment horizontal="center"/>
    </xf>
    <xf numFmtId="42" fontId="4" fillId="0" borderId="14" xfId="0" applyNumberFormat="1" applyFont="1" applyFill="1" applyBorder="1"/>
    <xf numFmtId="0" fontId="4" fillId="0" borderId="0" xfId="0" applyFont="1" applyAlignment="1">
      <alignment horizontal="right"/>
    </xf>
    <xf numFmtId="42" fontId="1" fillId="10" borderId="0" xfId="0" applyNumberFormat="1" applyFont="1" applyFill="1" applyAlignment="1" applyProtection="1">
      <alignment horizontal="right"/>
      <protection locked="0"/>
    </xf>
    <xf numFmtId="41" fontId="4" fillId="10" borderId="0" xfId="0" applyNumberFormat="1" applyFont="1" applyFill="1" applyBorder="1"/>
    <xf numFmtId="0" fontId="100" fillId="0" borderId="0" xfId="0" applyFont="1"/>
    <xf numFmtId="178" fontId="4" fillId="0" borderId="0" xfId="0" applyNumberFormat="1" applyFont="1" applyFill="1" applyAlignment="1"/>
    <xf numFmtId="44" fontId="4" fillId="13" borderId="0" xfId="0" applyNumberFormat="1" applyFont="1" applyFill="1"/>
    <xf numFmtId="0" fontId="3" fillId="13" borderId="0" xfId="0" applyNumberFormat="1" applyFont="1" applyFill="1" applyAlignment="1">
      <alignment horizontal="center" wrapText="1"/>
    </xf>
    <xf numFmtId="10" fontId="26" fillId="0" borderId="2" xfId="0" applyNumberFormat="1" applyFont="1" applyFill="1" applyBorder="1"/>
    <xf numFmtId="168" fontId="4" fillId="0" borderId="19" xfId="0" applyNumberFormat="1" applyFont="1" applyFill="1" applyBorder="1"/>
    <xf numFmtId="0" fontId="3" fillId="13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11" borderId="0" xfId="0" applyFont="1" applyFill="1"/>
    <xf numFmtId="0" fontId="3" fillId="11" borderId="8" xfId="0" applyNumberFormat="1" applyFont="1" applyFill="1" applyBorder="1" applyAlignment="1">
      <alignment horizontal="right"/>
    </xf>
    <xf numFmtId="42" fontId="101" fillId="0" borderId="0" xfId="0" applyNumberFormat="1" applyFont="1"/>
    <xf numFmtId="41" fontId="101" fillId="0" borderId="0" xfId="0" applyNumberFormat="1" applyFont="1" applyFill="1"/>
    <xf numFmtId="41" fontId="101" fillId="0" borderId="0" xfId="0" applyNumberFormat="1" applyFont="1" applyFill="1" applyBorder="1"/>
    <xf numFmtId="42" fontId="101" fillId="0" borderId="5" xfId="0" applyNumberFormat="1" applyFont="1" applyFill="1" applyBorder="1"/>
    <xf numFmtId="42" fontId="102" fillId="0" borderId="5" xfId="0" applyNumberFormat="1" applyFont="1" applyFill="1" applyBorder="1"/>
    <xf numFmtId="0" fontId="103" fillId="0" borderId="0" xfId="0" applyFont="1"/>
    <xf numFmtId="42" fontId="101" fillId="0" borderId="5" xfId="0" applyNumberFormat="1" applyFont="1" applyFill="1" applyBorder="1" applyAlignment="1"/>
    <xf numFmtId="41" fontId="104" fillId="0" borderId="0" xfId="0" applyNumberFormat="1" applyFont="1" applyFill="1" applyBorder="1" applyAlignment="1"/>
    <xf numFmtId="41" fontId="101" fillId="0" borderId="0" xfId="0" applyNumberFormat="1" applyFont="1" applyFill="1" applyBorder="1" applyAlignment="1"/>
    <xf numFmtId="41" fontId="101" fillId="0" borderId="23" xfId="0" applyNumberFormat="1" applyFont="1" applyFill="1" applyBorder="1" applyAlignment="1" applyProtection="1">
      <protection locked="0"/>
    </xf>
    <xf numFmtId="169" fontId="101" fillId="0" borderId="5" xfId="0" applyNumberFormat="1" applyFont="1" applyFill="1" applyBorder="1" applyAlignment="1"/>
    <xf numFmtId="0" fontId="101" fillId="0" borderId="0" xfId="0" applyFont="1"/>
    <xf numFmtId="41" fontId="101" fillId="0" borderId="0" xfId="0" applyNumberFormat="1" applyFont="1"/>
    <xf numFmtId="42" fontId="101" fillId="0" borderId="22" xfId="0" applyNumberFormat="1" applyFont="1" applyBorder="1"/>
    <xf numFmtId="169" fontId="101" fillId="0" borderId="0" xfId="0" applyNumberFormat="1" applyFont="1"/>
    <xf numFmtId="42" fontId="101" fillId="0" borderId="5" xfId="0" applyNumberFormat="1" applyFont="1" applyBorder="1"/>
    <xf numFmtId="0" fontId="105" fillId="0" borderId="0" xfId="0" applyFont="1"/>
    <xf numFmtId="168" fontId="105" fillId="0" borderId="0" xfId="1" applyNumberFormat="1" applyFont="1" applyBorder="1"/>
    <xf numFmtId="168" fontId="105" fillId="0" borderId="0" xfId="0" applyNumberFormat="1" applyFont="1" applyBorder="1"/>
    <xf numFmtId="168" fontId="105" fillId="0" borderId="23" xfId="1" applyNumberFormat="1" applyFont="1" applyBorder="1"/>
    <xf numFmtId="168" fontId="105" fillId="0" borderId="23" xfId="0" applyNumberFormat="1" applyFont="1" applyBorder="1"/>
    <xf numFmtId="168" fontId="105" fillId="0" borderId="0" xfId="0" applyNumberFormat="1" applyFont="1"/>
    <xf numFmtId="43" fontId="105" fillId="0" borderId="0" xfId="1" applyFont="1"/>
    <xf numFmtId="180" fontId="1" fillId="13" borderId="0" xfId="0" applyNumberFormat="1" applyFont="1" applyFill="1" applyAlignment="1">
      <alignment horizontal="left"/>
    </xf>
    <xf numFmtId="42" fontId="101" fillId="0" borderId="0" xfId="0" applyNumberFormat="1" applyFont="1" applyFill="1" applyAlignment="1"/>
    <xf numFmtId="41" fontId="106" fillId="0" borderId="0" xfId="0" applyNumberFormat="1" applyFont="1"/>
    <xf numFmtId="42" fontId="107" fillId="0" borderId="0" xfId="0" applyNumberFormat="1" applyFont="1"/>
    <xf numFmtId="42" fontId="101" fillId="0" borderId="0" xfId="0" applyNumberFormat="1" applyFont="1" applyFill="1"/>
    <xf numFmtId="41" fontId="101" fillId="0" borderId="21" xfId="0" applyNumberFormat="1" applyFont="1" applyFill="1" applyBorder="1" applyAlignment="1"/>
    <xf numFmtId="41" fontId="106" fillId="0" borderId="21" xfId="0" applyNumberFormat="1" applyFont="1" applyBorder="1"/>
    <xf numFmtId="41" fontId="108" fillId="0" borderId="21" xfId="0" applyNumberFormat="1" applyFont="1" applyFill="1" applyBorder="1" applyAlignment="1"/>
    <xf numFmtId="42" fontId="105" fillId="0" borderId="0" xfId="0" applyNumberFormat="1" applyFont="1"/>
    <xf numFmtId="0" fontId="18" fillId="0" borderId="38" xfId="0" applyFont="1" applyBorder="1"/>
    <xf numFmtId="0" fontId="18" fillId="0" borderId="39" xfId="0" applyFont="1" applyBorder="1"/>
    <xf numFmtId="0" fontId="18" fillId="0" borderId="40" xfId="0" applyFont="1" applyBorder="1"/>
    <xf numFmtId="169" fontId="18" fillId="0" borderId="41" xfId="0" applyNumberFormat="1" applyFont="1" applyBorder="1"/>
    <xf numFmtId="0" fontId="18" fillId="0" borderId="41" xfId="0" applyFont="1" applyBorder="1"/>
    <xf numFmtId="169" fontId="18" fillId="0" borderId="41" xfId="0" applyNumberFormat="1" applyFont="1" applyBorder="1" applyAlignment="1">
      <alignment horizontal="right"/>
    </xf>
    <xf numFmtId="0" fontId="18" fillId="0" borderId="42" xfId="0" applyFont="1" applyBorder="1"/>
    <xf numFmtId="169" fontId="18" fillId="0" borderId="43" xfId="0" applyNumberFormat="1" applyFont="1" applyBorder="1"/>
    <xf numFmtId="0" fontId="16" fillId="13" borderId="0" xfId="0" applyFont="1" applyFill="1" applyAlignment="1"/>
    <xf numFmtId="0" fontId="16" fillId="13" borderId="0" xfId="0" applyFont="1" applyFill="1" applyAlignment="1">
      <alignment horizontal="centerContinuous"/>
    </xf>
    <xf numFmtId="0" fontId="16" fillId="0" borderId="0" xfId="0" applyFont="1" applyFill="1" applyAlignment="1">
      <alignment horizontal="centerContinuous"/>
    </xf>
    <xf numFmtId="0" fontId="64" fillId="0" borderId="0" xfId="0" applyFont="1" applyAlignment="1">
      <alignment horizontal="right"/>
    </xf>
    <xf numFmtId="169" fontId="64" fillId="0" borderId="0" xfId="0" applyNumberFormat="1" applyFont="1"/>
    <xf numFmtId="0" fontId="64" fillId="0" borderId="0" xfId="0" applyFont="1" applyFill="1"/>
    <xf numFmtId="41" fontId="64" fillId="0" borderId="0" xfId="0" applyNumberFormat="1" applyFont="1" applyFill="1"/>
    <xf numFmtId="0" fontId="64" fillId="0" borderId="0" xfId="0" applyFont="1" applyFill="1" applyAlignment="1">
      <alignment horizontal="center" vertical="center"/>
    </xf>
    <xf numFmtId="169" fontId="64" fillId="0" borderId="0" xfId="2" applyNumberFormat="1" applyFont="1" applyFill="1"/>
    <xf numFmtId="168" fontId="64" fillId="0" borderId="0" xfId="1" applyNumberFormat="1" applyFont="1" applyFill="1"/>
    <xf numFmtId="168" fontId="64" fillId="0" borderId="23" xfId="1" applyNumberFormat="1" applyFont="1" applyFill="1" applyBorder="1"/>
    <xf numFmtId="42" fontId="64" fillId="0" borderId="0" xfId="0" applyNumberFormat="1" applyFont="1" applyFill="1"/>
    <xf numFmtId="169" fontId="64" fillId="0" borderId="0" xfId="0" applyNumberFormat="1" applyFont="1" applyFill="1"/>
    <xf numFmtId="0" fontId="109" fillId="0" borderId="0" xfId="0" applyFont="1"/>
    <xf numFmtId="42" fontId="4" fillId="17" borderId="0" xfId="0" applyNumberFormat="1" applyFont="1" applyFill="1"/>
    <xf numFmtId="41" fontId="54" fillId="2" borderId="0" xfId="0" applyNumberFormat="1" applyFont="1" applyFill="1"/>
    <xf numFmtId="42" fontId="4" fillId="2" borderId="1" xfId="0" applyNumberFormat="1" applyFont="1" applyFill="1" applyBorder="1"/>
    <xf numFmtId="42" fontId="54" fillId="2" borderId="1" xfId="0" applyNumberFormat="1" applyFont="1" applyFill="1" applyBorder="1"/>
    <xf numFmtId="0" fontId="4" fillId="2" borderId="0" xfId="0" applyFont="1" applyFill="1"/>
    <xf numFmtId="0" fontId="4" fillId="17" borderId="0" xfId="0" applyFont="1" applyFill="1"/>
    <xf numFmtId="190" fontId="58" fillId="0" borderId="0" xfId="6" applyNumberFormat="1" applyFont="1" applyAlignment="1" applyProtection="1">
      <alignment horizontal="center"/>
    </xf>
    <xf numFmtId="42" fontId="1" fillId="0" borderId="0" xfId="0" applyNumberFormat="1" applyFont="1" applyFill="1" applyAlignment="1">
      <alignment horizontal="center" vertical="center"/>
    </xf>
    <xf numFmtId="42" fontId="1" fillId="0" borderId="23" xfId="0" applyNumberFormat="1" applyFont="1" applyFill="1" applyBorder="1" applyAlignment="1">
      <alignment horizontal="center" vertical="center"/>
    </xf>
    <xf numFmtId="42" fontId="1" fillId="0" borderId="0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23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Alignment="1" applyProtection="1">
      <alignment horizontal="center"/>
      <protection locked="0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/>
    </xf>
  </cellXfs>
  <cellStyles count="11">
    <cellStyle name="Comma" xfId="1" builtinId="3"/>
    <cellStyle name="Comma 2" xfId="10" xr:uid="{00000000-0005-0000-0000-000001000000}"/>
    <cellStyle name="Currency" xfId="2" builtinId="4"/>
    <cellStyle name="Normal" xfId="0" builtinId="0"/>
    <cellStyle name="Normal 2" xfId="4" xr:uid="{00000000-0005-0000-0000-000004000000}"/>
    <cellStyle name="Normal 3 2 8" xfId="5" xr:uid="{00000000-0005-0000-0000-000005000000}"/>
    <cellStyle name="Normal_AMACAPST" xfId="7" xr:uid="{00000000-0005-0000-0000-000006000000}"/>
    <cellStyle name="Normal_COSTOF" xfId="8" xr:uid="{00000000-0005-0000-0000-000007000000}"/>
    <cellStyle name="Normal_RATEOFRE" xfId="6" xr:uid="{00000000-0005-0000-0000-000008000000}"/>
    <cellStyle name="Percent" xfId="3" builtinId="5"/>
    <cellStyle name="Percent 2 2" xfId="9" xr:uid="{00000000-0005-0000-0000-00000A000000}"/>
  </cellStyles>
  <dxfs count="8"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</dxfs>
  <tableStyles count="0" defaultTableStyle="TableStyleMedium2" defaultPivotStyle="PivotStyleLight16"/>
  <colors>
    <mruColors>
      <color rgb="FFFFCCFF"/>
      <color rgb="FFCC99FF"/>
      <color rgb="FF9966FF"/>
      <color rgb="FFCC00CC"/>
      <color rgb="FFCC00FF"/>
      <color rgb="FFFF9999"/>
      <color rgb="FF0000FF"/>
      <color rgb="FFFF66FF"/>
      <color rgb="FF008000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1.xml"/><Relationship Id="rId21" Type="http://schemas.openxmlformats.org/officeDocument/2006/relationships/externalLink" Target="externalLinks/externalLink6.xml"/><Relationship Id="rId34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27.xml"/><Relationship Id="rId47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35.xml"/><Relationship Id="rId55" Type="http://schemas.openxmlformats.org/officeDocument/2006/relationships/externalLink" Target="externalLinks/externalLink40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4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externalLink" Target="externalLinks/externalLink17.xml"/><Relationship Id="rId37" Type="http://schemas.openxmlformats.org/officeDocument/2006/relationships/externalLink" Target="externalLinks/externalLink22.xml"/><Relationship Id="rId40" Type="http://schemas.openxmlformats.org/officeDocument/2006/relationships/externalLink" Target="externalLinks/externalLink25.xml"/><Relationship Id="rId45" Type="http://schemas.openxmlformats.org/officeDocument/2006/relationships/externalLink" Target="externalLinks/externalLink30.xml"/><Relationship Id="rId53" Type="http://schemas.openxmlformats.org/officeDocument/2006/relationships/externalLink" Target="externalLinks/externalLink38.xml"/><Relationship Id="rId58" Type="http://schemas.openxmlformats.org/officeDocument/2006/relationships/externalLink" Target="externalLinks/externalLink43.xml"/><Relationship Id="rId66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externalLink" Target="externalLinks/externalLink4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Relationship Id="rId35" Type="http://schemas.openxmlformats.org/officeDocument/2006/relationships/externalLink" Target="externalLinks/externalLink20.xml"/><Relationship Id="rId43" Type="http://schemas.openxmlformats.org/officeDocument/2006/relationships/externalLink" Target="externalLinks/externalLink28.xml"/><Relationship Id="rId48" Type="http://schemas.openxmlformats.org/officeDocument/2006/relationships/externalLink" Target="externalLinks/externalLink33.xml"/><Relationship Id="rId56" Type="http://schemas.openxmlformats.org/officeDocument/2006/relationships/externalLink" Target="externalLinks/externalLink41.xml"/><Relationship Id="rId64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6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externalLink" Target="externalLinks/externalLink18.xml"/><Relationship Id="rId38" Type="http://schemas.openxmlformats.org/officeDocument/2006/relationships/externalLink" Target="externalLinks/externalLink23.xml"/><Relationship Id="rId46" Type="http://schemas.openxmlformats.org/officeDocument/2006/relationships/externalLink" Target="externalLinks/externalLink31.xml"/><Relationship Id="rId59" Type="http://schemas.openxmlformats.org/officeDocument/2006/relationships/externalLink" Target="externalLinks/externalLink44.xml"/><Relationship Id="rId67" Type="http://schemas.openxmlformats.org/officeDocument/2006/relationships/customXml" Target="../customXml/item4.xml"/><Relationship Id="rId20" Type="http://schemas.openxmlformats.org/officeDocument/2006/relationships/externalLink" Target="externalLinks/externalLink5.xml"/><Relationship Id="rId41" Type="http://schemas.openxmlformats.org/officeDocument/2006/relationships/externalLink" Target="externalLinks/externalLink26.xml"/><Relationship Id="rId54" Type="http://schemas.openxmlformats.org/officeDocument/2006/relationships/externalLink" Target="externalLinks/externalLink39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36" Type="http://schemas.openxmlformats.org/officeDocument/2006/relationships/externalLink" Target="externalLinks/externalLink21.xml"/><Relationship Id="rId49" Type="http://schemas.openxmlformats.org/officeDocument/2006/relationships/externalLink" Target="externalLinks/externalLink34.xml"/><Relationship Id="rId57" Type="http://schemas.openxmlformats.org/officeDocument/2006/relationships/externalLink" Target="externalLinks/externalLink42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6.xml"/><Relationship Id="rId44" Type="http://schemas.openxmlformats.org/officeDocument/2006/relationships/externalLink" Target="externalLinks/externalLink29.xml"/><Relationship Id="rId52" Type="http://schemas.openxmlformats.org/officeDocument/2006/relationships/externalLink" Target="externalLinks/externalLink37.xml"/><Relationship Id="rId60" Type="http://schemas.openxmlformats.org/officeDocument/2006/relationships/theme" Target="theme/theme1.xml"/><Relationship Id="rId65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9" Type="http://schemas.openxmlformats.org/officeDocument/2006/relationships/externalLink" Target="externalLinks/externalLink2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58079</xdr:colOff>
      <xdr:row>65</xdr:row>
      <xdr:rowOff>58078</xdr:rowOff>
    </xdr:from>
    <xdr:to>
      <xdr:col>4</xdr:col>
      <xdr:colOff>357582</xdr:colOff>
      <xdr:row>73</xdr:row>
      <xdr:rowOff>41909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103" y="12208261"/>
          <a:ext cx="4678680" cy="14706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RATECASE/UE-190529/Staff-Revised%20SEF-11.01E%20Exhibit-A-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03E-FedIncTax-19GRC-06-201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06E-6.06G-InjuriesDamages-19GRC-06-20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09E-6.09G-ExciseTaxFilingFee-19GRC-06-2019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0E-6.10G-DnOInsurance-19GRC-06-201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1E-6.11G-InterestCustDep-19GRC-06-2019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3E-6.13G-Pension-19GRC-06-201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4E-6.14G-PropLiabIns-19GRC-06-2019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liu\OneDrive%20-%20Washington%20State%20Executive%20Branch%20Agencies\PSE\___UE-190529%20UG-190530%20PSE%20GRC\WP-RevReq-COS-Attrition\NEW-PSE-WP-SEF-5.01-5.02-E-n-G-WC-RB-19GRC-06-2019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9E-6.19G-AMA-EOP-Deprec-19GRC-06-2019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8E-6.28G-ContractEsc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3.02E-3.02G-Conversion-Factor-19GRC-06-2019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05E-PassThrough-19GRC-06-2019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07E-BadDebt-19GRC-06-2019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08E-6.08G-Incentive-19GRC-06-2019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5E-6.15G-WageIncr-19GRC-06-2019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6E-6.16G-InvestPlan-19GRC-06-2019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7E-6.17G-EmployeeInsurance-19GRC-06-2019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RATECASE/UE-190529/Staff-SEF-6.20E-DefdGainLoss-PSE%20Supplement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1E-6.21G-EnviromtlRemed-19GRC-06-2019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3E-6.23G-AnnualizeRent-19GRC-06-201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5E-6.25G-CreditCard-19GRC-06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RATECASE/UE-190529/Staff-Revised%20JAP14-ELECTRIC-BILL-IMPACTS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6E-6.26G-UnprotectedEDIT-19GRC-06-2019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7E-6.27G-PublicImprove-19GRC-06-2019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2E-6.12G-RateCaseExp-19GRC-06-2019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2E-AMI-19GRC-06-2019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9E-6.29G-HRTops-19GRC-06-2019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5.03E-5.06G-AllocMethod-19GRC-06-2019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7.05E-StormDamage-19GRC-06-2019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RATECASE/UE-190529/Staff-Revised%20SEF-7.02E%20Montana%20Tax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7.03E-WildHorseSolar-19GRC-06-2019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7.06E-RegAssetsLiab-19GRC-06-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JK-3.01E-3.01G-IncomeStatement-19GRC-06-2019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7.08E-RemoveEIM-19GRC-06-2019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7.09E-HighMolecWtCable-19GRC-06-2019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7.10E-EMS-19GRC-06-2019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7.07E-Colstrip2025Treatment-19GRC-06-2019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liu\OneDrive%20-%20Washington%20State%20Executive%20Branch%20Agencies\PSE\___UE-190529%20UG-190530%20PSE%20GRC\Staff%20Revenue%20Requirement\Staff-SEF-7.01E-PowerCosts%20Revise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RATECASE/UE-190529/Staff-SEF-5.01-5.02-E-n-G-WC-RB-PSE%20Supplemen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RATECASE/UE-190529/Staff-Revised%20SEF-6.24%20GTZ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RATECASE/UE-190529/Staff-Revised%20SEF-7.01E%20Power%20Cos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RATECASE/UE-190529/Staff-Revised-SEF-6.01E-RevExp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RATECASE/UE-190529/Staff-Revised%20SEF-6.02E%20Temp%20N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A-1"/>
      <sheetName val="support A-1=&gt;"/>
      <sheetName val="Unprotected DFIT Lead"/>
      <sheetName val="Unprotected DFIT Reg Asset Amor"/>
      <sheetName val="For Prod Adj Expense"/>
      <sheetName val="Rate Base Summarized"/>
      <sheetName val="Prod 12-2018"/>
      <sheetName val="Trans 12-2018"/>
      <sheetName val="Trans Dep AMA to EOP"/>
      <sheetName val="DFIT EIM 2018"/>
      <sheetName val="DFIT 2018"/>
      <sheetName val="ARC &amp; ARO DIT Dec 2018"/>
      <sheetName val="Colstrip FERC"/>
      <sheetName val="Acq Adj"/>
      <sheetName val="Account 406"/>
      <sheetName val="Brokerage Fees"/>
      <sheetName val="Baker Treasury Grt"/>
      <sheetName val="Snoq Treasury Grt "/>
    </sheetNames>
    <sheetDataSet>
      <sheetData sheetId="0">
        <row r="36">
          <cell r="G36">
            <v>697606405.77673638</v>
          </cell>
        </row>
        <row r="37">
          <cell r="G37">
            <v>0.95111500000000004</v>
          </cell>
        </row>
        <row r="39">
          <cell r="C39">
            <v>20535515.731480256</v>
          </cell>
        </row>
      </sheetData>
      <sheetData sheetId="1"/>
      <sheetData sheetId="2">
        <row r="9">
          <cell r="G9">
            <v>1481785.0200000014</v>
          </cell>
        </row>
        <row r="13">
          <cell r="G13">
            <v>-2963570.0399999996</v>
          </cell>
        </row>
      </sheetData>
      <sheetData sheetId="3"/>
      <sheetData sheetId="4">
        <row r="9">
          <cell r="H9">
            <v>239362.3532714289</v>
          </cell>
        </row>
        <row r="14">
          <cell r="H14">
            <v>8840460.579817621</v>
          </cell>
        </row>
        <row r="18">
          <cell r="H18">
            <v>1989467.6013443223</v>
          </cell>
        </row>
        <row r="19">
          <cell r="H19">
            <v>3895439.2738404199</v>
          </cell>
        </row>
        <row r="43">
          <cell r="C43">
            <v>169567639.20922089</v>
          </cell>
        </row>
      </sheetData>
      <sheetData sheetId="5">
        <row r="21">
          <cell r="G21">
            <v>1691161667.0428028</v>
          </cell>
        </row>
      </sheetData>
      <sheetData sheetId="6"/>
      <sheetData sheetId="7">
        <row r="66">
          <cell r="G66">
            <v>79202112.316321075</v>
          </cell>
          <cell r="I66">
            <v>3531950.8300239993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CBR_Electric"/>
      <sheetName val="41010001"/>
      <sheetName val="41110001"/>
    </sheetNames>
    <sheetDataSet>
      <sheetData sheetId="0">
        <row r="14">
          <cell r="C14">
            <v>119744801.76152284</v>
          </cell>
        </row>
        <row r="17">
          <cell r="C17">
            <v>-43059885.72469534</v>
          </cell>
        </row>
        <row r="23">
          <cell r="C23">
            <v>22841555.030000001</v>
          </cell>
        </row>
        <row r="24">
          <cell r="C24">
            <v>177018209.93000001</v>
          </cell>
        </row>
        <row r="25">
          <cell r="C25">
            <v>-138110502.37</v>
          </cell>
        </row>
      </sheetData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3 Yr Aver. Accruals-Elec"/>
      <sheetName val="3 Yr Aver. Accruals-Gas"/>
      <sheetName val=" 3 Yr Aver. Payments-Elec"/>
      <sheetName val=" 3 Yr Aver. Payments-Gas"/>
      <sheetName val="ZO12 Inj &amp; Dam 12ME 12-2018"/>
      <sheetName val="ZO12 Inj &amp; Dam 12ME 12-2017"/>
      <sheetName val="ZO12 925 Inj &amp; Dam 12-2016"/>
    </sheetNames>
    <sheetDataSet>
      <sheetData sheetId="0">
        <row r="13">
          <cell r="D13">
            <v>510000</v>
          </cell>
          <cell r="E13">
            <v>220833.33333333334</v>
          </cell>
        </row>
        <row r="14">
          <cell r="D14">
            <v>740336.86596767348</v>
          </cell>
          <cell r="E14">
            <v>945203.0581214655</v>
          </cell>
        </row>
        <row r="17">
          <cell r="D17">
            <v>1250336.8659676735</v>
          </cell>
          <cell r="E17">
            <v>1166036.3914547989</v>
          </cell>
        </row>
        <row r="18">
          <cell r="D18">
            <v>-262570.74185321142</v>
          </cell>
          <cell r="E18">
            <v>-244867.64220550776</v>
          </cell>
        </row>
      </sheetData>
      <sheetData sheetId="1">
        <row r="13">
          <cell r="D13">
            <v>-1380897.52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TY Excise Tax 2018"/>
      <sheetName val="True-up prior period"/>
      <sheetName val="TY Filing Fee 2018"/>
      <sheetName val="E Filing Fee Restated"/>
      <sheetName val="G Filing Fee Restated"/>
      <sheetName val="456 Ord Grp 12ME 12-2018"/>
    </sheetNames>
    <sheetDataSet>
      <sheetData sheetId="0">
        <row r="12">
          <cell r="D12">
            <v>84579618.501786992</v>
          </cell>
          <cell r="E12">
            <v>84593680.499568984</v>
          </cell>
          <cell r="G12">
            <v>84579618.501786992</v>
          </cell>
        </row>
        <row r="13">
          <cell r="D13">
            <v>4669751.78</v>
          </cell>
          <cell r="E13">
            <v>4564759.7001399994</v>
          </cell>
          <cell r="G13">
            <v>4669751.78</v>
          </cell>
        </row>
      </sheetData>
      <sheetData sheetId="1">
        <row r="12">
          <cell r="D12">
            <v>34660463.048212998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Main wp"/>
      <sheetName val="CE Allocation"/>
      <sheetName val="Director's Fees"/>
      <sheetName val="Utility-Non-Utility"/>
    </sheetNames>
    <sheetDataSet>
      <sheetData sheetId="0">
        <row r="12">
          <cell r="D12">
            <v>84154.734218343758</v>
          </cell>
          <cell r="E12">
            <v>77444.18431150305</v>
          </cell>
        </row>
      </sheetData>
      <sheetData sheetId="1">
        <row r="12">
          <cell r="D12">
            <v>60814.661506623946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Change in InterestElec"/>
      <sheetName val="Change in InterestGas"/>
      <sheetName val="CC 1110 Interest"/>
      <sheetName val="JE 115 Int Rate "/>
      <sheetName val="Balance Calculation"/>
      <sheetName val="E&amp;G Split"/>
      <sheetName val="2018 PO "/>
      <sheetName val="Jan. 18"/>
      <sheetName val="Feb. 18"/>
      <sheetName val="Mar. 18"/>
      <sheetName val="Apr.18"/>
      <sheetName val="May.18"/>
      <sheetName val="Jun.18"/>
      <sheetName val="Jul.18"/>
      <sheetName val="Aug.18"/>
      <sheetName val="Sept.18"/>
      <sheetName val="Oct.18"/>
      <sheetName val="Nov.18"/>
      <sheetName val="Dec.18"/>
    </sheetNames>
    <sheetDataSet>
      <sheetData sheetId="0">
        <row r="11">
          <cell r="E11">
            <v>803909.33835699933</v>
          </cell>
        </row>
      </sheetData>
      <sheetData sheetId="1">
        <row r="12">
          <cell r="E12">
            <v>204503.64267608413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Qualified - Actual"/>
      <sheetName val="Qual TY SAP "/>
      <sheetName val="Qualified - Restated"/>
      <sheetName val="Restated 4Y Average"/>
      <sheetName val="Cash Contrib"/>
      <sheetName val="SAP Export"/>
    </sheetNames>
    <sheetDataSet>
      <sheetData sheetId="0">
        <row r="15">
          <cell r="D15">
            <v>4555764.4439206887</v>
          </cell>
          <cell r="E15">
            <v>6740763.446346282</v>
          </cell>
        </row>
      </sheetData>
      <sheetData sheetId="1">
        <row r="14">
          <cell r="D14">
            <v>2033423.3546339665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Summary Prop &amp; Liab Ins"/>
      <sheetName val="SAP Download"/>
      <sheetName val="Liability Ins - RY"/>
      <sheetName val="Proposal"/>
      <sheetName val="Prop Ins - RYupdated"/>
      <sheetName val=".Rates - Updated"/>
      <sheetName val="Freddy1 Ins 2018"/>
      <sheetName val="Freddy 1 Ins 2019"/>
      <sheetName val="Colstrip Ins "/>
      <sheetName val="Calculation"/>
      <sheetName val="Pro Forma&gt;&gt;"/>
      <sheetName val="Prop Ins - RYupdated (2)"/>
      <sheetName val="Liability Ins - RY (2)"/>
      <sheetName val="Rates - Updated"/>
      <sheetName val="Amortiz"/>
      <sheetName val="Colstrip 1&amp;2 2018 "/>
      <sheetName val="Colstrip 3&amp;4 2018"/>
      <sheetName val="Alloc Factors for calc"/>
    </sheetNames>
    <sheetDataSet>
      <sheetData sheetId="0">
        <row r="10">
          <cell r="D10">
            <v>3672711.9291196666</v>
          </cell>
          <cell r="E10">
            <v>3488881.3959241672</v>
          </cell>
          <cell r="G10">
            <v>4009178.2935778066</v>
          </cell>
        </row>
        <row r="11">
          <cell r="D11">
            <v>2115323.8108910434</v>
          </cell>
          <cell r="E11">
            <v>1894152.5850881652</v>
          </cell>
          <cell r="G11">
            <v>1934093.6637685676</v>
          </cell>
        </row>
      </sheetData>
      <sheetData sheetId="1">
        <row r="10">
          <cell r="D10">
            <v>149851.99538199999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ERB AMA"/>
      <sheetName val="GRB AMA"/>
      <sheetName val="WC "/>
      <sheetName val="2017 GRC WC Det Format"/>
      <sheetName val="ERB EOP"/>
      <sheetName val="GRB EOP"/>
      <sheetName val="PPXLSaveData0"/>
      <sheetName val="PPXLFunctions"/>
      <sheetName val="PPXLOpen"/>
      <sheetName val="3.04 &amp; 4.04 Lead"/>
      <sheetName val="BS and CWC Recon, p1"/>
      <sheetName val="BS and CWC Recon, p2"/>
      <sheetName val="EOP BS and CWC Recon, p1"/>
      <sheetName val="EOP BS and CWC Recon, p2"/>
    </sheetNames>
    <sheetDataSet>
      <sheetData sheetId="0">
        <row r="10">
          <cell r="C10">
            <v>10572466950.394854</v>
          </cell>
          <cell r="D10">
            <v>10898545827.153294</v>
          </cell>
        </row>
        <row r="13">
          <cell r="D13">
            <v>-1420710082.9970851</v>
          </cell>
        </row>
      </sheetData>
      <sheetData sheetId="1"/>
      <sheetData sheetId="2">
        <row r="92">
          <cell r="D92">
            <v>10572466950.394854</v>
          </cell>
        </row>
      </sheetData>
      <sheetData sheetId="3">
        <row r="19">
          <cell r="G19">
            <v>4300940372.1867046</v>
          </cell>
        </row>
      </sheetData>
      <sheetData sheetId="4"/>
      <sheetData sheetId="5">
        <row r="51">
          <cell r="AB51">
            <v>-95934500</v>
          </cell>
        </row>
      </sheetData>
      <sheetData sheetId="6">
        <row r="3">
          <cell r="A3">
            <v>43465</v>
          </cell>
        </row>
      </sheetData>
      <sheetData sheetId="7"/>
      <sheetData sheetId="8"/>
      <sheetData sheetId="9"/>
      <sheetData sheetId="10"/>
      <sheetData sheetId="11">
        <row r="35">
          <cell r="E35">
            <v>0.66190000000000004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Lead Gas"/>
      <sheetName val="Treatment Legend"/>
      <sheetName val="Depr Exp"/>
      <sheetName val="EOP Elec DFIT Depr Restatement"/>
      <sheetName val="EOP Gas DFIT Depr Restatement"/>
      <sheetName val="Accretion 12ME 12-2018"/>
      <sheetName val="Accr 2018"/>
      <sheetName val="IS &amp; RB by Ferc=&gt;"/>
      <sheetName val="4 RB by FERC"/>
      <sheetName val="Trans Depr Group"/>
      <sheetName val="Depr Query"/>
      <sheetName val="Dirty==&gt;"/>
      <sheetName val="Adj for Recon"/>
      <sheetName val="3171"/>
      <sheetName val="Summary"/>
      <sheetName val="Goldendale Dep"/>
      <sheetName val="Before"/>
    </sheetNames>
    <sheetDataSet>
      <sheetData sheetId="0">
        <row r="13">
          <cell r="D13">
            <v>316437620.50999957</v>
          </cell>
          <cell r="E13">
            <v>320871178.06530237</v>
          </cell>
        </row>
        <row r="14">
          <cell r="D14">
            <v>17479184.218140036</v>
          </cell>
          <cell r="E14">
            <v>18643869.746868491</v>
          </cell>
        </row>
        <row r="15">
          <cell r="D15">
            <v>15706525.089999994</v>
          </cell>
          <cell r="E15">
            <v>15702575.549999984</v>
          </cell>
        </row>
        <row r="16">
          <cell r="D16">
            <v>44372353.199617065</v>
          </cell>
          <cell r="E16">
            <v>60095545.457455039</v>
          </cell>
        </row>
        <row r="18">
          <cell r="D18">
            <v>7708455.0157819996</v>
          </cell>
          <cell r="E18">
            <v>7809629.5241939761</v>
          </cell>
        </row>
        <row r="19">
          <cell r="D19">
            <v>3557679.0999999996</v>
          </cell>
          <cell r="E19">
            <v>3537694.0799999996</v>
          </cell>
        </row>
      </sheetData>
      <sheetData sheetId="1">
        <row r="14">
          <cell r="D14">
            <v>107878753.22000001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LEAD"/>
      <sheetName val="Data set"/>
      <sheetName val="ASPLUNDH"/>
      <sheetName val="AA asphalting"/>
      <sheetName val="Potelco-Quanta"/>
      <sheetName val="Infrasource"/>
      <sheetName val="L&amp;G"/>
    </sheetNames>
    <sheetDataSet>
      <sheetData sheetId="0">
        <row r="11">
          <cell r="D11">
            <v>5059842.29</v>
          </cell>
          <cell r="E11">
            <v>5059842.29</v>
          </cell>
          <cell r="G11">
            <v>5219050.7699999996</v>
          </cell>
        </row>
        <row r="12">
          <cell r="D12">
            <v>47610895.020000003</v>
          </cell>
          <cell r="E12">
            <v>47610895.020000003</v>
          </cell>
          <cell r="G12">
            <v>48988849.240000002</v>
          </cell>
        </row>
        <row r="13">
          <cell r="D13">
            <v>9867708.1199999992</v>
          </cell>
          <cell r="E13">
            <v>9867708.1199999992</v>
          </cell>
          <cell r="G13">
            <v>10013750.199999999</v>
          </cell>
        </row>
        <row r="14">
          <cell r="D14">
            <v>40650.018955000007</v>
          </cell>
          <cell r="E14">
            <v>40650.018955000007</v>
          </cell>
          <cell r="G14">
            <v>41908.472322000001</v>
          </cell>
        </row>
      </sheetData>
      <sheetData sheetId="1">
        <row r="10">
          <cell r="D10">
            <v>1477.51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01 E"/>
      <sheetName val="4.01 G"/>
      <sheetName val="Annual Filing Fee"/>
      <sheetName val="Pub Util Tax"/>
    </sheetNames>
    <sheetDataSet>
      <sheetData sheetId="0">
        <row r="15">
          <cell r="E15">
            <v>2E-3</v>
          </cell>
        </row>
        <row r="16">
          <cell r="D16">
            <v>3.8733999999999998E-2</v>
          </cell>
        </row>
      </sheetData>
      <sheetData sheetId="1">
        <row r="14">
          <cell r="E14">
            <v>2E-3</v>
          </cell>
        </row>
      </sheetData>
      <sheetData sheetId="2"/>
      <sheetData sheetId="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 E"/>
      <sheetName val="SC120L Cons 12ME 12-2018"/>
      <sheetName val="SOE 12ME 12-2018"/>
      <sheetName val="ZO12 SCh142 12ME 12-2018"/>
      <sheetName val="SCH 140 Prop Tax 12ME 12-2018"/>
      <sheetName val="SOGE Green Pwr 12ME 12-2018"/>
      <sheetName val="ZO12 Exp Orders 12ME 12-2018"/>
      <sheetName val="C.99999.03.37.01 Green Pwr 2018"/>
      <sheetName val="ZO12 Ord 55700200 2018"/>
    </sheetNames>
    <sheetDataSet>
      <sheetData sheetId="0">
        <row r="12">
          <cell r="D12">
            <v>101866388.838</v>
          </cell>
          <cell r="E12">
            <v>0</v>
          </cell>
        </row>
        <row r="13">
          <cell r="D13">
            <v>62179769</v>
          </cell>
          <cell r="E13">
            <v>0</v>
          </cell>
        </row>
        <row r="14">
          <cell r="D14">
            <v>85339739.170000002</v>
          </cell>
          <cell r="E14">
            <v>0</v>
          </cell>
        </row>
        <row r="15">
          <cell r="D15">
            <v>16204.59</v>
          </cell>
          <cell r="E15">
            <v>0</v>
          </cell>
        </row>
        <row r="16">
          <cell r="D16">
            <v>17990501.364999998</v>
          </cell>
          <cell r="E16">
            <v>0</v>
          </cell>
        </row>
        <row r="17">
          <cell r="D17">
            <v>-81156080.872999996</v>
          </cell>
          <cell r="E17">
            <v>0</v>
          </cell>
        </row>
        <row r="18">
          <cell r="D18">
            <v>-657452.02800000005</v>
          </cell>
          <cell r="E18">
            <v>0</v>
          </cell>
        </row>
        <row r="19">
          <cell r="D19">
            <v>544146.44999999995</v>
          </cell>
          <cell r="E19">
            <v>0</v>
          </cell>
        </row>
        <row r="20">
          <cell r="D20">
            <v>16403352.696571918</v>
          </cell>
          <cell r="E20">
            <v>0</v>
          </cell>
        </row>
        <row r="21">
          <cell r="D21">
            <v>-15601474.800000001</v>
          </cell>
          <cell r="E21">
            <v>0</v>
          </cell>
        </row>
        <row r="22">
          <cell r="D22">
            <v>4470609.87</v>
          </cell>
          <cell r="E22">
            <v>0</v>
          </cell>
        </row>
        <row r="23">
          <cell r="D23">
            <v>-684145.61</v>
          </cell>
          <cell r="E23">
            <v>0</v>
          </cell>
        </row>
        <row r="24">
          <cell r="D24">
            <v>-1234.01</v>
          </cell>
          <cell r="E24">
            <v>0</v>
          </cell>
        </row>
        <row r="28">
          <cell r="D28">
            <v>1605619.9023454485</v>
          </cell>
          <cell r="E28">
            <v>0</v>
          </cell>
        </row>
        <row r="29">
          <cell r="D29">
            <v>378728.60062400007</v>
          </cell>
          <cell r="E29">
            <v>0</v>
          </cell>
        </row>
        <row r="30">
          <cell r="D30">
            <v>7272725.317782674</v>
          </cell>
          <cell r="E30">
            <v>0</v>
          </cell>
        </row>
        <row r="34">
          <cell r="D34">
            <v>97087902.950000003</v>
          </cell>
          <cell r="E34">
            <v>0</v>
          </cell>
        </row>
        <row r="35">
          <cell r="D35">
            <v>59265943.382832997</v>
          </cell>
          <cell r="E35">
            <v>0</v>
          </cell>
        </row>
        <row r="36">
          <cell r="D36">
            <v>82000442.209999993</v>
          </cell>
          <cell r="E36">
            <v>0</v>
          </cell>
        </row>
        <row r="37">
          <cell r="D37">
            <v>17158857.68</v>
          </cell>
          <cell r="E37">
            <v>0</v>
          </cell>
        </row>
        <row r="38">
          <cell r="D38">
            <v>-77453659.510000005</v>
          </cell>
          <cell r="E38">
            <v>0</v>
          </cell>
        </row>
        <row r="39">
          <cell r="D39">
            <v>-83311.960000000006</v>
          </cell>
          <cell r="E39">
            <v>0</v>
          </cell>
        </row>
        <row r="40">
          <cell r="D40">
            <v>1459363.53</v>
          </cell>
          <cell r="E40">
            <v>1459363.53</v>
          </cell>
        </row>
        <row r="41">
          <cell r="D41">
            <v>964405.32000000007</v>
          </cell>
          <cell r="E41">
            <v>0</v>
          </cell>
        </row>
        <row r="42">
          <cell r="D42">
            <v>29354.23</v>
          </cell>
          <cell r="E42">
            <v>0</v>
          </cell>
        </row>
        <row r="43">
          <cell r="D43">
            <v>7384.6</v>
          </cell>
          <cell r="E4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Summary"/>
      <sheetName val="3-YR AVERAGE-ELEC"/>
      <sheetName val="NetWriteoffs-Elec"/>
      <sheetName val="BS Acct-Elec"/>
      <sheetName val="ZO12"/>
      <sheetName val="SOE 12 ME 8-2018"/>
    </sheetNames>
    <sheetDataSet>
      <sheetData sheetId="0">
        <row r="12">
          <cell r="D12">
            <v>18742755.935488999</v>
          </cell>
          <cell r="E12">
            <v>18359017</v>
          </cell>
        </row>
      </sheetData>
      <sheetData sheetId="1">
        <row r="18">
          <cell r="I18">
            <v>8.4790000000000004E-3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Electric"/>
      <sheetName val="Gas"/>
      <sheetName val="4 Yr Avg"/>
      <sheetName val="Incent &amp; Related PR Tax - TY"/>
      <sheetName val="Manual Clearing"/>
      <sheetName val="Incntv Pay - Allocated Electric"/>
      <sheetName val="Incntv Pay - Allocated Gas"/>
      <sheetName val="Electric wage increase ratios"/>
      <sheetName val="Gas wage increase ratios"/>
      <sheetName val="PR Taxes"/>
      <sheetName val="Report 2018"/>
      <sheetName val="Labor Trace Dec 18"/>
      <sheetName val="Electric OLD"/>
      <sheetName val=" Gas OLD"/>
    </sheetNames>
    <sheetDataSet>
      <sheetData sheetId="0">
        <row r="14">
          <cell r="D14">
            <v>527768.06156201533</v>
          </cell>
          <cell r="E14">
            <v>514838.73941173131</v>
          </cell>
          <cell r="F14">
            <v>-12929.322150284017</v>
          </cell>
          <cell r="G14">
            <v>514838.73941173131</v>
          </cell>
          <cell r="H14">
            <v>0</v>
          </cell>
        </row>
        <row r="15">
          <cell r="D15">
            <v>1722337.7348331909</v>
          </cell>
          <cell r="E15">
            <v>1679000.5734577938</v>
          </cell>
          <cell r="F15">
            <v>-43337.161375397118</v>
          </cell>
          <cell r="G15">
            <v>1679000.5734577938</v>
          </cell>
          <cell r="H15">
            <v>0</v>
          </cell>
        </row>
        <row r="16">
          <cell r="D16">
            <v>753556.00726197346</v>
          </cell>
          <cell r="E16">
            <v>734849.28831648605</v>
          </cell>
          <cell r="F16">
            <v>-18706.718945487402</v>
          </cell>
          <cell r="G16">
            <v>734849.28831648605</v>
          </cell>
          <cell r="H16">
            <v>0</v>
          </cell>
        </row>
        <row r="17">
          <cell r="D17">
            <v>2248441.2377227461</v>
          </cell>
          <cell r="E17">
            <v>2191563.7455525394</v>
          </cell>
          <cell r="F17">
            <v>-56877.492170206737</v>
          </cell>
          <cell r="G17">
            <v>2191563.7455525394</v>
          </cell>
          <cell r="H17">
            <v>0</v>
          </cell>
        </row>
        <row r="18">
          <cell r="D18">
            <v>874064.90702849126</v>
          </cell>
          <cell r="E18">
            <v>852024.27302863146</v>
          </cell>
          <cell r="F18">
            <v>-22040.633999859798</v>
          </cell>
          <cell r="G18">
            <v>852024.27302863146</v>
          </cell>
          <cell r="H18">
            <v>0</v>
          </cell>
        </row>
        <row r="19">
          <cell r="D19">
            <v>108711.12567047201</v>
          </cell>
          <cell r="E19">
            <v>106039.76376027713</v>
          </cell>
          <cell r="F19">
            <v>-2671.3619101948861</v>
          </cell>
          <cell r="G19">
            <v>106039.76376027713</v>
          </cell>
          <cell r="H19">
            <v>0</v>
          </cell>
        </row>
        <row r="20">
          <cell r="D20">
            <v>39554.718969287766</v>
          </cell>
          <cell r="E20">
            <v>38617.715938259505</v>
          </cell>
          <cell r="F20">
            <v>-937.00303102826001</v>
          </cell>
          <cell r="G20">
            <v>38617.715938259505</v>
          </cell>
          <cell r="H20">
            <v>0</v>
          </cell>
        </row>
        <row r="21">
          <cell r="D21">
            <v>2305765.9693311718</v>
          </cell>
          <cell r="E21">
            <v>2249122.2129821805</v>
          </cell>
          <cell r="F21">
            <v>-56643.756348991301</v>
          </cell>
          <cell r="G21">
            <v>2249122.2129821805</v>
          </cell>
          <cell r="H21">
            <v>0</v>
          </cell>
        </row>
        <row r="24">
          <cell r="D24">
            <v>759347.64181821421</v>
          </cell>
          <cell r="E24">
            <v>740395.94742652448</v>
          </cell>
          <cell r="F24">
            <v>-18951.694391689729</v>
          </cell>
          <cell r="G24">
            <v>740395.94742652448</v>
          </cell>
          <cell r="H24">
            <v>0</v>
          </cell>
        </row>
      </sheetData>
      <sheetData sheetId="1">
        <row r="14">
          <cell r="D14">
            <v>6401.1338036276547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RS + RP"/>
      <sheetName val="Gas RS + RP"/>
      <sheetName val="Restate=&gt;"/>
      <sheetName val="Summary by IS Category RS"/>
      <sheetName val="Sal by FERC RS"/>
      <sheetName val="Union Wage Inc RS"/>
      <sheetName val="Non-Union Wage Inc RS"/>
      <sheetName val="Wage Data Payroll from HR"/>
      <sheetName val="Proforma=&gt;"/>
      <sheetName val="Summary by IS Category PR"/>
      <sheetName val="Sal by FERC PR"/>
      <sheetName val="Union Wage Inc PR"/>
      <sheetName val="Non-Union Wage Inc PR"/>
      <sheetName val="Labor by Employee Grp"/>
      <sheetName val="2018 Labor excl PTO"/>
      <sheetName val="2018 Incentive"/>
      <sheetName val="Payroll Taxes =&gt;"/>
      <sheetName val="TY Payroll Tax Alloc "/>
      <sheetName val="SAP Payroll Data"/>
      <sheetName val="BW data"/>
      <sheetName val="Tax Rates "/>
      <sheetName val="Payroll Taxes Restate =&gt;"/>
      <sheetName val="Taxes RS"/>
      <sheetName val="FICA RS"/>
      <sheetName val="FUTA RS"/>
      <sheetName val="SUTA RS"/>
      <sheetName val="FICAFUTASUTA by Employee"/>
      <sheetName val="FICAFUTASUTAJE199"/>
      <sheetName val="Payroll Taxes Proforma =&gt;"/>
      <sheetName val="Taxes PR"/>
      <sheetName val="FICA PR"/>
      <sheetName val="FUTA PR"/>
      <sheetName val="SUTA PR"/>
      <sheetName val="Sheet1"/>
    </sheetNames>
    <sheetDataSet>
      <sheetData sheetId="0">
        <row r="13">
          <cell r="D13">
            <v>6435874.2777891876</v>
          </cell>
          <cell r="E13">
            <v>6442215.4155860059</v>
          </cell>
          <cell r="G13">
            <v>6688165.9532109005</v>
          </cell>
        </row>
        <row r="14">
          <cell r="D14">
            <v>21002062.650665939</v>
          </cell>
          <cell r="E14">
            <v>21009444.612224907</v>
          </cell>
          <cell r="G14">
            <v>21701059.501812048</v>
          </cell>
        </row>
        <row r="15">
          <cell r="D15">
            <v>9188775.2244181</v>
          </cell>
          <cell r="E15">
            <v>9195193.1657769624</v>
          </cell>
          <cell r="G15">
            <v>9524371.1429421082</v>
          </cell>
        </row>
        <row r="16">
          <cell r="D16">
            <v>27417316.113969147</v>
          </cell>
          <cell r="E16">
            <v>27423128.940563183</v>
          </cell>
          <cell r="G16">
            <v>28292537.446778752</v>
          </cell>
        </row>
        <row r="17">
          <cell r="D17">
            <v>10657780.915169371</v>
          </cell>
          <cell r="E17">
            <v>10661461.996836899</v>
          </cell>
          <cell r="G17">
            <v>11005573.481128439</v>
          </cell>
        </row>
        <row r="18">
          <cell r="D18">
            <v>1325772.7039111818</v>
          </cell>
          <cell r="E18">
            <v>1326921.5073119954</v>
          </cell>
          <cell r="G18">
            <v>1376273.7558263356</v>
          </cell>
        </row>
        <row r="19">
          <cell r="D19">
            <v>482719.13067690859</v>
          </cell>
          <cell r="E19">
            <v>483201.84980758541</v>
          </cell>
          <cell r="G19">
            <v>501708.48065521597</v>
          </cell>
        </row>
        <row r="20">
          <cell r="D20">
            <v>28115834.299467236</v>
          </cell>
          <cell r="E20">
            <v>28143396.613986582</v>
          </cell>
          <cell r="G20">
            <v>29215057.33172036</v>
          </cell>
        </row>
        <row r="23">
          <cell r="D23">
            <v>7658038.0723143257</v>
          </cell>
          <cell r="F23">
            <v>19412.258474519269</v>
          </cell>
          <cell r="H23">
            <v>182188.09454757578</v>
          </cell>
        </row>
      </sheetData>
      <sheetData sheetId="1">
        <row r="13">
          <cell r="D13">
            <v>87900.023997021053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  <sheetName val="Electric Summary"/>
      <sheetName val="Gas Summary"/>
      <sheetName val="Non-Union Wage Inc RS"/>
      <sheetName val="Union Wage Inc RS"/>
      <sheetName val="Union Wage Inc PR"/>
      <sheetName val="Non-Union Wage Inc PR"/>
      <sheetName val="Inv Plan from HR"/>
    </sheetNames>
    <sheetDataSet>
      <sheetData sheetId="0">
        <row r="14">
          <cell r="D14">
            <v>9540504.8394000009</v>
          </cell>
          <cell r="E14">
            <v>9550045.3442394007</v>
          </cell>
          <cell r="G14">
            <v>9915812.0809237696</v>
          </cell>
        </row>
        <row r="17">
          <cell r="D17">
            <v>3276439.5071999999</v>
          </cell>
          <cell r="E17">
            <v>3276439.5071999999</v>
          </cell>
          <cell r="G17">
            <v>3374732.6924159997</v>
          </cell>
        </row>
        <row r="20">
          <cell r="D20">
            <v>1056410.8019999999</v>
          </cell>
          <cell r="E20">
            <v>1080180.0450449998</v>
          </cell>
          <cell r="G20">
            <v>1143181.5461722496</v>
          </cell>
        </row>
      </sheetData>
      <sheetData sheetId="1">
        <row r="14">
          <cell r="D14">
            <v>4258316.1606000001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"/>
      <sheetName val="Lead Gas"/>
      <sheetName val=" Summary"/>
      <sheetName val="Average Costs Cal"/>
      <sheetName val="Additional Costs"/>
      <sheetName val="TY Headcounts "/>
      <sheetName val="Flex Credits"/>
      <sheetName val="SAP Test Yr"/>
    </sheetNames>
    <sheetDataSet>
      <sheetData sheetId="0">
        <row r="14">
          <cell r="D14">
            <v>19841150.083478596</v>
          </cell>
          <cell r="E14">
            <v>19806192.590422798</v>
          </cell>
          <cell r="G14">
            <v>20948313.3479256</v>
          </cell>
        </row>
        <row r="15">
          <cell r="D15">
            <v>10338996.0695654</v>
          </cell>
          <cell r="E15">
            <v>10434337.410289202</v>
          </cell>
          <cell r="G15">
            <v>11042309.130098399</v>
          </cell>
        </row>
        <row r="19">
          <cell r="D19">
            <v>15121148.928192388</v>
          </cell>
        </row>
      </sheetData>
      <sheetData sheetId="1">
        <row r="14">
          <cell r="D14">
            <v>8855913.9655213989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 "/>
      <sheetName val="Summary"/>
      <sheetName val="Rate Year - Electric"/>
      <sheetName val="Charged to IS - Elec "/>
      <sheetName val="Acct 18700041 "/>
      <sheetName val="Acct. 18700081"/>
      <sheetName val="25600081 Elec Def Gains Pending"/>
      <sheetName val="Acct. 25600081"/>
      <sheetName val="Acct. 25600121"/>
    </sheetNames>
    <sheetDataSet>
      <sheetData sheetId="0">
        <row r="16">
          <cell r="D16">
            <v>-763743.36</v>
          </cell>
          <cell r="E16">
            <v>-763743.36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=&gt;"/>
      <sheetName val="Lead E"/>
      <sheetName val="Elec Proforma"/>
      <sheetName val="2019 GRC Elec Amort Sch "/>
      <sheetName val="2017 GRC Elec Amort Sch"/>
      <sheetName val="ELEC TY Amort "/>
      <sheetName val="ELEC Actual 2018"/>
      <sheetName val="Future Costs"/>
      <sheetName val="ELEC 2018 ERF"/>
      <sheetName val="GAS =&gt;"/>
      <sheetName val="Lead Gas"/>
      <sheetName val="Gas Proforma "/>
      <sheetName val="2019 GRC Gas Amort Sch"/>
      <sheetName val="2017 GRC Gas Amort Sch"/>
      <sheetName val="GAS TY Amort"/>
      <sheetName val="GAS 2018"/>
      <sheetName val="GAS 2018 ERF"/>
    </sheetNames>
    <sheetDataSet>
      <sheetData sheetId="0"/>
      <sheetData sheetId="1">
        <row r="15">
          <cell r="D15">
            <v>1423784.9999999995</v>
          </cell>
          <cell r="E15">
            <v>1423784.9999999995</v>
          </cell>
          <cell r="G15">
            <v>1575832.6603212098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D15">
            <v>8603273.5200000051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LEAD"/>
      <sheetName val="Small Office"/>
      <sheetName val="Andie"/>
      <sheetName val="CNS %"/>
      <sheetName val="93100919 93100921"/>
      <sheetName val="93100920"/>
      <sheetName val="93100928"/>
      <sheetName val="93100917"/>
      <sheetName val="93100922"/>
      <sheetName val="93100923"/>
      <sheetName val="45400301"/>
      <sheetName val="Vernell Limeade Revenue"/>
      <sheetName val="Revised EST"/>
      <sheetName val="O Blgd"/>
      <sheetName val="G H Blgd"/>
      <sheetName val="Sheet2"/>
      <sheetName val="Sheet3"/>
      <sheetName val="Small Offices=&gt;"/>
      <sheetName val="931 935"/>
      <sheetName val="Original"/>
      <sheetName val="Summary (2)"/>
      <sheetName val="Large Offices=&gt;"/>
      <sheetName val="Table James"/>
      <sheetName val="Jaclyn Table"/>
      <sheetName val="A1"/>
      <sheetName val="B1"/>
      <sheetName val="Zach Table"/>
      <sheetName val="Susan Table"/>
      <sheetName val="1266"/>
      <sheetName val="all 931"/>
      <sheetName val="from Eric"/>
      <sheetName val="JE199"/>
      <sheetName val="parking invoice"/>
      <sheetName val="JR 089 303"/>
      <sheetName val="RATE YEAR=&gt;"/>
      <sheetName val="Vernell Capital-&gt;"/>
      <sheetName val="Vernell Lead"/>
      <sheetName val="IRS DFIT"/>
      <sheetName val="VERNELL DFIT"/>
      <sheetName val="MACRS MidMonth SL 39 years"/>
      <sheetName val="Summary"/>
      <sheetName val="PP Data"/>
    </sheetNames>
    <sheetDataSet>
      <sheetData sheetId="0">
        <row r="11">
          <cell r="D11">
            <v>1029462.7966205003</v>
          </cell>
          <cell r="E11">
            <v>0</v>
          </cell>
          <cell r="G11">
            <v>0</v>
          </cell>
        </row>
        <row r="12">
          <cell r="D12">
            <v>260613.38712720003</v>
          </cell>
          <cell r="E12">
            <v>0</v>
          </cell>
          <cell r="G12">
            <v>0</v>
          </cell>
        </row>
        <row r="13">
          <cell r="D13">
            <v>-690967.97</v>
          </cell>
          <cell r="E13">
            <v>0</v>
          </cell>
          <cell r="G13">
            <v>0</v>
          </cell>
        </row>
        <row r="14">
          <cell r="D14">
            <v>3068145.5511421002</v>
          </cell>
          <cell r="E14">
            <v>3068145.5511421002</v>
          </cell>
          <cell r="G14">
            <v>2947101.0393960006</v>
          </cell>
        </row>
        <row r="15">
          <cell r="D15">
            <v>881986.25952470012</v>
          </cell>
          <cell r="E15">
            <v>881986.25952470012</v>
          </cell>
          <cell r="G15">
            <v>660496.44105000002</v>
          </cell>
        </row>
        <row r="16">
          <cell r="D16">
            <v>324257.87030945002</v>
          </cell>
          <cell r="E16">
            <v>324257.87030945002</v>
          </cell>
          <cell r="G16">
            <v>783108.6066846</v>
          </cell>
        </row>
        <row r="17">
          <cell r="D17">
            <v>894121.3755996502</v>
          </cell>
          <cell r="E17">
            <v>894121.3755996502</v>
          </cell>
          <cell r="G17">
            <v>715521.3874128001</v>
          </cell>
        </row>
        <row r="18">
          <cell r="D18">
            <v>-167598.16</v>
          </cell>
          <cell r="E18">
            <v>0</v>
          </cell>
          <cell r="G18">
            <v>0</v>
          </cell>
        </row>
        <row r="20">
          <cell r="D20">
            <v>65485.843500000003</v>
          </cell>
          <cell r="E20">
            <v>65485.843500000003</v>
          </cell>
          <cell r="G20">
            <v>0</v>
          </cell>
        </row>
        <row r="21">
          <cell r="D21">
            <v>101476.232</v>
          </cell>
          <cell r="E21">
            <v>101476.232</v>
          </cell>
          <cell r="G21">
            <v>0</v>
          </cell>
        </row>
        <row r="22">
          <cell r="D22">
            <v>17787.344273049999</v>
          </cell>
          <cell r="E22">
            <v>17787.344273049999</v>
          </cell>
          <cell r="G22">
            <v>0</v>
          </cell>
        </row>
        <row r="23">
          <cell r="D23">
            <v>38838.009768800002</v>
          </cell>
          <cell r="E23">
            <v>38838.009768800002</v>
          </cell>
          <cell r="G23">
            <v>0</v>
          </cell>
        </row>
        <row r="24">
          <cell r="D24">
            <v>213558.06360000002</v>
          </cell>
          <cell r="E24">
            <v>213558.06360000002</v>
          </cell>
          <cell r="G24">
            <v>0</v>
          </cell>
        </row>
      </sheetData>
      <sheetData sheetId="1">
        <row r="11">
          <cell r="D11">
            <v>525851.89837950014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 "/>
      <sheetName val="Lead G"/>
      <sheetName val="Test Year Actual Pmt Proc Amort"/>
      <sheetName val="Pmt Proc Amort Restatement"/>
      <sheetName val="Actual Deferral 12-2017"/>
      <sheetName val="From 180282&amp;3 ===&gt;"/>
      <sheetName val="Deferral in 180282&amp;3"/>
      <sheetName val="Estimate used in 180282&amp;3"/>
    </sheetNames>
    <sheetDataSet>
      <sheetData sheetId="0">
        <row r="16">
          <cell r="D16">
            <v>828672</v>
          </cell>
          <cell r="E16">
            <v>828672</v>
          </cell>
          <cell r="G16">
            <v>224455.831275</v>
          </cell>
        </row>
      </sheetData>
      <sheetData sheetId="1">
        <row r="16">
          <cell r="D16">
            <v>597372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C Impacts"/>
      <sheetName val="SCHEDULE IMPACTS===&gt;"/>
      <sheetName val="Exhibit No.__(JAP-Sch 7 Imp)"/>
      <sheetName val="Exhibit No.__(JAP-Sch 24 Imp)"/>
      <sheetName val="Exhibit No.__(JAP-Sch 25 Imp)"/>
      <sheetName val="Exhibit No.__(JAP-Sch 26 Imp)"/>
      <sheetName val="Exhibit No.__(JAP-Sch 29 Imp)"/>
      <sheetName val="Exhibit No.__(JAP-Sch 31 Imp)"/>
      <sheetName val="Exhibit No.__(JAP-Sch 46 Imp)"/>
      <sheetName val="Exhibit No.__(JAP-Sch 49 Imp)"/>
      <sheetName val="Revenue &amp; Rider Impacts"/>
      <sheetName val="Exhibit No.__(JAP-Prof-Prop)"/>
      <sheetName val="Sch 95"/>
      <sheetName val="Sch 95a"/>
      <sheetName val="Sch 120"/>
      <sheetName val="Sch 129"/>
      <sheetName val="Sch 137"/>
      <sheetName val="Sch 140"/>
      <sheetName val="Sch 141"/>
      <sheetName val="Sch 141x"/>
      <sheetName val="Sch 141y"/>
      <sheetName val="Sch 142"/>
      <sheetName val="Sch 194"/>
      <sheetName val="Final Rider-Tracker Filings"/>
      <sheetName val="UE-190223 Sch 95"/>
      <sheetName val="UE-180887 Sch 95a"/>
      <sheetName val="UE-190149 Sch 120"/>
      <sheetName val="UE-180739 Sch 129"/>
      <sheetName val="UE-180978 Sch 137"/>
      <sheetName val="UE-190227 Sch 140"/>
      <sheetName val="UE-180899 Sch 141&amp;141x Avg Rate"/>
      <sheetName val="UE-180899 Sch 141&amp;141x Rates"/>
      <sheetName val="UE-190220 Sch 141y"/>
      <sheetName val="UE-190231 Sch 142"/>
      <sheetName val="UE-170946 Sch 194"/>
    </sheetNames>
    <sheetDataSet>
      <sheetData sheetId="0">
        <row r="35">
          <cell r="AA35">
            <v>354.91210943168448</v>
          </cell>
        </row>
        <row r="37">
          <cell r="U37">
            <v>-3124</v>
          </cell>
          <cell r="V37">
            <v>-25853</v>
          </cell>
          <cell r="W37">
            <v>25853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WC &amp; AIC to CRB"/>
      <sheetName val="Amortiz E"/>
      <sheetName val="Amortiz G"/>
      <sheetName val="Summary"/>
      <sheetName val="Summary Detailed"/>
      <sheetName val="WC now 1 line"/>
      <sheetName val="CRB Allocate To ERB &amp; GRB"/>
      <sheetName val="Remove Non-Op"/>
    </sheetNames>
    <sheetDataSet>
      <sheetData sheetId="0">
        <row r="14">
          <cell r="D14">
            <v>-36025489.107016005</v>
          </cell>
          <cell r="G14">
            <v>-31522302.987015996</v>
          </cell>
        </row>
        <row r="18">
          <cell r="D18">
            <v>0</v>
          </cell>
          <cell r="G18">
            <v>-9006372.2399999984</v>
          </cell>
        </row>
      </sheetData>
      <sheetData sheetId="1">
        <row r="14">
          <cell r="D14">
            <v>-2890521.5106920004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E Summary"/>
      <sheetName val="IRS E-DFIT"/>
      <sheetName val="E DFIT"/>
      <sheetName val="Lead G"/>
      <sheetName val="G Summary"/>
      <sheetName val="IRS G-DFIT"/>
      <sheetName val="G DFIT"/>
      <sheetName val="MACRS"/>
      <sheetName val="Pen transaction archive query"/>
      <sheetName val="Depr Rates"/>
      <sheetName val="108E COR"/>
      <sheetName val="108G COR"/>
      <sheetName val="Weighted"/>
      <sheetName val="Pen transaction archive 108E"/>
      <sheetName val="Pen transaction archive 108G"/>
      <sheetName val="Pen transaction archive 107E"/>
      <sheetName val="Pen transaction archive 107G"/>
      <sheetName val="2Q Forecast"/>
      <sheetName val="2Q update"/>
      <sheetName val="Lead E for reviewer"/>
      <sheetName val="Lead G for reviewer"/>
      <sheetName val="email"/>
      <sheetName val="Guidance"/>
      <sheetName val="my check"/>
      <sheetName val="other data"/>
      <sheetName val="from Krista-&gt;"/>
      <sheetName val="1Q2019"/>
    </sheetNames>
    <sheetDataSet>
      <sheetData sheetId="0">
        <row r="14">
          <cell r="G14">
            <v>13639436.15</v>
          </cell>
        </row>
        <row r="15">
          <cell r="G15">
            <v>-671553.6085628313</v>
          </cell>
        </row>
        <row r="16">
          <cell r="G16">
            <v>-112579.20210952556</v>
          </cell>
        </row>
        <row r="20">
          <cell r="G20">
            <v>375013.99657122983</v>
          </cell>
        </row>
      </sheetData>
      <sheetData sheetId="1"/>
      <sheetData sheetId="2"/>
      <sheetData sheetId="3"/>
      <sheetData sheetId="4">
        <row r="14">
          <cell r="G14">
            <v>6264183.9699999997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Ave cost of case"/>
      <sheetName val="TY"/>
      <sheetName val="Summary GRCs"/>
      <sheetName val="GRC SAP"/>
      <sheetName val="Summary PCORCs"/>
      <sheetName val="PCORC SAP"/>
    </sheetNames>
    <sheetDataSet>
      <sheetData sheetId="0">
        <row r="12">
          <cell r="D12">
            <v>-11803.907603</v>
          </cell>
          <cell r="E12">
            <v>548500</v>
          </cell>
        </row>
        <row r="15">
          <cell r="D15">
            <v>0</v>
          </cell>
          <cell r="E15">
            <v>68250</v>
          </cell>
        </row>
      </sheetData>
      <sheetData sheetId="1">
        <row r="12">
          <cell r="D12">
            <v>-6029.4623969999993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Pro-forma Plant Additions=&gt;"/>
      <sheetName val="Electric AMI Additions"/>
      <sheetName val="DFIT "/>
      <sheetName val="MACRS"/>
      <sheetName val="AMI Additions"/>
      <sheetName val="AMI Forecasted Additions"/>
      <sheetName val="AMR Retirements"/>
      <sheetName val="AMI Depr and Tax lives"/>
      <sheetName val="Amort of Def'd Return=&gt;"/>
      <sheetName val="Amort Electric Return on RB"/>
      <sheetName val="Return Def'd Mar19-Apr20"/>
      <sheetName val="Amort of Def'd Deprec=&gt;"/>
      <sheetName val="Amort of Elec Def'd Deprec"/>
      <sheetName val="Depreciation Def'd Mar19-Apr20"/>
      <sheetName val="Deprec Plant"/>
      <sheetName val="Deprec Misc Intangible"/>
      <sheetName val="Deprec Other"/>
    </sheetNames>
    <sheetDataSet>
      <sheetData sheetId="0">
        <row r="16">
          <cell r="F16">
            <v>0</v>
          </cell>
          <cell r="G16">
            <v>24644867.610000003</v>
          </cell>
        </row>
        <row r="17">
          <cell r="F17">
            <v>0</v>
          </cell>
          <cell r="G17">
            <v>-2140347.6892875</v>
          </cell>
        </row>
        <row r="18">
          <cell r="F18">
            <v>0</v>
          </cell>
          <cell r="G18">
            <v>-1701440.8697030814</v>
          </cell>
        </row>
        <row r="21">
          <cell r="F21">
            <v>0</v>
          </cell>
          <cell r="G21">
            <v>11304151.202868855</v>
          </cell>
        </row>
        <row r="22">
          <cell r="F22">
            <v>0</v>
          </cell>
          <cell r="G22">
            <v>-1884025.2004781428</v>
          </cell>
        </row>
        <row r="23">
          <cell r="F23">
            <v>0</v>
          </cell>
          <cell r="G23">
            <v>-1978226.4605020492</v>
          </cell>
        </row>
        <row r="29">
          <cell r="F29">
            <v>0</v>
          </cell>
          <cell r="G29">
            <v>1355467.7185500001</v>
          </cell>
        </row>
        <row r="30">
          <cell r="F30">
            <v>0</v>
          </cell>
          <cell r="G30">
            <v>-66474.208822265355</v>
          </cell>
        </row>
        <row r="31">
          <cell r="F31">
            <v>0</v>
          </cell>
          <cell r="G31">
            <v>1100394.6870659131</v>
          </cell>
        </row>
        <row r="32">
          <cell r="G32">
            <v>3768050.4009562861</v>
          </cell>
        </row>
        <row r="36">
          <cell r="F3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Pro-forma Plant Additions=&gt;"/>
      <sheetName val="HT TOPS Additions"/>
      <sheetName val="DFIT "/>
      <sheetName val="MACRS"/>
    </sheetNames>
    <sheetDataSet>
      <sheetData sheetId="0">
        <row r="16">
          <cell r="D16">
            <v>0</v>
          </cell>
          <cell r="E16">
            <v>0</v>
          </cell>
          <cell r="G16">
            <v>6817570</v>
          </cell>
        </row>
        <row r="17">
          <cell r="D17">
            <v>0</v>
          </cell>
          <cell r="E17">
            <v>0</v>
          </cell>
          <cell r="G17">
            <v>-965822.41666666651</v>
          </cell>
        </row>
        <row r="18">
          <cell r="G18">
            <v>-370698.04012167035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681757.00000000012</v>
          </cell>
        </row>
        <row r="30">
          <cell r="F30">
            <v>0</v>
          </cell>
        </row>
      </sheetData>
      <sheetData sheetId="1">
        <row r="16">
          <cell r="D16">
            <v>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  <sheetName val="Allocations"/>
    </sheetNames>
    <sheetDataSet>
      <sheetData sheetId="0">
        <row r="35">
          <cell r="E35">
            <v>0.66190000000000004</v>
          </cell>
        </row>
        <row r="43">
          <cell r="G43">
            <v>0.49997132880489842</v>
          </cell>
        </row>
      </sheetData>
      <sheetData sheetId="1"/>
      <sheetData sheetId="2"/>
      <sheetData sheetId="3">
        <row r="15">
          <cell r="H15">
            <v>0.49997132880489842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Summary"/>
      <sheetName val="Existing Storm Amortizations"/>
      <sheetName val="Storm O&amp;M CY 2010-2018"/>
      <sheetName val="TY2018 Amort"/>
    </sheetNames>
    <sheetDataSet>
      <sheetData sheetId="0">
        <row r="13">
          <cell r="D13">
            <v>9705041.1899999995</v>
          </cell>
          <cell r="E13">
            <v>9826310.9900000002</v>
          </cell>
        </row>
        <row r="15">
          <cell r="D15">
            <v>588691.1</v>
          </cell>
          <cell r="E15">
            <v>481346.42333333328</v>
          </cell>
        </row>
        <row r="19">
          <cell r="D19">
            <v>25322916</v>
          </cell>
          <cell r="G19">
            <v>38844187.800000004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Summary"/>
      <sheetName val="Rate Year Generation"/>
      <sheetName val="Actual Generation"/>
      <sheetName val="SAP 12MOE Dec 2018"/>
      <sheetName val="Montana Energy Tax"/>
    </sheetNames>
    <sheetDataSet>
      <sheetData sheetId="0">
        <row r="10">
          <cell r="D10">
            <v>1346484.56</v>
          </cell>
          <cell r="E10">
            <v>1433345.375</v>
          </cell>
          <cell r="G10">
            <v>771545.60670272447</v>
          </cell>
        </row>
        <row r="12">
          <cell r="D12">
            <v>0</v>
          </cell>
          <cell r="E12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WH Dec 18 PP Report"/>
      <sheetName val="WH Deferred Tax June 2018"/>
      <sheetName val="DFITAMA"/>
    </sheetNames>
    <sheetDataSet>
      <sheetData sheetId="0">
        <row r="14">
          <cell r="D14">
            <v>4539000</v>
          </cell>
          <cell r="E14">
            <v>0</v>
          </cell>
        </row>
        <row r="15">
          <cell r="D15">
            <v>-2120000</v>
          </cell>
          <cell r="E15">
            <v>0</v>
          </cell>
        </row>
        <row r="16">
          <cell r="D16">
            <v>-803628.57</v>
          </cell>
          <cell r="E16">
            <v>0</v>
          </cell>
        </row>
        <row r="20">
          <cell r="D20">
            <v>212064</v>
          </cell>
          <cell r="E20">
            <v>0</v>
          </cell>
        </row>
        <row r="24">
          <cell r="D24">
            <v>-44533.439999999995</v>
          </cell>
          <cell r="E24">
            <v>0</v>
          </cell>
        </row>
      </sheetData>
      <sheetData sheetId="1"/>
      <sheetData sheetId="2"/>
      <sheetData sheetId="3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XLFunctions"/>
      <sheetName val="PPXLSaveData0"/>
      <sheetName val="PPXLOpen"/>
      <sheetName val="Lead E"/>
      <sheetName val="TY Reg Assets RB"/>
      <sheetName val="RB-IS by FERC"/>
      <sheetName val="WRPC 2004 GRC"/>
      <sheetName val="Ferndale"/>
      <sheetName val="Mint Farm Def"/>
      <sheetName val="LSR Prepaid carrying charges "/>
      <sheetName val="Snoq"/>
      <sheetName val="Baker"/>
      <sheetName val="Electron Deferral"/>
      <sheetName val="T-Grant Snoq Deferral"/>
      <sheetName val="T-Grant Baker Deferral"/>
      <sheetName val="BNP"/>
      <sheetName val="FB Energy"/>
      <sheetName val="$89M Chelan PUD"/>
      <sheetName val="Chelan PUD"/>
      <sheetName val="$18.5M Chelan"/>
      <sheetName val="Colstrip 1&amp;2 Prepaid"/>
      <sheetName val="LSR Prepaid BPA interest"/>
      <sheetName val="LSR Prepaid Principal"/>
      <sheetName val="LSR Prepaid Bill Credits"/>
    </sheetNames>
    <sheetDataSet>
      <sheetData sheetId="0"/>
      <sheetData sheetId="1"/>
      <sheetData sheetId="2"/>
      <sheetData sheetId="3">
        <row r="14">
          <cell r="D14">
            <v>45753.08</v>
          </cell>
          <cell r="G14">
            <v>45753.145111108061</v>
          </cell>
        </row>
        <row r="15">
          <cell r="D15">
            <v>62723.02</v>
          </cell>
          <cell r="G15">
            <v>62723.058252429</v>
          </cell>
        </row>
        <row r="16">
          <cell r="D16">
            <v>11208560.349999998</v>
          </cell>
          <cell r="G16">
            <v>7052483.424195189</v>
          </cell>
        </row>
        <row r="17">
          <cell r="D17">
            <v>78745060.849999994</v>
          </cell>
          <cell r="G17">
            <v>67042925.304987572</v>
          </cell>
        </row>
        <row r="18">
          <cell r="D18">
            <v>18500000</v>
          </cell>
          <cell r="G18">
            <v>18500000</v>
          </cell>
        </row>
        <row r="19">
          <cell r="D19">
            <v>499999.67</v>
          </cell>
          <cell r="G19">
            <v>0</v>
          </cell>
        </row>
        <row r="20">
          <cell r="D20">
            <v>59411377.369999997</v>
          </cell>
          <cell r="G20">
            <v>52182863.023084156</v>
          </cell>
        </row>
        <row r="21">
          <cell r="D21">
            <v>8147050.7999999998</v>
          </cell>
          <cell r="G21">
            <v>7424114.27447436</v>
          </cell>
        </row>
        <row r="22">
          <cell r="D22">
            <v>-78555.81</v>
          </cell>
          <cell r="G22">
            <v>-78558.319307994898</v>
          </cell>
        </row>
        <row r="23">
          <cell r="D23">
            <v>-308479.03999999998</v>
          </cell>
          <cell r="G23">
            <v>-308483.94047545741</v>
          </cell>
        </row>
        <row r="24">
          <cell r="D24">
            <v>1815699.5799999998</v>
          </cell>
          <cell r="G24">
            <v>-1160240.5572003927</v>
          </cell>
        </row>
        <row r="25">
          <cell r="D25">
            <v>56004.06</v>
          </cell>
          <cell r="G25">
            <v>56004.31279906194</v>
          </cell>
        </row>
        <row r="26">
          <cell r="D26">
            <v>193459.84</v>
          </cell>
          <cell r="G26">
            <v>193459.2403868956</v>
          </cell>
        </row>
        <row r="27">
          <cell r="D27">
            <v>-530083.09</v>
          </cell>
          <cell r="G27">
            <v>-530083.1594999989</v>
          </cell>
        </row>
        <row r="28">
          <cell r="D28">
            <v>-5453015.8817438316</v>
          </cell>
          <cell r="G28">
            <v>-1559296.9123478986</v>
          </cell>
        </row>
        <row r="35">
          <cell r="D35">
            <v>2885052</v>
          </cell>
          <cell r="G35">
            <v>2885052</v>
          </cell>
        </row>
        <row r="39">
          <cell r="D39">
            <v>687420</v>
          </cell>
          <cell r="G39">
            <v>687420</v>
          </cell>
        </row>
        <row r="40">
          <cell r="D40">
            <v>561126.34087998548</v>
          </cell>
          <cell r="G40">
            <v>0</v>
          </cell>
        </row>
        <row r="41">
          <cell r="D41">
            <v>2203436.1529896799</v>
          </cell>
          <cell r="G41">
            <v>0</v>
          </cell>
        </row>
        <row r="42">
          <cell r="D42">
            <v>4520422.508572978</v>
          </cell>
          <cell r="G42">
            <v>0</v>
          </cell>
        </row>
        <row r="43">
          <cell r="D43">
            <v>-400029</v>
          </cell>
          <cell r="G43">
            <v>0</v>
          </cell>
        </row>
        <row r="44">
          <cell r="D44">
            <v>-1381856</v>
          </cell>
          <cell r="G44">
            <v>0</v>
          </cell>
        </row>
        <row r="45">
          <cell r="D45">
            <v>6689176.5497812955</v>
          </cell>
          <cell r="G45">
            <v>4459451.03318753</v>
          </cell>
        </row>
        <row r="46">
          <cell r="D46">
            <v>3786308</v>
          </cell>
          <cell r="G46">
            <v>0</v>
          </cell>
        </row>
        <row r="59">
          <cell r="D59">
            <v>-31039847.298310034</v>
          </cell>
        </row>
        <row r="60">
          <cell r="D60">
            <v>7647955.3945128955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(CBR)"/>
      <sheetName val="Unallocated Summary (CBR)"/>
      <sheetName val="Unallocated Detail (CBR)"/>
      <sheetName val="Common by Account (CBR)"/>
      <sheetName val="Allocators (CBR)"/>
    </sheetNames>
    <sheetDataSet>
      <sheetData sheetId="0">
        <row r="9">
          <cell r="B9">
            <v>2165233766.8899999</v>
          </cell>
        </row>
        <row r="10">
          <cell r="B10">
            <v>340431.51999999897</v>
          </cell>
        </row>
        <row r="11">
          <cell r="B11">
            <v>155333122.24000001</v>
          </cell>
        </row>
        <row r="12">
          <cell r="B12">
            <v>122175867.17999999</v>
          </cell>
        </row>
        <row r="18">
          <cell r="B18">
            <v>204174130.28999999</v>
          </cell>
        </row>
        <row r="19">
          <cell r="B19">
            <v>591842797.56999886</v>
          </cell>
        </row>
        <row r="20">
          <cell r="B20">
            <v>115807777.5999999</v>
          </cell>
        </row>
        <row r="21">
          <cell r="B21">
            <v>-77453659.509999901</v>
          </cell>
        </row>
        <row r="24">
          <cell r="B24">
            <v>127167992.89</v>
          </cell>
        </row>
        <row r="25">
          <cell r="B25">
            <v>24439502.479999997</v>
          </cell>
        </row>
        <row r="26">
          <cell r="B26">
            <v>83251239.00999999</v>
          </cell>
        </row>
        <row r="27">
          <cell r="B27">
            <v>53199861.179999992</v>
          </cell>
        </row>
        <row r="28">
          <cell r="B28">
            <v>22140921.049999997</v>
          </cell>
        </row>
        <row r="29">
          <cell r="B29">
            <v>97087902.950000003</v>
          </cell>
        </row>
        <row r="30">
          <cell r="B30">
            <v>124825410.95999999</v>
          </cell>
        </row>
        <row r="31">
          <cell r="B31">
            <v>341625259.95999998</v>
          </cell>
        </row>
        <row r="32">
          <cell r="B32">
            <v>75292958.060000002</v>
          </cell>
        </row>
        <row r="33">
          <cell r="B33">
            <v>35645161.039999902</v>
          </cell>
        </row>
        <row r="34">
          <cell r="B34">
            <v>-21632953.829999994</v>
          </cell>
        </row>
        <row r="35">
          <cell r="B35">
            <v>-41661500.859999999</v>
          </cell>
        </row>
        <row r="36">
          <cell r="B36">
            <v>234440433.30000001</v>
          </cell>
        </row>
        <row r="37">
          <cell r="B37">
            <v>22841555.030000001</v>
          </cell>
        </row>
        <row r="38">
          <cell r="B38">
            <v>38907707.560000002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557"/>
      <sheetName val="EIM Summary"/>
      <sheetName val="28451299"/>
      <sheetName val="30306375 &amp; 36044719"/>
      <sheetName val="DFIT 12.2018"/>
      <sheetName val="Depr Calc"/>
    </sheetNames>
    <sheetDataSet>
      <sheetData sheetId="0">
        <row r="15">
          <cell r="D15">
            <v>16990239.199999999</v>
          </cell>
        </row>
        <row r="16">
          <cell r="D16">
            <v>-12688074.934416663</v>
          </cell>
        </row>
        <row r="17">
          <cell r="D17">
            <v>-980694.34861275041</v>
          </cell>
        </row>
        <row r="21">
          <cell r="D21">
            <v>5669283.3340000007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Summary"/>
      <sheetName val="IRS E-DFIT"/>
      <sheetName val="E DFIT"/>
      <sheetName val="MACRS"/>
      <sheetName val="pivot"/>
      <sheetName val="Pen transaction archive query"/>
      <sheetName val="PP Query Results 108"/>
      <sheetName val="Depr Rates"/>
      <sheetName val="BW 108"/>
      <sheetName val="CRP Summary 2019"/>
    </sheetNames>
    <sheetDataSet>
      <sheetData sheetId="0">
        <row r="15">
          <cell r="G15">
            <v>12619474.160000008</v>
          </cell>
        </row>
        <row r="16">
          <cell r="G16">
            <v>-631650.07127077854</v>
          </cell>
        </row>
        <row r="17">
          <cell r="G17">
            <v>-88064.535992719757</v>
          </cell>
        </row>
        <row r="21">
          <cell r="G21">
            <v>370592.44987679686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Electric EMS Additions"/>
      <sheetName val="DFIT "/>
      <sheetName val="MACRS"/>
      <sheetName val="EMS"/>
    </sheetNames>
    <sheetDataSet>
      <sheetData sheetId="0">
        <row r="16">
          <cell r="D16">
            <v>0</v>
          </cell>
          <cell r="E16">
            <v>0</v>
          </cell>
          <cell r="F16">
            <v>0</v>
          </cell>
          <cell r="G16">
            <v>9659116.8499999996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-5277574.0231666667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263117.82048999966</v>
          </cell>
        </row>
        <row r="24">
          <cell r="G24">
            <v>3090056.355</v>
          </cell>
        </row>
        <row r="29">
          <cell r="D29">
            <v>0</v>
          </cell>
          <cell r="E29">
            <v>0</v>
          </cell>
          <cell r="F29">
            <v>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Depr Exp 2019 GRC Annual"/>
      <sheetName val="Colstrip Depn Update"/>
      <sheetName val="ARAM Costrip"/>
      <sheetName val="PT RPT 257A"/>
    </sheetNames>
    <sheetDataSet>
      <sheetData sheetId="0">
        <row r="16">
          <cell r="D16">
            <v>18794237.945987001</v>
          </cell>
          <cell r="E16">
            <v>0</v>
          </cell>
          <cell r="G16">
            <v>0</v>
          </cell>
        </row>
        <row r="18">
          <cell r="D18">
            <v>-2160614.81</v>
          </cell>
          <cell r="E18">
            <v>0</v>
          </cell>
        </row>
        <row r="24">
          <cell r="D24">
            <v>23551517.436357476</v>
          </cell>
          <cell r="E24">
            <v>39996900.554010905</v>
          </cell>
          <cell r="G24">
            <v>39996900.554010905</v>
          </cell>
        </row>
        <row r="25">
          <cell r="C25">
            <v>0.21</v>
          </cell>
        </row>
        <row r="26">
          <cell r="C26">
            <v>0.12000000000000002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Verify Power Costs"/>
      <sheetName val="Power Cost Bridge to A-1"/>
      <sheetName val="Production Factor"/>
      <sheetName val="B&amp;T 557"/>
      <sheetName val="B&amp;T O&amp;M"/>
      <sheetName val="Centralia Equity Kicker"/>
      <sheetName val="Estimate OATT Trans Rev"/>
      <sheetName val="PWX Microsoft"/>
      <sheetName val="Act OATT Rev 45610005"/>
      <sheetName val="RJR"/>
      <sheetName val="500KV"/>
      <sheetName val="PKW RY PC1"/>
      <sheetName val="Power Costs"/>
      <sheetName val="Schedule_B"/>
      <sheetName val="Actuals"/>
      <sheetName val="CT Oil Valuation"/>
      <sheetName val="Centrailia"/>
      <sheetName val="Restating=&gt;"/>
      <sheetName val="PKW24C FERC 557 costs"/>
      <sheetName val="F2018 Sch Level Delivered Load"/>
      <sheetName val="Electric - Load"/>
      <sheetName val="Temp Norm Adj=&gt;"/>
      <sheetName val="PKW 557"/>
      <sheetName val="Load Impact to Cost &amp; Rev"/>
      <sheetName val="Load Temp Adj"/>
      <sheetName val="2018 Hydro"/>
      <sheetName val="2018 Wind"/>
      <sheetName val="EA Database"/>
      <sheetName val="BAGE &amp; SAGE"/>
      <sheetName val="PKW-WP ENERG"/>
      <sheetName val="Wind Integration Costs"/>
      <sheetName val="Price"/>
      <sheetName val="PCA Calc=&gt;"/>
      <sheetName val="Sched B 2018"/>
      <sheetName val="Actuals 2018"/>
    </sheetNames>
    <sheetDataSet>
      <sheetData sheetId="0">
        <row r="21">
          <cell r="G21">
            <v>105839574.87191619</v>
          </cell>
        </row>
        <row r="22">
          <cell r="G22">
            <v>876514.03</v>
          </cell>
        </row>
        <row r="23">
          <cell r="G23">
            <v>-8666881.7085096519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For AWEC DR 20"/>
      <sheetName val="ERB AMA"/>
      <sheetName val="GRB AMA"/>
      <sheetName val="WC "/>
      <sheetName val="ERB EOP"/>
      <sheetName val="GRB EOP"/>
      <sheetName val="PPXLSaveData0"/>
      <sheetName val="PPXLFunctions"/>
      <sheetName val="PPXLOpen"/>
      <sheetName val="3.04 &amp; 4.04 Lead"/>
      <sheetName val="2017 GRC WC Det Format"/>
    </sheetNames>
    <sheetDataSet>
      <sheetData sheetId="0">
        <row r="10">
          <cell r="C10">
            <v>10572466950.394854</v>
          </cell>
        </row>
        <row r="11">
          <cell r="C11">
            <v>-4244925258.0010071</v>
          </cell>
          <cell r="D11">
            <v>-4388667535.5324507</v>
          </cell>
        </row>
        <row r="12">
          <cell r="C12">
            <v>285841342.02833331</v>
          </cell>
          <cell r="D12">
            <v>273144103.32999998</v>
          </cell>
        </row>
        <row r="13">
          <cell r="C13">
            <v>-1443684469.5857882</v>
          </cell>
        </row>
        <row r="14">
          <cell r="C14">
            <v>145303204.9988502</v>
          </cell>
        </row>
        <row r="15">
          <cell r="C15">
            <v>-106223263.53024991</v>
          </cell>
          <cell r="D15">
            <v>-108090779.49447501</v>
          </cell>
        </row>
      </sheetData>
      <sheetData sheetId="1"/>
      <sheetData sheetId="2"/>
      <sheetData sheetId="3">
        <row r="92">
          <cell r="D92">
            <v>10572466950.394854</v>
          </cell>
        </row>
        <row r="93">
          <cell r="D93">
            <v>-4244925258.0010071</v>
          </cell>
        </row>
        <row r="94">
          <cell r="D94">
            <v>285841342.02833331</v>
          </cell>
        </row>
        <row r="95">
          <cell r="D95">
            <v>-1443684469.5857882</v>
          </cell>
        </row>
        <row r="96">
          <cell r="D96">
            <v>145303204.9988502</v>
          </cell>
        </row>
        <row r="97">
          <cell r="D97">
            <v>-106223263.53024991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Lead "/>
      <sheetName val="Gas Lead "/>
      <sheetName val="Common Lead"/>
      <sheetName val="Pro-forma Plant Additions=&gt;"/>
      <sheetName val="Sheet1"/>
      <sheetName val=" GTZ Additions"/>
      <sheetName val="DFIT "/>
      <sheetName val="MACRS"/>
      <sheetName val="Amort of Def'd Depr &amp; CChrgs=&gt;"/>
      <sheetName val="GTZ Com Amort of Def Depr"/>
      <sheetName val="GTZ Com Amort of CarryChrg"/>
      <sheetName val="GTZ depreciation deferral"/>
      <sheetName val="Monthly Amort"/>
      <sheetName val="GTZ PowerPlant"/>
      <sheetName val="GTZ Forecast"/>
    </sheetNames>
    <sheetDataSet>
      <sheetData sheetId="0">
        <row r="16">
          <cell r="D16">
            <v>0</v>
          </cell>
          <cell r="E16">
            <v>0</v>
          </cell>
          <cell r="G16">
            <v>8630749.431925999</v>
          </cell>
        </row>
        <row r="17">
          <cell r="D17">
            <v>0</v>
          </cell>
          <cell r="E17">
            <v>0</v>
          </cell>
          <cell r="G17">
            <v>-4794860.7955144448</v>
          </cell>
        </row>
        <row r="18">
          <cell r="D18">
            <v>0</v>
          </cell>
          <cell r="E18">
            <v>0</v>
          </cell>
          <cell r="G18">
            <v>251730.19176450834</v>
          </cell>
        </row>
        <row r="22">
          <cell r="D22">
            <v>0</v>
          </cell>
          <cell r="E22">
            <v>0</v>
          </cell>
          <cell r="G22">
            <v>11045491.805502929</v>
          </cell>
        </row>
        <row r="23">
          <cell r="D23">
            <v>0</v>
          </cell>
          <cell r="E23">
            <v>0</v>
          </cell>
          <cell r="G23">
            <v>-1840915.3009171553</v>
          </cell>
        </row>
        <row r="24">
          <cell r="D24">
            <v>0</v>
          </cell>
          <cell r="E24">
            <v>0</v>
          </cell>
          <cell r="G24">
            <v>-1932961.0659630138</v>
          </cell>
        </row>
        <row r="30">
          <cell r="G30">
            <v>2876916.4773086668</v>
          </cell>
        </row>
        <row r="31">
          <cell r="G31">
            <v>3681830.6018343112</v>
          </cell>
        </row>
        <row r="32">
          <cell r="G32">
            <v>0</v>
          </cell>
        </row>
        <row r="50">
          <cell r="F50">
            <v>-7433546.0196169438</v>
          </cell>
        </row>
      </sheetData>
      <sheetData sheetId="1">
        <row r="16">
          <cell r="D1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Verify Power Costs"/>
      <sheetName val="Power Cost Bridge to A-1"/>
      <sheetName val="Production Factor"/>
      <sheetName val="B&amp;T 557"/>
      <sheetName val="B&amp;T O&amp;M"/>
      <sheetName val="Centralia Equity Kicker"/>
      <sheetName val="Estimate OATT Trans Rev"/>
      <sheetName val="PWX Microsoft"/>
      <sheetName val="Act OATT Rev 45610005"/>
      <sheetName val="RJR"/>
      <sheetName val="500KV"/>
      <sheetName val="PKW RY PC1"/>
      <sheetName val="Power Costs"/>
      <sheetName val="Schedule_B"/>
      <sheetName val="Actuals"/>
      <sheetName val="CT Oil Valuation"/>
      <sheetName val="Centrailia"/>
      <sheetName val="Restating=&gt;"/>
      <sheetName val="PKW24C FERC 557 costs"/>
      <sheetName val="F2018 Sch Level Delivered Load"/>
      <sheetName val="Electric - Load"/>
      <sheetName val="Temp Norm Adj=&gt;"/>
      <sheetName val="PKW 557"/>
      <sheetName val="Load Impact to Cost &amp; Rev"/>
      <sheetName val="Load Temp Adj"/>
      <sheetName val="2018 Hydro"/>
      <sheetName val="2018 Wind"/>
      <sheetName val="EA Database"/>
      <sheetName val="BAGE &amp; SAGE"/>
      <sheetName val="PKW-WP ENERG"/>
      <sheetName val="Wind Integration Costs"/>
      <sheetName val="Price"/>
      <sheetName val="PCA Calc=&gt;"/>
      <sheetName val="Sched B 2018"/>
      <sheetName val="Actuals 2018"/>
    </sheetNames>
    <sheetDataSet>
      <sheetData sheetId="0">
        <row r="10">
          <cell r="D10">
            <v>79334191.840000004</v>
          </cell>
          <cell r="E10">
            <v>79334191.840000004</v>
          </cell>
          <cell r="G10">
            <v>35863917.55959221</v>
          </cell>
        </row>
        <row r="11">
          <cell r="D11">
            <v>124839938.45000002</v>
          </cell>
          <cell r="E11">
            <v>125903300.81000002</v>
          </cell>
          <cell r="G11">
            <v>151759306.05215243</v>
          </cell>
        </row>
        <row r="12">
          <cell r="D12">
            <v>574163746.96999896</v>
          </cell>
          <cell r="E12">
            <v>584488125.49878299</v>
          </cell>
          <cell r="G12">
            <v>421456718.2799986</v>
          </cell>
        </row>
        <row r="13">
          <cell r="D13">
            <v>17232385.379999902</v>
          </cell>
          <cell r="E13">
            <v>11072849.4899999</v>
          </cell>
          <cell r="G13">
            <v>7832796.3799999999</v>
          </cell>
        </row>
        <row r="14">
          <cell r="D14">
            <v>446665.22</v>
          </cell>
          <cell r="E14">
            <v>446665.22</v>
          </cell>
          <cell r="G14">
            <v>426923.48749781423</v>
          </cell>
        </row>
        <row r="15">
          <cell r="D15">
            <v>115807777.5999999</v>
          </cell>
          <cell r="E15">
            <v>115807777.5999999</v>
          </cell>
          <cell r="G15">
            <v>112542721.33945595</v>
          </cell>
        </row>
        <row r="16">
          <cell r="D16">
            <v>-155333122.24000001</v>
          </cell>
          <cell r="E16">
            <v>-155333122.24000001</v>
          </cell>
          <cell r="G16">
            <v>-6985506.0856509283</v>
          </cell>
        </row>
        <row r="17">
          <cell r="D17">
            <v>-69470811.980000019</v>
          </cell>
          <cell r="E17">
            <v>-69470811.980000019</v>
          </cell>
          <cell r="G17">
            <v>-22108578.086590096</v>
          </cell>
        </row>
        <row r="21">
          <cell r="D21">
            <v>127167992.89</v>
          </cell>
          <cell r="E21">
            <v>127167992.89</v>
          </cell>
          <cell r="G21">
            <v>106246572.81113668</v>
          </cell>
        </row>
        <row r="22">
          <cell r="D22">
            <v>876514.03</v>
          </cell>
          <cell r="E22">
            <v>876514.03</v>
          </cell>
        </row>
        <row r="23">
          <cell r="D23">
            <v>-7201724.9500000002</v>
          </cell>
          <cell r="E23">
            <v>-7201724.9500000002</v>
          </cell>
        </row>
        <row r="24">
          <cell r="D24">
            <v>0</v>
          </cell>
          <cell r="E24">
            <v>4958988.8</v>
          </cell>
          <cell r="G24">
            <v>3913458.436219302</v>
          </cell>
        </row>
      </sheetData>
      <sheetData sheetId="1"/>
      <sheetData sheetId="2">
        <row r="8">
          <cell r="K8">
            <v>0.95580194826410314</v>
          </cell>
        </row>
        <row r="13">
          <cell r="E13">
            <v>79334191.840000004</v>
          </cell>
          <cell r="F13">
            <v>37522331.508872844</v>
          </cell>
        </row>
        <row r="14">
          <cell r="E14">
            <v>125903300.81000002</v>
          </cell>
          <cell r="F14">
            <v>158776937.34331971</v>
          </cell>
        </row>
        <row r="15">
          <cell r="E15">
            <v>589447114.29878294</v>
          </cell>
          <cell r="F15">
            <v>440945657.25193882</v>
          </cell>
        </row>
        <row r="16">
          <cell r="E16">
            <v>11072849.4899999</v>
          </cell>
          <cell r="F16">
            <v>9989396.959999999</v>
          </cell>
          <cell r="H16">
            <v>-1833483.02</v>
          </cell>
          <cell r="I16">
            <v>-323117.56</v>
          </cell>
        </row>
        <row r="17">
          <cell r="E17">
            <v>446665.22</v>
          </cell>
          <cell r="F17">
            <v>446665.22</v>
          </cell>
        </row>
        <row r="18">
          <cell r="E18">
            <v>115807777.5999999</v>
          </cell>
          <cell r="F18">
            <v>117746905.14478698</v>
          </cell>
        </row>
        <row r="19">
          <cell r="E19">
            <v>-155333122.24000001</v>
          </cell>
          <cell r="F19">
            <v>-7308528.820576041</v>
          </cell>
        </row>
        <row r="20">
          <cell r="E20">
            <v>-69470811.980000019</v>
          </cell>
          <cell r="F20">
            <v>-23130919.670903567</v>
          </cell>
        </row>
        <row r="24">
          <cell r="E24">
            <v>127167992.89</v>
          </cell>
          <cell r="F24">
            <v>114532804.40863667</v>
          </cell>
          <cell r="H24">
            <v>-6141737.9100000001</v>
          </cell>
          <cell r="I24">
            <v>-1619460.36</v>
          </cell>
        </row>
        <row r="25">
          <cell r="E25">
            <v>876514.03</v>
          </cell>
          <cell r="F25">
            <v>876514.03</v>
          </cell>
        </row>
        <row r="26">
          <cell r="E26">
            <v>-7201724.9500000002</v>
          </cell>
          <cell r="F26">
            <v>-8666881.7085096519</v>
          </cell>
        </row>
        <row r="27">
          <cell r="E27">
            <v>0</v>
          </cell>
          <cell r="F27">
            <v>4094424</v>
          </cell>
        </row>
        <row r="28">
          <cell r="K28">
            <v>803157962.49530232</v>
          </cell>
        </row>
      </sheetData>
      <sheetData sheetId="3">
        <row r="42">
          <cell r="D42">
            <v>20535515731.480255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7">
          <cell r="D17">
            <v>734988.44493743882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D21">
            <v>697207965.03878272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Rev Req Summary"/>
      <sheetName val="Powerex for Microsoft"/>
      <sheetName val="SCh 95A Amort 12ME 12-2018"/>
      <sheetName val="456 Decoup Rev 12ME 12-2018"/>
      <sheetName val="FIT Over Coll 12ME 12-2018"/>
      <sheetName val="ZO12 45600154 GAAP 12ME 12-2018"/>
      <sheetName val="PTC"/>
      <sheetName val="Transp Oth Op"/>
      <sheetName val="Sch 142 break out"/>
    </sheetNames>
    <sheetDataSet>
      <sheetData sheetId="0">
        <row r="13">
          <cell r="E13">
            <v>5983138.4299999997</v>
          </cell>
        </row>
        <row r="14">
          <cell r="E14">
            <v>41885179.539999999</v>
          </cell>
        </row>
        <row r="15">
          <cell r="G15">
            <v>1895876.7300000002</v>
          </cell>
        </row>
        <row r="16">
          <cell r="G16">
            <v>-723802.14000000013</v>
          </cell>
        </row>
        <row r="17">
          <cell r="E17">
            <v>-20725035.350196019</v>
          </cell>
        </row>
        <row r="18">
          <cell r="E18">
            <v>10345744.779999999</v>
          </cell>
        </row>
        <row r="19">
          <cell r="G19">
            <v>-18966469.07</v>
          </cell>
        </row>
        <row r="20">
          <cell r="E20">
            <v>114.23000000000138</v>
          </cell>
        </row>
        <row r="21">
          <cell r="E21">
            <v>3810955</v>
          </cell>
        </row>
        <row r="24">
          <cell r="E24">
            <v>-10964420.23</v>
          </cell>
        </row>
        <row r="25">
          <cell r="G25">
            <v>-18227053.410000004</v>
          </cell>
        </row>
        <row r="26">
          <cell r="E26">
            <v>24054569</v>
          </cell>
        </row>
        <row r="27">
          <cell r="E27">
            <v>-10345744.779999999</v>
          </cell>
        </row>
        <row r="28">
          <cell r="G28">
            <v>835357.9</v>
          </cell>
        </row>
        <row r="29">
          <cell r="H29">
            <v>1010226.96</v>
          </cell>
        </row>
        <row r="36">
          <cell r="E36">
            <v>31779966.02</v>
          </cell>
        </row>
        <row r="37">
          <cell r="E37">
            <v>-430100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</sheetNames>
    <sheetDataSet>
      <sheetData sheetId="0">
        <row r="9">
          <cell r="D9">
            <v>20655081094.767998</v>
          </cell>
          <cell r="E9">
            <v>20822537329.978706</v>
          </cell>
          <cell r="F9">
            <v>167456235.2107088</v>
          </cell>
          <cell r="G9">
            <v>20822537329.978706</v>
          </cell>
          <cell r="H9">
            <v>0</v>
          </cell>
        </row>
        <row r="13">
          <cell r="F13">
            <v>6551821</v>
          </cell>
          <cell r="G13">
            <v>826099371.07046211</v>
          </cell>
        </row>
        <row r="25">
          <cell r="F25">
            <v>3986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8"/>
  <sheetViews>
    <sheetView zoomScaleNormal="100" workbookViewId="0">
      <selection activeCell="B34" sqref="B34"/>
    </sheetView>
  </sheetViews>
  <sheetFormatPr defaultColWidth="9.140625" defaultRowHeight="12.75"/>
  <cols>
    <col min="1" max="1" width="9.28515625" style="286" bestFit="1" customWidth="1"/>
    <col min="2" max="2" width="42.85546875" style="286" customWidth="1"/>
    <col min="3" max="3" width="11.7109375" style="286" bestFit="1" customWidth="1"/>
    <col min="4" max="4" width="6.42578125" style="286" bestFit="1" customWidth="1"/>
    <col min="5" max="5" width="10.5703125" style="286" bestFit="1" customWidth="1"/>
    <col min="6" max="16384" width="9.140625" style="286"/>
  </cols>
  <sheetData>
    <row r="1" spans="1:5" ht="14.25">
      <c r="C1" s="410" t="s">
        <v>593</v>
      </c>
      <c r="D1" s="411"/>
      <c r="E1" s="412"/>
    </row>
    <row r="2" spans="1:5">
      <c r="A2" s="89" t="s">
        <v>45</v>
      </c>
      <c r="B2" s="89"/>
      <c r="C2" s="89"/>
      <c r="D2" s="89"/>
      <c r="E2" s="89"/>
    </row>
    <row r="3" spans="1:5">
      <c r="A3" s="89" t="s">
        <v>72</v>
      </c>
      <c r="B3" s="89"/>
      <c r="C3" s="89"/>
      <c r="D3" s="89"/>
      <c r="E3" s="89"/>
    </row>
    <row r="4" spans="1:5">
      <c r="A4" s="89" t="str">
        <f>CASE_E</f>
        <v>2019 GENERAL RATE CASE</v>
      </c>
      <c r="B4" s="89"/>
      <c r="C4" s="89"/>
      <c r="D4" s="89"/>
      <c r="E4" s="89"/>
    </row>
    <row r="5" spans="1:5">
      <c r="A5" s="89" t="str">
        <f>TESTYEAR_E</f>
        <v>12 MONTHS ENDED DECEMBER 31, 2018</v>
      </c>
      <c r="B5" s="89"/>
      <c r="C5" s="89"/>
      <c r="D5" s="89"/>
      <c r="E5" s="89"/>
    </row>
    <row r="6" spans="1:5">
      <c r="A6" s="934" t="s">
        <v>514</v>
      </c>
      <c r="B6" s="128"/>
      <c r="C6" s="89"/>
      <c r="D6" s="89"/>
      <c r="E6" s="89"/>
    </row>
    <row r="7" spans="1:5">
      <c r="B7" s="28"/>
      <c r="C7" s="28"/>
      <c r="D7" s="28"/>
      <c r="E7" s="28"/>
    </row>
    <row r="9" spans="1:5">
      <c r="A9" s="3" t="s">
        <v>43</v>
      </c>
      <c r="B9" s="3"/>
      <c r="C9" s="290" t="s">
        <v>362</v>
      </c>
      <c r="E9" s="290" t="s">
        <v>364</v>
      </c>
    </row>
    <row r="10" spans="1:5">
      <c r="A10" s="406" t="s">
        <v>44</v>
      </c>
      <c r="B10" s="406" t="s">
        <v>73</v>
      </c>
      <c r="C10" s="409" t="s">
        <v>363</v>
      </c>
      <c r="D10" s="409" t="s">
        <v>343</v>
      </c>
      <c r="E10" s="409" t="s">
        <v>343</v>
      </c>
    </row>
    <row r="12" spans="1:5">
      <c r="A12" s="280">
        <v>1</v>
      </c>
      <c r="B12" s="154" t="s">
        <v>211</v>
      </c>
      <c r="C12" s="136">
        <v>0.51</v>
      </c>
      <c r="D12" s="136">
        <v>5.7647058823529412E-2</v>
      </c>
      <c r="E12" s="129">
        <f>ROUND(C12*D12,4)</f>
        <v>2.9399999999999999E-2</v>
      </c>
    </row>
    <row r="13" spans="1:5">
      <c r="A13" s="280">
        <f t="shared" ref="A13:A18" si="0">A12+1</f>
        <v>2</v>
      </c>
      <c r="B13" s="154" t="s">
        <v>80</v>
      </c>
      <c r="C13" s="136">
        <v>0.49</v>
      </c>
      <c r="D13" s="136">
        <v>9.5000000000000001E-2</v>
      </c>
      <c r="E13" s="129">
        <f>ROUND(C13*D13,4)</f>
        <v>4.6600000000000003E-2</v>
      </c>
    </row>
    <row r="14" spans="1:5">
      <c r="A14" s="280">
        <f t="shared" si="0"/>
        <v>3</v>
      </c>
      <c r="B14" s="154" t="s">
        <v>66</v>
      </c>
      <c r="C14" s="415">
        <f>SUM(C12:C13)</f>
        <v>1</v>
      </c>
      <c r="D14" s="228"/>
      <c r="E14" s="416">
        <f>SUM(E12:E13)</f>
        <v>7.5999999999999998E-2</v>
      </c>
    </row>
    <row r="15" spans="1:5">
      <c r="A15" s="280">
        <f t="shared" si="0"/>
        <v>4</v>
      </c>
      <c r="B15" s="154"/>
    </row>
    <row r="16" spans="1:5">
      <c r="A16" s="280">
        <f t="shared" si="0"/>
        <v>5</v>
      </c>
      <c r="B16" s="154" t="s">
        <v>360</v>
      </c>
      <c r="C16" s="129">
        <f>+C12</f>
        <v>0.51</v>
      </c>
      <c r="D16" s="129">
        <f>D12*0.79</f>
        <v>4.5541176470588238E-2</v>
      </c>
      <c r="E16" s="129">
        <f>ROUND(E12*0.79,4)</f>
        <v>2.3199999999999998E-2</v>
      </c>
    </row>
    <row r="17" spans="1:5">
      <c r="A17" s="280">
        <f t="shared" si="0"/>
        <v>6</v>
      </c>
      <c r="B17" s="154" t="s">
        <v>80</v>
      </c>
      <c r="C17" s="129">
        <f>+C13</f>
        <v>0.49</v>
      </c>
      <c r="D17" s="129">
        <f>+D13</f>
        <v>9.5000000000000001E-2</v>
      </c>
      <c r="E17" s="129">
        <f>ROUND(C17*D17,4)</f>
        <v>4.6600000000000003E-2</v>
      </c>
    </row>
    <row r="18" spans="1:5">
      <c r="A18" s="280">
        <f t="shared" si="0"/>
        <v>7</v>
      </c>
      <c r="B18" s="154" t="s">
        <v>81</v>
      </c>
      <c r="C18" s="415">
        <f>SUM(C16:C17)</f>
        <v>1</v>
      </c>
      <c r="D18" s="228"/>
      <c r="E18" s="416">
        <f>SUM(E16:E17)</f>
        <v>6.9800000000000001E-2</v>
      </c>
    </row>
  </sheetData>
  <pageMargins left="0.7" right="0.7" top="0.75" bottom="0.75" header="0.3" footer="0.3"/>
  <pageSetup orientation="portrait" r:id="rId1"/>
  <headerFooter>
    <oddHeader xml:space="preserve">&amp;R&amp;"Times New Roman,Regular"&amp;9Exh. JL-2r
Dockets UE 190529 / UG-190530 and 
UE-190274 / UG-190275 (consol.)
Page &amp;P of &amp;N&amp;11 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49"/>
  <sheetViews>
    <sheetView view="pageLayout" zoomScaleNormal="75" workbookViewId="0">
      <selection activeCell="I2" sqref="I2"/>
    </sheetView>
  </sheetViews>
  <sheetFormatPr defaultColWidth="9.140625" defaultRowHeight="15"/>
  <cols>
    <col min="1" max="1" width="9.28515625" style="620" bestFit="1" customWidth="1"/>
    <col min="2" max="2" width="49.140625" style="620" customWidth="1"/>
    <col min="3" max="3" width="14.42578125" style="620" bestFit="1" customWidth="1"/>
    <col min="4" max="4" width="13.7109375" style="620" bestFit="1" customWidth="1"/>
    <col min="5" max="5" width="20.7109375" style="620" customWidth="1"/>
    <col min="6" max="6" width="17.28515625" style="620" bestFit="1" customWidth="1"/>
    <col min="7" max="16384" width="9.140625" style="620"/>
  </cols>
  <sheetData>
    <row r="1" spans="1:6" s="619" customFormat="1">
      <c r="A1" s="621"/>
      <c r="B1" s="621"/>
      <c r="C1" s="621"/>
      <c r="D1" s="621"/>
      <c r="F1" s="628" t="s">
        <v>795</v>
      </c>
    </row>
    <row r="2" spans="1:6" s="619" customFormat="1">
      <c r="A2" s="621"/>
      <c r="B2" s="621"/>
      <c r="C2" s="621"/>
      <c r="D2" s="621"/>
      <c r="F2" s="628" t="s">
        <v>951</v>
      </c>
    </row>
    <row r="3" spans="1:6">
      <c r="A3" s="622"/>
      <c r="B3" s="622"/>
      <c r="C3" s="622"/>
      <c r="D3" s="622"/>
      <c r="E3" s="622"/>
      <c r="F3" s="622"/>
    </row>
    <row r="4" spans="1:6" s="376" customFormat="1">
      <c r="A4" s="909"/>
      <c r="B4" s="909"/>
      <c r="C4" s="909"/>
      <c r="D4" s="909"/>
      <c r="E4" s="909"/>
      <c r="F4" s="909"/>
    </row>
    <row r="5" spans="1:6" s="376" customFormat="1">
      <c r="A5" s="909"/>
      <c r="B5" s="910" t="s">
        <v>91</v>
      </c>
      <c r="C5" s="910"/>
      <c r="D5" s="911"/>
      <c r="E5" s="911"/>
      <c r="F5" s="911"/>
    </row>
    <row r="6" spans="1:6" s="376" customFormat="1">
      <c r="A6" s="911"/>
      <c r="B6" s="1088" t="s">
        <v>755</v>
      </c>
      <c r="C6" s="1088"/>
      <c r="D6" s="1088"/>
      <c r="E6" s="1088"/>
      <c r="F6" s="1088"/>
    </row>
    <row r="7" spans="1:6" s="376" customFormat="1">
      <c r="A7" s="909"/>
      <c r="B7" s="910" t="str">
        <f>TESTYEAR_E</f>
        <v>12 MONTHS ENDED DECEMBER 31, 2018</v>
      </c>
      <c r="C7" s="910"/>
      <c r="D7" s="911"/>
      <c r="E7" s="911"/>
      <c r="F7" s="911"/>
    </row>
    <row r="8" spans="1:6" s="376" customFormat="1">
      <c r="A8" s="909"/>
      <c r="B8" s="910" t="str">
        <f>CASE_E</f>
        <v>2019 GENERAL RATE CASE</v>
      </c>
      <c r="C8" s="910"/>
      <c r="D8" s="911"/>
      <c r="E8" s="911"/>
      <c r="F8" s="911"/>
    </row>
    <row r="9" spans="1:6" s="908" customFormat="1">
      <c r="A9" s="906"/>
      <c r="B9" s="912"/>
      <c r="C9" s="912"/>
      <c r="D9" s="913"/>
      <c r="E9" s="913"/>
      <c r="F9" s="914"/>
    </row>
    <row r="10" spans="1:6" s="376" customFormat="1">
      <c r="C10" s="941"/>
      <c r="D10" s="915" t="s">
        <v>263</v>
      </c>
      <c r="E10" s="916"/>
      <c r="F10" s="917" t="s">
        <v>105</v>
      </c>
    </row>
    <row r="11" spans="1:6" s="376" customFormat="1">
      <c r="A11" s="918" t="s">
        <v>43</v>
      </c>
      <c r="B11" s="918"/>
      <c r="C11" s="942"/>
      <c r="D11" s="917" t="s">
        <v>40</v>
      </c>
      <c r="E11" s="917" t="s">
        <v>105</v>
      </c>
      <c r="F11" s="917" t="s">
        <v>52</v>
      </c>
    </row>
    <row r="12" spans="1:6" s="376" customFormat="1">
      <c r="A12" s="919" t="s">
        <v>44</v>
      </c>
      <c r="B12" s="920" t="s">
        <v>73</v>
      </c>
      <c r="C12" s="943" t="s">
        <v>261</v>
      </c>
      <c r="D12" s="921" t="s">
        <v>264</v>
      </c>
      <c r="E12" s="922" t="s">
        <v>265</v>
      </c>
      <c r="F12" s="921" t="s">
        <v>266</v>
      </c>
    </row>
    <row r="13" spans="1:6" s="376" customFormat="1">
      <c r="A13" s="909"/>
      <c r="B13" s="909"/>
      <c r="C13" s="909"/>
      <c r="D13" s="909"/>
      <c r="E13" s="909"/>
      <c r="F13" s="909"/>
    </row>
    <row r="14" spans="1:6" s="376" customFormat="1">
      <c r="A14" s="944">
        <v>1</v>
      </c>
      <c r="B14" s="909" t="s">
        <v>809</v>
      </c>
      <c r="C14" s="909"/>
      <c r="D14" s="909"/>
      <c r="E14" s="925"/>
      <c r="F14" s="909"/>
    </row>
    <row r="15" spans="1:6" s="376" customFormat="1">
      <c r="A15" s="923">
        <f>A14+1</f>
        <v>2</v>
      </c>
      <c r="B15" s="945" t="s">
        <v>754</v>
      </c>
      <c r="C15" s="945"/>
      <c r="D15" s="273">
        <f>F33</f>
        <v>557156</v>
      </c>
      <c r="E15" s="925">
        <v>0</v>
      </c>
      <c r="F15" s="273">
        <f>E15-D15</f>
        <v>-557156</v>
      </c>
    </row>
    <row r="16" spans="1:6" s="376" customFormat="1">
      <c r="A16" s="923">
        <f>A15+1</f>
        <v>3</v>
      </c>
      <c r="B16" s="946" t="s">
        <v>810</v>
      </c>
      <c r="C16" s="947">
        <f>+FIT_E</f>
        <v>0.21</v>
      </c>
      <c r="D16" s="257">
        <f>-D15*C16</f>
        <v>-117002.76</v>
      </c>
      <c r="E16" s="906">
        <v>0</v>
      </c>
      <c r="F16" s="273">
        <f>E16-D16</f>
        <v>117002.76</v>
      </c>
    </row>
    <row r="17" spans="1:6" s="376" customFormat="1" ht="15.75" thickBot="1">
      <c r="A17" s="923">
        <f t="shared" ref="A17:A24" si="0">A16+1</f>
        <v>4</v>
      </c>
      <c r="B17" s="376" t="s">
        <v>811</v>
      </c>
      <c r="C17" s="947"/>
      <c r="D17" s="478">
        <f>-F34</f>
        <v>-8328.5593617680897</v>
      </c>
      <c r="E17" s="928">
        <v>0</v>
      </c>
      <c r="F17" s="273">
        <f>E17-D17</f>
        <v>8328.5593617680897</v>
      </c>
    </row>
    <row r="18" spans="1:6" s="376" customFormat="1" ht="15.75" thickTop="1">
      <c r="A18" s="923">
        <f t="shared" si="0"/>
        <v>5</v>
      </c>
      <c r="B18" s="946" t="s">
        <v>95</v>
      </c>
      <c r="C18" s="946"/>
      <c r="D18" s="948">
        <f>SUM(D15:D17)</f>
        <v>431824.68063823192</v>
      </c>
      <c r="E18" s="925">
        <v>0</v>
      </c>
      <c r="F18" s="948">
        <f>E18-D18</f>
        <v>-431824.68063823192</v>
      </c>
    </row>
    <row r="19" spans="1:6" s="376" customFormat="1">
      <c r="A19" s="923">
        <f t="shared" si="0"/>
        <v>6</v>
      </c>
      <c r="B19" s="946"/>
      <c r="C19" s="946"/>
      <c r="D19" s="273"/>
      <c r="E19" s="273"/>
      <c r="F19" s="273"/>
    </row>
    <row r="20" spans="1:6" s="376" customFormat="1">
      <c r="A20" s="923">
        <f t="shared" si="0"/>
        <v>7</v>
      </c>
      <c r="B20" s="909" t="s">
        <v>74</v>
      </c>
      <c r="C20" s="909"/>
      <c r="D20" s="909"/>
      <c r="E20" s="909"/>
      <c r="F20" s="909"/>
    </row>
    <row r="21" spans="1:6" s="376" customFormat="1">
      <c r="A21" s="923">
        <f t="shared" si="0"/>
        <v>8</v>
      </c>
      <c r="B21" s="909" t="s">
        <v>752</v>
      </c>
      <c r="C21" s="909"/>
      <c r="D21" s="924">
        <f>F28</f>
        <v>7248346</v>
      </c>
      <c r="E21" s="925">
        <v>0</v>
      </c>
      <c r="F21" s="924">
        <f>E21-D21</f>
        <v>-7248346</v>
      </c>
    </row>
    <row r="22" spans="1:6" s="376" customFormat="1">
      <c r="A22" s="923">
        <f t="shared" si="0"/>
        <v>9</v>
      </c>
      <c r="B22" s="909" t="s">
        <v>756</v>
      </c>
      <c r="C22" s="909"/>
      <c r="D22" s="926">
        <f>F29</f>
        <v>-674903</v>
      </c>
      <c r="E22" s="909">
        <v>0</v>
      </c>
      <c r="F22" s="926">
        <f t="shared" ref="F22:F23" si="1">E22-D22</f>
        <v>674903</v>
      </c>
    </row>
    <row r="23" spans="1:6" s="376" customFormat="1" ht="15.75" thickBot="1">
      <c r="A23" s="923">
        <f t="shared" si="0"/>
        <v>10</v>
      </c>
      <c r="B23" s="909" t="s">
        <v>837</v>
      </c>
      <c r="C23" s="909"/>
      <c r="D23" s="927">
        <f>F30</f>
        <v>-1301042.2701010129</v>
      </c>
      <c r="E23" s="928">
        <v>0</v>
      </c>
      <c r="F23" s="927">
        <f t="shared" si="1"/>
        <v>1301042.2701010129</v>
      </c>
    </row>
    <row r="24" spans="1:6" s="376" customFormat="1" ht="15.75" thickTop="1">
      <c r="A24" s="923">
        <f t="shared" si="0"/>
        <v>11</v>
      </c>
      <c r="B24" s="376" t="s">
        <v>758</v>
      </c>
      <c r="D24" s="929">
        <f>SUM(D21:D23)</f>
        <v>5272400.7298989873</v>
      </c>
      <c r="E24" s="376">
        <f>SUM(E21:E23)</f>
        <v>0</v>
      </c>
      <c r="F24" s="929">
        <f>SUM(F21:F23)</f>
        <v>-5272400.7298989873</v>
      </c>
    </row>
    <row r="25" spans="1:6" s="376" customFormat="1"/>
    <row r="26" spans="1:6" s="376" customFormat="1">
      <c r="B26" s="376" t="s">
        <v>793</v>
      </c>
    </row>
    <row r="27" spans="1:6" s="376" customFormat="1">
      <c r="B27" s="376" t="s">
        <v>748</v>
      </c>
      <c r="C27" s="949" t="s">
        <v>749</v>
      </c>
      <c r="D27" s="949" t="s">
        <v>750</v>
      </c>
      <c r="E27" s="949" t="s">
        <v>751</v>
      </c>
      <c r="F27" s="950" t="s">
        <v>769</v>
      </c>
    </row>
    <row r="28" spans="1:6" s="376" customFormat="1">
      <c r="B28" s="376" t="s">
        <v>752</v>
      </c>
      <c r="C28" s="951">
        <v>5369117</v>
      </c>
      <c r="D28" s="951">
        <v>3825075</v>
      </c>
      <c r="E28" s="951">
        <v>3423271</v>
      </c>
      <c r="F28" s="952">
        <f>D28+E28</f>
        <v>7248346</v>
      </c>
    </row>
    <row r="29" spans="1:6" s="376" customFormat="1">
      <c r="B29" s="376" t="s">
        <v>753</v>
      </c>
      <c r="C29" s="951">
        <v>-600360</v>
      </c>
      <c r="D29" s="951">
        <v>-303163</v>
      </c>
      <c r="E29" s="951">
        <v>-371740</v>
      </c>
      <c r="F29" s="952">
        <f t="shared" ref="F29:F30" si="2">D29+E29</f>
        <v>-674903</v>
      </c>
    </row>
    <row r="30" spans="1:6" s="376" customFormat="1">
      <c r="B30" s="376" t="s">
        <v>836</v>
      </c>
      <c r="C30" s="951">
        <v>-1086156.9048469653</v>
      </c>
      <c r="D30" s="951">
        <v>-660797.95301136503</v>
      </c>
      <c r="E30" s="951">
        <v>-640244.31708964787</v>
      </c>
      <c r="F30" s="952">
        <f t="shared" si="2"/>
        <v>-1301042.2701010129</v>
      </c>
    </row>
    <row r="31" spans="1:6" s="376" customFormat="1">
      <c r="C31" s="951"/>
      <c r="D31" s="951"/>
      <c r="E31" s="951"/>
      <c r="F31" s="952"/>
    </row>
    <row r="32" spans="1:6" s="376" customFormat="1">
      <c r="C32" s="951"/>
      <c r="D32" s="951"/>
      <c r="E32" s="951"/>
      <c r="F32" s="952">
        <f>SUM(F28:F31)</f>
        <v>5272400.7298989873</v>
      </c>
    </row>
    <row r="33" spans="2:6" s="376" customFormat="1">
      <c r="B33" s="376" t="s">
        <v>754</v>
      </c>
      <c r="C33" s="951">
        <v>0</v>
      </c>
      <c r="D33" s="951">
        <v>276448</v>
      </c>
      <c r="E33" s="951">
        <v>280708</v>
      </c>
      <c r="F33" s="952">
        <f>SUM(D33:E33)</f>
        <v>557156</v>
      </c>
    </row>
    <row r="34" spans="2:6" s="376" customFormat="1">
      <c r="B34" s="376" t="s">
        <v>767</v>
      </c>
      <c r="C34" s="951">
        <v>12332.104720195724</v>
      </c>
      <c r="D34" s="951">
        <v>7048.5609390405361</v>
      </c>
      <c r="E34" s="951">
        <v>1279.9984227275534</v>
      </c>
      <c r="F34" s="952">
        <f>SUM(D34:E34)</f>
        <v>8328.5593617680897</v>
      </c>
    </row>
    <row r="35" spans="2:6" s="376" customFormat="1" ht="15.75" thickBot="1"/>
    <row r="36" spans="2:6" s="376" customFormat="1">
      <c r="B36" s="1054" t="s">
        <v>759</v>
      </c>
      <c r="C36" s="1055"/>
    </row>
    <row r="37" spans="2:6" s="376" customFormat="1">
      <c r="B37" s="1056" t="s">
        <v>760</v>
      </c>
      <c r="C37" s="1057">
        <f>-D33-E33</f>
        <v>-557156</v>
      </c>
    </row>
    <row r="38" spans="2:6" s="376" customFormat="1">
      <c r="B38" s="1056" t="s">
        <v>761</v>
      </c>
      <c r="C38" s="1057">
        <f>-C37*0.21</f>
        <v>117002.76</v>
      </c>
    </row>
    <row r="39" spans="2:6" s="376" customFormat="1">
      <c r="B39" s="1056" t="s">
        <v>768</v>
      </c>
      <c r="C39" s="1057">
        <f>F34</f>
        <v>8328.5593617680897</v>
      </c>
    </row>
    <row r="40" spans="2:6" s="376" customFormat="1">
      <c r="B40" s="1056" t="s">
        <v>762</v>
      </c>
      <c r="C40" s="1057">
        <f>-C37-C38-C39</f>
        <v>431824.68063823192</v>
      </c>
    </row>
    <row r="41" spans="2:6" s="376" customFormat="1">
      <c r="B41" s="1056" t="s">
        <v>764</v>
      </c>
      <c r="C41" s="1057">
        <f>-C40/'COC, Def, ConvF'!$M$20</f>
        <v>-574708.01183185622</v>
      </c>
    </row>
    <row r="42" spans="2:6" s="376" customFormat="1">
      <c r="B42" s="1056"/>
      <c r="C42" s="1058"/>
    </row>
    <row r="43" spans="2:6" s="376" customFormat="1">
      <c r="B43" s="1056" t="s">
        <v>763</v>
      </c>
      <c r="C43" s="1057">
        <f>-F28-F29-F30</f>
        <v>-5272400.7298989873</v>
      </c>
    </row>
    <row r="44" spans="2:6" s="376" customFormat="1">
      <c r="B44" s="1056" t="s">
        <v>765</v>
      </c>
      <c r="C44" s="1059">
        <f>C43*'COC, Def, ConvF'!$H$14/'COC, Def, ConvF'!$M$20</f>
        <v>-514342.22252305527</v>
      </c>
    </row>
    <row r="45" spans="2:6" s="376" customFormat="1">
      <c r="B45" s="1056"/>
      <c r="C45" s="1058"/>
    </row>
    <row r="46" spans="2:6" s="376" customFormat="1">
      <c r="B46" s="1056" t="s">
        <v>766</v>
      </c>
      <c r="C46" s="1057">
        <f>C41+C44</f>
        <v>-1089050.2343549114</v>
      </c>
    </row>
    <row r="47" spans="2:6" s="376" customFormat="1" ht="15.75" thickBot="1">
      <c r="B47" s="1060"/>
      <c r="C47" s="1061">
        <f>C46-'Detailed Summary'!AF64</f>
        <v>0</v>
      </c>
    </row>
    <row r="48" spans="2:6" s="376" customFormat="1"/>
    <row r="49" s="376" customFormat="1"/>
  </sheetData>
  <mergeCells count="1">
    <mergeCell ref="B6:F6"/>
  </mergeCells>
  <pageMargins left="0.7" right="0.7" top="0.75" bottom="0.75" header="0.3" footer="0.3"/>
  <pageSetup scale="72" orientation="portrait" r:id="rId1"/>
  <headerFooter>
    <oddHeader xml:space="preserve">&amp;R&amp;"Times New Roman,Regular"&amp;9Exh. JL-2r
Dockets UE 190529 / UG-190530 and 
UE-190274 / UG-190275 (consol.)
Page &amp;P of &amp;N&amp;11 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75"/>
  <sheetViews>
    <sheetView view="pageLayout" topLeftCell="C1" zoomScaleNormal="82" workbookViewId="0">
      <selection activeCell="G24" sqref="G24"/>
    </sheetView>
  </sheetViews>
  <sheetFormatPr defaultColWidth="9.140625" defaultRowHeight="15"/>
  <cols>
    <col min="1" max="1" width="9.140625" style="620"/>
    <col min="2" max="2" width="38.5703125" style="620" bestFit="1" customWidth="1"/>
    <col min="3" max="3" width="14.28515625" style="620" bestFit="1" customWidth="1"/>
    <col min="4" max="4" width="12.85546875" style="620" customWidth="1"/>
    <col min="5" max="5" width="20.7109375" style="620" customWidth="1"/>
    <col min="6" max="6" width="22" style="620" bestFit="1" customWidth="1"/>
    <col min="7" max="7" width="71.28515625" style="620" bestFit="1" customWidth="1"/>
    <col min="8" max="16384" width="9.140625" style="620"/>
  </cols>
  <sheetData>
    <row r="1" spans="1:7" s="619" customFormat="1">
      <c r="A1" s="621"/>
      <c r="B1" s="621"/>
      <c r="C1" s="621"/>
      <c r="D1" s="621"/>
      <c r="F1" s="628" t="s">
        <v>795</v>
      </c>
    </row>
    <row r="2" spans="1:7" s="619" customFormat="1">
      <c r="A2" s="621"/>
      <c r="B2" s="621"/>
      <c r="C2" s="621"/>
      <c r="D2" s="621"/>
      <c r="F2" s="628" t="s">
        <v>955</v>
      </c>
    </row>
    <row r="3" spans="1:7">
      <c r="A3" s="622"/>
      <c r="B3" s="622"/>
      <c r="C3" s="622"/>
      <c r="D3" s="622"/>
      <c r="E3" s="622"/>
      <c r="F3" s="628" t="s">
        <v>954</v>
      </c>
      <c r="G3" s="628"/>
    </row>
    <row r="4" spans="1:7">
      <c r="A4" s="622"/>
      <c r="B4" s="622"/>
      <c r="C4" s="622"/>
      <c r="D4" s="622"/>
      <c r="E4" s="622"/>
      <c r="F4" s="622"/>
    </row>
    <row r="5" spans="1:7" s="376" customFormat="1">
      <c r="A5" s="909"/>
      <c r="B5" s="910" t="s">
        <v>91</v>
      </c>
      <c r="C5" s="910"/>
      <c r="D5" s="911"/>
      <c r="E5" s="911"/>
      <c r="F5" s="911"/>
    </row>
    <row r="6" spans="1:7" s="376" customFormat="1">
      <c r="A6" s="911"/>
      <c r="B6" s="1088" t="s">
        <v>770</v>
      </c>
      <c r="C6" s="1088"/>
      <c r="D6" s="1088"/>
      <c r="E6" s="1088"/>
      <c r="F6" s="1088"/>
    </row>
    <row r="7" spans="1:7" s="376" customFormat="1">
      <c r="A7" s="909"/>
      <c r="B7" s="910" t="str">
        <f>TESTYEAR_E</f>
        <v>12 MONTHS ENDED DECEMBER 31, 2018</v>
      </c>
      <c r="C7" s="910"/>
      <c r="D7" s="911"/>
      <c r="E7" s="911"/>
      <c r="F7" s="911"/>
    </row>
    <row r="8" spans="1:7" s="376" customFormat="1">
      <c r="A8" s="909"/>
      <c r="B8" s="910" t="str">
        <f>CASE_E</f>
        <v>2019 GENERAL RATE CASE</v>
      </c>
      <c r="C8" s="910"/>
      <c r="D8" s="911"/>
      <c r="E8" s="911"/>
      <c r="F8" s="911"/>
    </row>
    <row r="9" spans="1:7" s="908" customFormat="1">
      <c r="A9" s="906"/>
      <c r="B9" s="912"/>
      <c r="C9" s="912"/>
      <c r="D9" s="913"/>
      <c r="E9" s="913"/>
      <c r="F9" s="914"/>
    </row>
    <row r="10" spans="1:7" s="376" customFormat="1">
      <c r="C10" s="941"/>
      <c r="D10" s="915" t="s">
        <v>263</v>
      </c>
      <c r="E10" s="916"/>
      <c r="F10" s="917" t="s">
        <v>105</v>
      </c>
    </row>
    <row r="11" spans="1:7" s="376" customFormat="1">
      <c r="A11" s="918" t="s">
        <v>43</v>
      </c>
      <c r="B11" s="918"/>
      <c r="C11" s="942"/>
      <c r="D11" s="917" t="s">
        <v>40</v>
      </c>
      <c r="E11" s="917" t="s">
        <v>105</v>
      </c>
      <c r="F11" s="917" t="s">
        <v>52</v>
      </c>
    </row>
    <row r="12" spans="1:7" s="376" customFormat="1">
      <c r="A12" s="919" t="s">
        <v>44</v>
      </c>
      <c r="B12" s="920" t="s">
        <v>73</v>
      </c>
      <c r="C12" s="943" t="s">
        <v>261</v>
      </c>
      <c r="D12" s="921" t="s">
        <v>264</v>
      </c>
      <c r="E12" s="922" t="s">
        <v>265</v>
      </c>
      <c r="F12" s="921" t="s">
        <v>266</v>
      </c>
    </row>
    <row r="13" spans="1:7" s="376" customFormat="1">
      <c r="A13" s="923">
        <v>1</v>
      </c>
      <c r="B13" s="909" t="s">
        <v>794</v>
      </c>
      <c r="C13" s="909"/>
      <c r="D13" s="909"/>
      <c r="E13" s="909"/>
      <c r="F13" s="909"/>
    </row>
    <row r="14" spans="1:7" s="376" customFormat="1">
      <c r="A14" s="923">
        <f>1+A13</f>
        <v>2</v>
      </c>
      <c r="B14" s="945" t="s">
        <v>771</v>
      </c>
      <c r="C14" s="945"/>
      <c r="D14" s="953">
        <f>D51+D59</f>
        <v>518099.32749999996</v>
      </c>
      <c r="E14" s="273">
        <v>0</v>
      </c>
      <c r="F14" s="273">
        <f>E14-D14</f>
        <v>-518099.32749999996</v>
      </c>
    </row>
    <row r="15" spans="1:7" s="376" customFormat="1">
      <c r="A15" s="923">
        <f>A14+1</f>
        <v>3</v>
      </c>
      <c r="B15" s="945" t="s">
        <v>102</v>
      </c>
      <c r="C15" s="945"/>
      <c r="D15" s="257">
        <f>-D21</f>
        <v>6934</v>
      </c>
      <c r="E15" s="273">
        <v>0</v>
      </c>
      <c r="F15" s="273">
        <f>E15-D15</f>
        <v>-6934</v>
      </c>
    </row>
    <row r="16" spans="1:7" s="376" customFormat="1" ht="15.75" thickBot="1">
      <c r="A16" s="923">
        <f t="shared" ref="A16:A24" si="0">A15+1</f>
        <v>4</v>
      </c>
      <c r="B16" s="946" t="s">
        <v>154</v>
      </c>
      <c r="C16" s="947">
        <f>+FIT_E</f>
        <v>0.21</v>
      </c>
      <c r="D16" s="257">
        <f>-(D14+D15)*C16</f>
        <v>-110256.99877499997</v>
      </c>
      <c r="E16" s="273">
        <v>0</v>
      </c>
      <c r="F16" s="273">
        <f>E16-D16</f>
        <v>110256.99877499997</v>
      </c>
    </row>
    <row r="17" spans="1:6" s="376" customFormat="1" ht="15.75" thickTop="1">
      <c r="A17" s="923">
        <f t="shared" si="0"/>
        <v>5</v>
      </c>
      <c r="B17" s="946" t="s">
        <v>95</v>
      </c>
      <c r="C17" s="946"/>
      <c r="D17" s="948">
        <f>-SUM(D14:D16)</f>
        <v>-414776.32872499991</v>
      </c>
      <c r="E17" s="948"/>
      <c r="F17" s="948">
        <f>E17-D17</f>
        <v>414776.32872499991</v>
      </c>
    </row>
    <row r="18" spans="1:6" s="376" customFormat="1">
      <c r="A18" s="923">
        <f t="shared" si="0"/>
        <v>6</v>
      </c>
      <c r="B18" s="946"/>
      <c r="C18" s="946"/>
      <c r="D18" s="273"/>
      <c r="E18" s="273"/>
      <c r="F18" s="273"/>
    </row>
    <row r="19" spans="1:6" s="376" customFormat="1">
      <c r="A19" s="923">
        <f t="shared" si="0"/>
        <v>7</v>
      </c>
      <c r="B19" s="909" t="s">
        <v>74</v>
      </c>
      <c r="C19" s="909"/>
      <c r="D19" s="909"/>
      <c r="E19" s="909"/>
      <c r="F19" s="909"/>
    </row>
    <row r="20" spans="1:6" s="376" customFormat="1">
      <c r="A20" s="923">
        <f t="shared" si="0"/>
        <v>8</v>
      </c>
      <c r="B20" s="909" t="s">
        <v>752</v>
      </c>
      <c r="C20" s="909"/>
      <c r="D20" s="924">
        <v>334385</v>
      </c>
      <c r="E20" s="909">
        <v>0</v>
      </c>
      <c r="F20" s="924">
        <f>E20-D20</f>
        <v>-334385</v>
      </c>
    </row>
    <row r="21" spans="1:6" s="376" customFormat="1">
      <c r="A21" s="923">
        <f t="shared" si="0"/>
        <v>9</v>
      </c>
      <c r="B21" s="909" t="s">
        <v>756</v>
      </c>
      <c r="C21" s="909"/>
      <c r="D21" s="926">
        <v>-6934</v>
      </c>
      <c r="E21" s="909">
        <v>0</v>
      </c>
      <c r="F21" s="926">
        <f t="shared" ref="F21:F22" si="1">E21-D21</f>
        <v>6934</v>
      </c>
    </row>
    <row r="22" spans="1:6" s="376" customFormat="1">
      <c r="A22" s="923">
        <f t="shared" si="0"/>
        <v>10</v>
      </c>
      <c r="B22" s="909" t="s">
        <v>757</v>
      </c>
      <c r="C22" s="909"/>
      <c r="D22" s="954">
        <v>-1177</v>
      </c>
      <c r="E22" s="909">
        <v>0</v>
      </c>
      <c r="F22" s="954">
        <f t="shared" si="1"/>
        <v>1177</v>
      </c>
    </row>
    <row r="23" spans="1:6" s="376" customFormat="1" ht="15.75" thickBot="1">
      <c r="A23" s="923">
        <f t="shared" si="0"/>
        <v>11</v>
      </c>
      <c r="B23" s="909"/>
      <c r="C23" s="909"/>
      <c r="D23" s="927"/>
      <c r="E23" s="928"/>
      <c r="F23" s="927"/>
    </row>
    <row r="24" spans="1:6" s="376" customFormat="1" ht="15.75" thickTop="1">
      <c r="A24" s="923">
        <f t="shared" si="0"/>
        <v>12</v>
      </c>
      <c r="B24" s="376" t="s">
        <v>758</v>
      </c>
      <c r="D24" s="929">
        <f>SUM(D20:D23)</f>
        <v>326274</v>
      </c>
      <c r="E24" s="376">
        <f>SUM(E20:E23)</f>
        <v>0</v>
      </c>
      <c r="F24" s="929">
        <f>SUM(F20:F23)</f>
        <v>-326274</v>
      </c>
    </row>
    <row r="25" spans="1:6" s="376" customFormat="1"/>
    <row r="26" spans="1:6" s="878" customFormat="1" ht="15.75" thickBot="1"/>
    <row r="27" spans="1:6" s="376" customFormat="1">
      <c r="B27" s="1054" t="s">
        <v>759</v>
      </c>
      <c r="C27" s="1055"/>
    </row>
    <row r="28" spans="1:6" s="376" customFormat="1">
      <c r="B28" s="1056" t="s">
        <v>940</v>
      </c>
      <c r="C28" s="1057">
        <f>F14+F15</f>
        <v>-525033.3274999999</v>
      </c>
    </row>
    <row r="29" spans="1:6" s="376" customFormat="1">
      <c r="B29" s="1056" t="s">
        <v>761</v>
      </c>
      <c r="C29" s="1057">
        <f>F16</f>
        <v>110256.99877499997</v>
      </c>
    </row>
    <row r="30" spans="1:6" s="376" customFormat="1">
      <c r="B30" s="1056" t="s">
        <v>762</v>
      </c>
      <c r="C30" s="1057">
        <f>-C28-C29</f>
        <v>414776.32872499991</v>
      </c>
    </row>
    <row r="31" spans="1:6" s="376" customFormat="1">
      <c r="B31" s="1056" t="s">
        <v>764</v>
      </c>
      <c r="C31" s="1057">
        <f>-C30/'COC, Def, ConvF'!$M$20</f>
        <v>-552018.65461729793</v>
      </c>
    </row>
    <row r="32" spans="1:6" s="376" customFormat="1">
      <c r="B32" s="1056"/>
      <c r="C32" s="1058"/>
    </row>
    <row r="33" spans="1:7" s="376" customFormat="1">
      <c r="B33" s="1056" t="s">
        <v>763</v>
      </c>
      <c r="C33" s="1057">
        <f>F24</f>
        <v>-326274</v>
      </c>
    </row>
    <row r="34" spans="1:7" s="376" customFormat="1">
      <c r="B34" s="1056" t="s">
        <v>765</v>
      </c>
      <c r="C34" s="1059">
        <f>C33*'COC, Def, ConvF'!$H$14/'COC, Def, ConvF'!$M$20</f>
        <v>-31829.237364266599</v>
      </c>
      <c r="D34" s="955">
        <f>C34-'Detailed Summary'!AG64</f>
        <v>0</v>
      </c>
    </row>
    <row r="35" spans="1:7" s="376" customFormat="1">
      <c r="B35" s="1056"/>
      <c r="C35" s="1058"/>
    </row>
    <row r="36" spans="1:7" s="376" customFormat="1">
      <c r="B36" s="1056" t="s">
        <v>766</v>
      </c>
      <c r="C36" s="1057">
        <f>C31+C34</f>
        <v>-583847.89198156458</v>
      </c>
    </row>
    <row r="37" spans="1:7" s="376" customFormat="1" ht="15.75" thickBot="1">
      <c r="B37" s="1060"/>
      <c r="C37" s="1061"/>
    </row>
    <row r="38" spans="1:7" s="376" customFormat="1">
      <c r="A38" s="878" t="s">
        <v>945</v>
      </c>
      <c r="B38" s="878" t="s">
        <v>946</v>
      </c>
    </row>
    <row r="39" spans="1:7" s="376" customFormat="1">
      <c r="B39" s="956" t="s">
        <v>789</v>
      </c>
      <c r="G39" s="956"/>
    </row>
    <row r="40" spans="1:7" s="376" customFormat="1">
      <c r="B40" s="376" t="s">
        <v>772</v>
      </c>
    </row>
    <row r="41" spans="1:7" s="376" customFormat="1">
      <c r="B41" s="376" t="s">
        <v>773</v>
      </c>
    </row>
    <row r="42" spans="1:7" s="376" customFormat="1"/>
    <row r="43" spans="1:7" s="376" customFormat="1">
      <c r="B43" s="949" t="s">
        <v>774</v>
      </c>
      <c r="C43" s="949" t="s">
        <v>775</v>
      </c>
      <c r="D43" s="949" t="s">
        <v>790</v>
      </c>
    </row>
    <row r="44" spans="1:7" s="376" customFormat="1">
      <c r="B44" s="376" t="s">
        <v>776</v>
      </c>
    </row>
    <row r="45" spans="1:7" s="376" customFormat="1">
      <c r="B45" s="376" t="s">
        <v>777</v>
      </c>
      <c r="C45" s="957">
        <v>917712.52</v>
      </c>
      <c r="D45" s="957">
        <f>C45*0.25</f>
        <v>229428.13</v>
      </c>
    </row>
    <row r="46" spans="1:7" s="376" customFormat="1">
      <c r="B46" s="376" t="s">
        <v>778</v>
      </c>
      <c r="C46" s="957">
        <v>63430.83</v>
      </c>
      <c r="D46" s="957">
        <f t="shared" ref="D46:D59" si="2">C46*0.25</f>
        <v>15857.7075</v>
      </c>
    </row>
    <row r="47" spans="1:7" s="376" customFormat="1">
      <c r="B47" s="376" t="s">
        <v>779</v>
      </c>
      <c r="C47" s="957">
        <v>13559.21</v>
      </c>
      <c r="D47" s="957">
        <f t="shared" si="2"/>
        <v>3389.8024999999998</v>
      </c>
    </row>
    <row r="48" spans="1:7" s="376" customFormat="1">
      <c r="B48" s="376" t="s">
        <v>780</v>
      </c>
      <c r="C48" s="957">
        <v>551812.12</v>
      </c>
      <c r="D48" s="957">
        <f t="shared" si="2"/>
        <v>137953.03</v>
      </c>
    </row>
    <row r="49" spans="2:4" s="376" customFormat="1">
      <c r="B49" s="376" t="s">
        <v>781</v>
      </c>
      <c r="C49" s="957">
        <v>78270.42</v>
      </c>
      <c r="D49" s="957">
        <f t="shared" si="2"/>
        <v>19567.605</v>
      </c>
    </row>
    <row r="50" spans="2:4" s="376" customFormat="1">
      <c r="B50" s="376" t="s">
        <v>782</v>
      </c>
      <c r="C50" s="957">
        <v>67612.210000000006</v>
      </c>
      <c r="D50" s="957">
        <f t="shared" si="2"/>
        <v>16903.052500000002</v>
      </c>
    </row>
    <row r="51" spans="2:4" s="376" customFormat="1">
      <c r="B51" s="376" t="s">
        <v>419</v>
      </c>
      <c r="C51" s="958">
        <f>SUM(C45:C50)</f>
        <v>1692397.3099999998</v>
      </c>
      <c r="D51" s="958">
        <f>SUM(D45:D50)</f>
        <v>423099.32749999996</v>
      </c>
    </row>
    <row r="52" spans="2:4" s="376" customFormat="1">
      <c r="C52" s="957"/>
      <c r="D52" s="957"/>
    </row>
    <row r="53" spans="2:4" s="376" customFormat="1">
      <c r="B53" s="376" t="s">
        <v>783</v>
      </c>
      <c r="C53" s="957"/>
      <c r="D53" s="957"/>
    </row>
    <row r="54" spans="2:4" s="376" customFormat="1">
      <c r="B54" s="376" t="s">
        <v>784</v>
      </c>
      <c r="C54" s="957">
        <v>850081.4</v>
      </c>
      <c r="D54" s="957">
        <f t="shared" si="2"/>
        <v>212520.35</v>
      </c>
    </row>
    <row r="55" spans="2:4" s="376" customFormat="1">
      <c r="B55" s="376" t="s">
        <v>785</v>
      </c>
      <c r="C55" s="957">
        <v>346695.51</v>
      </c>
      <c r="D55" s="957">
        <f t="shared" si="2"/>
        <v>86673.877500000002</v>
      </c>
    </row>
    <row r="56" spans="2:4" s="376" customFormat="1">
      <c r="B56" s="376" t="s">
        <v>786</v>
      </c>
      <c r="C56" s="957">
        <v>113236</v>
      </c>
      <c r="D56" s="957">
        <f t="shared" si="2"/>
        <v>28309</v>
      </c>
    </row>
    <row r="57" spans="2:4" s="376" customFormat="1">
      <c r="B57" s="376" t="s">
        <v>419</v>
      </c>
      <c r="C57" s="958">
        <f>SUM(C54:C56)</f>
        <v>1310012.9100000001</v>
      </c>
      <c r="D57" s="958">
        <f>SUM(D54:D56)</f>
        <v>327503.22750000004</v>
      </c>
    </row>
    <row r="58" spans="2:4" s="376" customFormat="1">
      <c r="C58" s="957"/>
      <c r="D58" s="957"/>
    </row>
    <row r="59" spans="2:4" s="376" customFormat="1">
      <c r="B59" s="376" t="s">
        <v>787</v>
      </c>
      <c r="C59" s="958">
        <v>380000</v>
      </c>
      <c r="D59" s="958">
        <f t="shared" si="2"/>
        <v>95000</v>
      </c>
    </row>
    <row r="60" spans="2:4" s="376" customFormat="1">
      <c r="C60" s="957"/>
      <c r="D60" s="957"/>
    </row>
    <row r="61" spans="2:4" s="376" customFormat="1">
      <c r="B61" s="376" t="s">
        <v>788</v>
      </c>
      <c r="C61" s="957">
        <v>3382410.65</v>
      </c>
      <c r="D61" s="957">
        <f>C61*0.25</f>
        <v>845602.66249999998</v>
      </c>
    </row>
    <row r="62" spans="2:4" s="376" customFormat="1">
      <c r="D62" s="957">
        <f>D51+D57+D59</f>
        <v>845602.55499999993</v>
      </c>
    </row>
    <row r="63" spans="2:4" s="376" customFormat="1"/>
    <row r="64" spans="2:4" s="376" customFormat="1">
      <c r="B64" s="956" t="s">
        <v>939</v>
      </c>
    </row>
    <row r="65" s="376" customFormat="1"/>
    <row r="66" s="376" customFormat="1"/>
    <row r="67" s="376" customFormat="1"/>
    <row r="68" s="376" customFormat="1"/>
    <row r="69" s="376" customFormat="1"/>
    <row r="70" s="376" customFormat="1"/>
    <row r="71" s="376" customFormat="1"/>
    <row r="72" s="376" customFormat="1"/>
    <row r="73" s="376" customFormat="1"/>
    <row r="74" s="376" customFormat="1"/>
    <row r="75" s="376" customFormat="1"/>
  </sheetData>
  <mergeCells count="1">
    <mergeCell ref="B6:F6"/>
  </mergeCells>
  <pageMargins left="0.7" right="0.7" top="0.75" bottom="0.75" header="0.3" footer="0.3"/>
  <pageSetup scale="76" orientation="portrait" r:id="rId1"/>
  <headerFooter>
    <oddHeader xml:space="preserve">&amp;R&amp;"Times New Roman,Regular"&amp;9Exh. JL-2r
Dockets UE 190529 / UG-190530 and 
UE-190274 / UG-190275 (consol.)
Page &amp;P of &amp;N&amp;11 
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37"/>
  <sheetViews>
    <sheetView view="pageLayout" zoomScaleNormal="85" workbookViewId="0">
      <selection activeCell="I2" sqref="I2"/>
    </sheetView>
  </sheetViews>
  <sheetFormatPr defaultColWidth="9.140625" defaultRowHeight="15"/>
  <cols>
    <col min="1" max="1" width="6.28515625" style="1" bestFit="1" customWidth="1"/>
    <col min="2" max="2" width="47.5703125" style="1" bestFit="1" customWidth="1"/>
    <col min="3" max="3" width="16.5703125" style="1" bestFit="1" customWidth="1"/>
    <col min="4" max="5" width="15.85546875" style="1" bestFit="1" customWidth="1"/>
    <col min="6" max="16384" width="9.140625" style="1"/>
  </cols>
  <sheetData>
    <row r="1" spans="1:6" s="908" customFormat="1">
      <c r="A1" s="906"/>
      <c r="B1" s="906"/>
      <c r="C1" s="906"/>
      <c r="D1" s="906"/>
      <c r="E1" s="905" t="s">
        <v>795</v>
      </c>
      <c r="F1" s="907"/>
    </row>
    <row r="2" spans="1:6" s="908" customFormat="1">
      <c r="A2" s="906"/>
      <c r="B2" s="906"/>
      <c r="C2" s="906"/>
      <c r="D2" s="906"/>
      <c r="E2" s="905" t="s">
        <v>953</v>
      </c>
      <c r="F2" s="907"/>
    </row>
    <row r="3" spans="1:6" s="376" customFormat="1">
      <c r="A3" s="909"/>
      <c r="B3" s="909"/>
      <c r="C3" s="909"/>
      <c r="D3" s="909"/>
      <c r="E3" s="909"/>
      <c r="F3" s="909"/>
    </row>
    <row r="4" spans="1:6" s="376" customFormat="1">
      <c r="A4" s="909"/>
      <c r="B4" s="909"/>
      <c r="C4" s="909"/>
      <c r="D4" s="909"/>
      <c r="E4" s="909"/>
      <c r="F4" s="909"/>
    </row>
    <row r="5" spans="1:6" s="376" customFormat="1">
      <c r="A5" s="909"/>
      <c r="B5" s="910" t="s">
        <v>91</v>
      </c>
      <c r="C5" s="910"/>
      <c r="D5" s="911"/>
      <c r="E5" s="911"/>
      <c r="F5" s="911"/>
    </row>
    <row r="6" spans="1:6" s="376" customFormat="1">
      <c r="A6" s="911"/>
      <c r="B6" s="1088" t="s">
        <v>801</v>
      </c>
      <c r="C6" s="1088"/>
      <c r="D6" s="1088"/>
      <c r="E6" s="1088"/>
      <c r="F6" s="1088"/>
    </row>
    <row r="7" spans="1:6" s="376" customFormat="1">
      <c r="A7" s="909"/>
      <c r="B7" s="910" t="str">
        <f>TESTYEAR_E</f>
        <v>12 MONTHS ENDED DECEMBER 31, 2018</v>
      </c>
      <c r="C7" s="910"/>
      <c r="D7" s="911"/>
      <c r="E7" s="911"/>
      <c r="F7" s="911"/>
    </row>
    <row r="8" spans="1:6" s="376" customFormat="1">
      <c r="A8" s="909"/>
      <c r="B8" s="910" t="str">
        <f>CASE_E</f>
        <v>2019 GENERAL RATE CASE</v>
      </c>
      <c r="C8" s="910"/>
      <c r="D8" s="911"/>
      <c r="E8" s="911"/>
      <c r="F8" s="911"/>
    </row>
    <row r="9" spans="1:6" s="908" customFormat="1">
      <c r="A9" s="906"/>
      <c r="B9" s="912"/>
      <c r="C9" s="912"/>
      <c r="D9" s="913"/>
      <c r="E9" s="913"/>
      <c r="F9" s="914"/>
    </row>
    <row r="10" spans="1:6" s="376" customFormat="1">
      <c r="C10" s="915" t="s">
        <v>263</v>
      </c>
      <c r="D10" s="916"/>
      <c r="E10" s="917" t="s">
        <v>105</v>
      </c>
    </row>
    <row r="11" spans="1:6" s="376" customFormat="1">
      <c r="A11" s="918" t="s">
        <v>43</v>
      </c>
      <c r="B11" s="918"/>
      <c r="C11" s="917" t="s">
        <v>40</v>
      </c>
      <c r="D11" s="917" t="s">
        <v>105</v>
      </c>
      <c r="E11" s="917" t="s">
        <v>52</v>
      </c>
    </row>
    <row r="12" spans="1:6" s="376" customFormat="1">
      <c r="A12" s="919" t="s">
        <v>44</v>
      </c>
      <c r="B12" s="920" t="s">
        <v>73</v>
      </c>
      <c r="C12" s="921" t="s">
        <v>264</v>
      </c>
      <c r="D12" s="922" t="s">
        <v>265</v>
      </c>
      <c r="E12" s="921" t="s">
        <v>266</v>
      </c>
    </row>
    <row r="13" spans="1:6" s="376" customFormat="1">
      <c r="A13" s="909"/>
      <c r="B13" s="909"/>
      <c r="C13" s="909"/>
      <c r="D13" s="909"/>
      <c r="E13" s="909"/>
    </row>
    <row r="14" spans="1:6" s="376" customFormat="1">
      <c r="A14" s="923">
        <v>1</v>
      </c>
      <c r="B14" s="909" t="s">
        <v>74</v>
      </c>
      <c r="C14" s="909"/>
      <c r="D14" s="909"/>
      <c r="E14" s="909"/>
    </row>
    <row r="15" spans="1:6" s="376" customFormat="1">
      <c r="A15" s="923">
        <f t="shared" ref="A15:A18" si="0">A14+1</f>
        <v>2</v>
      </c>
      <c r="B15" s="909" t="s">
        <v>752</v>
      </c>
      <c r="C15" s="924">
        <f>D25</f>
        <v>227315.76</v>
      </c>
      <c r="D15" s="925">
        <v>0</v>
      </c>
      <c r="E15" s="924">
        <f>D15-C15</f>
        <v>-227315.76</v>
      </c>
    </row>
    <row r="16" spans="1:6" s="376" customFormat="1">
      <c r="A16" s="923">
        <f t="shared" si="0"/>
        <v>3</v>
      </c>
      <c r="B16" s="909" t="s">
        <v>756</v>
      </c>
      <c r="C16" s="926">
        <f>D26</f>
        <v>0</v>
      </c>
      <c r="D16" s="909">
        <v>0</v>
      </c>
      <c r="E16" s="926">
        <f t="shared" ref="E16:E17" si="1">D16-C16</f>
        <v>0</v>
      </c>
    </row>
    <row r="17" spans="1:6" s="376" customFormat="1" ht="15.75" thickBot="1">
      <c r="A17" s="923">
        <f t="shared" si="0"/>
        <v>4</v>
      </c>
      <c r="B17" s="909" t="s">
        <v>757</v>
      </c>
      <c r="C17" s="927">
        <f>D27</f>
        <v>-15910.28</v>
      </c>
      <c r="D17" s="928">
        <v>0</v>
      </c>
      <c r="E17" s="927">
        <f t="shared" si="1"/>
        <v>15910.28</v>
      </c>
    </row>
    <row r="18" spans="1:6" s="376" customFormat="1" ht="15.75" thickTop="1">
      <c r="A18" s="923">
        <f t="shared" si="0"/>
        <v>5</v>
      </c>
      <c r="B18" s="376" t="s">
        <v>758</v>
      </c>
      <c r="C18" s="929">
        <f>SUM(C15:C17)</f>
        <v>211405.48</v>
      </c>
      <c r="D18" s="376">
        <f>SUM(D15:D17)</f>
        <v>0</v>
      </c>
      <c r="E18" s="929">
        <f>SUM(E15:E17)</f>
        <v>-211405.48</v>
      </c>
    </row>
    <row r="19" spans="1:6" s="376" customFormat="1">
      <c r="A19" s="923"/>
      <c r="C19" s="929"/>
      <c r="E19" s="929"/>
    </row>
    <row r="20" spans="1:6" s="376" customFormat="1">
      <c r="A20" s="923"/>
      <c r="B20" s="376" t="s">
        <v>930</v>
      </c>
      <c r="C20" s="929"/>
      <c r="E20" s="929">
        <f>E18*'COC, Def, ConvF'!$H$14/'COC, Def, ConvF'!$M$20</f>
        <v>-20623.387714089127</v>
      </c>
    </row>
    <row r="21" spans="1:6" s="376" customFormat="1">
      <c r="B21" s="376" t="s">
        <v>805</v>
      </c>
      <c r="E21" s="929">
        <f>E20-'Detailed Summary'!AH68</f>
        <v>0</v>
      </c>
    </row>
    <row r="22" spans="1:6" s="376" customFormat="1">
      <c r="A22" s="876"/>
    </row>
    <row r="23" spans="1:6">
      <c r="B23" s="879" t="s">
        <v>931</v>
      </c>
      <c r="C23" s="870" t="s">
        <v>839</v>
      </c>
      <c r="D23" s="870" t="s">
        <v>926</v>
      </c>
      <c r="E23" s="870" t="s">
        <v>928</v>
      </c>
    </row>
    <row r="24" spans="1:6">
      <c r="B24" s="869"/>
      <c r="C24" s="869"/>
      <c r="D24" s="871">
        <v>0.6673</v>
      </c>
      <c r="E24" s="871">
        <v>0.3327</v>
      </c>
    </row>
    <row r="25" spans="1:6">
      <c r="B25" s="869" t="s">
        <v>752</v>
      </c>
      <c r="C25" s="875">
        <v>340639</v>
      </c>
      <c r="D25" s="872">
        <v>227315.76</v>
      </c>
      <c r="E25" s="872">
        <v>113323.24</v>
      </c>
      <c r="F25" s="351"/>
    </row>
    <row r="26" spans="1:6">
      <c r="B26" s="869" t="s">
        <v>756</v>
      </c>
      <c r="C26" s="875">
        <v>0</v>
      </c>
      <c r="D26" s="875">
        <v>0</v>
      </c>
      <c r="E26" s="875">
        <v>0</v>
      </c>
      <c r="F26" s="351"/>
    </row>
    <row r="27" spans="1:6">
      <c r="B27" s="869" t="s">
        <v>927</v>
      </c>
      <c r="C27" s="875">
        <v>-23842</v>
      </c>
      <c r="D27" s="875">
        <v>-15910.28</v>
      </c>
      <c r="E27" s="875">
        <v>-7931.72</v>
      </c>
      <c r="F27" s="351"/>
    </row>
    <row r="28" spans="1:6">
      <c r="B28" s="873" t="s">
        <v>798</v>
      </c>
      <c r="C28" s="874">
        <f>SUM(C25:C27)</f>
        <v>316797</v>
      </c>
      <c r="D28" s="874">
        <f>SUM(D25:D27)</f>
        <v>211405.48</v>
      </c>
      <c r="E28" s="874">
        <f>SUM(E25:E27)</f>
        <v>105391.52</v>
      </c>
      <c r="F28" s="351"/>
    </row>
    <row r="29" spans="1:6">
      <c r="A29" s="877"/>
      <c r="B29" s="878" t="s">
        <v>929</v>
      </c>
    </row>
    <row r="33" spans="1:12" s="376" customFormat="1">
      <c r="B33" s="878" t="s">
        <v>799</v>
      </c>
    </row>
    <row r="34" spans="1:12" s="376" customFormat="1" ht="63.75" customHeight="1">
      <c r="B34" s="1089" t="s">
        <v>947</v>
      </c>
      <c r="C34" s="1089"/>
      <c r="D34" s="1089"/>
      <c r="E34" s="1089"/>
      <c r="F34" s="931"/>
      <c r="G34" s="931"/>
      <c r="H34" s="931"/>
      <c r="I34" s="931"/>
      <c r="J34" s="931"/>
    </row>
    <row r="35" spans="1:12" s="376" customFormat="1">
      <c r="A35" s="930"/>
      <c r="B35" s="1090" t="s">
        <v>800</v>
      </c>
      <c r="C35" s="1090"/>
      <c r="D35" s="1090"/>
      <c r="E35" s="1090"/>
      <c r="F35" s="930"/>
      <c r="G35" s="930"/>
      <c r="H35" s="930"/>
      <c r="I35" s="930"/>
      <c r="J35" s="930"/>
      <c r="K35" s="930"/>
      <c r="L35" s="930"/>
    </row>
    <row r="36" spans="1:12">
      <c r="A36" s="630"/>
      <c r="B36" s="630"/>
      <c r="C36" s="630"/>
      <c r="D36" s="630"/>
      <c r="E36" s="630"/>
      <c r="F36" s="630"/>
      <c r="G36" s="630"/>
      <c r="H36" s="630"/>
      <c r="I36" s="630"/>
      <c r="J36" s="630"/>
      <c r="K36" s="630"/>
      <c r="L36" s="630"/>
    </row>
    <row r="37" spans="1:12">
      <c r="A37" s="630"/>
      <c r="B37" s="630"/>
      <c r="C37" s="630"/>
      <c r="D37" s="630"/>
      <c r="E37" s="630"/>
      <c r="F37" s="630"/>
      <c r="G37" s="630"/>
      <c r="H37" s="630"/>
      <c r="I37" s="630"/>
      <c r="J37" s="630"/>
      <c r="K37" s="630"/>
      <c r="L37" s="630"/>
    </row>
  </sheetData>
  <mergeCells count="3">
    <mergeCell ref="B6:F6"/>
    <mergeCell ref="B34:E34"/>
    <mergeCell ref="B35:E35"/>
  </mergeCells>
  <pageMargins left="0.7" right="0.7" top="0.85" bottom="0.75" header="0.3" footer="0.3"/>
  <pageSetup scale="88" orientation="portrait" r:id="rId1"/>
  <headerFooter>
    <oddHeader xml:space="preserve">&amp;R&amp;"Times New Roman,Regular"&amp;9Exh. JL-2r
Dockets UE 190529 / UG-190530 and 
UE-190274 / UG-190275 (consol.)
Page &amp;P of &amp;N&amp;11 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46"/>
  <sheetViews>
    <sheetView view="pageLayout" zoomScaleNormal="100" workbookViewId="0">
      <selection activeCell="I2" sqref="I2"/>
    </sheetView>
  </sheetViews>
  <sheetFormatPr defaultColWidth="9.140625" defaultRowHeight="15"/>
  <cols>
    <col min="1" max="1" width="9.140625" style="620"/>
    <col min="2" max="2" width="38.5703125" style="620" bestFit="1" customWidth="1"/>
    <col min="3" max="3" width="14.28515625" style="620" bestFit="1" customWidth="1"/>
    <col min="4" max="4" width="12.85546875" style="620" customWidth="1"/>
    <col min="5" max="5" width="20.7109375" style="620" customWidth="1"/>
    <col min="6" max="6" width="13.140625" style="620" bestFit="1" customWidth="1"/>
    <col min="7" max="16384" width="9.140625" style="620"/>
  </cols>
  <sheetData>
    <row r="1" spans="1:6" s="619" customFormat="1">
      <c r="A1" s="621"/>
      <c r="B1" s="621"/>
      <c r="C1" s="621"/>
      <c r="D1" s="621"/>
      <c r="F1" s="628" t="s">
        <v>795</v>
      </c>
    </row>
    <row r="2" spans="1:6" s="619" customFormat="1">
      <c r="A2" s="621"/>
      <c r="B2" s="621"/>
      <c r="C2" s="621"/>
      <c r="D2" s="621"/>
      <c r="F2" s="628" t="s">
        <v>949</v>
      </c>
    </row>
    <row r="3" spans="1:6">
      <c r="A3" s="622"/>
      <c r="B3" s="622"/>
      <c r="C3" s="622"/>
      <c r="D3" s="622"/>
      <c r="E3" s="622"/>
      <c r="F3" s="622"/>
    </row>
    <row r="4" spans="1:6">
      <c r="A4" s="622"/>
      <c r="B4" s="622"/>
      <c r="C4" s="622"/>
      <c r="D4" s="622"/>
      <c r="E4" s="622"/>
      <c r="F4" s="622"/>
    </row>
    <row r="5" spans="1:6" s="376" customFormat="1">
      <c r="A5" s="909"/>
      <c r="B5" s="910" t="s">
        <v>91</v>
      </c>
      <c r="C5" s="910"/>
      <c r="D5" s="911"/>
      <c r="E5" s="911"/>
      <c r="F5" s="911"/>
    </row>
    <row r="6" spans="1:6" s="376" customFormat="1">
      <c r="A6" s="911"/>
      <c r="B6" s="1088" t="s">
        <v>832</v>
      </c>
      <c r="C6" s="1088"/>
      <c r="D6" s="1088"/>
      <c r="E6" s="1088"/>
      <c r="F6" s="1088"/>
    </row>
    <row r="7" spans="1:6" s="376" customFormat="1">
      <c r="A7" s="909"/>
      <c r="B7" s="910" t="str">
        <f>TESTYEAR_E</f>
        <v>12 MONTHS ENDED DECEMBER 31, 2018</v>
      </c>
      <c r="C7" s="910"/>
      <c r="D7" s="911"/>
      <c r="E7" s="911"/>
      <c r="F7" s="911"/>
    </row>
    <row r="8" spans="1:6" s="376" customFormat="1">
      <c r="A8" s="909"/>
      <c r="B8" s="910" t="str">
        <f>CASE_E</f>
        <v>2019 GENERAL RATE CASE</v>
      </c>
      <c r="C8" s="910"/>
      <c r="D8" s="911"/>
      <c r="E8" s="911"/>
      <c r="F8" s="911"/>
    </row>
    <row r="9" spans="1:6" s="908" customFormat="1">
      <c r="A9" s="906"/>
      <c r="B9" s="912"/>
      <c r="C9" s="912"/>
      <c r="D9" s="913"/>
      <c r="E9" s="913"/>
      <c r="F9" s="914"/>
    </row>
    <row r="10" spans="1:6" s="376" customFormat="1">
      <c r="C10" s="941"/>
      <c r="D10" s="915" t="s">
        <v>263</v>
      </c>
      <c r="E10" s="916"/>
      <c r="F10" s="917" t="s">
        <v>105</v>
      </c>
    </row>
    <row r="11" spans="1:6" s="376" customFormat="1">
      <c r="A11" s="918" t="s">
        <v>43</v>
      </c>
      <c r="B11" s="918"/>
      <c r="C11" s="942"/>
      <c r="D11" s="917" t="s">
        <v>40</v>
      </c>
      <c r="E11" s="917" t="s">
        <v>105</v>
      </c>
      <c r="F11" s="917" t="s">
        <v>52</v>
      </c>
    </row>
    <row r="12" spans="1:6" s="376" customFormat="1">
      <c r="A12" s="919" t="s">
        <v>44</v>
      </c>
      <c r="B12" s="920" t="s">
        <v>73</v>
      </c>
      <c r="C12" s="943" t="s">
        <v>261</v>
      </c>
      <c r="D12" s="921" t="s">
        <v>264</v>
      </c>
      <c r="E12" s="922" t="s">
        <v>265</v>
      </c>
      <c r="F12" s="921" t="s">
        <v>266</v>
      </c>
    </row>
    <row r="13" spans="1:6" s="376" customFormat="1">
      <c r="A13" s="909"/>
      <c r="B13" s="909"/>
      <c r="C13" s="909"/>
      <c r="D13" s="909"/>
      <c r="E13" s="909"/>
      <c r="F13" s="909"/>
    </row>
    <row r="14" spans="1:6" s="376" customFormat="1">
      <c r="A14" s="944">
        <v>1</v>
      </c>
      <c r="B14" s="909" t="s">
        <v>809</v>
      </c>
      <c r="C14" s="909"/>
      <c r="D14" s="909"/>
      <c r="E14" s="925"/>
      <c r="F14" s="909"/>
    </row>
    <row r="15" spans="1:6" s="376" customFormat="1">
      <c r="A15" s="923">
        <f>A14+1</f>
        <v>2</v>
      </c>
      <c r="B15" s="945" t="s">
        <v>754</v>
      </c>
      <c r="C15" s="945"/>
      <c r="D15" s="273">
        <v>57000</v>
      </c>
      <c r="E15" s="925">
        <v>0</v>
      </c>
      <c r="F15" s="273">
        <f>E15-D15</f>
        <v>-57000</v>
      </c>
    </row>
    <row r="16" spans="1:6" s="376" customFormat="1" ht="15.75" thickBot="1">
      <c r="A16" s="923">
        <f>A15+1</f>
        <v>3</v>
      </c>
      <c r="B16" s="946" t="s">
        <v>810</v>
      </c>
      <c r="C16" s="947">
        <f>+FIT_E</f>
        <v>0.21</v>
      </c>
      <c r="D16" s="959">
        <f>-D15*C16</f>
        <v>-11970</v>
      </c>
      <c r="E16" s="959">
        <v>0</v>
      </c>
      <c r="F16" s="960">
        <f>E16-D16</f>
        <v>11970</v>
      </c>
    </row>
    <row r="17" spans="1:6" s="376" customFormat="1" ht="15.75" thickTop="1">
      <c r="A17" s="923">
        <f t="shared" ref="A17:A21" si="0">A16+1</f>
        <v>4</v>
      </c>
      <c r="B17" s="946" t="s">
        <v>95</v>
      </c>
      <c r="C17" s="946"/>
      <c r="D17" s="273">
        <f>SUM(D15:D16)</f>
        <v>45030</v>
      </c>
      <c r="E17" s="925">
        <v>0</v>
      </c>
      <c r="F17" s="273">
        <f>E17-D17</f>
        <v>-45030</v>
      </c>
    </row>
    <row r="18" spans="1:6" s="376" customFormat="1">
      <c r="A18" s="923">
        <f t="shared" si="0"/>
        <v>5</v>
      </c>
      <c r="B18" s="946"/>
      <c r="C18" s="946"/>
      <c r="D18" s="273"/>
      <c r="E18" s="273"/>
      <c r="F18" s="273"/>
    </row>
    <row r="19" spans="1:6" s="376" customFormat="1">
      <c r="A19" s="923">
        <f t="shared" si="0"/>
        <v>6</v>
      </c>
      <c r="B19" s="909" t="s">
        <v>74</v>
      </c>
      <c r="C19" s="909"/>
      <c r="D19" s="909"/>
      <c r="E19" s="909"/>
      <c r="F19" s="909"/>
    </row>
    <row r="20" spans="1:6" s="376" customFormat="1" ht="15.75" thickBot="1">
      <c r="A20" s="923">
        <f t="shared" si="0"/>
        <v>7</v>
      </c>
      <c r="B20" s="909" t="s">
        <v>835</v>
      </c>
      <c r="C20" s="273" t="s">
        <v>941</v>
      </c>
      <c r="D20" s="959">
        <v>550155.21</v>
      </c>
      <c r="E20" s="959">
        <v>0</v>
      </c>
      <c r="F20" s="961">
        <f>E20-D20</f>
        <v>-550155.21</v>
      </c>
    </row>
    <row r="21" spans="1:6" s="376" customFormat="1" ht="15.75" thickTop="1">
      <c r="A21" s="923">
        <f t="shared" si="0"/>
        <v>8</v>
      </c>
      <c r="B21" s="376" t="s">
        <v>758</v>
      </c>
      <c r="D21" s="929">
        <f>SUM(D20:D20)</f>
        <v>550155.21</v>
      </c>
      <c r="E21" s="376">
        <f>SUM(E20:E20)</f>
        <v>0</v>
      </c>
      <c r="F21" s="929">
        <f>SUM(F20:F20)</f>
        <v>-550155.21</v>
      </c>
    </row>
    <row r="22" spans="1:6" s="376" customFormat="1"/>
    <row r="23" spans="1:6" s="376" customFormat="1" ht="15.75" thickBot="1">
      <c r="A23" s="878"/>
    </row>
    <row r="24" spans="1:6" s="376" customFormat="1">
      <c r="B24" s="1054" t="s">
        <v>759</v>
      </c>
      <c r="C24" s="1055"/>
    </row>
    <row r="25" spans="1:6" s="376" customFormat="1">
      <c r="B25" s="1056" t="s">
        <v>760</v>
      </c>
      <c r="C25" s="1057">
        <f>F15</f>
        <v>-57000</v>
      </c>
    </row>
    <row r="26" spans="1:6" s="376" customFormat="1">
      <c r="B26" s="1056" t="s">
        <v>761</v>
      </c>
      <c r="C26" s="1057">
        <f>-C25*0.21</f>
        <v>11970</v>
      </c>
    </row>
    <row r="27" spans="1:6" s="376" customFormat="1">
      <c r="B27" s="1056" t="s">
        <v>762</v>
      </c>
      <c r="C27" s="1057">
        <f>-C25-C26</f>
        <v>45030</v>
      </c>
    </row>
    <row r="28" spans="1:6" s="376" customFormat="1">
      <c r="B28" s="1056" t="s">
        <v>764</v>
      </c>
      <c r="C28" s="1057">
        <f>-C27/'COC, Def, ConvF'!M20</f>
        <v>-59929.649538649501</v>
      </c>
    </row>
    <row r="29" spans="1:6" s="376" customFormat="1">
      <c r="B29" s="1056"/>
      <c r="C29" s="1058"/>
    </row>
    <row r="30" spans="1:6" s="376" customFormat="1">
      <c r="B30" s="1056" t="s">
        <v>763</v>
      </c>
      <c r="C30" s="1057">
        <f>F20</f>
        <v>-550155.21</v>
      </c>
    </row>
    <row r="31" spans="1:6" s="376" customFormat="1">
      <c r="B31" s="1056" t="s">
        <v>765</v>
      </c>
      <c r="C31" s="1059">
        <f>C30*'COC, Def, ConvF'!$H$14/'COC, Def, ConvF'!$M$20</f>
        <v>-53669.678755518173</v>
      </c>
    </row>
    <row r="32" spans="1:6" s="376" customFormat="1">
      <c r="B32" s="1056"/>
      <c r="C32" s="1058"/>
    </row>
    <row r="33" spans="1:3" s="376" customFormat="1">
      <c r="B33" s="1056" t="s">
        <v>766</v>
      </c>
      <c r="C33" s="1057">
        <f>C28+C31</f>
        <v>-113599.32829416767</v>
      </c>
    </row>
    <row r="34" spans="1:3" s="376" customFormat="1" ht="15.75" thickBot="1">
      <c r="B34" s="1060"/>
      <c r="C34" s="1061">
        <f>C33-'Detailed Summary'!BK68</f>
        <v>0</v>
      </c>
    </row>
    <row r="35" spans="1:3" s="376" customFormat="1"/>
    <row r="36" spans="1:3" s="376" customFormat="1">
      <c r="A36" s="878" t="s">
        <v>948</v>
      </c>
    </row>
    <row r="37" spans="1:3" s="376" customFormat="1"/>
    <row r="38" spans="1:3" s="376" customFormat="1"/>
    <row r="39" spans="1:3" s="376" customFormat="1"/>
    <row r="40" spans="1:3" s="376" customFormat="1"/>
    <row r="41" spans="1:3" s="376" customFormat="1"/>
    <row r="42" spans="1:3" s="376" customFormat="1"/>
    <row r="43" spans="1:3" s="376" customFormat="1"/>
    <row r="44" spans="1:3" s="376" customFormat="1"/>
    <row r="45" spans="1:3" s="376" customFormat="1"/>
    <row r="46" spans="1:3" s="376" customFormat="1"/>
  </sheetData>
  <mergeCells count="1">
    <mergeCell ref="B6:F6"/>
  </mergeCells>
  <pageMargins left="0.7" right="0.7" top="0.85" bottom="0.75" header="0.3" footer="0.3"/>
  <pageSetup scale="83" orientation="portrait" r:id="rId1"/>
  <headerFooter>
    <oddHeader xml:space="preserve">&amp;R&amp;"Times New Roman,Regular"&amp;9Exh. JL-2r
Dockets UE 190529 / UG-190530 and 
UE-190274 / UG-190275 (consol.)
Page &amp;P of &amp;N&amp;11 
</oddHeader>
  </headerFooter>
  <colBreaks count="1" manualBreakCount="1">
    <brk id="6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>
      <selection activeCell="P12" sqref="P12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C9"/>
  <sheetViews>
    <sheetView workbookViewId="0">
      <selection activeCell="B29" sqref="B29"/>
    </sheetView>
  </sheetViews>
  <sheetFormatPr defaultRowHeight="15"/>
  <cols>
    <col min="2" max="2" width="15.85546875" bestFit="1" customWidth="1"/>
    <col min="3" max="3" width="23.5703125" bestFit="1" customWidth="1"/>
  </cols>
  <sheetData>
    <row r="3" spans="2:3">
      <c r="B3" t="s">
        <v>85</v>
      </c>
      <c r="C3" s="4">
        <v>0.21</v>
      </c>
    </row>
    <row r="4" spans="2:3">
      <c r="B4" t="s">
        <v>86</v>
      </c>
      <c r="C4" t="s">
        <v>208</v>
      </c>
    </row>
    <row r="5" spans="2:3">
      <c r="B5" t="s">
        <v>87</v>
      </c>
      <c r="C5" t="s">
        <v>273</v>
      </c>
    </row>
    <row r="6" spans="2:3">
      <c r="B6" t="s">
        <v>88</v>
      </c>
      <c r="C6" t="s">
        <v>361</v>
      </c>
    </row>
    <row r="7" spans="2:3">
      <c r="B7" t="s">
        <v>90</v>
      </c>
      <c r="C7" t="s">
        <v>89</v>
      </c>
    </row>
    <row r="8" spans="2:3">
      <c r="B8" t="s">
        <v>123</v>
      </c>
      <c r="C8" t="s">
        <v>503</v>
      </c>
    </row>
    <row r="9" spans="2:3">
      <c r="B9" t="s">
        <v>124</v>
      </c>
      <c r="C9" t="s">
        <v>204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57"/>
  <sheetViews>
    <sheetView tabSelected="1" topLeftCell="K4" zoomScale="85" zoomScaleNormal="85" zoomScaleSheetLayoutView="55" workbookViewId="0">
      <selection activeCell="O22" sqref="O22"/>
    </sheetView>
  </sheetViews>
  <sheetFormatPr defaultColWidth="9.140625" defaultRowHeight="12.75" outlineLevelCol="1"/>
  <cols>
    <col min="1" max="1" width="5" style="286" bestFit="1" customWidth="1"/>
    <col min="2" max="2" width="76.42578125" style="286" bestFit="1" customWidth="1"/>
    <col min="3" max="3" width="25.85546875" style="286" customWidth="1"/>
    <col min="4" max="4" width="5" style="286" bestFit="1" customWidth="1"/>
    <col min="5" max="5" width="41.7109375" style="286" bestFit="1" customWidth="1"/>
    <col min="6" max="8" width="12.140625" style="286" customWidth="1"/>
    <col min="9" max="9" width="5" style="286" bestFit="1" customWidth="1"/>
    <col min="10" max="10" width="61.7109375" style="286" bestFit="1" customWidth="1"/>
    <col min="11" max="11" width="7.85546875" style="286" customWidth="1"/>
    <col min="12" max="12" width="9.140625" style="286"/>
    <col min="13" max="13" width="11.7109375" style="286" bestFit="1" customWidth="1"/>
    <col min="14" max="14" width="5" style="286" bestFit="1" customWidth="1"/>
    <col min="15" max="15" width="77.85546875" style="286" bestFit="1" customWidth="1"/>
    <col min="16" max="16" width="25" style="286" bestFit="1" customWidth="1"/>
    <col min="17" max="17" width="5.140625" style="286" bestFit="1" customWidth="1"/>
    <col min="18" max="18" width="43.42578125" style="286" bestFit="1" customWidth="1"/>
    <col min="19" max="19" width="16.85546875" style="286" bestFit="1" customWidth="1"/>
    <col min="20" max="20" width="14.85546875" style="286" customWidth="1"/>
    <col min="21" max="21" width="12.28515625" style="286" bestFit="1" customWidth="1"/>
    <col min="22" max="22" width="4.42578125" style="286" customWidth="1"/>
    <col min="23" max="23" width="42.140625" style="286" customWidth="1"/>
    <col min="24" max="24" width="14.5703125" style="286" hidden="1" customWidth="1" outlineLevel="1"/>
    <col min="25" max="25" width="25.140625" style="286" hidden="1" customWidth="1" outlineLevel="1"/>
    <col min="26" max="26" width="4.5703125" style="286" hidden="1" customWidth="1" outlineLevel="1"/>
    <col min="27" max="27" width="20.85546875" style="286" hidden="1" customWidth="1" outlineLevel="1"/>
    <col min="28" max="28" width="13.140625" style="286" hidden="1" customWidth="1" outlineLevel="1"/>
    <col min="29" max="29" width="9.140625" style="286" hidden="1" customWidth="1" outlineLevel="1"/>
    <col min="30" max="30" width="14.5703125" style="286" bestFit="1" customWidth="1" collapsed="1"/>
    <col min="31" max="31" width="25.140625" style="286" bestFit="1" customWidth="1"/>
    <col min="32" max="32" width="4.5703125" style="286" bestFit="1" customWidth="1"/>
    <col min="33" max="33" width="17.28515625" style="286" bestFit="1" customWidth="1"/>
    <col min="34" max="34" width="13.140625" style="286" bestFit="1" customWidth="1"/>
    <col min="35" max="16384" width="9.140625" style="286"/>
  </cols>
  <sheetData>
    <row r="1" spans="1:34" ht="18">
      <c r="C1" s="367" t="s">
        <v>613</v>
      </c>
      <c r="G1" s="365" t="s">
        <v>732</v>
      </c>
      <c r="H1" s="366"/>
      <c r="K1" s="365" t="s">
        <v>614</v>
      </c>
      <c r="L1" s="368"/>
      <c r="M1" s="366"/>
      <c r="P1" s="367" t="s">
        <v>615</v>
      </c>
      <c r="T1" s="365" t="s">
        <v>627</v>
      </c>
      <c r="U1" s="497"/>
      <c r="V1" s="594" t="s">
        <v>692</v>
      </c>
      <c r="W1" s="593"/>
      <c r="X1" s="560"/>
      <c r="Y1" s="560"/>
      <c r="Z1" s="560"/>
      <c r="AA1" s="560"/>
      <c r="AB1" s="560"/>
      <c r="AC1" s="560"/>
      <c r="AD1" s="590"/>
      <c r="AE1" s="590"/>
      <c r="AF1" s="590"/>
      <c r="AG1" s="365" t="s">
        <v>693</v>
      </c>
      <c r="AH1" s="497"/>
    </row>
    <row r="2" spans="1:34" s="616" customFormat="1" ht="18">
      <c r="A2" s="1062"/>
      <c r="B2" s="1062" t="s">
        <v>743</v>
      </c>
      <c r="C2" s="1063"/>
      <c r="D2" s="1063"/>
      <c r="E2" s="1062" t="s">
        <v>743</v>
      </c>
      <c r="F2" s="1063"/>
      <c r="G2" s="1063"/>
      <c r="H2" s="1063"/>
      <c r="I2" s="1064"/>
      <c r="J2" s="89"/>
      <c r="K2" s="28"/>
      <c r="L2" s="28"/>
      <c r="M2" s="28"/>
      <c r="N2" s="89"/>
      <c r="O2" s="89"/>
      <c r="P2" s="89"/>
      <c r="Q2" s="89"/>
      <c r="R2" s="89"/>
      <c r="S2" s="89"/>
      <c r="T2" s="28"/>
      <c r="U2" s="28"/>
      <c r="V2" s="592"/>
      <c r="W2" s="588"/>
      <c r="X2" s="560"/>
      <c r="Y2" s="560"/>
      <c r="Z2" s="560"/>
      <c r="AA2" s="560"/>
      <c r="AB2" s="560"/>
      <c r="AC2" s="560"/>
      <c r="AE2" s="615"/>
      <c r="AF2" s="615"/>
      <c r="AG2" s="615"/>
      <c r="AH2" s="591"/>
    </row>
    <row r="3" spans="1:34" ht="15.75" thickBot="1">
      <c r="A3" s="89" t="s">
        <v>72</v>
      </c>
      <c r="B3" s="89"/>
      <c r="C3" s="89"/>
      <c r="D3" s="89" t="s">
        <v>72</v>
      </c>
      <c r="E3" s="89"/>
      <c r="F3" s="89"/>
      <c r="G3" s="89"/>
      <c r="H3" s="89"/>
      <c r="I3" s="89"/>
      <c r="J3" s="89" t="s">
        <v>72</v>
      </c>
      <c r="K3" s="28"/>
      <c r="L3" s="28"/>
      <c r="M3" s="28"/>
      <c r="N3" s="89" t="s">
        <v>72</v>
      </c>
      <c r="O3" s="89"/>
      <c r="P3" s="89"/>
      <c r="Q3" s="89" t="s">
        <v>72</v>
      </c>
      <c r="R3" s="89"/>
      <c r="S3" s="89"/>
      <c r="T3" s="28"/>
      <c r="U3" s="28"/>
      <c r="V3" s="589"/>
      <c r="W3" s="615"/>
      <c r="X3" s="560"/>
      <c r="Y3" s="560"/>
      <c r="Z3" s="560"/>
      <c r="AA3" s="560"/>
      <c r="AB3" s="560"/>
      <c r="AC3" s="560"/>
      <c r="AD3" s="590"/>
      <c r="AE3" s="590"/>
      <c r="AF3" s="590"/>
      <c r="AG3" s="590"/>
      <c r="AH3" s="501"/>
    </row>
    <row r="4" spans="1:34" ht="20.25" thickBot="1">
      <c r="A4" s="89" t="str">
        <f>CASE_E</f>
        <v>2019 GENERAL RATE CASE</v>
      </c>
      <c r="B4" s="89"/>
      <c r="C4" s="89"/>
      <c r="D4" s="89" t="str">
        <f>CASE_E</f>
        <v>2019 GENERAL RATE CASE</v>
      </c>
      <c r="E4" s="89"/>
      <c r="F4" s="89"/>
      <c r="G4" s="89"/>
      <c r="H4" s="89"/>
      <c r="I4" s="89"/>
      <c r="J4" s="89" t="str">
        <f>CASE_E</f>
        <v>2019 GENERAL RATE CASE</v>
      </c>
      <c r="K4" s="28"/>
      <c r="L4" s="28"/>
      <c r="M4" s="28"/>
      <c r="N4" s="89" t="str">
        <f>CASE_E</f>
        <v>2019 GENERAL RATE CASE</v>
      </c>
      <c r="O4" s="89"/>
      <c r="P4" s="89"/>
      <c r="Q4" s="89" t="str">
        <f>CASE_E</f>
        <v>2019 GENERAL RATE CASE</v>
      </c>
      <c r="R4" s="89"/>
      <c r="S4" s="89"/>
      <c r="T4" s="28"/>
      <c r="U4" s="28"/>
      <c r="V4" s="589"/>
      <c r="W4" s="588"/>
      <c r="X4" s="586" t="s">
        <v>691</v>
      </c>
      <c r="Y4" s="585"/>
      <c r="Z4" s="585"/>
      <c r="AA4" s="584"/>
      <c r="AB4" s="583"/>
      <c r="AC4" s="587"/>
      <c r="AD4" s="1002" t="s">
        <v>690</v>
      </c>
      <c r="AE4" s="1003"/>
      <c r="AF4" s="1003"/>
      <c r="AG4" s="1004"/>
      <c r="AH4" s="1005"/>
    </row>
    <row r="5" spans="1:34" ht="15">
      <c r="A5" s="89" t="str">
        <f>TESTYEAR_E</f>
        <v>12 MONTHS ENDED DECEMBER 31, 2018</v>
      </c>
      <c r="B5" s="89"/>
      <c r="C5" s="89"/>
      <c r="D5" s="89" t="str">
        <f>TESTYEAR_E</f>
        <v>12 MONTHS ENDED DECEMBER 31, 2018</v>
      </c>
      <c r="E5" s="89"/>
      <c r="F5" s="89"/>
      <c r="G5" s="89"/>
      <c r="H5" s="89"/>
      <c r="I5" s="89"/>
      <c r="J5" s="89" t="str">
        <f>TESTYEAR_E</f>
        <v>12 MONTHS ENDED DECEMBER 31, 2018</v>
      </c>
      <c r="K5" s="28"/>
      <c r="L5" s="28"/>
      <c r="M5" s="28"/>
      <c r="N5" s="89" t="str">
        <f>TESTYEAR_E</f>
        <v>12 MONTHS ENDED DECEMBER 31, 2018</v>
      </c>
      <c r="O5" s="89"/>
      <c r="P5" s="89"/>
      <c r="Q5" s="89" t="str">
        <f>TESTYEAR_E</f>
        <v>12 MONTHS ENDED DECEMBER 31, 2018</v>
      </c>
      <c r="R5" s="89"/>
      <c r="S5" s="89"/>
      <c r="T5" s="28"/>
      <c r="U5" s="28"/>
      <c r="V5" s="505" t="s">
        <v>689</v>
      </c>
      <c r="W5" s="543"/>
      <c r="X5" s="580" t="s">
        <v>688</v>
      </c>
      <c r="Y5" s="582"/>
      <c r="Z5" s="582"/>
      <c r="AA5" s="582"/>
      <c r="AB5" s="581"/>
      <c r="AC5" s="560"/>
      <c r="AD5" s="580" t="s">
        <v>688</v>
      </c>
      <c r="AE5" s="579"/>
      <c r="AF5" s="579"/>
      <c r="AG5" s="579"/>
      <c r="AH5" s="578"/>
    </row>
    <row r="6" spans="1:34" s="90" customFormat="1" ht="15">
      <c r="A6" s="128" t="s">
        <v>79</v>
      </c>
      <c r="B6" s="89"/>
      <c r="C6" s="89"/>
      <c r="D6" s="128" t="s">
        <v>352</v>
      </c>
      <c r="E6" s="128"/>
      <c r="F6" s="89"/>
      <c r="G6" s="89"/>
      <c r="H6" s="89"/>
      <c r="I6" s="89"/>
      <c r="J6" s="128" t="s">
        <v>78</v>
      </c>
      <c r="K6" s="89"/>
      <c r="L6" s="89"/>
      <c r="M6" s="89"/>
      <c r="N6" s="128" t="s">
        <v>79</v>
      </c>
      <c r="O6" s="89"/>
      <c r="P6" s="89"/>
      <c r="Q6" s="128" t="s">
        <v>79</v>
      </c>
      <c r="R6" s="89"/>
      <c r="S6" s="89"/>
      <c r="T6" s="89"/>
      <c r="U6" s="89"/>
      <c r="V6" s="505">
        <v>3</v>
      </c>
      <c r="W6" s="520" t="s">
        <v>687</v>
      </c>
      <c r="X6" s="552">
        <v>199079031.3739852</v>
      </c>
      <c r="Y6" s="577"/>
      <c r="Z6" s="577"/>
      <c r="AA6" s="577"/>
      <c r="AB6" s="576"/>
      <c r="AC6" s="560"/>
      <c r="AD6" s="552">
        <f>+X6</f>
        <v>199079031.3739852</v>
      </c>
      <c r="AE6" s="575"/>
      <c r="AF6" s="575"/>
      <c r="AG6" s="575"/>
      <c r="AH6" s="574"/>
    </row>
    <row r="7" spans="1:34" ht="15">
      <c r="B7" s="28"/>
      <c r="C7" s="28"/>
      <c r="E7" s="28"/>
      <c r="F7" s="28"/>
      <c r="G7" s="28"/>
      <c r="H7" s="28"/>
      <c r="I7" s="28"/>
      <c r="J7" s="28"/>
      <c r="K7" s="28"/>
      <c r="L7" s="28"/>
      <c r="M7" s="28"/>
      <c r="O7" s="28"/>
      <c r="P7" s="28"/>
      <c r="V7" s="505">
        <v>4</v>
      </c>
      <c r="W7" s="520" t="s">
        <v>686</v>
      </c>
      <c r="X7" s="542">
        <v>85738601.034227908</v>
      </c>
      <c r="Y7" s="522"/>
      <c r="Z7" s="522"/>
      <c r="AA7" s="522"/>
      <c r="AB7" s="521"/>
      <c r="AC7" s="560"/>
      <c r="AD7" s="542">
        <f>+X7</f>
        <v>85738601.034227908</v>
      </c>
      <c r="AE7" s="522"/>
      <c r="AF7" s="522"/>
      <c r="AG7" s="522"/>
      <c r="AH7" s="521"/>
    </row>
    <row r="8" spans="1:34" ht="15">
      <c r="I8" s="28"/>
      <c r="J8" s="28"/>
      <c r="K8" s="28"/>
      <c r="L8" s="28"/>
      <c r="V8" s="505">
        <v>5</v>
      </c>
      <c r="W8" s="520" t="s">
        <v>685</v>
      </c>
      <c r="X8" s="542">
        <v>1961447671.7378278</v>
      </c>
      <c r="Y8" s="522"/>
      <c r="Z8" s="573"/>
      <c r="AA8" s="571" t="s">
        <v>684</v>
      </c>
      <c r="AB8" s="565">
        <v>3.8393999999999998E-2</v>
      </c>
      <c r="AC8" s="560"/>
      <c r="AD8" s="542">
        <f>+X8</f>
        <v>1961447671.7378278</v>
      </c>
      <c r="AE8" s="522"/>
      <c r="AF8" s="572"/>
      <c r="AG8" s="571" t="s">
        <v>683</v>
      </c>
      <c r="AH8" s="570">
        <v>3.8172439532610514E-2</v>
      </c>
    </row>
    <row r="9" spans="1:34" ht="15">
      <c r="A9" s="3" t="s">
        <v>43</v>
      </c>
      <c r="B9" s="3"/>
      <c r="D9" s="3" t="s">
        <v>43</v>
      </c>
      <c r="E9" s="3"/>
      <c r="F9" s="290" t="s">
        <v>362</v>
      </c>
      <c r="H9" s="290" t="s">
        <v>364</v>
      </c>
      <c r="I9" s="3" t="s">
        <v>43</v>
      </c>
      <c r="J9" s="3"/>
      <c r="K9" s="3"/>
      <c r="N9" s="3" t="s">
        <v>43</v>
      </c>
      <c r="O9" s="3"/>
      <c r="Q9" s="3" t="s">
        <v>43</v>
      </c>
      <c r="R9" s="90"/>
      <c r="S9" s="290"/>
      <c r="T9" s="290" t="s">
        <v>626</v>
      </c>
      <c r="U9" s="290"/>
      <c r="V9" s="505">
        <v>6</v>
      </c>
      <c r="W9" s="504"/>
      <c r="X9" s="568">
        <f>SUM(X6:X8)</f>
        <v>2246265304.1460409</v>
      </c>
      <c r="Y9" s="567"/>
      <c r="Z9" s="555"/>
      <c r="AA9" s="569"/>
      <c r="AB9" s="565">
        <f>1-AB8</f>
        <v>0.96160599999999996</v>
      </c>
      <c r="AC9" s="560"/>
      <c r="AD9" s="568">
        <f>SUM(AD6:AD8)</f>
        <v>2246265304.1460409</v>
      </c>
      <c r="AE9" s="567"/>
      <c r="AF9" s="562"/>
      <c r="AG9" s="566"/>
      <c r="AH9" s="565">
        <f>1-AH8</f>
        <v>0.96182756046738949</v>
      </c>
    </row>
    <row r="10" spans="1:34" ht="15">
      <c r="A10" s="406" t="s">
        <v>44</v>
      </c>
      <c r="B10" s="406" t="s">
        <v>73</v>
      </c>
      <c r="C10" s="264"/>
      <c r="D10" s="406" t="s">
        <v>44</v>
      </c>
      <c r="E10" s="406" t="s">
        <v>73</v>
      </c>
      <c r="F10" s="409" t="s">
        <v>363</v>
      </c>
      <c r="G10" s="409" t="s">
        <v>343</v>
      </c>
      <c r="H10" s="409" t="s">
        <v>343</v>
      </c>
      <c r="I10" s="406" t="s">
        <v>44</v>
      </c>
      <c r="J10" s="406" t="s">
        <v>73</v>
      </c>
      <c r="K10" s="406"/>
      <c r="L10" s="264"/>
      <c r="M10" s="264"/>
      <c r="N10" s="406" t="s">
        <v>44</v>
      </c>
      <c r="O10" s="406" t="s">
        <v>73</v>
      </c>
      <c r="P10" s="406" t="s">
        <v>611</v>
      </c>
      <c r="Q10" s="406" t="s">
        <v>44</v>
      </c>
      <c r="R10" s="409" t="s">
        <v>122</v>
      </c>
      <c r="S10" s="409" t="s">
        <v>625</v>
      </c>
      <c r="T10" s="409" t="s">
        <v>624</v>
      </c>
      <c r="U10" s="409" t="s">
        <v>623</v>
      </c>
      <c r="V10" s="505">
        <v>7</v>
      </c>
      <c r="W10" s="520" t="s">
        <v>682</v>
      </c>
      <c r="X10" s="564">
        <v>6.5500000000000003E-2</v>
      </c>
      <c r="Y10" s="563"/>
      <c r="Z10" s="555"/>
      <c r="AA10" s="555" t="s">
        <v>633</v>
      </c>
      <c r="AB10" s="559" t="s">
        <v>681</v>
      </c>
      <c r="AC10" s="560"/>
      <c r="AD10" s="564">
        <f>+X10</f>
        <v>6.5500000000000003E-2</v>
      </c>
      <c r="AE10" s="563"/>
      <c r="AF10" s="562"/>
      <c r="AG10" s="555" t="s">
        <v>633</v>
      </c>
      <c r="AH10" s="559" t="s">
        <v>681</v>
      </c>
    </row>
    <row r="11" spans="1:34" ht="15">
      <c r="R11"/>
      <c r="S11"/>
      <c r="T11"/>
      <c r="U11"/>
      <c r="V11" s="505">
        <v>8</v>
      </c>
      <c r="W11" s="561"/>
      <c r="X11" s="557"/>
      <c r="Y11" s="555" t="s">
        <v>680</v>
      </c>
      <c r="Z11" s="555"/>
      <c r="AA11" s="555" t="s">
        <v>679</v>
      </c>
      <c r="AB11" s="559" t="s">
        <v>679</v>
      </c>
      <c r="AC11" s="560"/>
      <c r="AD11" s="557"/>
      <c r="AE11" s="555" t="s">
        <v>680</v>
      </c>
      <c r="AF11" s="555"/>
      <c r="AG11" s="555" t="s">
        <v>679</v>
      </c>
      <c r="AH11" s="559" t="s">
        <v>679</v>
      </c>
    </row>
    <row r="12" spans="1:34" ht="15">
      <c r="A12" s="280">
        <v>1</v>
      </c>
      <c r="B12" s="154" t="s">
        <v>74</v>
      </c>
      <c r="C12" s="144">
        <f>Summary!G48</f>
        <v>5385664468.246336</v>
      </c>
      <c r="D12" s="280">
        <v>1</v>
      </c>
      <c r="E12" s="154" t="s">
        <v>211</v>
      </c>
      <c r="F12" s="136">
        <f>'Staff CoC'!C11</f>
        <v>0.51500000000000001</v>
      </c>
      <c r="G12" s="136">
        <f>'Staff CoC'!D11</f>
        <v>5.5728155339805824E-2</v>
      </c>
      <c r="H12" s="136">
        <f>ROUND(F12*G12,4)</f>
        <v>2.87E-2</v>
      </c>
      <c r="I12" s="280">
        <v>1</v>
      </c>
      <c r="J12" s="245" t="s">
        <v>82</v>
      </c>
      <c r="K12" s="154"/>
      <c r="L12" s="154"/>
      <c r="M12" s="159">
        <f>'Common Adj'!AY15</f>
        <v>8.4790000000000004E-3</v>
      </c>
      <c r="N12" s="280">
        <v>1</v>
      </c>
      <c r="O12" s="154" t="s">
        <v>730</v>
      </c>
      <c r="P12" s="1076">
        <v>29409509.774610046</v>
      </c>
      <c r="Q12" s="280">
        <v>1</v>
      </c>
      <c r="R12" s="286" t="s">
        <v>622</v>
      </c>
      <c r="S12" s="892">
        <f>'[1]Exhibit A-1'!$G$36</f>
        <v>697606405.77673638</v>
      </c>
      <c r="T12" s="144">
        <f>'COC, Def, ConvF'!AH37</f>
        <v>670031043.74581277</v>
      </c>
      <c r="V12" s="505">
        <v>9</v>
      </c>
      <c r="W12" s="558"/>
      <c r="X12" s="557"/>
      <c r="Y12" s="555" t="s">
        <v>678</v>
      </c>
      <c r="Z12" s="554" t="s">
        <v>677</v>
      </c>
      <c r="AA12" s="554" t="s">
        <v>676</v>
      </c>
      <c r="AB12" s="553" t="s">
        <v>675</v>
      </c>
      <c r="AC12" s="502"/>
      <c r="AD12" s="557"/>
      <c r="AE12" s="555" t="s">
        <v>678</v>
      </c>
      <c r="AF12" s="554" t="s">
        <v>677</v>
      </c>
      <c r="AG12" s="554" t="s">
        <v>676</v>
      </c>
      <c r="AH12" s="553" t="s">
        <v>675</v>
      </c>
    </row>
    <row r="13" spans="1:34" ht="15">
      <c r="A13" s="280">
        <f t="shared" ref="A13:A40" si="0">A12+1</f>
        <v>2</v>
      </c>
      <c r="B13" s="245" t="s">
        <v>31</v>
      </c>
      <c r="C13" s="136">
        <f>H14</f>
        <v>7.3300000000000004E-2</v>
      </c>
      <c r="D13" s="280">
        <f t="shared" ref="D13:D18" si="1">D12+1</f>
        <v>2</v>
      </c>
      <c r="E13" s="154" t="s">
        <v>80</v>
      </c>
      <c r="F13" s="136">
        <f>'Staff CoC'!C12</f>
        <v>0.48499999999999999</v>
      </c>
      <c r="G13" s="932">
        <f>'Staff CoC'!D12</f>
        <v>9.1999999999999998E-2</v>
      </c>
      <c r="H13" s="136">
        <f>ROUND(F13*G13,4)</f>
        <v>4.4600000000000001E-2</v>
      </c>
      <c r="I13" s="280">
        <f t="shared" ref="I13:I20" si="2">I12+1</f>
        <v>2</v>
      </c>
      <c r="J13" s="245" t="s">
        <v>83</v>
      </c>
      <c r="K13" s="154"/>
      <c r="L13" s="154"/>
      <c r="M13" s="159">
        <f>+'[2]4.01 E'!$E$15</f>
        <v>2E-3</v>
      </c>
      <c r="N13" s="280">
        <f>N12+1</f>
        <v>2</v>
      </c>
      <c r="O13" s="154" t="s">
        <v>729</v>
      </c>
      <c r="P13" s="96">
        <f>C26</f>
        <v>-3124000</v>
      </c>
      <c r="Q13" s="280">
        <f>Q12+1</f>
        <v>2</v>
      </c>
      <c r="R13" s="286" t="s">
        <v>621</v>
      </c>
      <c r="S13" s="1013">
        <f>'[1]Exhibit A-1'!$G$37</f>
        <v>0.95111500000000004</v>
      </c>
      <c r="T13" s="498">
        <f>'COC, Def, ConvF'!AD38</f>
        <v>0.95238599999999995</v>
      </c>
      <c r="V13" s="505" t="s">
        <v>674</v>
      </c>
      <c r="W13" s="520"/>
      <c r="X13" s="556" t="s">
        <v>673</v>
      </c>
      <c r="Y13" s="555" t="s">
        <v>672</v>
      </c>
      <c r="Z13" s="555" t="s">
        <v>671</v>
      </c>
      <c r="AA13" s="554" t="s">
        <v>670</v>
      </c>
      <c r="AB13" s="553" t="s">
        <v>669</v>
      </c>
      <c r="AC13" s="502"/>
      <c r="AD13" s="556" t="s">
        <v>673</v>
      </c>
      <c r="AE13" s="555" t="s">
        <v>672</v>
      </c>
      <c r="AF13" s="555" t="s">
        <v>671</v>
      </c>
      <c r="AG13" s="554" t="s">
        <v>670</v>
      </c>
      <c r="AH13" s="553" t="s">
        <v>669</v>
      </c>
    </row>
    <row r="14" spans="1:34" ht="15">
      <c r="A14" s="280">
        <f t="shared" si="0"/>
        <v>3</v>
      </c>
      <c r="B14" s="245"/>
      <c r="C14" s="315"/>
      <c r="D14" s="280">
        <f t="shared" si="1"/>
        <v>3</v>
      </c>
      <c r="E14" s="154" t="s">
        <v>66</v>
      </c>
      <c r="F14" s="413">
        <f>SUM(F12:F13)</f>
        <v>1</v>
      </c>
      <c r="G14" s="315"/>
      <c r="H14" s="933">
        <f>SUM(H12:H13)</f>
        <v>7.3300000000000004E-2</v>
      </c>
      <c r="I14" s="280">
        <f t="shared" si="2"/>
        <v>3</v>
      </c>
      <c r="J14" s="245" t="str">
        <f>"STATE UTILITY TAX ( "&amp;M14*100&amp;"% - ( LINE 1 * "&amp;M14*100&amp;"% )  )"</f>
        <v>STATE UTILITY TAX ( 3.8406% - ( LINE 1 * 3.8406% )  )</v>
      </c>
      <c r="L14" s="130">
        <f>'[2]4.01 E'!$D$16</f>
        <v>3.8733999999999998E-2</v>
      </c>
      <c r="M14" s="414">
        <f>ROUND(L14-(L14*M12),6)</f>
        <v>3.8406000000000003E-2</v>
      </c>
      <c r="N14" s="280">
        <f>N13+1</f>
        <v>3</v>
      </c>
      <c r="O14" s="154" t="s">
        <v>612</v>
      </c>
      <c r="P14" s="96">
        <f>U18</f>
        <v>21172702.810876124</v>
      </c>
      <c r="Q14" s="280">
        <f t="shared" ref="Q14:Q18" si="3">Q13+1</f>
        <v>3</v>
      </c>
      <c r="R14" s="286" t="s">
        <v>620</v>
      </c>
      <c r="S14" s="499">
        <f>S12/S13</f>
        <v>733461680.00371814</v>
      </c>
      <c r="T14" s="499">
        <f>T12/T13</f>
        <v>703528867.23010707</v>
      </c>
      <c r="V14" s="505">
        <v>10</v>
      </c>
      <c r="W14" s="520" t="s">
        <v>668</v>
      </c>
      <c r="X14" s="552">
        <f>X6*$AD$10/0.65</f>
        <v>20061040.853840046</v>
      </c>
      <c r="Y14" s="541">
        <f t="shared" ref="Y14:Y35" si="4">+X14/$X$40</f>
        <v>0.96804716672893398</v>
      </c>
      <c r="Z14" s="536" t="s">
        <v>639</v>
      </c>
      <c r="AA14" s="551">
        <f>+X14</f>
        <v>20061040.853840046</v>
      </c>
      <c r="AB14" s="550">
        <v>0</v>
      </c>
      <c r="AC14" s="538"/>
      <c r="AD14" s="552">
        <f>AD6*$AD$10/0.65</f>
        <v>20061040.853840046</v>
      </c>
      <c r="AE14" s="541">
        <f t="shared" ref="AE14:AE35" si="5">+AD14/$AD$40</f>
        <v>0.98905888701150779</v>
      </c>
      <c r="AF14" s="536" t="s">
        <v>639</v>
      </c>
      <c r="AG14" s="551">
        <f>+AD14</f>
        <v>20061040.853840046</v>
      </c>
      <c r="AH14" s="550">
        <v>0</v>
      </c>
    </row>
    <row r="15" spans="1:34" ht="15">
      <c r="A15" s="280">
        <f t="shared" si="0"/>
        <v>4</v>
      </c>
      <c r="B15" s="154" t="s">
        <v>75</v>
      </c>
      <c r="C15" s="157">
        <f>+C13*C12</f>
        <v>394769205.52245647</v>
      </c>
      <c r="D15" s="280">
        <f t="shared" si="1"/>
        <v>4</v>
      </c>
      <c r="E15" s="154"/>
      <c r="I15" s="280">
        <f t="shared" si="2"/>
        <v>4</v>
      </c>
      <c r="J15" s="245"/>
      <c r="K15" s="154"/>
      <c r="L15" s="154"/>
      <c r="M15" s="131"/>
      <c r="N15" s="280">
        <f t="shared" ref="N15:N16" si="6">N14+1</f>
        <v>4</v>
      </c>
      <c r="P15" s="228"/>
      <c r="Q15" s="280">
        <f t="shared" si="3"/>
        <v>4</v>
      </c>
      <c r="R15" s="286" t="s">
        <v>619</v>
      </c>
      <c r="S15" s="343">
        <f>'[1]Exhibit A-1'!$C$39</f>
        <v>20535515.731480256</v>
      </c>
      <c r="T15" s="99">
        <f>'COC, Def, ConvF'!AD40</f>
        <v>20282959</v>
      </c>
      <c r="V15" s="505" t="s">
        <v>667</v>
      </c>
      <c r="W15" s="520" t="s">
        <v>666</v>
      </c>
      <c r="X15" s="542">
        <v>4769481.1386719989</v>
      </c>
      <c r="Y15" s="541">
        <f t="shared" si="4"/>
        <v>0.23015170233177235</v>
      </c>
      <c r="Z15" s="536" t="s">
        <v>644</v>
      </c>
      <c r="AA15" s="522"/>
      <c r="AB15" s="545">
        <f>+X15</f>
        <v>4769481.1386719989</v>
      </c>
      <c r="AC15" s="538"/>
      <c r="AD15" s="542">
        <f>+X15/$AB$9*$AH$9</f>
        <v>4770580.0590929296</v>
      </c>
      <c r="AE15" s="541">
        <f t="shared" si="5"/>
        <v>0.23520138551248512</v>
      </c>
      <c r="AF15" s="536" t="s">
        <v>644</v>
      </c>
      <c r="AG15" s="522"/>
      <c r="AH15" s="545">
        <f>+AD15</f>
        <v>4770580.0590929296</v>
      </c>
    </row>
    <row r="16" spans="1:34" ht="15.75" thickBot="1">
      <c r="A16" s="280">
        <f t="shared" si="0"/>
        <v>5</v>
      </c>
      <c r="B16" s="154"/>
      <c r="C16" s="287"/>
      <c r="D16" s="280">
        <f t="shared" si="1"/>
        <v>5</v>
      </c>
      <c r="E16" s="154" t="s">
        <v>360</v>
      </c>
      <c r="F16" s="129">
        <f>+F12</f>
        <v>0.51500000000000001</v>
      </c>
      <c r="G16" s="129">
        <f>G12*0.79</f>
        <v>4.40252427184466E-2</v>
      </c>
      <c r="H16" s="129">
        <f>ROUND(H12*0.79,4)</f>
        <v>2.2700000000000001E-2</v>
      </c>
      <c r="I16" s="280">
        <f t="shared" si="2"/>
        <v>5</v>
      </c>
      <c r="J16" s="245" t="s">
        <v>84</v>
      </c>
      <c r="K16" s="154"/>
      <c r="L16" s="154"/>
      <c r="M16" s="159">
        <f>ROUND(SUM(M12:M14),6)</f>
        <v>4.8884999999999998E-2</v>
      </c>
      <c r="N16" s="280">
        <f t="shared" si="6"/>
        <v>5</v>
      </c>
      <c r="O16" s="286" t="s">
        <v>608</v>
      </c>
      <c r="P16" s="1078">
        <f>SUM(P12:P15)</f>
        <v>47458212.585486174</v>
      </c>
      <c r="Q16" s="280">
        <f t="shared" si="3"/>
        <v>5</v>
      </c>
      <c r="R16" s="286" t="s">
        <v>618</v>
      </c>
      <c r="S16" s="893">
        <f>S14/S15</f>
        <v>35.71674018779796</v>
      </c>
      <c r="T16" s="500">
        <f>T14/T15</f>
        <v>34.685711647403473</v>
      </c>
      <c r="U16" s="1014">
        <f>S16-T16</f>
        <v>1.0310285403944874</v>
      </c>
      <c r="V16" s="505">
        <v>11</v>
      </c>
      <c r="W16" s="504" t="s">
        <v>665</v>
      </c>
      <c r="X16" s="524">
        <f>X7*$AD$10/0.65</f>
        <v>8639812.8734491207</v>
      </c>
      <c r="Y16" s="541">
        <f t="shared" si="4"/>
        <v>0.41691487665803839</v>
      </c>
      <c r="Z16" s="536" t="s">
        <v>639</v>
      </c>
      <c r="AA16" s="540">
        <f>+X16</f>
        <v>8639812.8734491207</v>
      </c>
      <c r="AB16" s="521"/>
      <c r="AC16" s="538"/>
      <c r="AD16" s="549">
        <f>AD7*$AD$10/0.65</f>
        <v>8639812.8734491207</v>
      </c>
      <c r="AE16" s="541">
        <f t="shared" si="5"/>
        <v>0.42596412453671678</v>
      </c>
      <c r="AF16" s="536" t="s">
        <v>639</v>
      </c>
      <c r="AG16" s="540">
        <f>+AD16</f>
        <v>8639812.8734491207</v>
      </c>
      <c r="AH16" s="521"/>
    </row>
    <row r="17" spans="1:34" ht="15.75" thickTop="1">
      <c r="A17" s="280">
        <f t="shared" si="0"/>
        <v>6</v>
      </c>
      <c r="B17" s="245" t="s">
        <v>76</v>
      </c>
      <c r="C17" s="157">
        <f>Summary!G46</f>
        <v>354861176.55935359</v>
      </c>
      <c r="D17" s="280">
        <f t="shared" si="1"/>
        <v>6</v>
      </c>
      <c r="E17" s="154" t="s">
        <v>80</v>
      </c>
      <c r="F17" s="129">
        <f>+F13</f>
        <v>0.48499999999999999</v>
      </c>
      <c r="G17" s="129">
        <f>+G13</f>
        <v>9.1999999999999998E-2</v>
      </c>
      <c r="H17" s="129">
        <f>ROUND(F17*G17,4)</f>
        <v>4.4600000000000001E-2</v>
      </c>
      <c r="I17" s="280">
        <f t="shared" si="2"/>
        <v>6</v>
      </c>
      <c r="J17" s="154"/>
      <c r="K17" s="154"/>
      <c r="L17" s="154"/>
      <c r="M17" s="159"/>
      <c r="N17" s="280"/>
      <c r="P17" s="287" t="s">
        <v>964</v>
      </c>
      <c r="Q17" s="280">
        <f t="shared" si="3"/>
        <v>6</v>
      </c>
      <c r="R17" s="286" t="s">
        <v>617</v>
      </c>
      <c r="U17" s="96">
        <f>S15</f>
        <v>20535515.731480256</v>
      </c>
      <c r="V17" s="505">
        <v>12</v>
      </c>
      <c r="W17" s="504" t="s">
        <v>664</v>
      </c>
      <c r="X17" s="542">
        <f>X8*$AD$10/0.65</f>
        <v>197653573.07511958</v>
      </c>
      <c r="Y17" s="541">
        <f t="shared" si="4"/>
        <v>9.5377893302377821</v>
      </c>
      <c r="Z17" s="536" t="s">
        <v>639</v>
      </c>
      <c r="AA17" s="540">
        <f>+X17</f>
        <v>197653573.07511958</v>
      </c>
      <c r="AB17" s="521"/>
      <c r="AC17" s="538"/>
      <c r="AD17" s="542">
        <f>AD8*$AD$10/0.65</f>
        <v>197653573.07511958</v>
      </c>
      <c r="AE17" s="541">
        <f t="shared" si="5"/>
        <v>9.7448095751275527</v>
      </c>
      <c r="AF17" s="536" t="s">
        <v>639</v>
      </c>
      <c r="AG17" s="540">
        <f>+AD17</f>
        <v>197653573.07511958</v>
      </c>
      <c r="AH17" s="521"/>
    </row>
    <row r="18" spans="1:34" ht="15.75" thickBot="1">
      <c r="A18" s="280">
        <f t="shared" si="0"/>
        <v>7</v>
      </c>
      <c r="B18" s="245" t="s">
        <v>77</v>
      </c>
      <c r="C18" s="391">
        <f>+C15-C17</f>
        <v>39908028.963102877</v>
      </c>
      <c r="D18" s="280">
        <f t="shared" si="1"/>
        <v>7</v>
      </c>
      <c r="E18" s="154" t="s">
        <v>81</v>
      </c>
      <c r="F18" s="415">
        <f>SUM(F16:F17)</f>
        <v>1</v>
      </c>
      <c r="G18" s="228"/>
      <c r="H18" s="416">
        <f>SUM(H16:H17)</f>
        <v>6.7299999999999999E-2</v>
      </c>
      <c r="I18" s="280">
        <f t="shared" si="2"/>
        <v>7</v>
      </c>
      <c r="J18" s="154" t="str">
        <f>"CONVERSION FACTOR EXCLUDING FEDERAL INCOME TAX ( 1 - LINE "&amp;$I$17&amp;" )"</f>
        <v>CONVERSION FACTOR EXCLUDING FEDERAL INCOME TAX ( 1 - LINE 6 )</v>
      </c>
      <c r="K18" s="154"/>
      <c r="L18" s="154"/>
      <c r="M18" s="159">
        <f>ROUND(1-M16,6)</f>
        <v>0.95111500000000004</v>
      </c>
      <c r="N18" s="116"/>
      <c r="Q18" s="280">
        <f t="shared" si="3"/>
        <v>7</v>
      </c>
      <c r="R18" s="286" t="s">
        <v>616</v>
      </c>
      <c r="U18" s="894">
        <f>U16*U17</f>
        <v>21172702.810876124</v>
      </c>
      <c r="V18" s="505">
        <v>13</v>
      </c>
      <c r="W18" s="504" t="s">
        <v>663</v>
      </c>
      <c r="X18" s="542">
        <v>69962949.456452519</v>
      </c>
      <c r="Y18" s="541">
        <f t="shared" si="4"/>
        <v>3.3760678466668006</v>
      </c>
      <c r="Z18" s="536" t="s">
        <v>644</v>
      </c>
      <c r="AA18" s="522"/>
      <c r="AB18" s="545">
        <f>+X18</f>
        <v>69962949.456452519</v>
      </c>
      <c r="AC18" s="538"/>
      <c r="AD18" s="542">
        <v>69979069.388921246</v>
      </c>
      <c r="AE18" s="541">
        <f t="shared" si="5"/>
        <v>3.4501410464282478</v>
      </c>
      <c r="AF18" s="536" t="s">
        <v>644</v>
      </c>
      <c r="AG18" s="522"/>
      <c r="AH18" s="545">
        <f>+AD18</f>
        <v>69979069.388921246</v>
      </c>
    </row>
    <row r="19" spans="1:34" ht="15.75" thickTop="1">
      <c r="A19" s="280">
        <f t="shared" si="0"/>
        <v>8</v>
      </c>
      <c r="B19" s="154"/>
      <c r="C19" s="287"/>
      <c r="D19" s="280"/>
      <c r="I19" s="280">
        <f t="shared" si="2"/>
        <v>8</v>
      </c>
      <c r="J19" s="245" t="str">
        <f>"FEDERAL INCOME TAX ( LINE "&amp;I18&amp;"  * "&amp;FIT_E*100&amp;"% )"</f>
        <v>FEDERAL INCOME TAX ( LINE 7  * 21% )</v>
      </c>
      <c r="K19" s="154"/>
      <c r="L19" s="155">
        <f>+FIT_E</f>
        <v>0.21</v>
      </c>
      <c r="M19" s="159">
        <f>ROUND((M18)*FIT_E,6)</f>
        <v>0.19973399999999999</v>
      </c>
      <c r="N19" s="116"/>
      <c r="Q19"/>
      <c r="R19"/>
      <c r="S19"/>
      <c r="T19"/>
      <c r="V19" s="505">
        <v>14</v>
      </c>
      <c r="W19" s="504" t="s">
        <v>662</v>
      </c>
      <c r="X19" s="542">
        <v>378349379.60972166</v>
      </c>
      <c r="Y19" s="541">
        <f t="shared" si="4"/>
        <v>18.257280249480782</v>
      </c>
      <c r="Z19" s="536" t="s">
        <v>644</v>
      </c>
      <c r="AA19" s="522"/>
      <c r="AB19" s="545">
        <f>+X19</f>
        <v>378349379.60972166</v>
      </c>
      <c r="AC19" s="538"/>
      <c r="AD19" s="542">
        <v>370094613.96061605</v>
      </c>
      <c r="AE19" s="541">
        <f t="shared" si="5"/>
        <v>18.246579010518932</v>
      </c>
      <c r="AF19" s="536" t="s">
        <v>644</v>
      </c>
      <c r="AG19" s="522"/>
      <c r="AH19" s="545">
        <f>+AD19</f>
        <v>370094613.96061605</v>
      </c>
    </row>
    <row r="20" spans="1:34" ht="15.75" thickBot="1">
      <c r="A20" s="280">
        <f t="shared" si="0"/>
        <v>9</v>
      </c>
      <c r="B20" s="154" t="s">
        <v>78</v>
      </c>
      <c r="C20" s="417">
        <f>+M20</f>
        <v>0.75138099999999997</v>
      </c>
      <c r="D20" s="280"/>
      <c r="H20" s="617"/>
      <c r="I20" s="280">
        <f t="shared" si="2"/>
        <v>9</v>
      </c>
      <c r="J20" s="245" t="str">
        <f>"CONVERSION FACTOR INCL FEDERAL INCOME TAX ( LINE "&amp;I18&amp;" - LINE "&amp;I19&amp;" ) "</f>
        <v xml:space="preserve">CONVERSION FACTOR INCL FEDERAL INCOME TAX ( LINE 7 - LINE 8 ) </v>
      </c>
      <c r="K20" s="154"/>
      <c r="L20" s="154"/>
      <c r="M20" s="132">
        <f>ROUND(1-M19-M16,6)</f>
        <v>0.75138099999999997</v>
      </c>
      <c r="N20" s="116"/>
      <c r="O20" s="90" t="s">
        <v>968</v>
      </c>
      <c r="V20" s="505">
        <v>15</v>
      </c>
      <c r="W20" s="504" t="s">
        <v>661</v>
      </c>
      <c r="X20" s="542">
        <v>7238267.1874165451</v>
      </c>
      <c r="Y20" s="541">
        <f t="shared" si="4"/>
        <v>0.34928317497864692</v>
      </c>
      <c r="Z20" s="536" t="s">
        <v>639</v>
      </c>
      <c r="AA20" s="540">
        <f>+X20</f>
        <v>7238267.1874165451</v>
      </c>
      <c r="AB20" s="521"/>
      <c r="AC20" s="538"/>
      <c r="AD20" s="542">
        <f>+X20</f>
        <v>7238267.1874165451</v>
      </c>
      <c r="AE20" s="541">
        <f t="shared" si="5"/>
        <v>0.35686445885023704</v>
      </c>
      <c r="AF20" s="536" t="s">
        <v>639</v>
      </c>
      <c r="AG20" s="540">
        <f>+AD20</f>
        <v>7238267.1874165451</v>
      </c>
      <c r="AH20" s="521"/>
    </row>
    <row r="21" spans="1:34" ht="15.75" thickTop="1">
      <c r="A21" s="280">
        <f t="shared" si="0"/>
        <v>10</v>
      </c>
      <c r="B21" s="286" t="s">
        <v>728</v>
      </c>
      <c r="C21" s="108">
        <f>ROUND(+C18/C20,0)</f>
        <v>53112907</v>
      </c>
      <c r="D21" s="280"/>
      <c r="I21" s="280"/>
      <c r="K21" s="116"/>
      <c r="L21" s="116"/>
      <c r="M21" s="116"/>
      <c r="N21" s="116"/>
      <c r="O21" s="1081" t="s">
        <v>969</v>
      </c>
      <c r="P21" s="1081"/>
      <c r="V21" s="505" t="s">
        <v>660</v>
      </c>
      <c r="W21" s="548" t="s">
        <v>659</v>
      </c>
      <c r="X21" s="542">
        <v>8206061.1260157973</v>
      </c>
      <c r="Y21" s="541">
        <f t="shared" si="4"/>
        <v>0.39598415061915598</v>
      </c>
      <c r="Z21" s="536" t="s">
        <v>639</v>
      </c>
      <c r="AA21" s="540">
        <f>+X21</f>
        <v>8206061.1260157973</v>
      </c>
      <c r="AB21" s="521"/>
      <c r="AC21" s="538"/>
      <c r="AD21" s="542">
        <f>+X21</f>
        <v>8206061.1260157973</v>
      </c>
      <c r="AE21" s="541">
        <f t="shared" si="5"/>
        <v>0.40457909154259974</v>
      </c>
      <c r="AF21" s="536" t="s">
        <v>639</v>
      </c>
      <c r="AG21" s="540">
        <f>+AD21</f>
        <v>8206061.1260157973</v>
      </c>
      <c r="AH21" s="521"/>
    </row>
    <row r="22" spans="1:34" ht="15">
      <c r="A22" s="280">
        <f t="shared" si="0"/>
        <v>11</v>
      </c>
      <c r="B22" s="286" t="s">
        <v>591</v>
      </c>
      <c r="C22" s="228"/>
      <c r="D22" s="280"/>
      <c r="I22" s="280"/>
      <c r="K22" s="116"/>
      <c r="L22" s="100"/>
      <c r="M22" s="133"/>
      <c r="N22" s="116"/>
      <c r="O22" s="1080" t="s">
        <v>970</v>
      </c>
      <c r="P22" s="1080"/>
      <c r="V22" s="505" t="s">
        <v>658</v>
      </c>
      <c r="W22" s="548" t="s">
        <v>657</v>
      </c>
      <c r="X22" s="542">
        <v>2763777.09</v>
      </c>
      <c r="Y22" s="541">
        <f t="shared" si="4"/>
        <v>0.13336628946312651</v>
      </c>
      <c r="Z22" s="536" t="s">
        <v>639</v>
      </c>
      <c r="AA22" s="540">
        <f>+X22</f>
        <v>2763777.09</v>
      </c>
      <c r="AB22" s="521"/>
      <c r="AC22" s="538"/>
      <c r="AD22" s="542">
        <f>+X22</f>
        <v>2763777.09</v>
      </c>
      <c r="AE22" s="541">
        <f t="shared" si="5"/>
        <v>0.13626104011747003</v>
      </c>
      <c r="AF22" s="536" t="s">
        <v>639</v>
      </c>
      <c r="AG22" s="540">
        <f>+AD22</f>
        <v>2763777.09</v>
      </c>
      <c r="AH22" s="521"/>
    </row>
    <row r="23" spans="1:34" ht="15">
      <c r="A23" s="280">
        <f t="shared" si="0"/>
        <v>12</v>
      </c>
      <c r="B23" s="405" t="s">
        <v>581</v>
      </c>
      <c r="C23" s="887">
        <f>'[3]GRC Impacts'!$U$37*1000</f>
        <v>-3124000</v>
      </c>
      <c r="D23" s="280"/>
      <c r="N23" s="116"/>
      <c r="V23" s="505" t="s">
        <v>656</v>
      </c>
      <c r="W23" s="548" t="s">
        <v>655</v>
      </c>
      <c r="X23" s="542">
        <v>1262663.2680056884</v>
      </c>
      <c r="Y23" s="541">
        <f t="shared" si="4"/>
        <v>6.092991924153475E-2</v>
      </c>
      <c r="Z23" s="536" t="s">
        <v>644</v>
      </c>
      <c r="AA23" s="522"/>
      <c r="AB23" s="545">
        <f>+X23</f>
        <v>1262663.2680056884</v>
      </c>
      <c r="AC23" s="538"/>
      <c r="AD23" s="542">
        <f>+X23/$AB$9*$AH$9</f>
        <v>1262954.1940854082</v>
      </c>
      <c r="AE23" s="541">
        <f t="shared" si="5"/>
        <v>6.2266762659501915E-2</v>
      </c>
      <c r="AF23" s="536" t="s">
        <v>644</v>
      </c>
      <c r="AG23" s="522"/>
      <c r="AH23" s="545">
        <f>+AD23</f>
        <v>1262954.1940854082</v>
      </c>
    </row>
    <row r="24" spans="1:34" ht="15">
      <c r="A24" s="280">
        <f t="shared" si="0"/>
        <v>13</v>
      </c>
      <c r="B24" s="405" t="s">
        <v>582</v>
      </c>
      <c r="C24" s="157">
        <f>'[3]GRC Impacts'!$V$37*1000</f>
        <v>-25853000</v>
      </c>
      <c r="D24" s="280"/>
      <c r="E24"/>
      <c r="F24"/>
      <c r="G24"/>
      <c r="H24"/>
      <c r="V24" s="505" t="s">
        <v>654</v>
      </c>
      <c r="W24" s="548" t="s">
        <v>653</v>
      </c>
      <c r="X24" s="542">
        <v>2119540.3036357597</v>
      </c>
      <c r="Y24" s="541">
        <f t="shared" si="4"/>
        <v>0.1022785906599471</v>
      </c>
      <c r="Z24" s="536" t="s">
        <v>639</v>
      </c>
      <c r="AA24" s="540">
        <f>+X24</f>
        <v>2119540.3036357597</v>
      </c>
      <c r="AB24" s="521"/>
      <c r="AC24" s="538"/>
      <c r="AD24" s="542">
        <f>+X24</f>
        <v>2119540.3036357597</v>
      </c>
      <c r="AE24" s="541">
        <f t="shared" si="5"/>
        <v>0.10449857457364874</v>
      </c>
      <c r="AF24" s="536" t="s">
        <v>639</v>
      </c>
      <c r="AG24" s="540">
        <f>+AD24</f>
        <v>2119540.3036357597</v>
      </c>
      <c r="AH24" s="521"/>
    </row>
    <row r="25" spans="1:34" ht="15">
      <c r="A25" s="280">
        <f t="shared" si="0"/>
        <v>14</v>
      </c>
      <c r="B25" s="405" t="s">
        <v>583</v>
      </c>
      <c r="C25" s="157">
        <f>'[3]GRC Impacts'!$W$37*1000</f>
        <v>25853000</v>
      </c>
      <c r="E25"/>
      <c r="F25"/>
      <c r="G25"/>
      <c r="H25"/>
      <c r="V25" s="505" t="s">
        <v>652</v>
      </c>
      <c r="W25" s="548" t="s">
        <v>651</v>
      </c>
      <c r="X25" s="542">
        <v>313332.07420681993</v>
      </c>
      <c r="Y25" s="541">
        <f t="shared" si="4"/>
        <v>1.5119864861007507E-2</v>
      </c>
      <c r="Z25" s="536" t="s">
        <v>644</v>
      </c>
      <c r="AA25" s="522"/>
      <c r="AB25" s="545">
        <f>+X25</f>
        <v>313332.07420681993</v>
      </c>
      <c r="AC25" s="538"/>
      <c r="AD25" s="542">
        <f>+X25/$AB$9*$AH$9</f>
        <v>313404.2680167685</v>
      </c>
      <c r="AE25" s="541">
        <f t="shared" si="5"/>
        <v>1.5451604867749744E-2</v>
      </c>
      <c r="AF25" s="536" t="s">
        <v>644</v>
      </c>
      <c r="AG25" s="522"/>
      <c r="AH25" s="545">
        <f>+AD25</f>
        <v>313404.2680167685</v>
      </c>
    </row>
    <row r="26" spans="1:34" ht="15">
      <c r="A26" s="280">
        <f t="shared" si="0"/>
        <v>15</v>
      </c>
      <c r="B26" s="286" t="s">
        <v>584</v>
      </c>
      <c r="C26" s="888">
        <f>SUM(C23:C25)</f>
        <v>-3124000</v>
      </c>
      <c r="E26"/>
      <c r="F26"/>
      <c r="G26"/>
      <c r="H26"/>
      <c r="V26" s="505">
        <v>16</v>
      </c>
      <c r="W26" s="504" t="s">
        <v>650</v>
      </c>
      <c r="X26" s="542">
        <v>171115373.90212974</v>
      </c>
      <c r="Y26" s="541">
        <f t="shared" si="4"/>
        <v>8.2571863592018406</v>
      </c>
      <c r="Z26" s="536" t="s">
        <v>644</v>
      </c>
      <c r="AA26" s="522"/>
      <c r="AB26" s="545">
        <f>+X26</f>
        <v>171115373.90212974</v>
      </c>
      <c r="AC26" s="538"/>
      <c r="AD26" s="542">
        <v>171056253.11371228</v>
      </c>
      <c r="AE26" s="541">
        <f t="shared" si="5"/>
        <v>8.433495976287892</v>
      </c>
      <c r="AF26" s="536" t="s">
        <v>644</v>
      </c>
      <c r="AG26" s="522"/>
      <c r="AH26" s="545">
        <f>+AD26</f>
        <v>171056253.11371228</v>
      </c>
    </row>
    <row r="27" spans="1:34" ht="15">
      <c r="A27" s="280">
        <f t="shared" si="0"/>
        <v>16</v>
      </c>
      <c r="C27" s="228"/>
      <c r="E27"/>
      <c r="F27"/>
      <c r="G27"/>
      <c r="H27"/>
      <c r="V27" s="505">
        <v>17</v>
      </c>
      <c r="W27" s="504" t="s">
        <v>649</v>
      </c>
      <c r="X27" s="542">
        <v>108374278.4084733</v>
      </c>
      <c r="Y27" s="541">
        <f t="shared" si="4"/>
        <v>5.2296096660175699</v>
      </c>
      <c r="Z27" s="536" t="s">
        <v>644</v>
      </c>
      <c r="AA27" s="522"/>
      <c r="AB27" s="545">
        <f>+X27</f>
        <v>108374278.4084733</v>
      </c>
      <c r="AC27" s="538"/>
      <c r="AD27" s="542">
        <v>108399248.56857753</v>
      </c>
      <c r="AE27" s="541">
        <f t="shared" si="5"/>
        <v>5.3443508202416385</v>
      </c>
      <c r="AF27" s="536" t="s">
        <v>644</v>
      </c>
      <c r="AG27" s="522"/>
      <c r="AH27" s="545">
        <f>+AD27</f>
        <v>108399248.56857753</v>
      </c>
    </row>
    <row r="28" spans="1:34" ht="15">
      <c r="A28" s="280">
        <f t="shared" si="0"/>
        <v>17</v>
      </c>
      <c r="B28" s="286" t="s">
        <v>585</v>
      </c>
      <c r="C28" s="886">
        <f>C21+C26</f>
        <v>49988907</v>
      </c>
      <c r="E28"/>
      <c r="F28"/>
      <c r="G28"/>
      <c r="H28"/>
      <c r="V28" s="505">
        <v>18</v>
      </c>
      <c r="W28" s="504" t="s">
        <v>648</v>
      </c>
      <c r="X28" s="542">
        <v>-11639833.365925668</v>
      </c>
      <c r="Y28" s="541">
        <f t="shared" si="4"/>
        <v>-0.56168111082453498</v>
      </c>
      <c r="Z28" s="536" t="s">
        <v>639</v>
      </c>
      <c r="AA28" s="540">
        <f>+X28</f>
        <v>-11639833.365925668</v>
      </c>
      <c r="AB28" s="521"/>
      <c r="AC28" s="538"/>
      <c r="AD28" s="542">
        <f>+X28</f>
        <v>-11639833.365925668</v>
      </c>
      <c r="AE28" s="541">
        <f t="shared" si="5"/>
        <v>-0.57387254817828448</v>
      </c>
      <c r="AF28" s="536" t="s">
        <v>639</v>
      </c>
      <c r="AG28" s="540">
        <f>+AD28</f>
        <v>-11639833.365925668</v>
      </c>
      <c r="AH28" s="521"/>
    </row>
    <row r="29" spans="1:34" ht="15">
      <c r="A29" s="280">
        <f t="shared" si="0"/>
        <v>18</v>
      </c>
      <c r="C29" s="96"/>
      <c r="E29"/>
      <c r="F29"/>
      <c r="G29"/>
      <c r="H29"/>
      <c r="V29" s="505">
        <v>19</v>
      </c>
      <c r="W29" s="504" t="s">
        <v>647</v>
      </c>
      <c r="X29" s="542">
        <v>138209148.65181684</v>
      </c>
      <c r="Y29" s="541">
        <f t="shared" si="4"/>
        <v>6.6692937691116345</v>
      </c>
      <c r="Z29" s="536" t="s">
        <v>639</v>
      </c>
      <c r="AA29" s="540">
        <f>+X29</f>
        <v>138209148.65181684</v>
      </c>
      <c r="AB29" s="521"/>
      <c r="AC29" s="538"/>
      <c r="AD29" s="542">
        <f>+X29</f>
        <v>138209148.65181684</v>
      </c>
      <c r="AE29" s="541">
        <f t="shared" si="5"/>
        <v>6.814052557707031</v>
      </c>
      <c r="AF29" s="536" t="s">
        <v>639</v>
      </c>
      <c r="AG29" s="540">
        <f>+AD29</f>
        <v>138209148.65181684</v>
      </c>
      <c r="AH29" s="521"/>
    </row>
    <row r="30" spans="1:34" ht="15">
      <c r="A30" s="280">
        <f t="shared" si="0"/>
        <v>19</v>
      </c>
      <c r="B30" s="286" t="s">
        <v>610</v>
      </c>
      <c r="C30" s="1077">
        <f>C32-C28</f>
        <v>-2530694.4145138264</v>
      </c>
      <c r="D30"/>
      <c r="E30"/>
      <c r="F30"/>
      <c r="G30"/>
      <c r="H30"/>
      <c r="V30" s="505">
        <v>20</v>
      </c>
      <c r="W30" s="504" t="s">
        <v>646</v>
      </c>
      <c r="X30" s="542">
        <v>-36228866.83523047</v>
      </c>
      <c r="Y30" s="541">
        <f t="shared" si="4"/>
        <v>-1.7482269314521348</v>
      </c>
      <c r="Z30" s="536" t="s">
        <v>644</v>
      </c>
      <c r="AA30" s="522"/>
      <c r="AB30" s="545">
        <f>+X30</f>
        <v>-36228866.83523047</v>
      </c>
      <c r="AC30" s="538"/>
      <c r="AD30" s="542">
        <v>-39617468.444088995</v>
      </c>
      <c r="AE30" s="541">
        <f t="shared" si="5"/>
        <v>-1.9532390931761483</v>
      </c>
      <c r="AF30" s="536" t="s">
        <v>644</v>
      </c>
      <c r="AG30" s="522"/>
      <c r="AH30" s="545">
        <f>+AD30</f>
        <v>-39617468.444088995</v>
      </c>
    </row>
    <row r="31" spans="1:34" ht="15">
      <c r="A31" s="280">
        <f t="shared" si="0"/>
        <v>20</v>
      </c>
      <c r="C31" t="s">
        <v>963</v>
      </c>
      <c r="E31"/>
      <c r="F31"/>
      <c r="G31"/>
      <c r="H31"/>
      <c r="V31" s="547">
        <v>21</v>
      </c>
      <c r="W31" s="546" t="s">
        <v>645</v>
      </c>
      <c r="X31" s="542">
        <v>-16223873.273980575</v>
      </c>
      <c r="Y31" s="541">
        <f t="shared" si="4"/>
        <v>-0.78288433140994562</v>
      </c>
      <c r="Z31" s="536" t="s">
        <v>644</v>
      </c>
      <c r="AA31" s="522"/>
      <c r="AB31" s="545">
        <f>+X31</f>
        <v>-16223873.273980575</v>
      </c>
      <c r="AC31" s="538"/>
      <c r="AD31" s="542">
        <v>-16227611.363120463</v>
      </c>
      <c r="AE31" s="541">
        <f t="shared" si="5"/>
        <v>-0.80006134031629517</v>
      </c>
      <c r="AF31" s="536" t="s">
        <v>644</v>
      </c>
      <c r="AG31" s="522"/>
      <c r="AH31" s="545">
        <f>+AD31</f>
        <v>-16227611.363120463</v>
      </c>
    </row>
    <row r="32" spans="1:34" ht="15">
      <c r="A32" s="280">
        <f t="shared" si="0"/>
        <v>21</v>
      </c>
      <c r="B32" s="286" t="s">
        <v>731</v>
      </c>
      <c r="C32" s="1077">
        <f>P16</f>
        <v>47458212.585486174</v>
      </c>
      <c r="D32"/>
      <c r="E32"/>
      <c r="F32"/>
      <c r="G32"/>
      <c r="H32"/>
      <c r="V32" s="505">
        <v>22</v>
      </c>
      <c r="W32" s="504" t="s">
        <v>643</v>
      </c>
      <c r="X32" s="542">
        <v>662134.87</v>
      </c>
      <c r="Y32" s="541">
        <f t="shared" si="4"/>
        <v>3.1951372292491807E-2</v>
      </c>
      <c r="Z32" s="536" t="s">
        <v>639</v>
      </c>
      <c r="AA32" s="540">
        <f>+X32</f>
        <v>662134.87</v>
      </c>
      <c r="AB32" s="521"/>
      <c r="AC32" s="538"/>
      <c r="AD32" s="542">
        <f>+X32</f>
        <v>662134.87</v>
      </c>
      <c r="AE32" s="541">
        <f t="shared" si="5"/>
        <v>3.264488529508934E-2</v>
      </c>
      <c r="AF32" s="536" t="s">
        <v>639</v>
      </c>
      <c r="AG32" s="540">
        <f>+AD32</f>
        <v>662134.87</v>
      </c>
      <c r="AH32" s="521"/>
    </row>
    <row r="33" spans="1:34" ht="15">
      <c r="A33" s="280">
        <f t="shared" si="0"/>
        <v>22</v>
      </c>
      <c r="C33" t="s">
        <v>963</v>
      </c>
      <c r="E33"/>
      <c r="F33"/>
      <c r="G33"/>
      <c r="H33"/>
      <c r="V33" s="505">
        <v>23</v>
      </c>
      <c r="W33" s="544" t="s">
        <v>642</v>
      </c>
      <c r="X33" s="542">
        <v>161583689.16694248</v>
      </c>
      <c r="Y33" s="541">
        <f t="shared" si="4"/>
        <v>7.7972341329301305</v>
      </c>
      <c r="Z33" s="536" t="s">
        <v>639</v>
      </c>
      <c r="AA33" s="540">
        <f>+X33</f>
        <v>161583689.16694248</v>
      </c>
      <c r="AB33" s="521"/>
      <c r="AC33" s="538"/>
      <c r="AD33" s="542">
        <f>+X33</f>
        <v>161583689.16694248</v>
      </c>
      <c r="AE33" s="541">
        <f t="shared" si="5"/>
        <v>7.9664751660220032</v>
      </c>
      <c r="AF33" s="536" t="s">
        <v>639</v>
      </c>
      <c r="AG33" s="540">
        <f>+AD33</f>
        <v>161583689.16694248</v>
      </c>
      <c r="AH33" s="521"/>
    </row>
    <row r="34" spans="1:34" ht="15">
      <c r="A34" s="280">
        <f t="shared" si="0"/>
        <v>23</v>
      </c>
      <c r="B34" s="286" t="s">
        <v>609</v>
      </c>
      <c r="C34" s="96">
        <v>0</v>
      </c>
      <c r="V34" s="505">
        <v>24</v>
      </c>
      <c r="W34" s="543" t="s">
        <v>641</v>
      </c>
      <c r="X34" s="542">
        <v>3490805.0455442886</v>
      </c>
      <c r="Y34" s="541">
        <f t="shared" si="4"/>
        <v>0.16844908290465715</v>
      </c>
      <c r="Z34" s="536" t="s">
        <v>639</v>
      </c>
      <c r="AA34" s="540">
        <f>+X34</f>
        <v>3490805.0455442886</v>
      </c>
      <c r="AB34" s="521"/>
      <c r="AC34" s="538"/>
      <c r="AD34" s="542">
        <f>+X34</f>
        <v>3490805.0455442886</v>
      </c>
      <c r="AE34" s="541">
        <f t="shared" si="5"/>
        <v>0.17210531488745251</v>
      </c>
      <c r="AF34" s="536" t="s">
        <v>639</v>
      </c>
      <c r="AG34" s="540">
        <f>+AD34</f>
        <v>3490805.0455442886</v>
      </c>
      <c r="AH34" s="521"/>
    </row>
    <row r="35" spans="1:34" ht="15">
      <c r="A35" s="280">
        <f t="shared" si="0"/>
        <v>24</v>
      </c>
      <c r="C35" s="276"/>
      <c r="V35" s="505">
        <f t="shared" ref="V35:V46" si="7">+V34+1</f>
        <v>25</v>
      </c>
      <c r="W35" s="543" t="s">
        <v>640</v>
      </c>
      <c r="X35" s="542">
        <v>19415532.153878614</v>
      </c>
      <c r="Y35" s="541">
        <f t="shared" si="4"/>
        <v>0.93689809163112181</v>
      </c>
      <c r="Z35" s="536" t="s">
        <v>639</v>
      </c>
      <c r="AA35" s="540">
        <f>+X35</f>
        <v>19415532.153878614</v>
      </c>
      <c r="AB35" s="521"/>
      <c r="AC35" s="538"/>
      <c r="AD35" s="542">
        <f>+X35</f>
        <v>19415532.153878614</v>
      </c>
      <c r="AE35" s="541">
        <f t="shared" si="5"/>
        <v>0.95723371298431426</v>
      </c>
      <c r="AF35" s="536" t="s">
        <v>639</v>
      </c>
      <c r="AG35" s="540">
        <f>+AD35</f>
        <v>19415532.153878614</v>
      </c>
      <c r="AH35" s="521"/>
    </row>
    <row r="36" spans="1:34" ht="15.75" thickBot="1">
      <c r="A36" s="280">
        <f t="shared" si="0"/>
        <v>25</v>
      </c>
      <c r="B36" s="286" t="s">
        <v>592</v>
      </c>
      <c r="C36" s="1079">
        <f>C32+C34</f>
        <v>47458212.585486174</v>
      </c>
      <c r="D36"/>
      <c r="V36" s="505">
        <f t="shared" si="7"/>
        <v>26</v>
      </c>
      <c r="W36" s="539" t="s">
        <v>638</v>
      </c>
      <c r="X36" s="537"/>
      <c r="Y36" s="535"/>
      <c r="Z36" s="536"/>
      <c r="AA36" s="535"/>
      <c r="AB36" s="534"/>
      <c r="AC36" s="538"/>
      <c r="AD36" s="537"/>
      <c r="AE36" s="535"/>
      <c r="AF36" s="536"/>
      <c r="AG36" s="535"/>
      <c r="AH36" s="534"/>
    </row>
    <row r="37" spans="1:34" ht="15.75" thickTop="1">
      <c r="A37" s="280">
        <f t="shared" si="0"/>
        <v>26</v>
      </c>
      <c r="C37" t="s">
        <v>963</v>
      </c>
      <c r="V37" s="505">
        <f t="shared" si="7"/>
        <v>27</v>
      </c>
      <c r="W37" s="533" t="s">
        <v>637</v>
      </c>
      <c r="X37" s="528">
        <f>SUM(X14:X36)</f>
        <v>1240098266.7801845</v>
      </c>
      <c r="Y37" s="527">
        <f>SUM(Y14:Y36)</f>
        <v>59.841043262330352</v>
      </c>
      <c r="Z37" s="527"/>
      <c r="AA37" s="526">
        <f>SUM(AA14:AA36)</f>
        <v>558403549.03173339</v>
      </c>
      <c r="AB37" s="525">
        <f>SUM(AB14:AB36)</f>
        <v>681694717.74845052</v>
      </c>
      <c r="AC37" s="502"/>
      <c r="AD37" s="528">
        <f>SUM(AD14:AD36)</f>
        <v>1228434592.7775466</v>
      </c>
      <c r="AE37" s="527">
        <f>SUM(AE14:AE36)</f>
        <v>60.564861013501336</v>
      </c>
      <c r="AF37" s="527"/>
      <c r="AG37" s="526">
        <f>SUM(AG14:AG36)</f>
        <v>558403549.03173339</v>
      </c>
      <c r="AH37" s="525">
        <f>SUM(AH14:AH36)</f>
        <v>670031043.74581277</v>
      </c>
    </row>
    <row r="38" spans="1:34" ht="15">
      <c r="A38" s="280">
        <f t="shared" si="0"/>
        <v>27</v>
      </c>
      <c r="C38" s="96"/>
      <c r="V38" s="505">
        <f t="shared" si="7"/>
        <v>28</v>
      </c>
      <c r="W38" s="504" t="s">
        <v>621</v>
      </c>
      <c r="X38" s="532">
        <v>0.95238599999999995</v>
      </c>
      <c r="Y38" s="531">
        <f>+X38</f>
        <v>0.95238599999999995</v>
      </c>
      <c r="Z38" s="531"/>
      <c r="AA38" s="530">
        <f>+Y38</f>
        <v>0.95238599999999995</v>
      </c>
      <c r="AB38" s="529">
        <f>+AA38</f>
        <v>0.95238599999999995</v>
      </c>
      <c r="AC38" s="502"/>
      <c r="AD38" s="532">
        <f>+X38</f>
        <v>0.95238599999999995</v>
      </c>
      <c r="AE38" s="531">
        <f>+AD38</f>
        <v>0.95238599999999995</v>
      </c>
      <c r="AF38" s="531"/>
      <c r="AG38" s="530">
        <f>+AE38</f>
        <v>0.95238599999999995</v>
      </c>
      <c r="AH38" s="529">
        <f>+AG38</f>
        <v>0.95238599999999995</v>
      </c>
    </row>
    <row r="39" spans="1:34" ht="15">
      <c r="A39" s="280">
        <f t="shared" si="0"/>
        <v>28</v>
      </c>
      <c r="C39" s="96"/>
      <c r="V39" s="505">
        <f t="shared" si="7"/>
        <v>29</v>
      </c>
      <c r="W39" s="504" t="s">
        <v>636</v>
      </c>
      <c r="X39" s="528">
        <f>+X37/X38</f>
        <v>1302096279.0089149</v>
      </c>
      <c r="Y39" s="527">
        <f>+Y37/X38</f>
        <v>62.832762411806087</v>
      </c>
      <c r="Z39" s="527"/>
      <c r="AA39" s="526">
        <f>+AA37/AA38</f>
        <v>586320618.98403943</v>
      </c>
      <c r="AB39" s="525">
        <f>+AB37/AB38</f>
        <v>715775660.02487493</v>
      </c>
      <c r="AC39" s="502"/>
      <c r="AD39" s="528">
        <f>+AD37/AD38</f>
        <v>1289849486.2141471</v>
      </c>
      <c r="AE39" s="527">
        <f>+AE37/AE38</f>
        <v>63.59276702251119</v>
      </c>
      <c r="AF39" s="527"/>
      <c r="AG39" s="526">
        <f>+AG37/AG38</f>
        <v>586320618.98403943</v>
      </c>
      <c r="AH39" s="525">
        <f>+AH37/AH38</f>
        <v>703528867.23010707</v>
      </c>
    </row>
    <row r="40" spans="1:34" ht="15">
      <c r="A40" s="280">
        <f t="shared" si="0"/>
        <v>29</v>
      </c>
      <c r="B40" s="407" t="s">
        <v>586</v>
      </c>
      <c r="C40" s="144">
        <f>'[3]GRC Impacts'!$AA$35*1000</f>
        <v>354912.10943168448</v>
      </c>
      <c r="V40" s="505">
        <f t="shared" si="7"/>
        <v>30</v>
      </c>
      <c r="W40" s="504" t="s">
        <v>635</v>
      </c>
      <c r="X40" s="524">
        <v>20723206</v>
      </c>
      <c r="Y40" s="523" t="s">
        <v>634</v>
      </c>
      <c r="Z40" s="523"/>
      <c r="AA40" s="522"/>
      <c r="AB40" s="521"/>
      <c r="AC40" s="502"/>
      <c r="AD40" s="524">
        <v>20282959</v>
      </c>
      <c r="AE40" s="523" t="s">
        <v>634</v>
      </c>
      <c r="AF40" s="523"/>
      <c r="AG40" s="522"/>
      <c r="AH40" s="521"/>
    </row>
    <row r="41" spans="1:34" ht="15">
      <c r="C41" s="144"/>
      <c r="V41" s="505">
        <f t="shared" si="7"/>
        <v>31</v>
      </c>
      <c r="W41" s="520"/>
      <c r="X41" s="519"/>
      <c r="Y41" s="517" t="s">
        <v>419</v>
      </c>
      <c r="Z41" s="517"/>
      <c r="AA41" s="517" t="s">
        <v>633</v>
      </c>
      <c r="AB41" s="516" t="s">
        <v>632</v>
      </c>
      <c r="AC41" s="502"/>
      <c r="AD41" s="518"/>
      <c r="AE41" s="517" t="s">
        <v>419</v>
      </c>
      <c r="AF41" s="517"/>
      <c r="AG41" s="517" t="s">
        <v>633</v>
      </c>
      <c r="AH41" s="516" t="s">
        <v>632</v>
      </c>
    </row>
    <row r="42" spans="1:34" ht="15">
      <c r="V42" s="505">
        <f t="shared" si="7"/>
        <v>32</v>
      </c>
      <c r="W42" s="504" t="s">
        <v>631</v>
      </c>
      <c r="X42" s="515"/>
      <c r="Y42" s="514"/>
      <c r="Z42" s="514"/>
      <c r="AA42" s="514"/>
      <c r="AB42" s="513"/>
      <c r="AC42" s="502"/>
      <c r="AD42" s="515"/>
      <c r="AE42" s="514"/>
      <c r="AF42" s="514"/>
      <c r="AG42" s="514"/>
      <c r="AH42" s="513"/>
    </row>
    <row r="43" spans="1:34" ht="15">
      <c r="V43" s="505">
        <f t="shared" si="7"/>
        <v>33</v>
      </c>
      <c r="W43" s="504" t="s">
        <v>630</v>
      </c>
      <c r="X43" s="512"/>
      <c r="Y43" s="511">
        <f>+AA43+AB43</f>
        <v>59.841043262330345</v>
      </c>
      <c r="Z43" s="511"/>
      <c r="AA43" s="511">
        <f>+AA37/$X$40</f>
        <v>26.94580891739113</v>
      </c>
      <c r="AB43" s="510">
        <f>+AB37/$X$40</f>
        <v>32.895234344939219</v>
      </c>
      <c r="AC43" s="502"/>
      <c r="AD43" s="512"/>
      <c r="AE43" s="511">
        <f>+AG43+AH43</f>
        <v>60.564861013501343</v>
      </c>
      <c r="AF43" s="511"/>
      <c r="AG43" s="511">
        <f>+AG37/$AD$40</f>
        <v>27.530674840477339</v>
      </c>
      <c r="AH43" s="510">
        <f>+AH37/$AD$40</f>
        <v>33.034186173024004</v>
      </c>
    </row>
    <row r="44" spans="1:34" ht="15.75" thickBot="1">
      <c r="V44" s="505">
        <f t="shared" si="7"/>
        <v>34</v>
      </c>
      <c r="W44" s="504" t="s">
        <v>629</v>
      </c>
      <c r="X44" s="509"/>
      <c r="Y44" s="508">
        <f>+AA44+AB44</f>
        <v>62.832762411806087</v>
      </c>
      <c r="Z44" s="508"/>
      <c r="AA44" s="508">
        <f>+AA39/$X$40</f>
        <v>28.292949410628811</v>
      </c>
      <c r="AB44" s="507">
        <f>+AB39/$X$40</f>
        <v>34.539813001177272</v>
      </c>
      <c r="AC44" s="502"/>
      <c r="AD44" s="509"/>
      <c r="AE44" s="508">
        <f>+AG44+AH44</f>
        <v>63.59276702251119</v>
      </c>
      <c r="AF44" s="508"/>
      <c r="AG44" s="508">
        <f>+AG39/$AD$40</f>
        <v>28.907055375107717</v>
      </c>
      <c r="AH44" s="507">
        <f>+AH39/$AD$40</f>
        <v>34.685711647403473</v>
      </c>
    </row>
    <row r="45" spans="1:34" ht="15">
      <c r="V45" s="505">
        <f t="shared" si="7"/>
        <v>35</v>
      </c>
      <c r="W45" s="504"/>
      <c r="X45" s="503"/>
      <c r="Y45" s="503"/>
      <c r="Z45" s="503"/>
      <c r="AA45" s="503"/>
      <c r="AB45" s="503"/>
      <c r="AC45" s="502"/>
      <c r="AD45" s="506"/>
      <c r="AE45" s="506"/>
      <c r="AF45" s="506"/>
      <c r="AG45" s="506"/>
      <c r="AH45" s="506"/>
    </row>
    <row r="46" spans="1:34" ht="15">
      <c r="V46" s="505">
        <f t="shared" si="7"/>
        <v>36</v>
      </c>
      <c r="W46" s="504" t="s">
        <v>628</v>
      </c>
      <c r="X46" s="503"/>
      <c r="Y46" s="503"/>
      <c r="Z46" s="503"/>
      <c r="AA46" s="503"/>
      <c r="AB46" s="503"/>
      <c r="AC46" s="502"/>
      <c r="AD46" s="501"/>
      <c r="AE46" s="501"/>
      <c r="AF46" s="501"/>
      <c r="AG46" s="501"/>
      <c r="AH46" s="501"/>
    </row>
    <row r="57" spans="6:6">
      <c r="F57" s="286">
        <f>F56/'COC, Def, ConvF'!$M$20</f>
        <v>0</v>
      </c>
    </row>
  </sheetData>
  <pageMargins left="0.7" right="0.7" top="0.75" bottom="0.75" header="0.3" footer="0.3"/>
  <pageSetup scale="73" orientation="landscape" r:id="rId1"/>
  <headerFooter>
    <oddHeader xml:space="preserve">&amp;R&amp;"Times New Roman,Regular"&amp;9Exh. JL-2r
Dockets UE 190529 / UG-190530 and 
UE-190274 / UG-190275 (consol.)
Page &amp;P of &amp;N&amp;11 
</oddHeader>
  </headerFooter>
  <colBreaks count="5" manualBreakCount="5">
    <brk id="3" max="1048575" man="1"/>
    <brk id="8" max="1048575" man="1"/>
    <brk id="13" max="1048575" man="1"/>
    <brk id="16" max="1048575" man="1"/>
    <brk id="2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0"/>
  <sheetViews>
    <sheetView view="pageLayout" zoomScaleNormal="77" workbookViewId="0">
      <selection activeCell="I2" sqref="I2"/>
    </sheetView>
  </sheetViews>
  <sheetFormatPr defaultColWidth="9.140625" defaultRowHeight="15"/>
  <cols>
    <col min="1" max="1" width="9.140625" style="657"/>
    <col min="2" max="2" width="42.42578125" style="657" bestFit="1" customWidth="1"/>
    <col min="3" max="5" width="19.7109375" style="657" customWidth="1"/>
    <col min="6" max="16384" width="9.140625" style="657"/>
  </cols>
  <sheetData>
    <row r="1" spans="1:6" ht="15.75">
      <c r="A1" s="656"/>
    </row>
    <row r="2" spans="1:6" ht="15.75" customHeight="1">
      <c r="A2" s="658"/>
      <c r="B2" s="659" t="s">
        <v>824</v>
      </c>
      <c r="C2" s="659"/>
      <c r="D2" s="659"/>
      <c r="E2" s="659"/>
      <c r="F2" s="659"/>
    </row>
    <row r="3" spans="1:6" ht="15.75" customHeight="1">
      <c r="A3" s="660"/>
      <c r="B3" s="661" t="s">
        <v>208</v>
      </c>
      <c r="C3" s="662"/>
      <c r="D3" s="662"/>
      <c r="E3" s="662"/>
      <c r="F3" s="662"/>
    </row>
    <row r="4" spans="1:6" ht="15.75" customHeight="1">
      <c r="A4" s="658"/>
      <c r="B4" s="661" t="s">
        <v>825</v>
      </c>
      <c r="C4" s="661"/>
      <c r="D4" s="661"/>
      <c r="E4" s="661"/>
      <c r="F4" s="661"/>
    </row>
    <row r="5" spans="1:6" ht="15.75">
      <c r="A5" s="658"/>
      <c r="B5" s="1082" t="s">
        <v>826</v>
      </c>
      <c r="C5" s="1082"/>
      <c r="D5" s="1082"/>
      <c r="E5" s="1082"/>
      <c r="F5" s="1082"/>
    </row>
    <row r="6" spans="1:6">
      <c r="A6" s="896"/>
      <c r="B6" s="897" t="s">
        <v>743</v>
      </c>
      <c r="C6" s="898"/>
      <c r="D6" s="898"/>
      <c r="E6" s="898"/>
      <c r="F6" s="663"/>
    </row>
    <row r="7" spans="1:6">
      <c r="A7" s="664"/>
      <c r="B7" s="658"/>
      <c r="C7" s="186"/>
      <c r="D7" s="658"/>
      <c r="E7" s="658"/>
      <c r="F7" s="658"/>
    </row>
    <row r="8" spans="1:6">
      <c r="A8" s="665" t="s">
        <v>712</v>
      </c>
      <c r="B8" s="666"/>
      <c r="C8" s="666"/>
      <c r="D8" s="666"/>
      <c r="E8" s="666"/>
      <c r="F8" s="666"/>
    </row>
    <row r="9" spans="1:6">
      <c r="A9" s="667" t="s">
        <v>827</v>
      </c>
      <c r="B9" s="406" t="s">
        <v>73</v>
      </c>
      <c r="C9" s="668"/>
      <c r="D9" s="668"/>
      <c r="E9" s="668"/>
      <c r="F9" s="669"/>
    </row>
    <row r="10" spans="1:6">
      <c r="A10" s="280"/>
      <c r="B10" s="666"/>
      <c r="C10" s="666"/>
      <c r="D10" s="666"/>
      <c r="E10" s="666"/>
      <c r="F10" s="666"/>
    </row>
    <row r="11" spans="1:6">
      <c r="A11" s="280">
        <f t="shared" ref="A11:A17" si="0">A10+1</f>
        <v>1</v>
      </c>
      <c r="B11" s="154" t="s">
        <v>211</v>
      </c>
      <c r="C11" s="670">
        <v>0.51500000000000001</v>
      </c>
      <c r="D11" s="671">
        <v>5.5728155339805824E-2</v>
      </c>
      <c r="E11" s="671">
        <f>ROUND(C11*D11, 4)</f>
        <v>2.87E-2</v>
      </c>
      <c r="F11" s="672"/>
    </row>
    <row r="12" spans="1:6">
      <c r="A12" s="280">
        <f t="shared" si="0"/>
        <v>2</v>
      </c>
      <c r="B12" s="154" t="s">
        <v>80</v>
      </c>
      <c r="C12" s="673">
        <v>0.48499999999999999</v>
      </c>
      <c r="D12" s="935">
        <v>9.1999999999999998E-2</v>
      </c>
      <c r="E12" s="674">
        <f>ROUND(C12*D12, 4)</f>
        <v>4.4600000000000001E-2</v>
      </c>
      <c r="F12" s="675"/>
    </row>
    <row r="13" spans="1:6">
      <c r="A13" s="280">
        <f t="shared" si="0"/>
        <v>3</v>
      </c>
      <c r="B13" s="154" t="s">
        <v>66</v>
      </c>
      <c r="C13" s="676">
        <f>SUM(C11:C12)</f>
        <v>1</v>
      </c>
      <c r="D13" s="676"/>
      <c r="E13" s="936">
        <f>SUM(E11:E12)</f>
        <v>7.3300000000000004E-2</v>
      </c>
      <c r="F13" s="677"/>
    </row>
    <row r="14" spans="1:6">
      <c r="A14" s="280">
        <f t="shared" si="0"/>
        <v>4</v>
      </c>
      <c r="B14" s="678"/>
      <c r="C14" s="679"/>
      <c r="D14" s="679"/>
      <c r="E14" s="679"/>
      <c r="F14" s="678"/>
    </row>
    <row r="15" spans="1:6">
      <c r="A15" s="280">
        <f t="shared" si="0"/>
        <v>5</v>
      </c>
      <c r="B15" s="154" t="s">
        <v>360</v>
      </c>
      <c r="C15" s="680">
        <f>C11</f>
        <v>0.51500000000000001</v>
      </c>
      <c r="D15" s="681">
        <f>D11*0.79</f>
        <v>4.40252427184466E-2</v>
      </c>
      <c r="E15" s="682">
        <f>ROUND(E11*0.79,4)</f>
        <v>2.2700000000000001E-2</v>
      </c>
      <c r="F15" s="683"/>
    </row>
    <row r="16" spans="1:6">
      <c r="A16" s="280">
        <f t="shared" si="0"/>
        <v>6</v>
      </c>
      <c r="B16" s="154" t="s">
        <v>80</v>
      </c>
      <c r="C16" s="684">
        <f>C12</f>
        <v>0.48499999999999999</v>
      </c>
      <c r="D16" s="684">
        <f>D12</f>
        <v>9.1999999999999998E-2</v>
      </c>
      <c r="E16" s="685">
        <f>ROUND(C16*D16, 4)</f>
        <v>4.4600000000000001E-2</v>
      </c>
      <c r="F16" s="683"/>
    </row>
    <row r="17" spans="1:6">
      <c r="A17" s="280">
        <f t="shared" si="0"/>
        <v>7</v>
      </c>
      <c r="B17" s="154" t="s">
        <v>81</v>
      </c>
      <c r="C17" s="677">
        <v>1</v>
      </c>
      <c r="D17" s="686"/>
      <c r="E17" s="677">
        <f>SUM(E15:E16)</f>
        <v>6.7299999999999999E-2</v>
      </c>
      <c r="F17" s="683"/>
    </row>
    <row r="18" spans="1:6">
      <c r="A18" s="280"/>
      <c r="B18" s="687"/>
      <c r="C18" s="688"/>
      <c r="D18" s="683"/>
      <c r="E18" s="689"/>
      <c r="F18" s="690"/>
    </row>
    <row r="19" spans="1:6">
      <c r="A19" s="280"/>
      <c r="B19" s="666"/>
      <c r="C19" s="688"/>
      <c r="D19" s="683"/>
      <c r="E19" s="689"/>
      <c r="F19" s="690"/>
    </row>
    <row r="30" spans="1:6" s="691" customFormat="1"/>
  </sheetData>
  <mergeCells count="1">
    <mergeCell ref="B5:F5"/>
  </mergeCells>
  <pageMargins left="0.7" right="0.7" top="0.75" bottom="0.75" header="0.3" footer="0.3"/>
  <pageSetup scale="75" orientation="portrait" r:id="rId1"/>
  <headerFooter>
    <oddHeader xml:space="preserve">&amp;R&amp;"Times New Roman,Regular"&amp;9Exh. JL-2r
Dockets UE 190529 / UG-190530 and 
UE-190274 / UG-190275 (consol.)
Page &amp;P of &amp;N&amp;11 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78"/>
  <sheetViews>
    <sheetView view="pageLayout" topLeftCell="D1" zoomScaleNormal="85" workbookViewId="0">
      <selection activeCell="I2" sqref="I2"/>
    </sheetView>
  </sheetViews>
  <sheetFormatPr defaultColWidth="9.140625" defaultRowHeight="15"/>
  <cols>
    <col min="1" max="1" width="4.5703125" style="1" bestFit="1" customWidth="1"/>
    <col min="2" max="2" width="42.5703125" style="1" customWidth="1"/>
    <col min="3" max="3" width="17.28515625" style="345" bestFit="1" customWidth="1"/>
    <col min="4" max="4" width="17.5703125" style="345" customWidth="1"/>
    <col min="5" max="5" width="17" style="345" customWidth="1"/>
    <col min="6" max="6" width="17.5703125" style="345" customWidth="1"/>
    <col min="7" max="7" width="17" style="1" customWidth="1"/>
    <col min="8" max="8" width="15.28515625" style="345" customWidth="1"/>
    <col min="9" max="9" width="17.140625" style="1" customWidth="1"/>
    <col min="10" max="16384" width="9.140625" style="1"/>
  </cols>
  <sheetData>
    <row r="1" spans="1:9">
      <c r="A1" s="344" t="s">
        <v>45</v>
      </c>
      <c r="C1" s="344"/>
    </row>
    <row r="2" spans="1:9">
      <c r="A2" s="344" t="s">
        <v>274</v>
      </c>
      <c r="C2" s="344"/>
      <c r="H2" s="365" t="s">
        <v>507</v>
      </c>
      <c r="I2" s="366"/>
    </row>
    <row r="3" spans="1:9">
      <c r="A3" s="344" t="s">
        <v>275</v>
      </c>
      <c r="C3" s="344"/>
    </row>
    <row r="4" spans="1:9">
      <c r="A4" s="344" t="str">
        <f>CASE_E</f>
        <v>2019 GENERAL RATE CASE</v>
      </c>
      <c r="C4" s="344"/>
    </row>
    <row r="5" spans="1:9">
      <c r="A5" s="344" t="str">
        <f>TESTYEAR_E</f>
        <v>12 MONTHS ENDED DECEMBER 31, 2018</v>
      </c>
      <c r="C5" s="344"/>
    </row>
    <row r="6" spans="1:9">
      <c r="C6" s="346"/>
      <c r="D6" s="346"/>
      <c r="E6" s="346"/>
      <c r="F6" s="346"/>
    </row>
    <row r="7" spans="1:9" ht="3.75" customHeight="1">
      <c r="G7" s="345"/>
      <c r="I7" s="345"/>
    </row>
    <row r="8" spans="1:9" ht="3.75" customHeight="1"/>
    <row r="9" spans="1:9">
      <c r="C9" s="3" t="s">
        <v>40</v>
      </c>
      <c r="D9" s="3"/>
      <c r="E9" s="3" t="s">
        <v>105</v>
      </c>
      <c r="F9" s="3"/>
      <c r="G9" s="3" t="s">
        <v>67</v>
      </c>
      <c r="H9" s="3" t="s">
        <v>587</v>
      </c>
      <c r="I9" s="3" t="s">
        <v>68</v>
      </c>
    </row>
    <row r="10" spans="1:9" ht="13.7" customHeight="1">
      <c r="A10" s="3" t="s">
        <v>43</v>
      </c>
      <c r="B10" s="3" t="s">
        <v>73</v>
      </c>
      <c r="C10" s="3" t="s">
        <v>41</v>
      </c>
      <c r="D10" s="3" t="s">
        <v>255</v>
      </c>
      <c r="E10" s="3" t="s">
        <v>41</v>
      </c>
      <c r="F10" s="3" t="s">
        <v>93</v>
      </c>
      <c r="G10" s="3" t="s">
        <v>41</v>
      </c>
      <c r="H10" s="3" t="s">
        <v>588</v>
      </c>
      <c r="I10" s="3" t="s">
        <v>70</v>
      </c>
    </row>
    <row r="11" spans="1:9">
      <c r="A11" s="3" t="s">
        <v>44</v>
      </c>
      <c r="C11" s="3" t="s">
        <v>42</v>
      </c>
      <c r="D11" s="3" t="s">
        <v>69</v>
      </c>
      <c r="E11" s="3" t="s">
        <v>71</v>
      </c>
      <c r="F11" s="3" t="s">
        <v>69</v>
      </c>
      <c r="G11" s="217" t="s">
        <v>71</v>
      </c>
      <c r="H11" s="217" t="s">
        <v>589</v>
      </c>
      <c r="I11" s="217" t="str">
        <f>IF(H18&lt;0,"DECREASE","INCREASE")</f>
        <v>INCREASE</v>
      </c>
    </row>
    <row r="12" spans="1:9">
      <c r="C12" s="347" t="s">
        <v>276</v>
      </c>
      <c r="D12" s="347" t="s">
        <v>277</v>
      </c>
      <c r="E12" s="347" t="s">
        <v>504</v>
      </c>
      <c r="F12" s="347" t="s">
        <v>278</v>
      </c>
      <c r="G12" s="290" t="s">
        <v>505</v>
      </c>
      <c r="H12" s="347" t="s">
        <v>280</v>
      </c>
      <c r="I12" s="290" t="s">
        <v>506</v>
      </c>
    </row>
    <row r="13" spans="1:9">
      <c r="A13" s="280">
        <v>1</v>
      </c>
      <c r="B13" s="245" t="s">
        <v>0</v>
      </c>
    </row>
    <row r="14" spans="1:9">
      <c r="A14" s="280">
        <f t="shared" ref="A14:A45" si="0">A13+1</f>
        <v>2</v>
      </c>
      <c r="B14" s="245" t="s">
        <v>1</v>
      </c>
      <c r="C14" s="29">
        <f>+'Detailed Summary'!C14</f>
        <v>2165233766.8899999</v>
      </c>
      <c r="D14" s="29">
        <f>+'Detailed Summary'!AI14</f>
        <v>-158587776.62876797</v>
      </c>
      <c r="E14" s="29">
        <f>SUM(C14:D14)</f>
        <v>2006645990.2612319</v>
      </c>
      <c r="F14" s="29">
        <f>+'Detailed Summary'!BO14</f>
        <v>-6392694.4799998812</v>
      </c>
      <c r="G14" s="29">
        <f>SUM(E14:F14)</f>
        <v>2000253295.7812321</v>
      </c>
      <c r="H14" s="29">
        <f>'COC, Def, ConvF'!C21-H15</f>
        <v>52757994.890568316</v>
      </c>
      <c r="I14" s="29">
        <f>SUM(G14:H14)</f>
        <v>2053011290.6718004</v>
      </c>
    </row>
    <row r="15" spans="1:9">
      <c r="A15" s="280">
        <f t="shared" si="0"/>
        <v>3</v>
      </c>
      <c r="B15" s="245" t="s">
        <v>2</v>
      </c>
      <c r="C15" s="56">
        <f>+'Detailed Summary'!C15</f>
        <v>340431.51999999897</v>
      </c>
      <c r="D15" s="56">
        <f>+'Detailed Summary'!AI15</f>
        <v>-12104.359999999999</v>
      </c>
      <c r="E15" s="56">
        <f>SUM(C15:D15)</f>
        <v>328327.15999999898</v>
      </c>
      <c r="F15" s="56">
        <f>+'Detailed Summary'!BO15</f>
        <v>3986</v>
      </c>
      <c r="G15" s="56">
        <f>SUM(E15:F15)</f>
        <v>332313.15999999898</v>
      </c>
      <c r="H15" s="56">
        <f>'COC, Def, ConvF'!C40</f>
        <v>354912.10943168448</v>
      </c>
      <c r="I15" s="56">
        <f>SUM(G15:H15)</f>
        <v>687225.26943168347</v>
      </c>
    </row>
    <row r="16" spans="1:9">
      <c r="A16" s="280">
        <f t="shared" si="0"/>
        <v>4</v>
      </c>
      <c r="B16" s="245" t="s">
        <v>3</v>
      </c>
      <c r="C16" s="56">
        <f>+'Detailed Summary'!C16</f>
        <v>155333122.24000001</v>
      </c>
      <c r="D16" s="56">
        <f>+'Detailed Summary'!AI16</f>
        <v>0</v>
      </c>
      <c r="E16" s="56">
        <f>SUM(C16:D16)</f>
        <v>155333122.24000001</v>
      </c>
      <c r="F16" s="56">
        <f>+'Detailed Summary'!BO16</f>
        <v>-148347616.15434909</v>
      </c>
      <c r="G16" s="56">
        <f>SUM(E16:F16)</f>
        <v>6985506.0856509209</v>
      </c>
      <c r="H16" s="56"/>
      <c r="I16" s="56">
        <f>SUM(G16:H16)</f>
        <v>6985506.0856509209</v>
      </c>
    </row>
    <row r="17" spans="1:9">
      <c r="A17" s="280">
        <f t="shared" si="0"/>
        <v>5</v>
      </c>
      <c r="B17" s="245" t="s">
        <v>4</v>
      </c>
      <c r="C17" s="56">
        <f>+'Detailed Summary'!C17</f>
        <v>122175867.17999999</v>
      </c>
      <c r="D17" s="56">
        <f>+'Detailed Summary'!AI17</f>
        <v>17627311.820000004</v>
      </c>
      <c r="E17" s="56">
        <f>SUM(C17:D17)</f>
        <v>139803179</v>
      </c>
      <c r="F17" s="56">
        <f>+'Detailed Summary'!BO17</f>
        <v>-62278545.684900276</v>
      </c>
      <c r="G17" s="56">
        <f>SUM(E17:F17)</f>
        <v>77524633.315099716</v>
      </c>
      <c r="H17" s="56"/>
      <c r="I17" s="56">
        <f>SUM(G17:H17)</f>
        <v>77524633.315099716</v>
      </c>
    </row>
    <row r="18" spans="1:9">
      <c r="A18" s="280">
        <f t="shared" si="0"/>
        <v>6</v>
      </c>
      <c r="B18" s="245" t="s">
        <v>5</v>
      </c>
      <c r="C18" s="418">
        <f t="shared" ref="C18:I18" si="1">SUM(C14:C17)</f>
        <v>2443083187.8299994</v>
      </c>
      <c r="D18" s="418">
        <f t="shared" si="1"/>
        <v>-140972569.16876799</v>
      </c>
      <c r="E18" s="418">
        <f t="shared" si="1"/>
        <v>2302110618.661232</v>
      </c>
      <c r="F18" s="418">
        <f t="shared" si="1"/>
        <v>-217014870.31924924</v>
      </c>
      <c r="G18" s="418">
        <f t="shared" si="1"/>
        <v>2085095748.3419828</v>
      </c>
      <c r="H18" s="418">
        <f t="shared" si="1"/>
        <v>53112907</v>
      </c>
      <c r="I18" s="418">
        <f t="shared" si="1"/>
        <v>2138208655.3419826</v>
      </c>
    </row>
    <row r="19" spans="1:9" s="348" customFormat="1">
      <c r="A19" s="280">
        <f t="shared" si="0"/>
        <v>7</v>
      </c>
      <c r="B19" s="309"/>
      <c r="C19" s="56"/>
      <c r="D19" s="56"/>
      <c r="E19" s="56"/>
      <c r="F19" s="56"/>
      <c r="G19" s="56"/>
      <c r="H19" s="56"/>
      <c r="I19" s="56"/>
    </row>
    <row r="20" spans="1:9">
      <c r="A20" s="280">
        <f t="shared" si="0"/>
        <v>8</v>
      </c>
      <c r="B20" s="245" t="s">
        <v>6</v>
      </c>
      <c r="G20" s="345"/>
      <c r="I20" s="345"/>
    </row>
    <row r="21" spans="1:9">
      <c r="A21" s="280">
        <f t="shared" si="0"/>
        <v>9</v>
      </c>
      <c r="B21" s="154"/>
      <c r="G21" s="345"/>
      <c r="I21" s="345"/>
    </row>
    <row r="22" spans="1:9">
      <c r="A22" s="280">
        <f t="shared" si="0"/>
        <v>10</v>
      </c>
      <c r="B22" s="245" t="s">
        <v>7</v>
      </c>
      <c r="G22" s="345"/>
      <c r="I22" s="345"/>
    </row>
    <row r="23" spans="1:9">
      <c r="A23" s="280">
        <f t="shared" si="0"/>
        <v>11</v>
      </c>
      <c r="B23" s="245" t="s">
        <v>8</v>
      </c>
      <c r="C23" s="349">
        <f>+'Detailed Summary'!C23</f>
        <v>204174130.28999999</v>
      </c>
      <c r="D23" s="349">
        <f>+'Detailed Summary'!AI23</f>
        <v>1063362.3599999994</v>
      </c>
      <c r="E23" s="349">
        <f>SUM(C23:D23)</f>
        <v>205237492.64999998</v>
      </c>
      <c r="F23" s="349">
        <f>+'Detailed Summary'!BO23</f>
        <v>-17614269.038255386</v>
      </c>
      <c r="G23" s="349">
        <f>SUM(E23:F23)</f>
        <v>187623223.61174458</v>
      </c>
      <c r="H23" s="350"/>
      <c r="I23" s="349">
        <f>SUM(G23:H23)</f>
        <v>187623223.61174458</v>
      </c>
    </row>
    <row r="24" spans="1:9">
      <c r="A24" s="280">
        <f t="shared" si="0"/>
        <v>12</v>
      </c>
      <c r="B24" s="245" t="s">
        <v>9</v>
      </c>
      <c r="C24" s="56">
        <f>+'Detailed Summary'!C24</f>
        <v>591842797.56999886</v>
      </c>
      <c r="D24" s="56">
        <f>+'Detailed Summary'!AI24</f>
        <v>9117243.2544305678</v>
      </c>
      <c r="E24" s="56">
        <f>SUM(C24:D24)</f>
        <v>600960040.82442939</v>
      </c>
      <c r="F24" s="56">
        <f>+'Detailed Summary'!BO24</f>
        <v>-167090781.88744229</v>
      </c>
      <c r="G24" s="56">
        <f>SUM(E24:F24)</f>
        <v>433869258.9369871</v>
      </c>
      <c r="H24" s="81"/>
      <c r="I24" s="56">
        <f>SUM(G24:H24)</f>
        <v>433869258.9369871</v>
      </c>
    </row>
    <row r="25" spans="1:9">
      <c r="A25" s="280">
        <f t="shared" si="0"/>
        <v>13</v>
      </c>
      <c r="B25" s="245" t="s">
        <v>10</v>
      </c>
      <c r="C25" s="56">
        <f>+'Detailed Summary'!C25</f>
        <v>115807777.5999999</v>
      </c>
      <c r="D25" s="56">
        <f>+'Detailed Summary'!AI25</f>
        <v>0</v>
      </c>
      <c r="E25" s="56">
        <f>SUM(C25:D25)</f>
        <v>115807777.5999999</v>
      </c>
      <c r="F25" s="56">
        <f>+'Detailed Summary'!BO25</f>
        <v>-3265056.2605439574</v>
      </c>
      <c r="G25" s="56">
        <f>SUM(E25:F25)</f>
        <v>112542721.33945595</v>
      </c>
      <c r="H25" s="81"/>
      <c r="I25" s="56">
        <f>SUM(G25:H25)</f>
        <v>112542721.33945595</v>
      </c>
    </row>
    <row r="26" spans="1:9">
      <c r="A26" s="280">
        <f t="shared" si="0"/>
        <v>14</v>
      </c>
      <c r="B26" s="154" t="s">
        <v>11</v>
      </c>
      <c r="C26" s="56">
        <f>+'Detailed Summary'!C26</f>
        <v>-77453659.509999901</v>
      </c>
      <c r="D26" s="56">
        <f>+'Detailed Summary'!AI26</f>
        <v>77453659.510000005</v>
      </c>
      <c r="E26" s="56">
        <f>SUM(C26:D26)</f>
        <v>0</v>
      </c>
      <c r="F26" s="56">
        <f>+'Detailed Summary'!BO26</f>
        <v>0</v>
      </c>
      <c r="G26" s="56">
        <f>SUM(E26:F26)</f>
        <v>0</v>
      </c>
      <c r="H26" s="81"/>
      <c r="I26" s="56">
        <f>SUM(G26:H26)</f>
        <v>0</v>
      </c>
    </row>
    <row r="27" spans="1:9">
      <c r="A27" s="280">
        <f t="shared" si="0"/>
        <v>15</v>
      </c>
      <c r="B27" s="245" t="s">
        <v>12</v>
      </c>
      <c r="C27" s="419">
        <f t="shared" ref="C27:I27" si="2">SUM(C22:C26)</f>
        <v>834371045.94999886</v>
      </c>
      <c r="D27" s="419">
        <f t="shared" si="2"/>
        <v>87634265.124430567</v>
      </c>
      <c r="E27" s="419">
        <f t="shared" si="2"/>
        <v>922005311.07442927</v>
      </c>
      <c r="F27" s="419">
        <f t="shared" si="2"/>
        <v>-187970107.18624163</v>
      </c>
      <c r="G27" s="419">
        <f t="shared" si="2"/>
        <v>734035203.88818765</v>
      </c>
      <c r="H27" s="418">
        <f t="shared" si="2"/>
        <v>0</v>
      </c>
      <c r="I27" s="419">
        <f t="shared" si="2"/>
        <v>734035203.88818765</v>
      </c>
    </row>
    <row r="28" spans="1:9">
      <c r="A28" s="280">
        <f t="shared" si="0"/>
        <v>16</v>
      </c>
      <c r="B28" s="245"/>
      <c r="C28" s="349"/>
      <c r="D28" s="349"/>
      <c r="E28" s="349"/>
      <c r="F28" s="349"/>
      <c r="G28" s="349"/>
      <c r="H28" s="350"/>
      <c r="I28" s="349"/>
    </row>
    <row r="29" spans="1:9">
      <c r="A29" s="280">
        <f t="shared" si="0"/>
        <v>17</v>
      </c>
      <c r="B29" s="2" t="s">
        <v>13</v>
      </c>
      <c r="C29" s="349">
        <f>+'Detailed Summary'!C29</f>
        <v>127167992.89</v>
      </c>
      <c r="D29" s="349">
        <f>+'Detailed Summary'!AI29</f>
        <v>-35955.199816429289</v>
      </c>
      <c r="E29" s="349">
        <f t="shared" ref="E29:E43" si="3">SUM(C29:D29)</f>
        <v>127132037.69018357</v>
      </c>
      <c r="F29" s="349">
        <f>+'Detailed Summary'!BO29</f>
        <v>-20229805.189276181</v>
      </c>
      <c r="G29" s="349">
        <f t="shared" ref="G29:G43" si="4">SUM(E29:F29)</f>
        <v>106902232.50090739</v>
      </c>
      <c r="H29" s="350"/>
      <c r="I29" s="349">
        <f t="shared" ref="I29:I43" si="5">SUM(G29:H29)</f>
        <v>106902232.50090739</v>
      </c>
    </row>
    <row r="30" spans="1:9">
      <c r="A30" s="280">
        <f t="shared" si="0"/>
        <v>18</v>
      </c>
      <c r="B30" s="245" t="s">
        <v>14</v>
      </c>
      <c r="C30" s="56">
        <f>+'Detailed Summary'!C30</f>
        <v>24439502.479999997</v>
      </c>
      <c r="D30" s="56">
        <f>+'Detailed Summary'!AI30</f>
        <v>-119633.45425329165</v>
      </c>
      <c r="E30" s="56">
        <f t="shared" si="3"/>
        <v>24319869.025746707</v>
      </c>
      <c r="F30" s="56">
        <f>+'Detailed Summary'!BO30</f>
        <v>488386.45716514532</v>
      </c>
      <c r="G30" s="56">
        <f t="shared" si="4"/>
        <v>24808255.482911851</v>
      </c>
      <c r="H30" s="81"/>
      <c r="I30" s="56">
        <f t="shared" si="5"/>
        <v>24808255.482911851</v>
      </c>
    </row>
    <row r="31" spans="1:9">
      <c r="A31" s="280">
        <f t="shared" si="0"/>
        <v>19</v>
      </c>
      <c r="B31" s="245" t="s">
        <v>15</v>
      </c>
      <c r="C31" s="56">
        <f>+'Detailed Summary'!C31</f>
        <v>83251239.00999999</v>
      </c>
      <c r="D31" s="56">
        <f>+'Detailed Summary'!AI31</f>
        <v>70205.134423830081</v>
      </c>
      <c r="E31" s="56">
        <f t="shared" si="3"/>
        <v>83321444.144423828</v>
      </c>
      <c r="F31" s="56">
        <f>+'Detailed Summary'!BO31</f>
        <v>2247362.7262155674</v>
      </c>
      <c r="G31" s="56">
        <f t="shared" si="4"/>
        <v>85568806.870639399</v>
      </c>
      <c r="H31" s="81"/>
      <c r="I31" s="56">
        <f t="shared" si="5"/>
        <v>85568806.870639399</v>
      </c>
    </row>
    <row r="32" spans="1:9">
      <c r="A32" s="280">
        <f t="shared" si="0"/>
        <v>20</v>
      </c>
      <c r="B32" s="245" t="s">
        <v>16</v>
      </c>
      <c r="C32" s="56">
        <f>+'Detailed Summary'!C32</f>
        <v>53199861.179999992</v>
      </c>
      <c r="D32" s="56">
        <f>+'Detailed Summary'!AI32</f>
        <v>-774802.84079546237</v>
      </c>
      <c r="E32" s="56">
        <f t="shared" si="3"/>
        <v>52425058.339204527</v>
      </c>
      <c r="F32" s="56">
        <f>+'Detailed Summary'!BO32</f>
        <v>-307130.9354708285</v>
      </c>
      <c r="G32" s="56">
        <f t="shared" si="4"/>
        <v>52117927.403733701</v>
      </c>
      <c r="H32" s="81">
        <f>'COC, Def, ConvF'!C21*'COC, Def, ConvF'!M12</f>
        <v>450344.338453</v>
      </c>
      <c r="I32" s="56">
        <f t="shared" si="5"/>
        <v>52568271.742186703</v>
      </c>
    </row>
    <row r="33" spans="1:9">
      <c r="A33" s="280">
        <f t="shared" si="0"/>
        <v>21</v>
      </c>
      <c r="B33" s="245" t="s">
        <v>17</v>
      </c>
      <c r="C33" s="56">
        <f>+'Detailed Summary'!C33</f>
        <v>22140921.049999997</v>
      </c>
      <c r="D33" s="56">
        <f>+'Detailed Summary'!AI33</f>
        <v>-18125239.842409734</v>
      </c>
      <c r="E33" s="56">
        <f t="shared" si="3"/>
        <v>4015681.2075902633</v>
      </c>
      <c r="F33" s="56">
        <f>+'Detailed Summary'!BO33</f>
        <v>67858.879361970816</v>
      </c>
      <c r="G33" s="56">
        <f t="shared" si="4"/>
        <v>4083540.0869522342</v>
      </c>
      <c r="H33" s="81"/>
      <c r="I33" s="56">
        <f t="shared" si="5"/>
        <v>4083540.0869522342</v>
      </c>
    </row>
    <row r="34" spans="1:9">
      <c r="A34" s="280">
        <f t="shared" si="0"/>
        <v>22</v>
      </c>
      <c r="B34" s="245" t="s">
        <v>18</v>
      </c>
      <c r="C34" s="56">
        <f>+'Detailed Summary'!C34</f>
        <v>97087902.950000003</v>
      </c>
      <c r="D34" s="56">
        <f>+'Detailed Summary'!AI34</f>
        <v>-97087902.950000003</v>
      </c>
      <c r="E34" s="56">
        <f t="shared" si="3"/>
        <v>0</v>
      </c>
      <c r="F34" s="56">
        <f>+'Detailed Summary'!BO34</f>
        <v>0</v>
      </c>
      <c r="G34" s="56">
        <f t="shared" si="4"/>
        <v>0</v>
      </c>
      <c r="H34" s="81"/>
      <c r="I34" s="56">
        <f t="shared" si="5"/>
        <v>0</v>
      </c>
    </row>
    <row r="35" spans="1:9">
      <c r="A35" s="280">
        <f t="shared" si="0"/>
        <v>23</v>
      </c>
      <c r="B35" s="245" t="s">
        <v>19</v>
      </c>
      <c r="C35" s="56">
        <f>+'Detailed Summary'!C35</f>
        <v>124825410.95999999</v>
      </c>
      <c r="D35" s="56">
        <f>+'Detailed Summary'!AI35</f>
        <v>752398.42289959756</v>
      </c>
      <c r="E35" s="56">
        <f t="shared" si="3"/>
        <v>125577809.3828996</v>
      </c>
      <c r="F35" s="56">
        <f>+'Detailed Summary'!BO35</f>
        <v>2219347.9317713743</v>
      </c>
      <c r="G35" s="56">
        <f t="shared" si="4"/>
        <v>127797157.31467097</v>
      </c>
      <c r="H35" s="81">
        <f>'COC, Def, ConvF'!C21*'COC, Def, ConvF'!M13</f>
        <v>106225.814</v>
      </c>
      <c r="I35" s="56">
        <f t="shared" si="5"/>
        <v>127903383.12867096</v>
      </c>
    </row>
    <row r="36" spans="1:9">
      <c r="A36" s="280">
        <f t="shared" si="0"/>
        <v>24</v>
      </c>
      <c r="B36" s="245" t="s">
        <v>20</v>
      </c>
      <c r="C36" s="56">
        <f>+'Detailed Summary'!C36</f>
        <v>341625259.95999998</v>
      </c>
      <c r="D36" s="56">
        <f>+'Detailed Summary'!AI36</f>
        <v>2581342.764109659</v>
      </c>
      <c r="E36" s="56">
        <f t="shared" si="3"/>
        <v>344206602.72410965</v>
      </c>
      <c r="F36" s="56">
        <f>+'Detailed Summary'!BO36</f>
        <v>4322049.8647277346</v>
      </c>
      <c r="G36" s="56">
        <f t="shared" si="4"/>
        <v>348528652.58883739</v>
      </c>
      <c r="H36" s="81"/>
      <c r="I36" s="56">
        <f t="shared" si="5"/>
        <v>348528652.58883739</v>
      </c>
    </row>
    <row r="37" spans="1:9">
      <c r="A37" s="280">
        <f t="shared" si="0"/>
        <v>25</v>
      </c>
      <c r="B37" s="245" t="s">
        <v>21</v>
      </c>
      <c r="C37" s="56">
        <f>+'Detailed Summary'!C37</f>
        <v>75292958.060000002</v>
      </c>
      <c r="D37" s="56">
        <f>+'Detailed Summary'!AI37</f>
        <v>15699257.697837964</v>
      </c>
      <c r="E37" s="56">
        <f t="shared" si="3"/>
        <v>90992215.757837966</v>
      </c>
      <c r="F37" s="56">
        <f>+'Detailed Summary'!BO37</f>
        <v>-2792366.8566913339</v>
      </c>
      <c r="G37" s="56">
        <f t="shared" si="4"/>
        <v>88199848.901146635</v>
      </c>
      <c r="H37" s="81"/>
      <c r="I37" s="56">
        <f t="shared" si="5"/>
        <v>88199848.901146635</v>
      </c>
    </row>
    <row r="38" spans="1:9">
      <c r="A38" s="280">
        <f t="shared" si="0"/>
        <v>26</v>
      </c>
      <c r="B38" s="2" t="s">
        <v>22</v>
      </c>
      <c r="C38" s="56">
        <f>+'Detailed Summary'!C38</f>
        <v>35645161.039999902</v>
      </c>
      <c r="D38" s="56">
        <f>+'Detailed Summary'!AI38</f>
        <v>0</v>
      </c>
      <c r="E38" s="56">
        <f t="shared" si="3"/>
        <v>35645161.039999902</v>
      </c>
      <c r="F38" s="56">
        <f>+'Detailed Summary'!BO38</f>
        <v>7505238.283406239</v>
      </c>
      <c r="G38" s="56">
        <f t="shared" si="4"/>
        <v>43150399.323406145</v>
      </c>
      <c r="H38" s="81"/>
      <c r="I38" s="56">
        <f t="shared" si="5"/>
        <v>43150399.323406145</v>
      </c>
    </row>
    <row r="39" spans="1:9">
      <c r="A39" s="280">
        <f t="shared" si="0"/>
        <v>27</v>
      </c>
      <c r="B39" s="245" t="s">
        <v>23</v>
      </c>
      <c r="C39" s="56">
        <f>+'Detailed Summary'!C39</f>
        <v>-21632953.829999994</v>
      </c>
      <c r="D39" s="56">
        <f>+'Detailed Summary'!AI39</f>
        <v>31433177.98</v>
      </c>
      <c r="E39" s="56">
        <f t="shared" si="3"/>
        <v>9800224.150000006</v>
      </c>
      <c r="F39" s="56">
        <f>+'Detailed Summary'!BO39</f>
        <v>-334740.6455982551</v>
      </c>
      <c r="G39" s="56">
        <f t="shared" si="4"/>
        <v>9465483.5044017509</v>
      </c>
      <c r="H39" s="81"/>
      <c r="I39" s="56">
        <f t="shared" si="5"/>
        <v>9465483.5044017509</v>
      </c>
    </row>
    <row r="40" spans="1:9">
      <c r="A40" s="280">
        <f t="shared" si="0"/>
        <v>28</v>
      </c>
      <c r="B40" s="154" t="s">
        <v>24</v>
      </c>
      <c r="C40" s="56">
        <f>+'Detailed Summary'!C40</f>
        <v>-41661500.859999999</v>
      </c>
      <c r="D40" s="56">
        <f>+'Detailed Summary'!AI40</f>
        <v>41661500.859999999</v>
      </c>
      <c r="E40" s="56">
        <f t="shared" si="3"/>
        <v>0</v>
      </c>
      <c r="F40" s="56">
        <f>+'Detailed Summary'!BO40</f>
        <v>0</v>
      </c>
      <c r="G40" s="56">
        <f t="shared" si="4"/>
        <v>0</v>
      </c>
      <c r="H40" s="81"/>
      <c r="I40" s="56">
        <f t="shared" si="5"/>
        <v>0</v>
      </c>
    </row>
    <row r="41" spans="1:9">
      <c r="A41" s="280">
        <f t="shared" si="0"/>
        <v>29</v>
      </c>
      <c r="B41" s="245" t="s">
        <v>25</v>
      </c>
      <c r="C41" s="56">
        <f>+'Detailed Summary'!C41</f>
        <v>234440433.30000001</v>
      </c>
      <c r="D41" s="56">
        <f>+'Detailed Summary'!AI41</f>
        <v>-146620963.88326266</v>
      </c>
      <c r="E41" s="56">
        <f t="shared" si="3"/>
        <v>87819469.416737348</v>
      </c>
      <c r="F41" s="56">
        <f>+'Detailed Summary'!BO41</f>
        <v>-1226480.4436614118</v>
      </c>
      <c r="G41" s="56">
        <f t="shared" si="4"/>
        <v>86592988.973075941</v>
      </c>
      <c r="H41" s="81">
        <f>'COC, Def, ConvF'!C21*'COC, Def, ConvF'!M14</f>
        <v>2039854.3062420001</v>
      </c>
      <c r="I41" s="56">
        <f t="shared" si="5"/>
        <v>88632843.279317945</v>
      </c>
    </row>
    <row r="42" spans="1:9">
      <c r="A42" s="280">
        <f t="shared" si="0"/>
        <v>30</v>
      </c>
      <c r="B42" s="245" t="s">
        <v>26</v>
      </c>
      <c r="C42" s="56">
        <f>+'Detailed Summary'!C42</f>
        <v>22841555.030000001</v>
      </c>
      <c r="D42" s="56">
        <f>+'Detailed Summary'!AI42</f>
        <v>60709612.117251843</v>
      </c>
      <c r="E42" s="56">
        <f t="shared" si="3"/>
        <v>83551167.147251844</v>
      </c>
      <c r="F42" s="56">
        <f>+'Detailed Summary'!BO42</f>
        <v>-3751919.0581981735</v>
      </c>
      <c r="G42" s="56">
        <f t="shared" si="4"/>
        <v>79799248.089053676</v>
      </c>
      <c r="H42" s="81">
        <f>'COC, Def, ConvF'!C21*'COC, Def, ConvF'!M19</f>
        <v>10608453.366737999</v>
      </c>
      <c r="I42" s="56">
        <f t="shared" si="5"/>
        <v>90407701.455791682</v>
      </c>
    </row>
    <row r="43" spans="1:9">
      <c r="A43" s="280">
        <f t="shared" si="0"/>
        <v>31</v>
      </c>
      <c r="B43" s="154" t="s">
        <v>27</v>
      </c>
      <c r="C43" s="56">
        <f>+'Detailed Summary'!C43</f>
        <v>38907707.560000002</v>
      </c>
      <c r="D43" s="56">
        <f>+'Detailed Summary'!AI43</f>
        <v>-90716508.465295345</v>
      </c>
      <c r="E43" s="56">
        <f t="shared" si="3"/>
        <v>-51808800.905295342</v>
      </c>
      <c r="F43" s="56">
        <f>+'Detailed Summary'!BO43</f>
        <v>-9006372.2399999984</v>
      </c>
      <c r="G43" s="56">
        <f t="shared" si="4"/>
        <v>-60815173.145295337</v>
      </c>
      <c r="H43" s="56"/>
      <c r="I43" s="56">
        <f t="shared" si="5"/>
        <v>-60815173.145295337</v>
      </c>
    </row>
    <row r="44" spans="1:9">
      <c r="A44" s="280">
        <f t="shared" si="0"/>
        <v>32</v>
      </c>
      <c r="B44" s="245" t="s">
        <v>28</v>
      </c>
      <c r="C44" s="419">
        <f t="shared" ref="C44:I44" si="6">SUM(C27:C43)</f>
        <v>2051942496.7299988</v>
      </c>
      <c r="D44" s="419">
        <f t="shared" si="6"/>
        <v>-112939246.53487945</v>
      </c>
      <c r="E44" s="419">
        <f t="shared" si="6"/>
        <v>1939003250.1951191</v>
      </c>
      <c r="F44" s="419">
        <f t="shared" si="6"/>
        <v>-208768678.41248983</v>
      </c>
      <c r="G44" s="419">
        <f t="shared" si="6"/>
        <v>1730234571.7826293</v>
      </c>
      <c r="H44" s="419">
        <f t="shared" si="6"/>
        <v>13204877.825432999</v>
      </c>
      <c r="I44" s="419">
        <f t="shared" si="6"/>
        <v>1743439449.6080623</v>
      </c>
    </row>
    <row r="45" spans="1:9">
      <c r="A45" s="280">
        <f t="shared" si="0"/>
        <v>33</v>
      </c>
      <c r="B45" s="154"/>
      <c r="C45" s="420"/>
      <c r="D45" s="420"/>
      <c r="E45" s="420"/>
      <c r="F45" s="420"/>
      <c r="G45" s="420"/>
      <c r="H45" s="420"/>
      <c r="I45" s="420"/>
    </row>
    <row r="46" spans="1:9" ht="15.75" thickBot="1">
      <c r="A46" s="280">
        <f t="shared" ref="A46:A64" si="7">A45+1</f>
        <v>34</v>
      </c>
      <c r="B46" s="154" t="s">
        <v>29</v>
      </c>
      <c r="C46" s="317">
        <f t="shared" ref="C46:I46" si="8">+C18-C44</f>
        <v>391140691.10000062</v>
      </c>
      <c r="D46" s="317">
        <f t="shared" si="8"/>
        <v>-28033322.633888543</v>
      </c>
      <c r="E46" s="317">
        <f t="shared" si="8"/>
        <v>363107368.46611285</v>
      </c>
      <c r="F46" s="317">
        <f t="shared" si="8"/>
        <v>-8246191.9067594111</v>
      </c>
      <c r="G46" s="317">
        <f t="shared" si="8"/>
        <v>354861176.55935359</v>
      </c>
      <c r="H46" s="317">
        <f t="shared" si="8"/>
        <v>39908029.174566999</v>
      </c>
      <c r="I46" s="317">
        <f t="shared" si="8"/>
        <v>394769205.73392034</v>
      </c>
    </row>
    <row r="47" spans="1:9" ht="15.75" thickTop="1">
      <c r="A47" s="280">
        <f t="shared" si="7"/>
        <v>35</v>
      </c>
      <c r="G47" s="345"/>
      <c r="I47" s="345"/>
    </row>
    <row r="48" spans="1:9" s="351" customFormat="1">
      <c r="A48" s="280">
        <f t="shared" si="7"/>
        <v>36</v>
      </c>
      <c r="B48" s="245" t="s">
        <v>30</v>
      </c>
      <c r="C48" s="349">
        <f>C59</f>
        <v>5208778506.3049917</v>
      </c>
      <c r="D48" s="349">
        <f>D59</f>
        <v>155397419.34509224</v>
      </c>
      <c r="E48" s="349">
        <f>E59</f>
        <v>5364175925.6500835</v>
      </c>
      <c r="F48" s="349">
        <f>F59</f>
        <v>21488542.596252523</v>
      </c>
      <c r="G48" s="349">
        <f>G59</f>
        <v>5385664468.246336</v>
      </c>
      <c r="H48" s="349"/>
      <c r="I48" s="349">
        <f>I59</f>
        <v>5385664468.246336</v>
      </c>
    </row>
    <row r="49" spans="1:9">
      <c r="A49" s="280">
        <f t="shared" si="7"/>
        <v>37</v>
      </c>
      <c r="B49" s="154"/>
      <c r="G49" s="345"/>
      <c r="I49" s="345"/>
    </row>
    <row r="50" spans="1:9">
      <c r="A50" s="280">
        <f t="shared" si="7"/>
        <v>38</v>
      </c>
      <c r="B50" s="245" t="s">
        <v>31</v>
      </c>
      <c r="C50" s="319">
        <f>+C46/C48</f>
        <v>7.5092594286077327E-2</v>
      </c>
      <c r="D50" s="319"/>
      <c r="E50" s="319">
        <f>+E46/E48</f>
        <v>6.7691174469097587E-2</v>
      </c>
      <c r="F50" s="319"/>
      <c r="G50" s="319">
        <f>+G46/G48</f>
        <v>6.5889952605031568E-2</v>
      </c>
      <c r="H50" s="56"/>
      <c r="I50" s="319">
        <f>+I46/I48</f>
        <v>7.3300000039264221E-2</v>
      </c>
    </row>
    <row r="51" spans="1:9">
      <c r="A51" s="280">
        <f t="shared" si="7"/>
        <v>39</v>
      </c>
      <c r="B51" s="154"/>
      <c r="C51" s="56"/>
      <c r="D51" s="56"/>
      <c r="E51" s="56"/>
      <c r="F51" s="56" t="s">
        <v>256</v>
      </c>
      <c r="G51" s="56"/>
      <c r="H51" s="56"/>
      <c r="I51" s="56"/>
    </row>
    <row r="52" spans="1:9">
      <c r="A52" s="280">
        <f t="shared" si="7"/>
        <v>40</v>
      </c>
      <c r="B52" s="154" t="s">
        <v>32</v>
      </c>
      <c r="C52" s="56"/>
      <c r="D52" s="56"/>
      <c r="E52" s="56"/>
      <c r="F52" s="56"/>
      <c r="G52" s="56"/>
      <c r="H52" s="56"/>
      <c r="I52" s="56"/>
    </row>
    <row r="53" spans="1:9">
      <c r="A53" s="280">
        <f t="shared" si="7"/>
        <v>41</v>
      </c>
      <c r="B53" s="92" t="s">
        <v>33</v>
      </c>
      <c r="C53" s="349">
        <f>+'Detailed Summary'!C53</f>
        <v>10572466950.394854</v>
      </c>
      <c r="D53" s="349">
        <f>+'Detailed Summary'!AI53</f>
        <v>313729829.99844003</v>
      </c>
      <c r="E53" s="349">
        <f t="shared" ref="E53:E58" si="9">SUM(C53:D53)</f>
        <v>10886196780.393293</v>
      </c>
      <c r="F53" s="349">
        <f>+'Detailed Summary'!BO53</f>
        <v>25394339.481926002</v>
      </c>
      <c r="G53" s="349">
        <f t="shared" ref="G53:G58" si="10">SUM(E53:F53)</f>
        <v>10911591119.875219</v>
      </c>
      <c r="H53" s="349"/>
      <c r="I53" s="349">
        <f t="shared" ref="I53:I58" si="11">SUM(G53:H53)</f>
        <v>10911591119.875219</v>
      </c>
    </row>
    <row r="54" spans="1:9">
      <c r="A54" s="280">
        <f t="shared" si="7"/>
        <v>42</v>
      </c>
      <c r="B54" s="92" t="s">
        <v>34</v>
      </c>
      <c r="C54" s="56">
        <f>+'Detailed Summary'!C54</f>
        <v>-4244925258.0010071</v>
      </c>
      <c r="D54" s="56">
        <f>+'Detailed Summary'!AI54</f>
        <v>-178784498.93937823</v>
      </c>
      <c r="E54" s="56">
        <f t="shared" si="9"/>
        <v>-4423709756.9403849</v>
      </c>
      <c r="F54" s="56">
        <f>+'Detailed Summary'!BO54</f>
        <v>475292.42644805182</v>
      </c>
      <c r="G54" s="56">
        <f t="shared" si="10"/>
        <v>-4423234464.513937</v>
      </c>
      <c r="H54" s="56"/>
      <c r="I54" s="56">
        <f t="shared" si="11"/>
        <v>-4423234464.513937</v>
      </c>
    </row>
    <row r="55" spans="1:9">
      <c r="A55" s="280">
        <f t="shared" si="7"/>
        <v>43</v>
      </c>
      <c r="B55" s="154" t="s">
        <v>35</v>
      </c>
      <c r="C55" s="56">
        <f>+'Detailed Summary'!C55</f>
        <v>285841342.02833331</v>
      </c>
      <c r="D55" s="56">
        <f>+'Detailed Summary'!AI55</f>
        <v>-12697238.698333323</v>
      </c>
      <c r="E55" s="56">
        <f t="shared" si="9"/>
        <v>273144103.32999998</v>
      </c>
      <c r="F55" s="56">
        <f>+'Detailed Summary'!BO55</f>
        <v>-25514938.123929393</v>
      </c>
      <c r="G55" s="56">
        <f t="shared" si="10"/>
        <v>247629165.2060706</v>
      </c>
      <c r="H55" s="56"/>
      <c r="I55" s="56">
        <f t="shared" si="11"/>
        <v>247629165.2060706</v>
      </c>
    </row>
    <row r="56" spans="1:9">
      <c r="A56" s="280">
        <f t="shared" si="7"/>
        <v>44</v>
      </c>
      <c r="B56" s="154" t="s">
        <v>36</v>
      </c>
      <c r="C56" s="56">
        <f>+'Detailed Summary'!C56</f>
        <v>-1443684469.5857882</v>
      </c>
      <c r="D56" s="56">
        <f>+'Detailed Summary'!AI56</f>
        <v>35016842.948588848</v>
      </c>
      <c r="E56" s="56">
        <f t="shared" si="9"/>
        <v>-1408667626.6371994</v>
      </c>
      <c r="F56" s="56">
        <f>+'Detailed Summary'!BO56</f>
        <v>21133848.811807863</v>
      </c>
      <c r="G56" s="56">
        <f t="shared" si="10"/>
        <v>-1387533777.8253915</v>
      </c>
      <c r="H56" s="56"/>
      <c r="I56" s="56">
        <f t="shared" si="11"/>
        <v>-1387533777.8253915</v>
      </c>
    </row>
    <row r="57" spans="1:9">
      <c r="A57" s="280">
        <f t="shared" si="7"/>
        <v>45</v>
      </c>
      <c r="B57" s="154" t="s">
        <v>37</v>
      </c>
      <c r="C57" s="56">
        <f>+'Detailed Summary'!C57</f>
        <v>145303204.9988502</v>
      </c>
      <c r="D57" s="56">
        <f>+'Detailed Summary'!AI57</f>
        <v>0</v>
      </c>
      <c r="E57" s="56">
        <f t="shared" si="9"/>
        <v>145303204.9988502</v>
      </c>
      <c r="F57" s="56">
        <f>+'Detailed Summary'!BO57</f>
        <v>0</v>
      </c>
      <c r="G57" s="56">
        <f t="shared" si="10"/>
        <v>145303204.9988502</v>
      </c>
      <c r="H57" s="56"/>
      <c r="I57" s="56">
        <f t="shared" si="11"/>
        <v>145303204.9988502</v>
      </c>
    </row>
    <row r="58" spans="1:9">
      <c r="A58" s="280">
        <f t="shared" si="7"/>
        <v>46</v>
      </c>
      <c r="B58" s="154" t="s">
        <v>38</v>
      </c>
      <c r="C58" s="56">
        <f>+'Detailed Summary'!C58</f>
        <v>-106223263.53024991</v>
      </c>
      <c r="D58" s="56">
        <f>+'Detailed Summary'!AI58</f>
        <v>-1867515.9642250985</v>
      </c>
      <c r="E58" s="56">
        <f t="shared" si="9"/>
        <v>-108090779.49447501</v>
      </c>
      <c r="F58" s="56">
        <f>+'Detailed Summary'!BO58</f>
        <v>0</v>
      </c>
      <c r="G58" s="56">
        <f t="shared" si="10"/>
        <v>-108090779.49447501</v>
      </c>
      <c r="H58" s="56"/>
      <c r="I58" s="56">
        <f t="shared" si="11"/>
        <v>-108090779.49447501</v>
      </c>
    </row>
    <row r="59" spans="1:9" ht="15.75" thickBot="1">
      <c r="A59" s="280">
        <f t="shared" si="7"/>
        <v>47</v>
      </c>
      <c r="B59" s="154" t="s">
        <v>39</v>
      </c>
      <c r="C59" s="421">
        <f>SUM(C53:C58)</f>
        <v>5208778506.3049917</v>
      </c>
      <c r="D59" s="421">
        <f>SUM(D53:D58)</f>
        <v>155397419.34509224</v>
      </c>
      <c r="E59" s="421">
        <f>SUM(E53:E58)</f>
        <v>5364175925.6500835</v>
      </c>
      <c r="F59" s="421">
        <f>SUM(F53:F58)</f>
        <v>21488542.596252523</v>
      </c>
      <c r="G59" s="421">
        <f>SUM(G53:G58)</f>
        <v>5385664468.246336</v>
      </c>
      <c r="H59" s="421"/>
      <c r="I59" s="421">
        <f>SUM(I53:I58)</f>
        <v>5385664468.246336</v>
      </c>
    </row>
    <row r="60" spans="1:9" ht="15.75" thickTop="1">
      <c r="A60" s="280">
        <f t="shared" si="7"/>
        <v>48</v>
      </c>
    </row>
    <row r="61" spans="1:9">
      <c r="A61" s="280">
        <f t="shared" si="7"/>
        <v>49</v>
      </c>
      <c r="B61" s="154" t="s">
        <v>195</v>
      </c>
      <c r="C61" s="321">
        <f>+'COC, Def, ConvF'!$C$13</f>
        <v>7.3300000000000004E-2</v>
      </c>
      <c r="D61" s="321">
        <f>+'COC, Def, ConvF'!$C$13</f>
        <v>7.3300000000000004E-2</v>
      </c>
      <c r="E61" s="321">
        <f>+'COC, Def, ConvF'!$C$13</f>
        <v>7.3300000000000004E-2</v>
      </c>
      <c r="F61" s="321">
        <f>+'COC, Def, ConvF'!$C$13</f>
        <v>7.3300000000000004E-2</v>
      </c>
      <c r="G61" s="321">
        <f>+'COC, Def, ConvF'!$C$13</f>
        <v>7.3300000000000004E-2</v>
      </c>
      <c r="H61" s="321">
        <f>+'COC, Def, ConvF'!$C$13</f>
        <v>7.3300000000000004E-2</v>
      </c>
      <c r="I61" s="321">
        <f>+'COC, Def, ConvF'!$C$13</f>
        <v>7.3300000000000004E-2</v>
      </c>
    </row>
    <row r="62" spans="1:9">
      <c r="A62" s="280">
        <f t="shared" si="7"/>
        <v>50</v>
      </c>
      <c r="B62" s="154" t="s">
        <v>250</v>
      </c>
      <c r="C62" s="323">
        <f>+'COC, Def, ConvF'!$M$20</f>
        <v>0.75138099999999997</v>
      </c>
      <c r="D62" s="323">
        <f>+'COC, Def, ConvF'!$M$20</f>
        <v>0.75138099999999997</v>
      </c>
      <c r="E62" s="323">
        <f>+'COC, Def, ConvF'!$M$20</f>
        <v>0.75138099999999997</v>
      </c>
      <c r="F62" s="323">
        <f>+'COC, Def, ConvF'!$M$20</f>
        <v>0.75138099999999997</v>
      </c>
      <c r="G62" s="323">
        <f>+'COC, Def, ConvF'!$M$20</f>
        <v>0.75138099999999997</v>
      </c>
      <c r="H62" s="323">
        <f>+'COC, Def, ConvF'!$M$20</f>
        <v>0.75138099999999997</v>
      </c>
      <c r="I62" s="323">
        <f>+'COC, Def, ConvF'!$M$20</f>
        <v>0.75138099999999997</v>
      </c>
    </row>
    <row r="63" spans="1:9">
      <c r="A63" s="280">
        <f t="shared" si="7"/>
        <v>51</v>
      </c>
      <c r="B63" s="154" t="s">
        <v>251</v>
      </c>
      <c r="C63" s="351">
        <f t="shared" ref="C63:I63" si="12">+C46-(C59*C61)</f>
        <v>9337226.5878447294</v>
      </c>
      <c r="D63" s="351">
        <f t="shared" si="12"/>
        <v>-39423953.471883804</v>
      </c>
      <c r="E63" s="351">
        <f t="shared" si="12"/>
        <v>-30086726.88403827</v>
      </c>
      <c r="F63" s="351">
        <f t="shared" si="12"/>
        <v>-9821302.0790647212</v>
      </c>
      <c r="G63" s="351">
        <f t="shared" si="12"/>
        <v>-39908028.963102877</v>
      </c>
      <c r="H63" s="351">
        <f t="shared" si="12"/>
        <v>39908029.174566999</v>
      </c>
      <c r="I63" s="351">
        <f t="shared" si="12"/>
        <v>0.21146386861801147</v>
      </c>
    </row>
    <row r="64" spans="1:9">
      <c r="A64" s="280">
        <f t="shared" si="7"/>
        <v>52</v>
      </c>
      <c r="B64" s="154" t="s">
        <v>252</v>
      </c>
      <c r="C64" s="351">
        <f t="shared" ref="C64:I64" si="13">-C63/C62</f>
        <v>-12426753.654730063</v>
      </c>
      <c r="D64" s="351">
        <f t="shared" si="13"/>
        <v>52468659.00506375</v>
      </c>
      <c r="E64" s="351">
        <f t="shared" si="13"/>
        <v>40041905.350332618</v>
      </c>
      <c r="F64" s="351">
        <f t="shared" si="13"/>
        <v>13071001.368233588</v>
      </c>
      <c r="G64" s="351">
        <f t="shared" si="13"/>
        <v>53112906.718566053</v>
      </c>
      <c r="H64" s="351">
        <f t="shared" si="13"/>
        <v>-53112907</v>
      </c>
      <c r="I64" s="351">
        <f t="shared" si="13"/>
        <v>-0.28143361173360981</v>
      </c>
    </row>
    <row r="66" spans="2:8" ht="15.75" thickBot="1"/>
    <row r="67" spans="2:8">
      <c r="B67" s="352" t="s">
        <v>416</v>
      </c>
      <c r="C67" s="353"/>
      <c r="D67" s="353"/>
      <c r="E67" s="354">
        <f>+C64+D64-E64</f>
        <v>1.0728836059570313E-6</v>
      </c>
      <c r="F67" s="353"/>
      <c r="G67" s="355">
        <f>+E64+F64-G64</f>
        <v>1.5646219253540039E-7</v>
      </c>
    </row>
    <row r="68" spans="2:8">
      <c r="B68" s="356" t="s">
        <v>415</v>
      </c>
      <c r="C68" s="357"/>
      <c r="D68" s="357"/>
      <c r="E68" s="357"/>
      <c r="F68" s="357"/>
      <c r="G68" s="358"/>
    </row>
    <row r="69" spans="2:8">
      <c r="B69" s="356" t="s">
        <v>417</v>
      </c>
      <c r="C69" s="359">
        <f>+'Detailed Summary'!C46-C46</f>
        <v>0</v>
      </c>
      <c r="D69" s="359">
        <f>+'Detailed Summary'!AI46-D46</f>
        <v>0</v>
      </c>
      <c r="E69" s="359">
        <f>+'Detailed Summary'!AJ46-E46</f>
        <v>0</v>
      </c>
      <c r="F69" s="359">
        <f>+'Detailed Summary'!BO46-F46</f>
        <v>0</v>
      </c>
      <c r="G69" s="360">
        <f>+'Detailed Summary'!BP46-G46</f>
        <v>0</v>
      </c>
      <c r="H69" s="1"/>
    </row>
    <row r="70" spans="2:8" ht="15.75" thickBot="1">
      <c r="B70" s="361" t="s">
        <v>418</v>
      </c>
      <c r="C70" s="362">
        <f>+'Detailed Summary'!C48-C48</f>
        <v>0</v>
      </c>
      <c r="D70" s="362">
        <f>+'Detailed Summary'!AI48-D48</f>
        <v>0</v>
      </c>
      <c r="E70" s="362">
        <f>+'Detailed Summary'!AJ48-E48</f>
        <v>0</v>
      </c>
      <c r="F70" s="362">
        <f>+'Detailed Summary'!BO48-F48</f>
        <v>0</v>
      </c>
      <c r="G70" s="363">
        <f>+'Detailed Summary'!BP48-G48</f>
        <v>0</v>
      </c>
      <c r="H70" s="1"/>
    </row>
    <row r="71" spans="2:8">
      <c r="C71" s="1"/>
      <c r="D71" s="105"/>
      <c r="E71" s="105"/>
      <c r="F71" s="105"/>
      <c r="H71" s="1"/>
    </row>
    <row r="72" spans="2:8">
      <c r="C72" s="1"/>
      <c r="D72" s="105"/>
      <c r="E72" s="105"/>
      <c r="F72" s="105"/>
      <c r="H72" s="1"/>
    </row>
    <row r="73" spans="2:8">
      <c r="C73" s="1"/>
      <c r="D73" s="364"/>
      <c r="E73" s="364"/>
      <c r="F73" s="364"/>
      <c r="H73" s="1"/>
    </row>
    <row r="74" spans="2:8">
      <c r="C74" s="1"/>
      <c r="D74" s="108"/>
      <c r="E74" s="108"/>
      <c r="F74" s="108"/>
      <c r="H74" s="1"/>
    </row>
    <row r="75" spans="2:8">
      <c r="C75" s="1"/>
      <c r="D75" s="105"/>
      <c r="E75" s="105"/>
      <c r="F75" s="105"/>
      <c r="H75" s="1"/>
    </row>
    <row r="76" spans="2:8" ht="15" customHeight="1">
      <c r="C76" s="1"/>
      <c r="D76" s="108"/>
      <c r="E76" s="108"/>
      <c r="F76" s="108"/>
      <c r="H76" s="1"/>
    </row>
    <row r="77" spans="2:8" ht="15.75" customHeight="1">
      <c r="C77" s="1"/>
      <c r="D77" s="108"/>
      <c r="E77" s="108"/>
      <c r="F77" s="108"/>
      <c r="H77" s="1"/>
    </row>
    <row r="78" spans="2:8">
      <c r="H78" s="1"/>
    </row>
  </sheetData>
  <pageMargins left="0.7" right="0.7" top="0.75" bottom="0.75" header="0.3" footer="0.3"/>
  <pageSetup scale="64" fitToWidth="0" orientation="portrait" r:id="rId1"/>
  <headerFooter>
    <oddHeader xml:space="preserve">&amp;R&amp;"Times New Roman,Regular"&amp;9Exh. JL-2r
Dockets UE 190529 / UG-190530 and 
UE-190274 / UG-190275 (consol.)
Page &amp;P of &amp;N&amp;11 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X111"/>
  <sheetViews>
    <sheetView view="pageLayout" topLeftCell="D1" zoomScaleNormal="85" workbookViewId="0">
      <selection activeCell="I2" sqref="I2"/>
    </sheetView>
  </sheetViews>
  <sheetFormatPr defaultColWidth="9.140625" defaultRowHeight="12.75" outlineLevelCol="1"/>
  <cols>
    <col min="1" max="1" width="4.5703125" style="286" bestFit="1" customWidth="1"/>
    <col min="2" max="2" width="41.7109375" style="286" customWidth="1"/>
    <col min="3" max="3" width="17.28515625" style="286" customWidth="1"/>
    <col min="4" max="4" width="15.28515625" style="286" customWidth="1"/>
    <col min="5" max="5" width="15.85546875" style="286" customWidth="1"/>
    <col min="6" max="6" width="15.28515625" style="286" customWidth="1"/>
    <col min="7" max="7" width="15.85546875" style="286" customWidth="1"/>
    <col min="8" max="8" width="17.5703125" style="286" bestFit="1" customWidth="1"/>
    <col min="9" max="16" width="15.28515625" style="286" customWidth="1"/>
    <col min="17" max="17" width="16.5703125" style="286" customWidth="1"/>
    <col min="18" max="21" width="15.28515625" style="286" customWidth="1"/>
    <col min="22" max="22" width="16" style="286" bestFit="1" customWidth="1"/>
    <col min="23" max="28" width="15.28515625" style="286" customWidth="1"/>
    <col min="29" max="29" width="16.85546875" style="286" bestFit="1" customWidth="1"/>
    <col min="30" max="32" width="15.28515625" style="286" customWidth="1" outlineLevel="1"/>
    <col min="33" max="33" width="19.140625" style="286" bestFit="1" customWidth="1" outlineLevel="1"/>
    <col min="34" max="34" width="18.42578125" style="286" customWidth="1" outlineLevel="1"/>
    <col min="35" max="35" width="15.28515625" style="286" customWidth="1"/>
    <col min="36" max="36" width="17.140625" style="286" customWidth="1"/>
    <col min="37" max="37" width="15.28515625" style="286" customWidth="1"/>
    <col min="38" max="38" width="14.85546875" style="286" customWidth="1"/>
    <col min="39" max="45" width="15.28515625" style="286" customWidth="1"/>
    <col min="46" max="46" width="18.42578125" style="286" customWidth="1"/>
    <col min="47" max="47" width="15.28515625" style="286" customWidth="1"/>
    <col min="48" max="48" width="16" style="286" customWidth="1"/>
    <col min="49" max="49" width="15.28515625" style="286" customWidth="1"/>
    <col min="50" max="50" width="16" style="286" customWidth="1"/>
    <col min="51" max="51" width="15.28515625" style="286" customWidth="1"/>
    <col min="52" max="52" width="17.5703125" style="286" bestFit="1" customWidth="1"/>
    <col min="53" max="53" width="16.42578125" style="286" customWidth="1"/>
    <col min="54" max="54" width="18.140625" style="286" customWidth="1"/>
    <col min="55" max="55" width="15.28515625" style="286" customWidth="1"/>
    <col min="56" max="56" width="16" style="286" customWidth="1"/>
    <col min="57" max="60" width="15.28515625" style="286" customWidth="1"/>
    <col min="61" max="61" width="17" style="286" customWidth="1"/>
    <col min="62" max="63" width="15.28515625" style="286" customWidth="1"/>
    <col min="64" max="66" width="15.28515625" style="286" customWidth="1" outlineLevel="1"/>
    <col min="67" max="67" width="16.28515625" style="286" bestFit="1" customWidth="1"/>
    <col min="68" max="68" width="17.28515625" style="286" bestFit="1" customWidth="1"/>
    <col min="69" max="69" width="15.85546875" style="286" bestFit="1" customWidth="1"/>
    <col min="70" max="75" width="9.140625" style="286"/>
    <col min="76" max="76" width="11.5703125" style="286" bestFit="1" customWidth="1"/>
    <col min="77" max="16384" width="9.140625" style="286"/>
  </cols>
  <sheetData>
    <row r="1" spans="1:68">
      <c r="A1" s="90" t="s">
        <v>45</v>
      </c>
      <c r="C1" s="90"/>
      <c r="M1" s="90"/>
      <c r="AK1" s="90"/>
      <c r="AL1" s="90"/>
      <c r="AM1" s="90"/>
      <c r="AN1" s="90"/>
      <c r="AO1" s="90"/>
      <c r="AQ1" s="90"/>
      <c r="AR1" s="90"/>
      <c r="AS1" s="90"/>
      <c r="AT1" s="90"/>
      <c r="AV1" s="90"/>
      <c r="AW1" s="90"/>
      <c r="AY1" s="90"/>
      <c r="AZ1" s="90"/>
      <c r="BA1" s="90"/>
      <c r="BB1" s="90"/>
      <c r="BC1" s="90"/>
      <c r="BD1" s="90"/>
      <c r="BE1" s="90"/>
      <c r="BH1" s="90"/>
      <c r="BI1" s="90"/>
      <c r="BJ1" s="90"/>
      <c r="BK1" s="90"/>
      <c r="BL1" s="90"/>
      <c r="BM1" s="90"/>
      <c r="BN1" s="90"/>
      <c r="BP1" s="90"/>
    </row>
    <row r="2" spans="1:68" ht="14.25">
      <c r="A2" s="90" t="s">
        <v>274</v>
      </c>
      <c r="C2" s="90"/>
      <c r="K2" s="365" t="s">
        <v>508</v>
      </c>
      <c r="L2" s="366"/>
      <c r="U2" s="365" t="s">
        <v>509</v>
      </c>
      <c r="V2" s="366"/>
      <c r="AJ2" s="365" t="s">
        <v>510</v>
      </c>
      <c r="AK2" s="366"/>
      <c r="AO2" s="90"/>
      <c r="AP2" s="90"/>
      <c r="AQ2" s="90"/>
      <c r="AR2" s="90"/>
      <c r="AS2" s="90"/>
      <c r="AT2" s="365" t="s">
        <v>511</v>
      </c>
      <c r="AU2" s="366"/>
      <c r="AZ2" s="90"/>
      <c r="BA2" s="90"/>
      <c r="BB2" s="90"/>
      <c r="BC2" s="90"/>
      <c r="BD2" s="365" t="s">
        <v>512</v>
      </c>
      <c r="BE2" s="366"/>
      <c r="BJ2" s="90"/>
      <c r="BK2" s="90"/>
      <c r="BL2" s="90"/>
      <c r="BM2" s="90"/>
      <c r="BN2" s="90"/>
      <c r="BO2" s="365" t="s">
        <v>513</v>
      </c>
      <c r="BP2" s="366"/>
    </row>
    <row r="3" spans="1:68">
      <c r="A3" s="90" t="s">
        <v>275</v>
      </c>
      <c r="C3" s="90"/>
    </row>
    <row r="4" spans="1:68">
      <c r="A4" s="90" t="str">
        <f>CASE_E</f>
        <v>2019 GENERAL RATE CASE</v>
      </c>
      <c r="C4" s="90"/>
      <c r="BD4" s="96"/>
    </row>
    <row r="5" spans="1:68">
      <c r="A5" s="90" t="str">
        <f>TESTYEAR_E</f>
        <v>12 MONTHS ENDED DECEMBER 31, 2018</v>
      </c>
      <c r="C5" s="90"/>
      <c r="T5" s="287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</row>
    <row r="6" spans="1:68">
      <c r="D6" s="291" t="s">
        <v>205</v>
      </c>
      <c r="E6" s="291" t="s">
        <v>205</v>
      </c>
      <c r="F6" s="291" t="s">
        <v>205</v>
      </c>
      <c r="G6" s="291" t="s">
        <v>205</v>
      </c>
      <c r="H6" s="291" t="s">
        <v>205</v>
      </c>
      <c r="I6" s="291" t="s">
        <v>205</v>
      </c>
      <c r="J6" s="291" t="s">
        <v>205</v>
      </c>
      <c r="K6" s="291" t="s">
        <v>205</v>
      </c>
      <c r="L6" s="291" t="s">
        <v>205</v>
      </c>
      <c r="M6" s="291" t="s">
        <v>205</v>
      </c>
      <c r="N6" s="291" t="s">
        <v>205</v>
      </c>
      <c r="O6" s="291" t="s">
        <v>205</v>
      </c>
      <c r="P6" s="291" t="s">
        <v>205</v>
      </c>
      <c r="Q6" s="291" t="s">
        <v>205</v>
      </c>
      <c r="R6" s="291" t="s">
        <v>205</v>
      </c>
      <c r="S6" s="291" t="s">
        <v>205</v>
      </c>
      <c r="T6" s="292" t="s">
        <v>205</v>
      </c>
      <c r="U6" s="291" t="s">
        <v>205</v>
      </c>
      <c r="V6" s="291" t="s">
        <v>205</v>
      </c>
      <c r="W6" s="291" t="s">
        <v>205</v>
      </c>
      <c r="X6" s="293" t="s">
        <v>206</v>
      </c>
      <c r="Y6" s="293" t="s">
        <v>206</v>
      </c>
      <c r="Z6" s="293" t="s">
        <v>206</v>
      </c>
      <c r="AA6" s="293" t="s">
        <v>206</v>
      </c>
      <c r="AB6" s="293" t="s">
        <v>206</v>
      </c>
      <c r="AC6" s="293" t="s">
        <v>206</v>
      </c>
      <c r="AD6" s="293" t="s">
        <v>206</v>
      </c>
      <c r="AE6" s="293" t="s">
        <v>206</v>
      </c>
      <c r="AF6" s="293" t="s">
        <v>206</v>
      </c>
      <c r="AG6" s="293" t="s">
        <v>206</v>
      </c>
      <c r="AH6" s="293" t="s">
        <v>206</v>
      </c>
      <c r="AK6" s="291" t="s">
        <v>205</v>
      </c>
      <c r="AL6" s="291" t="s">
        <v>205</v>
      </c>
      <c r="AM6" s="291" t="s">
        <v>205</v>
      </c>
      <c r="AN6" s="291" t="s">
        <v>205</v>
      </c>
      <c r="AO6" s="291" t="s">
        <v>205</v>
      </c>
      <c r="AP6" s="291" t="s">
        <v>205</v>
      </c>
      <c r="AQ6" s="291" t="s">
        <v>205</v>
      </c>
      <c r="AR6" s="291" t="s">
        <v>205</v>
      </c>
      <c r="AS6" s="291" t="s">
        <v>205</v>
      </c>
      <c r="AT6" s="291" t="s">
        <v>205</v>
      </c>
      <c r="AU6" s="291" t="s">
        <v>205</v>
      </c>
      <c r="AV6" s="291" t="s">
        <v>205</v>
      </c>
      <c r="AW6" s="291" t="s">
        <v>205</v>
      </c>
      <c r="AX6" s="291" t="s">
        <v>205</v>
      </c>
      <c r="AY6" s="291" t="s">
        <v>205</v>
      </c>
      <c r="AZ6" s="291" t="s">
        <v>205</v>
      </c>
      <c r="BA6" s="291" t="s">
        <v>205</v>
      </c>
      <c r="BB6" s="291" t="s">
        <v>205</v>
      </c>
      <c r="BC6" s="291" t="s">
        <v>205</v>
      </c>
      <c r="BD6" s="293" t="s">
        <v>206</v>
      </c>
      <c r="BE6" s="293" t="s">
        <v>206</v>
      </c>
      <c r="BF6" s="293" t="s">
        <v>206</v>
      </c>
      <c r="BG6" s="293" t="s">
        <v>206</v>
      </c>
      <c r="BH6" s="293" t="s">
        <v>206</v>
      </c>
      <c r="BI6" s="293" t="s">
        <v>206</v>
      </c>
      <c r="BJ6" s="293" t="s">
        <v>206</v>
      </c>
      <c r="BK6" s="293"/>
      <c r="BL6" s="293" t="s">
        <v>206</v>
      </c>
      <c r="BM6" s="293" t="s">
        <v>206</v>
      </c>
      <c r="BN6" s="293"/>
    </row>
    <row r="7" spans="1:68">
      <c r="D7" s="294" t="s">
        <v>253</v>
      </c>
      <c r="E7" s="294" t="s">
        <v>253</v>
      </c>
      <c r="F7" s="294" t="s">
        <v>253</v>
      </c>
      <c r="G7" s="294" t="s">
        <v>253</v>
      </c>
      <c r="H7" s="294" t="s">
        <v>253</v>
      </c>
      <c r="I7" s="294" t="s">
        <v>253</v>
      </c>
      <c r="J7" s="294" t="s">
        <v>253</v>
      </c>
      <c r="K7" s="294" t="s">
        <v>253</v>
      </c>
      <c r="L7" s="294" t="s">
        <v>253</v>
      </c>
      <c r="M7" s="294" t="s">
        <v>253</v>
      </c>
      <c r="N7" s="294" t="s">
        <v>253</v>
      </c>
      <c r="O7" s="294" t="s">
        <v>253</v>
      </c>
      <c r="P7" s="294" t="s">
        <v>253</v>
      </c>
      <c r="Q7" s="294" t="s">
        <v>253</v>
      </c>
      <c r="R7" s="294" t="s">
        <v>253</v>
      </c>
      <c r="S7" s="294" t="s">
        <v>253</v>
      </c>
      <c r="T7" s="295" t="s">
        <v>253</v>
      </c>
      <c r="U7" s="294" t="s">
        <v>253</v>
      </c>
      <c r="V7" s="294" t="s">
        <v>253</v>
      </c>
      <c r="W7" s="294" t="s">
        <v>253</v>
      </c>
      <c r="X7" s="294" t="s">
        <v>253</v>
      </c>
      <c r="Y7" s="294" t="s">
        <v>253</v>
      </c>
      <c r="Z7" s="294" t="s">
        <v>253</v>
      </c>
      <c r="AA7" s="294" t="s">
        <v>253</v>
      </c>
      <c r="AB7" s="294" t="s">
        <v>253</v>
      </c>
      <c r="AC7" s="294" t="s">
        <v>253</v>
      </c>
      <c r="AD7" s="294" t="s">
        <v>253</v>
      </c>
      <c r="AE7" s="294" t="s">
        <v>253</v>
      </c>
      <c r="AF7" s="294" t="s">
        <v>253</v>
      </c>
      <c r="AG7" s="294" t="s">
        <v>253</v>
      </c>
      <c r="AH7" s="294" t="s">
        <v>253</v>
      </c>
      <c r="AI7" s="125"/>
      <c r="AJ7" s="125"/>
      <c r="AK7" s="295" t="s">
        <v>93</v>
      </c>
      <c r="AL7" s="295" t="s">
        <v>93</v>
      </c>
      <c r="AM7" s="295" t="s">
        <v>93</v>
      </c>
      <c r="AN7" s="295" t="s">
        <v>93</v>
      </c>
      <c r="AO7" s="295" t="s">
        <v>93</v>
      </c>
      <c r="AP7" s="295" t="s">
        <v>93</v>
      </c>
      <c r="AQ7" s="295" t="s">
        <v>93</v>
      </c>
      <c r="AR7" s="295" t="s">
        <v>93</v>
      </c>
      <c r="AS7" s="295" t="s">
        <v>93</v>
      </c>
      <c r="AT7" s="295" t="s">
        <v>93</v>
      </c>
      <c r="AU7" s="295" t="s">
        <v>93</v>
      </c>
      <c r="AV7" s="295" t="s">
        <v>93</v>
      </c>
      <c r="AW7" s="295" t="s">
        <v>93</v>
      </c>
      <c r="AX7" s="295" t="s">
        <v>93</v>
      </c>
      <c r="AY7" s="295" t="s">
        <v>93</v>
      </c>
      <c r="AZ7" s="295" t="s">
        <v>93</v>
      </c>
      <c r="BA7" s="295" t="s">
        <v>93</v>
      </c>
      <c r="BB7" s="295" t="s">
        <v>93</v>
      </c>
      <c r="BC7" s="295" t="s">
        <v>93</v>
      </c>
      <c r="BD7" s="295" t="s">
        <v>93</v>
      </c>
      <c r="BE7" s="295" t="s">
        <v>93</v>
      </c>
      <c r="BF7" s="295" t="s">
        <v>93</v>
      </c>
      <c r="BG7" s="295" t="s">
        <v>93</v>
      </c>
      <c r="BH7" s="295" t="s">
        <v>93</v>
      </c>
      <c r="BI7" s="295" t="s">
        <v>93</v>
      </c>
      <c r="BJ7" s="295" t="s">
        <v>93</v>
      </c>
      <c r="BK7" s="295"/>
      <c r="BL7" s="295" t="s">
        <v>93</v>
      </c>
      <c r="BM7" s="295" t="s">
        <v>93</v>
      </c>
      <c r="BN7" s="295"/>
    </row>
    <row r="8" spans="1:68">
      <c r="D8" s="287"/>
      <c r="E8" s="937" t="s">
        <v>950</v>
      </c>
      <c r="G8" s="937" t="s">
        <v>950</v>
      </c>
      <c r="T8" s="287"/>
      <c r="U8" s="937" t="s">
        <v>950</v>
      </c>
      <c r="AF8" s="902" t="s">
        <v>745</v>
      </c>
      <c r="AG8" s="902" t="s">
        <v>745</v>
      </c>
      <c r="AH8" s="902" t="s">
        <v>745</v>
      </c>
      <c r="AK8" s="937" t="s">
        <v>950</v>
      </c>
      <c r="AL8" s="937" t="s">
        <v>950</v>
      </c>
      <c r="AM8" s="937" t="s">
        <v>950</v>
      </c>
      <c r="AN8" s="82" t="s">
        <v>365</v>
      </c>
      <c r="AO8" s="82" t="s">
        <v>365</v>
      </c>
      <c r="AT8" s="731" t="s">
        <v>803</v>
      </c>
      <c r="AV8" s="736"/>
      <c r="AX8" s="937" t="s">
        <v>950</v>
      </c>
      <c r="BA8" s="937" t="s">
        <v>950</v>
      </c>
      <c r="BC8" s="937" t="s">
        <v>950</v>
      </c>
      <c r="BD8" s="937" t="s">
        <v>950</v>
      </c>
      <c r="BE8" s="937" t="s">
        <v>950</v>
      </c>
      <c r="BI8" s="937" t="s">
        <v>950</v>
      </c>
      <c r="BJ8" s="902" t="s">
        <v>804</v>
      </c>
      <c r="BK8" s="937" t="s">
        <v>745</v>
      </c>
      <c r="BN8" s="938" t="s">
        <v>745</v>
      </c>
    </row>
    <row r="9" spans="1:68">
      <c r="C9" s="3" t="s">
        <v>40</v>
      </c>
      <c r="D9" s="296">
        <v>6.01</v>
      </c>
      <c r="E9" s="899">
        <f t="shared" ref="E9:P9" si="0">+D9+0.01</f>
        <v>6.02</v>
      </c>
      <c r="F9" s="296">
        <f t="shared" si="0"/>
        <v>6.0299999999999994</v>
      </c>
      <c r="G9" s="899">
        <f t="shared" si="0"/>
        <v>6.0399999999999991</v>
      </c>
      <c r="H9" s="296">
        <f t="shared" si="0"/>
        <v>6.0499999999999989</v>
      </c>
      <c r="I9" s="296">
        <f t="shared" si="0"/>
        <v>6.0599999999999987</v>
      </c>
      <c r="J9" s="296">
        <f t="shared" si="0"/>
        <v>6.0699999999999985</v>
      </c>
      <c r="K9" s="296">
        <f t="shared" si="0"/>
        <v>6.0799999999999983</v>
      </c>
      <c r="L9" s="296">
        <f t="shared" si="0"/>
        <v>6.0899999999999981</v>
      </c>
      <c r="M9" s="296">
        <f t="shared" si="0"/>
        <v>6.0999999999999979</v>
      </c>
      <c r="N9" s="296">
        <f t="shared" si="0"/>
        <v>6.1099999999999977</v>
      </c>
      <c r="O9" s="296">
        <f t="shared" si="0"/>
        <v>6.1199999999999974</v>
      </c>
      <c r="P9" s="296">
        <f t="shared" si="0"/>
        <v>6.1299999999999972</v>
      </c>
      <c r="Q9" s="296">
        <v>6.14</v>
      </c>
      <c r="R9" s="296">
        <v>6.15</v>
      </c>
      <c r="S9" s="296">
        <v>6.16</v>
      </c>
      <c r="T9" s="296">
        <v>6.17</v>
      </c>
      <c r="U9" s="899">
        <v>6.18</v>
      </c>
      <c r="V9" s="296">
        <f>+U9+0.01</f>
        <v>6.1899999999999995</v>
      </c>
      <c r="W9" s="296">
        <v>6.23</v>
      </c>
      <c r="X9" s="296">
        <v>7.01</v>
      </c>
      <c r="Y9" s="296">
        <f>+X9+0.01</f>
        <v>7.02</v>
      </c>
      <c r="Z9" s="296">
        <f>+Y9+0.01</f>
        <v>7.0299999999999994</v>
      </c>
      <c r="AA9" s="296">
        <f>+Z9+0.01</f>
        <v>7.0399999999999991</v>
      </c>
      <c r="AB9" s="296">
        <f>+AA9+0.01</f>
        <v>7.0499999999999989</v>
      </c>
      <c r="AC9" s="296">
        <f>AB9+0.02</f>
        <v>7.0699999999999985</v>
      </c>
      <c r="AD9" s="296">
        <f>AC9+0.01</f>
        <v>7.0799999999999983</v>
      </c>
      <c r="AE9" s="296">
        <f>+AD9+0.01</f>
        <v>7.0899999999999981</v>
      </c>
      <c r="AF9" s="899" t="s">
        <v>951</v>
      </c>
      <c r="AG9" s="899" t="s">
        <v>952</v>
      </c>
      <c r="AH9" s="899" t="s">
        <v>953</v>
      </c>
      <c r="AI9" s="297" t="s">
        <v>66</v>
      </c>
      <c r="AJ9" s="297" t="s">
        <v>105</v>
      </c>
      <c r="AK9" s="901">
        <f>+D9</f>
        <v>6.01</v>
      </c>
      <c r="AL9" s="901">
        <f>+E9</f>
        <v>6.02</v>
      </c>
      <c r="AM9" s="901">
        <f>+G9</f>
        <v>6.0399999999999991</v>
      </c>
      <c r="AN9" s="298">
        <f>+L9</f>
        <v>6.0899999999999981</v>
      </c>
      <c r="AO9" s="298">
        <f>+M9</f>
        <v>6.0999999999999979</v>
      </c>
      <c r="AP9" s="298">
        <v>6.14</v>
      </c>
      <c r="AQ9" s="298">
        <v>6.15</v>
      </c>
      <c r="AR9" s="298">
        <f>+AQ9+0.01</f>
        <v>6.16</v>
      </c>
      <c r="AS9" s="298">
        <f>+AR9+0.01</f>
        <v>6.17</v>
      </c>
      <c r="AT9" s="298">
        <v>6.2</v>
      </c>
      <c r="AU9" s="298">
        <v>6.21</v>
      </c>
      <c r="AV9" s="298">
        <f t="shared" ref="AV9:BC9" si="1">+AU9+0.01</f>
        <v>6.22</v>
      </c>
      <c r="AW9" s="298">
        <f t="shared" si="1"/>
        <v>6.2299999999999995</v>
      </c>
      <c r="AX9" s="901">
        <f t="shared" si="1"/>
        <v>6.2399999999999993</v>
      </c>
      <c r="AY9" s="298">
        <f t="shared" si="1"/>
        <v>6.2499999999999991</v>
      </c>
      <c r="AZ9" s="298">
        <f t="shared" si="1"/>
        <v>6.2599999999999989</v>
      </c>
      <c r="BA9" s="901">
        <f t="shared" si="1"/>
        <v>6.2699999999999987</v>
      </c>
      <c r="BB9" s="298">
        <f t="shared" si="1"/>
        <v>6.2799999999999985</v>
      </c>
      <c r="BC9" s="901">
        <f t="shared" si="1"/>
        <v>6.2899999999999983</v>
      </c>
      <c r="BD9" s="901">
        <f>+'Detailed Summary'!X9</f>
        <v>7.01</v>
      </c>
      <c r="BE9" s="901">
        <f>+'Detailed Summary'!Y9</f>
        <v>7.02</v>
      </c>
      <c r="BF9" s="298">
        <f>+AB9</f>
        <v>7.0499999999999989</v>
      </c>
      <c r="BG9" s="298">
        <f>+BF9+0.01</f>
        <v>7.0599999999999987</v>
      </c>
      <c r="BH9" s="298">
        <v>7.08</v>
      </c>
      <c r="BI9" s="901">
        <v>7.09</v>
      </c>
      <c r="BJ9" s="901">
        <v>7.1</v>
      </c>
      <c r="BK9" s="901" t="s">
        <v>949</v>
      </c>
      <c r="BL9" s="298">
        <v>7.11</v>
      </c>
      <c r="BM9" s="298">
        <v>7.12</v>
      </c>
      <c r="BN9" s="939" t="s">
        <v>944</v>
      </c>
      <c r="BO9" s="299" t="s">
        <v>66</v>
      </c>
      <c r="BP9" s="299" t="s">
        <v>93</v>
      </c>
    </row>
    <row r="10" spans="1:68" ht="13.7" customHeight="1">
      <c r="A10" s="3" t="s">
        <v>43</v>
      </c>
      <c r="B10" s="3" t="s">
        <v>73</v>
      </c>
      <c r="C10" s="3" t="s">
        <v>41</v>
      </c>
      <c r="D10" s="3" t="s">
        <v>50</v>
      </c>
      <c r="E10" s="1006" t="s">
        <v>313</v>
      </c>
      <c r="F10" s="3" t="s">
        <v>51</v>
      </c>
      <c r="G10" s="1006" t="s">
        <v>314</v>
      </c>
      <c r="H10" s="3" t="s">
        <v>315</v>
      </c>
      <c r="I10" s="3" t="s">
        <v>316</v>
      </c>
      <c r="J10" s="68" t="s">
        <v>317</v>
      </c>
      <c r="K10" s="3" t="s">
        <v>318</v>
      </c>
      <c r="L10" s="3" t="s">
        <v>319</v>
      </c>
      <c r="M10" s="3" t="s">
        <v>55</v>
      </c>
      <c r="N10" s="3" t="s">
        <v>358</v>
      </c>
      <c r="O10" s="3" t="s">
        <v>320</v>
      </c>
      <c r="P10" s="3" t="s">
        <v>321</v>
      </c>
      <c r="Q10" s="1007" t="s">
        <v>398</v>
      </c>
      <c r="R10" s="3" t="s">
        <v>411</v>
      </c>
      <c r="S10" s="3" t="s">
        <v>59</v>
      </c>
      <c r="T10" s="3" t="s">
        <v>60</v>
      </c>
      <c r="U10" s="900" t="s">
        <v>322</v>
      </c>
      <c r="V10" s="3" t="s">
        <v>322</v>
      </c>
      <c r="W10" s="3" t="s">
        <v>323</v>
      </c>
      <c r="X10" s="3" t="s">
        <v>46</v>
      </c>
      <c r="Y10" s="3" t="s">
        <v>324</v>
      </c>
      <c r="Z10" s="3" t="s">
        <v>325</v>
      </c>
      <c r="AA10" s="3" t="s">
        <v>49</v>
      </c>
      <c r="AB10" s="3" t="s">
        <v>326</v>
      </c>
      <c r="AC10" s="3" t="s">
        <v>500</v>
      </c>
      <c r="AD10" s="3" t="s">
        <v>257</v>
      </c>
      <c r="AE10" s="3" t="s">
        <v>257</v>
      </c>
      <c r="AF10" s="900" t="s">
        <v>746</v>
      </c>
      <c r="AG10" s="900" t="s">
        <v>966</v>
      </c>
      <c r="AH10" s="900" t="s">
        <v>812</v>
      </c>
      <c r="AI10" s="300" t="s">
        <v>253</v>
      </c>
      <c r="AJ10" s="300" t="s">
        <v>41</v>
      </c>
      <c r="AK10" s="900" t="s">
        <v>50</v>
      </c>
      <c r="AL10" s="900" t="s">
        <v>313</v>
      </c>
      <c r="AM10" s="900" t="s">
        <v>314</v>
      </c>
      <c r="AN10" s="3" t="s">
        <v>319</v>
      </c>
      <c r="AO10" s="3" t="s">
        <v>55</v>
      </c>
      <c r="AP10" s="3" t="s">
        <v>57</v>
      </c>
      <c r="AQ10" s="3" t="s">
        <v>58</v>
      </c>
      <c r="AR10" s="3" t="s">
        <v>59</v>
      </c>
      <c r="AS10" s="3" t="s">
        <v>60</v>
      </c>
      <c r="AT10" s="1007" t="s">
        <v>56</v>
      </c>
      <c r="AU10" s="3" t="s">
        <v>345</v>
      </c>
      <c r="AV10" s="3" t="s">
        <v>259</v>
      </c>
      <c r="AW10" s="3" t="s">
        <v>323</v>
      </c>
      <c r="AX10" s="900" t="s">
        <v>483</v>
      </c>
      <c r="AY10" s="3" t="s">
        <v>327</v>
      </c>
      <c r="AZ10" s="1007" t="s">
        <v>424</v>
      </c>
      <c r="BA10" s="900" t="s">
        <v>426</v>
      </c>
      <c r="BB10" s="3" t="s">
        <v>456</v>
      </c>
      <c r="BC10" s="900"/>
      <c r="BD10" s="900" t="s">
        <v>46</v>
      </c>
      <c r="BE10" s="900" t="s">
        <v>324</v>
      </c>
      <c r="BF10" s="3" t="s">
        <v>326</v>
      </c>
      <c r="BG10" s="1007" t="s">
        <v>328</v>
      </c>
      <c r="BH10" s="3" t="s">
        <v>472</v>
      </c>
      <c r="BI10" s="1006" t="s">
        <v>428</v>
      </c>
      <c r="BJ10" s="1006" t="s">
        <v>465</v>
      </c>
      <c r="BK10" s="900" t="s">
        <v>833</v>
      </c>
      <c r="BL10" s="3"/>
      <c r="BM10" s="3"/>
      <c r="BN10" s="3" t="s">
        <v>797</v>
      </c>
      <c r="BO10" s="300" t="s">
        <v>254</v>
      </c>
      <c r="BP10" s="300" t="s">
        <v>41</v>
      </c>
    </row>
    <row r="11" spans="1:68" ht="16.149999999999999" customHeight="1">
      <c r="A11" s="3" t="s">
        <v>44</v>
      </c>
      <c r="C11" s="3" t="s">
        <v>42</v>
      </c>
      <c r="D11" s="3" t="s">
        <v>53</v>
      </c>
      <c r="E11" s="1006" t="s">
        <v>329</v>
      </c>
      <c r="F11" s="301" t="s">
        <v>54</v>
      </c>
      <c r="G11" s="1015" t="s">
        <v>346</v>
      </c>
      <c r="H11" s="3" t="s">
        <v>330</v>
      </c>
      <c r="I11" s="3" t="s">
        <v>331</v>
      </c>
      <c r="J11" s="68" t="s">
        <v>332</v>
      </c>
      <c r="K11" s="3" t="s">
        <v>333</v>
      </c>
      <c r="L11" s="301" t="s">
        <v>334</v>
      </c>
      <c r="M11" s="301" t="s">
        <v>61</v>
      </c>
      <c r="N11" s="301" t="s">
        <v>335</v>
      </c>
      <c r="O11" s="3" t="s">
        <v>336</v>
      </c>
      <c r="P11" s="3" t="s">
        <v>64</v>
      </c>
      <c r="Q11" s="1007" t="s">
        <v>399</v>
      </c>
      <c r="R11" s="3" t="s">
        <v>410</v>
      </c>
      <c r="S11" s="3" t="s">
        <v>64</v>
      </c>
      <c r="T11" s="3" t="s">
        <v>406</v>
      </c>
      <c r="U11" s="900" t="s">
        <v>74</v>
      </c>
      <c r="V11" s="1007" t="s">
        <v>20</v>
      </c>
      <c r="W11" s="3" t="s">
        <v>337</v>
      </c>
      <c r="X11" s="3" t="s">
        <v>47</v>
      </c>
      <c r="Y11" s="3" t="s">
        <v>48</v>
      </c>
      <c r="Z11" s="3" t="s">
        <v>338</v>
      </c>
      <c r="AA11" s="3" t="s">
        <v>339</v>
      </c>
      <c r="AB11" s="3" t="s">
        <v>340</v>
      </c>
      <c r="AC11" s="302" t="s">
        <v>20</v>
      </c>
      <c r="AD11" s="3" t="s">
        <v>341</v>
      </c>
      <c r="AE11" s="3" t="s">
        <v>341</v>
      </c>
      <c r="AF11" s="900" t="s">
        <v>747</v>
      </c>
      <c r="AG11" s="900" t="s">
        <v>967</v>
      </c>
      <c r="AH11" s="900" t="s">
        <v>813</v>
      </c>
      <c r="AI11" s="300" t="s">
        <v>69</v>
      </c>
      <c r="AJ11" s="300" t="s">
        <v>71</v>
      </c>
      <c r="AK11" s="900" t="s">
        <v>53</v>
      </c>
      <c r="AL11" s="900" t="s">
        <v>329</v>
      </c>
      <c r="AM11" s="1015" t="s">
        <v>346</v>
      </c>
      <c r="AN11" s="301" t="s">
        <v>334</v>
      </c>
      <c r="AO11" s="301" t="s">
        <v>61</v>
      </c>
      <c r="AP11" s="302" t="s">
        <v>63</v>
      </c>
      <c r="AQ11" s="3" t="s">
        <v>65</v>
      </c>
      <c r="AR11" s="3" t="s">
        <v>64</v>
      </c>
      <c r="AS11" s="3" t="s">
        <v>61</v>
      </c>
      <c r="AT11" s="1007" t="s">
        <v>62</v>
      </c>
      <c r="AU11" s="3" t="s">
        <v>207</v>
      </c>
      <c r="AV11" s="3" t="s">
        <v>341</v>
      </c>
      <c r="AW11" s="3" t="s">
        <v>337</v>
      </c>
      <c r="AX11" s="900" t="s">
        <v>484</v>
      </c>
      <c r="AY11" s="3" t="s">
        <v>342</v>
      </c>
      <c r="AZ11" s="1007" t="s">
        <v>425</v>
      </c>
      <c r="BA11" s="900" t="s">
        <v>427</v>
      </c>
      <c r="BB11" s="3" t="s">
        <v>457</v>
      </c>
      <c r="BC11" s="900" t="s">
        <v>489</v>
      </c>
      <c r="BD11" s="900" t="s">
        <v>343</v>
      </c>
      <c r="BE11" s="900" t="s">
        <v>48</v>
      </c>
      <c r="BF11" s="3" t="s">
        <v>340</v>
      </c>
      <c r="BG11" s="1007" t="s">
        <v>344</v>
      </c>
      <c r="BH11" s="3" t="s">
        <v>413</v>
      </c>
      <c r="BI11" s="1006" t="s">
        <v>429</v>
      </c>
      <c r="BJ11" s="1006" t="s">
        <v>466</v>
      </c>
      <c r="BK11" s="900" t="s">
        <v>834</v>
      </c>
      <c r="BL11" s="3" t="s">
        <v>257</v>
      </c>
      <c r="BM11" s="3" t="s">
        <v>257</v>
      </c>
      <c r="BN11" s="3"/>
      <c r="BO11" s="300" t="s">
        <v>69</v>
      </c>
      <c r="BP11" s="300" t="s">
        <v>71</v>
      </c>
    </row>
    <row r="12" spans="1:68" ht="38.25">
      <c r="C12" s="280" t="s">
        <v>276</v>
      </c>
      <c r="D12" s="82" t="s">
        <v>277</v>
      </c>
      <c r="E12" s="82" t="s">
        <v>578</v>
      </c>
      <c r="F12" s="82" t="s">
        <v>278</v>
      </c>
      <c r="G12" s="82" t="s">
        <v>279</v>
      </c>
      <c r="H12" s="82" t="s">
        <v>280</v>
      </c>
      <c r="I12" s="82" t="s">
        <v>281</v>
      </c>
      <c r="J12" s="82" t="s">
        <v>282</v>
      </c>
      <c r="K12" s="82" t="s">
        <v>283</v>
      </c>
      <c r="L12" s="82" t="s">
        <v>284</v>
      </c>
      <c r="M12" s="82" t="s">
        <v>285</v>
      </c>
      <c r="N12" s="82" t="s">
        <v>286</v>
      </c>
      <c r="O12" s="82" t="s">
        <v>287</v>
      </c>
      <c r="P12" s="82" t="s">
        <v>288</v>
      </c>
      <c r="Q12" s="82" t="s">
        <v>407</v>
      </c>
      <c r="R12" s="82" t="s">
        <v>431</v>
      </c>
      <c r="S12" s="82" t="s">
        <v>432</v>
      </c>
      <c r="T12" s="82" t="s">
        <v>433</v>
      </c>
      <c r="U12" s="82" t="s">
        <v>434</v>
      </c>
      <c r="V12" s="303" t="s">
        <v>435</v>
      </c>
      <c r="W12" s="82" t="s">
        <v>289</v>
      </c>
      <c r="X12" s="82" t="s">
        <v>290</v>
      </c>
      <c r="Y12" s="82" t="s">
        <v>436</v>
      </c>
      <c r="Z12" s="82" t="s">
        <v>437</v>
      </c>
      <c r="AA12" s="82" t="s">
        <v>438</v>
      </c>
      <c r="AB12" s="82" t="s">
        <v>439</v>
      </c>
      <c r="AC12" s="82" t="s">
        <v>579</v>
      </c>
      <c r="AD12" s="82" t="s">
        <v>291</v>
      </c>
      <c r="AE12" s="82" t="s">
        <v>292</v>
      </c>
      <c r="AF12" s="303"/>
      <c r="AG12" s="303"/>
      <c r="AH12" s="303"/>
      <c r="AI12" s="618" t="s">
        <v>744</v>
      </c>
      <c r="AJ12" s="304" t="s">
        <v>594</v>
      </c>
      <c r="AK12" s="82" t="s">
        <v>595</v>
      </c>
      <c r="AL12" s="82" t="s">
        <v>441</v>
      </c>
      <c r="AM12" s="82" t="s">
        <v>596</v>
      </c>
      <c r="AN12" s="82" t="s">
        <v>293</v>
      </c>
      <c r="AO12" s="82" t="s">
        <v>294</v>
      </c>
      <c r="AP12" s="82" t="s">
        <v>295</v>
      </c>
      <c r="AQ12" s="82" t="s">
        <v>442</v>
      </c>
      <c r="AR12" s="82" t="s">
        <v>443</v>
      </c>
      <c r="AS12" s="82" t="s">
        <v>296</v>
      </c>
      <c r="AT12" s="82" t="s">
        <v>297</v>
      </c>
      <c r="AU12" s="82" t="s">
        <v>298</v>
      </c>
      <c r="AV12" s="82" t="s">
        <v>299</v>
      </c>
      <c r="AW12" s="82" t="s">
        <v>515</v>
      </c>
      <c r="AX12" s="303" t="s">
        <v>300</v>
      </c>
      <c r="AY12" s="82" t="s">
        <v>301</v>
      </c>
      <c r="AZ12" s="82" t="s">
        <v>302</v>
      </c>
      <c r="BA12" s="303" t="s">
        <v>303</v>
      </c>
      <c r="BB12" s="82" t="s">
        <v>305</v>
      </c>
      <c r="BC12" s="303" t="s">
        <v>304</v>
      </c>
      <c r="BD12" s="303" t="s">
        <v>516</v>
      </c>
      <c r="BE12" s="82" t="s">
        <v>306</v>
      </c>
      <c r="BF12" s="82" t="s">
        <v>307</v>
      </c>
      <c r="BG12" s="82" t="s">
        <v>308</v>
      </c>
      <c r="BH12" s="82" t="s">
        <v>440</v>
      </c>
      <c r="BI12" s="303" t="s">
        <v>309</v>
      </c>
      <c r="BJ12" s="303" t="s">
        <v>310</v>
      </c>
      <c r="BK12" s="303"/>
      <c r="BL12" s="82" t="s">
        <v>311</v>
      </c>
      <c r="BM12" s="82" t="s">
        <v>312</v>
      </c>
      <c r="BN12" s="82"/>
      <c r="BO12" s="618" t="s">
        <v>802</v>
      </c>
      <c r="BP12" s="304" t="s">
        <v>727</v>
      </c>
    </row>
    <row r="13" spans="1:68">
      <c r="A13" s="280">
        <v>1</v>
      </c>
      <c r="B13" s="245" t="s">
        <v>0</v>
      </c>
      <c r="T13" s="287"/>
      <c r="X13" s="287"/>
      <c r="AF13" s="287"/>
      <c r="AG13" s="287"/>
      <c r="AH13" s="287"/>
      <c r="AI13" s="305"/>
      <c r="AJ13" s="305"/>
      <c r="AX13" s="287"/>
      <c r="BA13" s="287"/>
      <c r="BC13" s="287"/>
      <c r="BD13" s="287"/>
      <c r="BI13" s="287"/>
      <c r="BJ13" s="287"/>
      <c r="BK13" s="287"/>
      <c r="BO13" s="305"/>
      <c r="BP13" s="305"/>
    </row>
    <row r="14" spans="1:68">
      <c r="A14" s="280">
        <f t="shared" ref="A14:A45" si="2">A13+1</f>
        <v>2</v>
      </c>
      <c r="B14" s="245" t="s">
        <v>1</v>
      </c>
      <c r="C14" s="29">
        <f>+'[4]Allocated (CBR)'!B9</f>
        <v>2165233766.8899999</v>
      </c>
      <c r="D14" s="29">
        <f>'Common Adj'!F23-'Detailed Summary'!D15</f>
        <v>41299982.399803981</v>
      </c>
      <c r="E14" s="29">
        <f>'Common Adj'!N31</f>
        <v>6547835</v>
      </c>
      <c r="F14" s="29"/>
      <c r="G14" s="29"/>
      <c r="H14" s="29">
        <f>SUM('Common Adj'!AL15:AL21,'Common Adj'!AL23,'Common Adj'!AL25,'Common Adj'!AL27,-'Common Adj'!AL18)</f>
        <v>-206435594.02857196</v>
      </c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306">
        <f>SUM(D14:AH14)</f>
        <v>-158587776.62876797</v>
      </c>
      <c r="AJ14" s="306">
        <f>+AI14+C14</f>
        <v>2006645990.2612319</v>
      </c>
      <c r="AK14" s="29">
        <f>'Common Adj'!H23-'Detailed Summary'!AK15</f>
        <v>-17794394.48</v>
      </c>
      <c r="AL14" s="29">
        <f>'Common Adj'!P31</f>
        <v>11401700.000000119</v>
      </c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306">
        <f>SUM(AK14:BN14)</f>
        <v>-6392694.4799998812</v>
      </c>
      <c r="BP14" s="306">
        <f>+BO14+AJ14</f>
        <v>2000253295.7812321</v>
      </c>
    </row>
    <row r="15" spans="1:68">
      <c r="A15" s="280">
        <f t="shared" si="2"/>
        <v>3</v>
      </c>
      <c r="B15" s="245" t="s">
        <v>2</v>
      </c>
      <c r="C15" s="56">
        <f>+'[4]Allocated (CBR)'!B10</f>
        <v>340431.51999999897</v>
      </c>
      <c r="D15" s="56">
        <f>'Common Adj'!F21</f>
        <v>114.23000000000138</v>
      </c>
      <c r="E15" s="56">
        <f>'Common Adj'!N30</f>
        <v>3986</v>
      </c>
      <c r="F15" s="56"/>
      <c r="G15" s="56"/>
      <c r="H15" s="56">
        <f>'Common Adj'!AL18</f>
        <v>-16204.59</v>
      </c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307">
        <f>SUM(D15:AH15)</f>
        <v>-12104.359999999999</v>
      </c>
      <c r="AJ15" s="307">
        <f>+AI15+C15</f>
        <v>328327.15999999898</v>
      </c>
      <c r="AK15" s="56"/>
      <c r="AL15" s="56">
        <f>'Common Adj'!P30</f>
        <v>3986</v>
      </c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307">
        <f>SUM(AK15:BN15)</f>
        <v>3986</v>
      </c>
      <c r="BP15" s="307">
        <f>+BO15+AJ15</f>
        <v>332313.15999999898</v>
      </c>
    </row>
    <row r="16" spans="1:68">
      <c r="A16" s="280">
        <f t="shared" si="2"/>
        <v>4</v>
      </c>
      <c r="B16" s="245" t="s">
        <v>3</v>
      </c>
      <c r="C16" s="56">
        <f>+'[4]Allocated (CBR)'!B11</f>
        <v>155333122.24000001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307">
        <f>SUM(D16:AH16)</f>
        <v>0</v>
      </c>
      <c r="AJ16" s="307">
        <f>+AI16+C16</f>
        <v>155333122.24000001</v>
      </c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>
        <f>-'Electric Adj'!H22</f>
        <v>-148347616.15434909</v>
      </c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307">
        <f>SUM(AK16:BN16)</f>
        <v>-148347616.15434909</v>
      </c>
      <c r="BP16" s="307">
        <f>+BO16+AJ16</f>
        <v>6985506.0856509209</v>
      </c>
    </row>
    <row r="17" spans="1:76">
      <c r="A17" s="280">
        <f t="shared" si="2"/>
        <v>5</v>
      </c>
      <c r="B17" s="245" t="s">
        <v>4</v>
      </c>
      <c r="C17" s="56">
        <f>+'[4]Allocated (CBR)'!B12</f>
        <v>122175867.17999999</v>
      </c>
      <c r="D17" s="56">
        <f>'Common Adj'!F31</f>
        <v>2744403.99</v>
      </c>
      <c r="E17" s="56"/>
      <c r="F17" s="56"/>
      <c r="G17" s="56"/>
      <c r="H17" s="56">
        <f>+'Common Adj'!AL22+'Common Adj'!AL24+'Common Adj'!AL26</f>
        <v>15741473.960000001</v>
      </c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>
        <f>-'Common Adj'!FZ17-'Common Adj'!FZ22</f>
        <v>-858566.13</v>
      </c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307">
        <f>SUM(D17:AH17)</f>
        <v>17627311.820000004</v>
      </c>
      <c r="AJ17" s="307">
        <f>+AI17+C17</f>
        <v>139803179</v>
      </c>
      <c r="AK17" s="56">
        <f>'Common Adj'!H31</f>
        <v>-16381468.550000004</v>
      </c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>
        <f>-SUM('Electric Adj'!H23+'Electric Adj'!H29)</f>
        <v>-45897077.134900272</v>
      </c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307">
        <f>SUM(AK17:BN17)</f>
        <v>-62278545.684900276</v>
      </c>
      <c r="BP17" s="307">
        <f>+BO17+AJ17</f>
        <v>77524633.315099716</v>
      </c>
    </row>
    <row r="18" spans="1:76">
      <c r="A18" s="280">
        <f t="shared" si="2"/>
        <v>6</v>
      </c>
      <c r="B18" s="245" t="s">
        <v>5</v>
      </c>
      <c r="C18" s="391">
        <f t="shared" ref="C18:AK18" si="3">SUM(C14:C17)</f>
        <v>2443083187.8299994</v>
      </c>
      <c r="D18" s="391">
        <f t="shared" si="3"/>
        <v>44044500.61980398</v>
      </c>
      <c r="E18" s="391">
        <f t="shared" si="3"/>
        <v>6551821</v>
      </c>
      <c r="F18" s="391">
        <f t="shared" si="3"/>
        <v>0</v>
      </c>
      <c r="G18" s="391">
        <f t="shared" si="3"/>
        <v>0</v>
      </c>
      <c r="H18" s="391">
        <f t="shared" si="3"/>
        <v>-190710324.65857196</v>
      </c>
      <c r="I18" s="391">
        <f t="shared" si="3"/>
        <v>0</v>
      </c>
      <c r="J18" s="391">
        <f t="shared" si="3"/>
        <v>0</v>
      </c>
      <c r="K18" s="391">
        <f t="shared" si="3"/>
        <v>0</v>
      </c>
      <c r="L18" s="391">
        <f t="shared" si="3"/>
        <v>0</v>
      </c>
      <c r="M18" s="391">
        <f t="shared" si="3"/>
        <v>0</v>
      </c>
      <c r="N18" s="391">
        <f t="shared" si="3"/>
        <v>0</v>
      </c>
      <c r="O18" s="391">
        <f t="shared" si="3"/>
        <v>0</v>
      </c>
      <c r="P18" s="391">
        <f t="shared" si="3"/>
        <v>0</v>
      </c>
      <c r="Q18" s="391">
        <f t="shared" si="3"/>
        <v>0</v>
      </c>
      <c r="R18" s="391">
        <f t="shared" si="3"/>
        <v>0</v>
      </c>
      <c r="S18" s="391">
        <f t="shared" si="3"/>
        <v>0</v>
      </c>
      <c r="T18" s="391">
        <f t="shared" si="3"/>
        <v>0</v>
      </c>
      <c r="U18" s="391">
        <f t="shared" si="3"/>
        <v>0</v>
      </c>
      <c r="V18" s="391">
        <f t="shared" si="3"/>
        <v>0</v>
      </c>
      <c r="W18" s="391">
        <f t="shared" si="3"/>
        <v>-858566.13</v>
      </c>
      <c r="X18" s="391">
        <f t="shared" si="3"/>
        <v>0</v>
      </c>
      <c r="Y18" s="391">
        <f t="shared" si="3"/>
        <v>0</v>
      </c>
      <c r="Z18" s="391">
        <f t="shared" si="3"/>
        <v>0</v>
      </c>
      <c r="AA18" s="391">
        <f t="shared" si="3"/>
        <v>0</v>
      </c>
      <c r="AB18" s="391">
        <f t="shared" si="3"/>
        <v>0</v>
      </c>
      <c r="AC18" s="391">
        <f t="shared" si="3"/>
        <v>0</v>
      </c>
      <c r="AD18" s="391">
        <f t="shared" si="3"/>
        <v>0</v>
      </c>
      <c r="AE18" s="391">
        <f t="shared" si="3"/>
        <v>0</v>
      </c>
      <c r="AF18" s="391"/>
      <c r="AG18" s="391"/>
      <c r="AH18" s="391"/>
      <c r="AI18" s="308">
        <f>SUM(AI14:AI17)</f>
        <v>-140972569.16876799</v>
      </c>
      <c r="AJ18" s="308">
        <f t="shared" si="3"/>
        <v>2302110618.661232</v>
      </c>
      <c r="AK18" s="391">
        <f t="shared" si="3"/>
        <v>-34175863.030000001</v>
      </c>
      <c r="AL18" s="391">
        <f t="shared" ref="AL18:BP18" si="4">SUM(AL14:AL17)</f>
        <v>11405686.000000119</v>
      </c>
      <c r="AM18" s="391">
        <f t="shared" si="4"/>
        <v>0</v>
      </c>
      <c r="AN18" s="391">
        <f t="shared" si="4"/>
        <v>0</v>
      </c>
      <c r="AO18" s="391">
        <f t="shared" si="4"/>
        <v>0</v>
      </c>
      <c r="AP18" s="391">
        <f t="shared" si="4"/>
        <v>0</v>
      </c>
      <c r="AQ18" s="391">
        <f t="shared" si="4"/>
        <v>0</v>
      </c>
      <c r="AR18" s="391">
        <f t="shared" si="4"/>
        <v>0</v>
      </c>
      <c r="AS18" s="391">
        <f t="shared" si="4"/>
        <v>0</v>
      </c>
      <c r="AT18" s="391">
        <f t="shared" si="4"/>
        <v>0</v>
      </c>
      <c r="AU18" s="391">
        <f t="shared" si="4"/>
        <v>0</v>
      </c>
      <c r="AV18" s="391">
        <f t="shared" si="4"/>
        <v>0</v>
      </c>
      <c r="AW18" s="391">
        <f t="shared" si="4"/>
        <v>0</v>
      </c>
      <c r="AX18" s="391">
        <f t="shared" si="4"/>
        <v>0</v>
      </c>
      <c r="AY18" s="391">
        <f t="shared" si="4"/>
        <v>0</v>
      </c>
      <c r="AZ18" s="391">
        <f t="shared" si="4"/>
        <v>0</v>
      </c>
      <c r="BA18" s="391">
        <f t="shared" si="4"/>
        <v>0</v>
      </c>
      <c r="BB18" s="391">
        <f t="shared" si="4"/>
        <v>0</v>
      </c>
      <c r="BC18" s="391">
        <f t="shared" si="4"/>
        <v>0</v>
      </c>
      <c r="BD18" s="391">
        <f t="shared" si="4"/>
        <v>-194244693.28924936</v>
      </c>
      <c r="BE18" s="391">
        <f t="shared" si="4"/>
        <v>0</v>
      </c>
      <c r="BF18" s="391">
        <f t="shared" si="4"/>
        <v>0</v>
      </c>
      <c r="BG18" s="391">
        <f t="shared" si="4"/>
        <v>0</v>
      </c>
      <c r="BH18" s="391">
        <f t="shared" si="4"/>
        <v>0</v>
      </c>
      <c r="BI18" s="391">
        <f t="shared" si="4"/>
        <v>0</v>
      </c>
      <c r="BJ18" s="391">
        <f t="shared" si="4"/>
        <v>0</v>
      </c>
      <c r="BK18" s="391"/>
      <c r="BL18" s="391">
        <f t="shared" si="4"/>
        <v>0</v>
      </c>
      <c r="BM18" s="391">
        <f t="shared" si="4"/>
        <v>0</v>
      </c>
      <c r="BN18" s="391"/>
      <c r="BO18" s="308">
        <f>SUM(BO14:BO17)</f>
        <v>-217014870.31924924</v>
      </c>
      <c r="BP18" s="308">
        <f t="shared" si="4"/>
        <v>2085095748.3419828</v>
      </c>
    </row>
    <row r="19" spans="1:76" s="310" customFormat="1">
      <c r="A19" s="280">
        <f t="shared" si="2"/>
        <v>7</v>
      </c>
      <c r="B19" s="309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307"/>
      <c r="AJ19" s="307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307"/>
      <c r="BP19" s="307"/>
    </row>
    <row r="20" spans="1:76">
      <c r="A20" s="280">
        <f t="shared" si="2"/>
        <v>8</v>
      </c>
      <c r="B20" s="245" t="s">
        <v>6</v>
      </c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7"/>
      <c r="AC20" s="287"/>
      <c r="AD20" s="287"/>
      <c r="AE20" s="287"/>
      <c r="AF20" s="287"/>
      <c r="AG20" s="287"/>
      <c r="AH20" s="287"/>
      <c r="AI20" s="305"/>
      <c r="AJ20" s="305"/>
      <c r="AK20" s="287"/>
      <c r="AL20" s="287"/>
      <c r="AM20" s="287"/>
      <c r="AN20" s="287"/>
      <c r="AO20" s="287"/>
      <c r="AP20" s="287"/>
      <c r="AQ20" s="287"/>
      <c r="AR20" s="287"/>
      <c r="AS20" s="287"/>
      <c r="AT20" s="287"/>
      <c r="AU20" s="287"/>
      <c r="AV20" s="287"/>
      <c r="AW20" s="287"/>
      <c r="AX20" s="287"/>
      <c r="AY20" s="287"/>
      <c r="AZ20" s="287"/>
      <c r="BA20" s="287"/>
      <c r="BB20" s="287"/>
      <c r="BC20" s="287"/>
      <c r="BD20" s="287"/>
      <c r="BE20" s="287"/>
      <c r="BF20" s="287"/>
      <c r="BG20" s="287"/>
      <c r="BH20" s="287"/>
      <c r="BI20" s="287"/>
      <c r="BJ20" s="287"/>
      <c r="BK20" s="287"/>
      <c r="BL20" s="287"/>
      <c r="BM20" s="287"/>
      <c r="BN20" s="287"/>
      <c r="BO20" s="305"/>
      <c r="BP20" s="305"/>
    </row>
    <row r="21" spans="1:76">
      <c r="A21" s="280">
        <f t="shared" si="2"/>
        <v>9</v>
      </c>
      <c r="B21" s="154"/>
      <c r="C21" s="287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7"/>
      <c r="AC21" s="287"/>
      <c r="AD21" s="287"/>
      <c r="AE21" s="287"/>
      <c r="AF21" s="287"/>
      <c r="AG21" s="287"/>
      <c r="AH21" s="287"/>
      <c r="AI21" s="305"/>
      <c r="AJ21" s="305"/>
      <c r="AK21" s="287"/>
      <c r="AL21" s="287"/>
      <c r="AM21" s="287"/>
      <c r="AN21" s="287"/>
      <c r="AO21" s="287"/>
      <c r="AP21" s="287"/>
      <c r="AQ21" s="287"/>
      <c r="AR21" s="287"/>
      <c r="AS21" s="287"/>
      <c r="AT21" s="287"/>
      <c r="AU21" s="287"/>
      <c r="AV21" s="287"/>
      <c r="AW21" s="287"/>
      <c r="AX21" s="287"/>
      <c r="AY21" s="287"/>
      <c r="AZ21" s="287"/>
      <c r="BA21" s="287"/>
      <c r="BB21" s="287"/>
      <c r="BC21" s="287"/>
      <c r="BD21" s="287"/>
      <c r="BE21" s="287"/>
      <c r="BF21" s="287"/>
      <c r="BG21" s="287"/>
      <c r="BH21" s="287"/>
      <c r="BI21" s="287"/>
      <c r="BJ21" s="287"/>
      <c r="BK21" s="287"/>
      <c r="BL21" s="287"/>
      <c r="BM21" s="287"/>
      <c r="BN21" s="287"/>
      <c r="BO21" s="305"/>
      <c r="BP21" s="305"/>
    </row>
    <row r="22" spans="1:76">
      <c r="A22" s="280">
        <f t="shared" si="2"/>
        <v>10</v>
      </c>
      <c r="B22" s="245" t="s">
        <v>7</v>
      </c>
      <c r="C22" s="29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7"/>
      <c r="O22" s="287"/>
      <c r="P22" s="287"/>
      <c r="Q22" s="287"/>
      <c r="R22" s="287"/>
      <c r="S22" s="287"/>
      <c r="T22" s="287"/>
      <c r="U22" s="287"/>
      <c r="V22" s="287"/>
      <c r="W22" s="287"/>
      <c r="X22" s="287"/>
      <c r="Y22" s="287"/>
      <c r="Z22" s="287"/>
      <c r="AA22" s="287"/>
      <c r="AB22" s="287"/>
      <c r="AC22" s="287"/>
      <c r="AD22" s="287"/>
      <c r="AE22" s="287"/>
      <c r="AF22" s="287"/>
      <c r="AG22" s="287"/>
      <c r="AH22" s="287"/>
      <c r="AI22" s="305"/>
      <c r="AJ22" s="305"/>
      <c r="AK22" s="287"/>
      <c r="AL22" s="287"/>
      <c r="AM22" s="287"/>
      <c r="AN22" s="287"/>
      <c r="AO22" s="287"/>
      <c r="AP22" s="287"/>
      <c r="AQ22" s="287"/>
      <c r="AR22" s="287"/>
      <c r="AS22" s="287"/>
      <c r="AT22" s="287"/>
      <c r="AU22" s="287"/>
      <c r="AV22" s="287"/>
      <c r="AW22" s="287"/>
      <c r="AX22" s="287"/>
      <c r="AY22" s="287"/>
      <c r="AZ22" s="287"/>
      <c r="BA22" s="287"/>
      <c r="BB22" s="287"/>
      <c r="BC22" s="287"/>
      <c r="BD22" s="287"/>
      <c r="BE22" s="287"/>
      <c r="BF22" s="287"/>
      <c r="BG22" s="287"/>
      <c r="BH22" s="287"/>
      <c r="BI22" s="287"/>
      <c r="BJ22" s="287"/>
      <c r="BK22" s="287"/>
      <c r="BL22" s="287"/>
      <c r="BM22" s="287"/>
      <c r="BN22" s="287"/>
      <c r="BO22" s="305"/>
      <c r="BP22" s="305"/>
    </row>
    <row r="23" spans="1:76">
      <c r="A23" s="280">
        <f t="shared" si="2"/>
        <v>11</v>
      </c>
      <c r="B23" s="245" t="s">
        <v>8</v>
      </c>
      <c r="C23" s="311">
        <f>+'[4]Allocated (CBR)'!B18</f>
        <v>204174130.28999999</v>
      </c>
      <c r="D23" s="311"/>
      <c r="E23" s="311"/>
      <c r="F23" s="311"/>
      <c r="G23" s="311"/>
      <c r="H23" s="311"/>
      <c r="I23" s="311"/>
      <c r="J23" s="311"/>
      <c r="K23" s="311"/>
      <c r="L23" s="311"/>
      <c r="M23" s="311"/>
      <c r="N23" s="311"/>
      <c r="O23" s="311"/>
      <c r="P23" s="311"/>
      <c r="Q23" s="311"/>
      <c r="R23" s="311"/>
      <c r="S23" s="311"/>
      <c r="T23" s="311"/>
      <c r="U23" s="311"/>
      <c r="V23" s="311"/>
      <c r="W23" s="311"/>
      <c r="X23" s="311">
        <f>SUM('Electric Adj'!F16:F17)</f>
        <v>1063362.3599999994</v>
      </c>
      <c r="Y23" s="311"/>
      <c r="Z23" s="311"/>
      <c r="AA23" s="311"/>
      <c r="AB23" s="311"/>
      <c r="AC23" s="311"/>
      <c r="AD23" s="311"/>
      <c r="AE23" s="311"/>
      <c r="AF23" s="311"/>
      <c r="AG23" s="311"/>
      <c r="AH23" s="311"/>
      <c r="AI23" s="312">
        <f>SUM(D23:AH23)</f>
        <v>1063362.3599999994</v>
      </c>
      <c r="AJ23" s="312">
        <f>+AI23+C23</f>
        <v>205237492.64999998</v>
      </c>
      <c r="AK23" s="311"/>
      <c r="AL23" s="311"/>
      <c r="AM23" s="311"/>
      <c r="AN23" s="311"/>
      <c r="AO23" s="311"/>
      <c r="AP23" s="311"/>
      <c r="AQ23" s="311"/>
      <c r="AR23" s="311"/>
      <c r="AS23" s="311"/>
      <c r="AT23" s="311"/>
      <c r="AU23" s="311"/>
      <c r="AV23" s="311"/>
      <c r="AW23" s="311"/>
      <c r="AX23" s="311"/>
      <c r="AY23" s="311"/>
      <c r="AZ23" s="311"/>
      <c r="BA23" s="311"/>
      <c r="BB23" s="311"/>
      <c r="BC23" s="311"/>
      <c r="BD23" s="311">
        <f>SUM('Electric Adj'!H16:H17)</f>
        <v>-17614269.038255386</v>
      </c>
      <c r="BE23" s="311"/>
      <c r="BF23" s="311"/>
      <c r="BG23" s="311"/>
      <c r="BH23" s="311"/>
      <c r="BI23" s="311"/>
      <c r="BJ23" s="311"/>
      <c r="BK23" s="311"/>
      <c r="BL23" s="311"/>
      <c r="BM23" s="311"/>
      <c r="BN23" s="311"/>
      <c r="BO23" s="312">
        <f>SUM(AK23:BN23)</f>
        <v>-17614269.038255386</v>
      </c>
      <c r="BP23" s="312">
        <f>+BO23+AJ23</f>
        <v>187623223.61174458</v>
      </c>
    </row>
    <row r="24" spans="1:76">
      <c r="A24" s="280">
        <f t="shared" si="2"/>
        <v>12</v>
      </c>
      <c r="B24" s="245" t="s">
        <v>9</v>
      </c>
      <c r="C24" s="56">
        <f>+'[4]Allocated (CBR)'!B19</f>
        <v>591842797.56999886</v>
      </c>
      <c r="D24" s="56"/>
      <c r="E24" s="56"/>
      <c r="F24" s="56"/>
      <c r="G24" s="56"/>
      <c r="H24" s="56">
        <f>+'Common Adj'!AL43</f>
        <v>0</v>
      </c>
      <c r="I24" s="56"/>
      <c r="J24" s="56"/>
      <c r="K24" s="56">
        <f>'Common Adj'!BJ15</f>
        <v>-12929.322150284017</v>
      </c>
      <c r="L24" s="56"/>
      <c r="M24" s="56"/>
      <c r="N24" s="56"/>
      <c r="O24" s="56"/>
      <c r="P24" s="56"/>
      <c r="Q24" s="56"/>
      <c r="R24" s="56">
        <f>+'Common Adj'!DN15</f>
        <v>6341.1377968182787</v>
      </c>
      <c r="S24" s="56"/>
      <c r="T24" s="56"/>
      <c r="U24" s="56"/>
      <c r="V24" s="56"/>
      <c r="W24" s="56"/>
      <c r="X24" s="56">
        <f>SUM('Electric Adj'!F18:F19,'Electric Adj'!F30)</f>
        <v>9123831.4387840331</v>
      </c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307">
        <f>SUM(D24:AH24)</f>
        <v>9117243.2544305678</v>
      </c>
      <c r="AJ24" s="307">
        <f>+AI24+C24</f>
        <v>600960040.82442939</v>
      </c>
      <c r="AK24" s="56"/>
      <c r="AL24" s="56"/>
      <c r="AM24" s="56"/>
      <c r="AN24" s="56"/>
      <c r="AO24" s="56"/>
      <c r="AP24" s="56"/>
      <c r="AQ24" s="56">
        <f>+'Common Adj'!DP15</f>
        <v>245950.53762489464</v>
      </c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>
        <f>SUM('Electric Adj'!H18:H20,'Electric Adj'!H30)</f>
        <v>-167336732.42506719</v>
      </c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307">
        <f>SUM(AK24:BN24)</f>
        <v>-167090781.88744229</v>
      </c>
      <c r="BP24" s="307">
        <f>+BO24+AJ24</f>
        <v>433869258.9369871</v>
      </c>
    </row>
    <row r="25" spans="1:76">
      <c r="A25" s="280">
        <f t="shared" si="2"/>
        <v>13</v>
      </c>
      <c r="B25" s="245" t="s">
        <v>10</v>
      </c>
      <c r="C25" s="56">
        <f>+'[4]Allocated (CBR)'!B20</f>
        <v>115807777.5999999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307">
        <f>SUM(D25:AH25)</f>
        <v>0</v>
      </c>
      <c r="AJ25" s="307">
        <f>+AI25+C25</f>
        <v>115807777.5999999</v>
      </c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>
        <f>+'Electric Adj'!H21</f>
        <v>-3265056.2605439574</v>
      </c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307">
        <f>SUM(AK25:BN25)</f>
        <v>-3265056.2605439574</v>
      </c>
      <c r="BP25" s="307">
        <f>+BO25+AJ25</f>
        <v>112542721.33945595</v>
      </c>
    </row>
    <row r="26" spans="1:76">
      <c r="A26" s="280">
        <f t="shared" si="2"/>
        <v>14</v>
      </c>
      <c r="B26" s="154" t="s">
        <v>11</v>
      </c>
      <c r="C26" s="56">
        <f>+'[4]Allocated (CBR)'!B21</f>
        <v>-77453659.509999901</v>
      </c>
      <c r="D26" s="56"/>
      <c r="E26" s="56"/>
      <c r="F26" s="56"/>
      <c r="G26" s="56"/>
      <c r="H26" s="56">
        <f>+'Common Adj'!AL41</f>
        <v>77453659.510000005</v>
      </c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307">
        <f>SUM(D26:AH26)</f>
        <v>77453659.510000005</v>
      </c>
      <c r="AJ26" s="307">
        <f>+AI26+C26</f>
        <v>0</v>
      </c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307">
        <f>SUM(AK26:BN26)</f>
        <v>0</v>
      </c>
      <c r="BP26" s="307">
        <f>+BO26+AJ26</f>
        <v>0</v>
      </c>
    </row>
    <row r="27" spans="1:76">
      <c r="A27" s="280">
        <f t="shared" si="2"/>
        <v>15</v>
      </c>
      <c r="B27" s="245" t="s">
        <v>12</v>
      </c>
      <c r="C27" s="422">
        <f t="shared" ref="C27:AK27" si="5">SUM(C22:C26)</f>
        <v>834371045.94999886</v>
      </c>
      <c r="D27" s="422">
        <f t="shared" si="5"/>
        <v>0</v>
      </c>
      <c r="E27" s="422">
        <f t="shared" si="5"/>
        <v>0</v>
      </c>
      <c r="F27" s="422">
        <f t="shared" si="5"/>
        <v>0</v>
      </c>
      <c r="G27" s="422">
        <f t="shared" si="5"/>
        <v>0</v>
      </c>
      <c r="H27" s="422">
        <f t="shared" si="5"/>
        <v>77453659.510000005</v>
      </c>
      <c r="I27" s="422">
        <f t="shared" si="5"/>
        <v>0</v>
      </c>
      <c r="J27" s="422">
        <f t="shared" si="5"/>
        <v>0</v>
      </c>
      <c r="K27" s="422">
        <f t="shared" si="5"/>
        <v>-12929.322150284017</v>
      </c>
      <c r="L27" s="422">
        <f t="shared" si="5"/>
        <v>0</v>
      </c>
      <c r="M27" s="422">
        <f t="shared" si="5"/>
        <v>0</v>
      </c>
      <c r="N27" s="422">
        <f t="shared" si="5"/>
        <v>0</v>
      </c>
      <c r="O27" s="422">
        <f t="shared" si="5"/>
        <v>0</v>
      </c>
      <c r="P27" s="422">
        <f t="shared" si="5"/>
        <v>0</v>
      </c>
      <c r="Q27" s="422">
        <f t="shared" si="5"/>
        <v>0</v>
      </c>
      <c r="R27" s="422">
        <f t="shared" si="5"/>
        <v>6341.1377968182787</v>
      </c>
      <c r="S27" s="422">
        <f t="shared" si="5"/>
        <v>0</v>
      </c>
      <c r="T27" s="422">
        <f t="shared" si="5"/>
        <v>0</v>
      </c>
      <c r="U27" s="422">
        <f t="shared" si="5"/>
        <v>0</v>
      </c>
      <c r="V27" s="422">
        <f t="shared" si="5"/>
        <v>0</v>
      </c>
      <c r="W27" s="422">
        <f t="shared" si="5"/>
        <v>0</v>
      </c>
      <c r="X27" s="422">
        <f t="shared" si="5"/>
        <v>10187193.798784032</v>
      </c>
      <c r="Y27" s="422">
        <f t="shared" si="5"/>
        <v>0</v>
      </c>
      <c r="Z27" s="422">
        <f t="shared" si="5"/>
        <v>0</v>
      </c>
      <c r="AA27" s="422">
        <f t="shared" si="5"/>
        <v>0</v>
      </c>
      <c r="AB27" s="422">
        <f t="shared" si="5"/>
        <v>0</v>
      </c>
      <c r="AC27" s="422">
        <f t="shared" si="5"/>
        <v>0</v>
      </c>
      <c r="AD27" s="422">
        <f t="shared" si="5"/>
        <v>0</v>
      </c>
      <c r="AE27" s="422">
        <f t="shared" si="5"/>
        <v>0</v>
      </c>
      <c r="AF27" s="422"/>
      <c r="AG27" s="422"/>
      <c r="AH27" s="422"/>
      <c r="AI27" s="313">
        <f>SUM(AI22:AI26)</f>
        <v>87634265.124430567</v>
      </c>
      <c r="AJ27" s="313">
        <f t="shared" si="5"/>
        <v>922005311.07442927</v>
      </c>
      <c r="AK27" s="422">
        <f t="shared" si="5"/>
        <v>0</v>
      </c>
      <c r="AL27" s="422">
        <f t="shared" ref="AL27:BP27" si="6">SUM(AL22:AL26)</f>
        <v>0</v>
      </c>
      <c r="AM27" s="422">
        <f t="shared" si="6"/>
        <v>0</v>
      </c>
      <c r="AN27" s="422">
        <f t="shared" si="6"/>
        <v>0</v>
      </c>
      <c r="AO27" s="422">
        <f t="shared" si="6"/>
        <v>0</v>
      </c>
      <c r="AP27" s="422">
        <f t="shared" si="6"/>
        <v>0</v>
      </c>
      <c r="AQ27" s="422">
        <f t="shared" si="6"/>
        <v>245950.53762489464</v>
      </c>
      <c r="AR27" s="422">
        <f t="shared" si="6"/>
        <v>0</v>
      </c>
      <c r="AS27" s="422">
        <f t="shared" si="6"/>
        <v>0</v>
      </c>
      <c r="AT27" s="422">
        <f t="shared" si="6"/>
        <v>0</v>
      </c>
      <c r="AU27" s="422">
        <f t="shared" si="6"/>
        <v>0</v>
      </c>
      <c r="AV27" s="422">
        <f t="shared" si="6"/>
        <v>0</v>
      </c>
      <c r="AW27" s="422">
        <f t="shared" si="6"/>
        <v>0</v>
      </c>
      <c r="AX27" s="422">
        <f t="shared" si="6"/>
        <v>0</v>
      </c>
      <c r="AY27" s="422">
        <f t="shared" si="6"/>
        <v>0</v>
      </c>
      <c r="AZ27" s="422">
        <f t="shared" si="6"/>
        <v>0</v>
      </c>
      <c r="BA27" s="422">
        <f t="shared" si="6"/>
        <v>0</v>
      </c>
      <c r="BB27" s="422">
        <f t="shared" si="6"/>
        <v>0</v>
      </c>
      <c r="BC27" s="422">
        <f t="shared" si="6"/>
        <v>0</v>
      </c>
      <c r="BD27" s="422">
        <f t="shared" si="6"/>
        <v>-188216057.72386652</v>
      </c>
      <c r="BE27" s="422">
        <f t="shared" si="6"/>
        <v>0</v>
      </c>
      <c r="BF27" s="422">
        <f t="shared" si="6"/>
        <v>0</v>
      </c>
      <c r="BG27" s="422">
        <f t="shared" si="6"/>
        <v>0</v>
      </c>
      <c r="BH27" s="422">
        <f t="shared" si="6"/>
        <v>0</v>
      </c>
      <c r="BI27" s="422">
        <f t="shared" si="6"/>
        <v>0</v>
      </c>
      <c r="BJ27" s="422">
        <f t="shared" si="6"/>
        <v>0</v>
      </c>
      <c r="BK27" s="422"/>
      <c r="BL27" s="422">
        <f t="shared" si="6"/>
        <v>0</v>
      </c>
      <c r="BM27" s="422">
        <f t="shared" si="6"/>
        <v>0</v>
      </c>
      <c r="BN27" s="422"/>
      <c r="BO27" s="313">
        <f>SUM(BO22:BO26)</f>
        <v>-187970107.18624163</v>
      </c>
      <c r="BP27" s="313">
        <f t="shared" si="6"/>
        <v>734035203.88818765</v>
      </c>
    </row>
    <row r="28" spans="1:76">
      <c r="A28" s="280">
        <f t="shared" si="2"/>
        <v>16</v>
      </c>
      <c r="B28" s="245"/>
      <c r="C28" s="311"/>
      <c r="D28" s="311"/>
      <c r="E28" s="311"/>
      <c r="F28" s="311"/>
      <c r="G28" s="311"/>
      <c r="H28" s="311"/>
      <c r="I28" s="311"/>
      <c r="J28" s="311"/>
      <c r="K28" s="311"/>
      <c r="L28" s="311"/>
      <c r="M28" s="311"/>
      <c r="N28" s="311"/>
      <c r="O28" s="311"/>
      <c r="P28" s="311"/>
      <c r="Q28" s="311"/>
      <c r="R28" s="311"/>
      <c r="S28" s="311"/>
      <c r="T28" s="311"/>
      <c r="U28" s="311"/>
      <c r="V28" s="311"/>
      <c r="W28" s="311"/>
      <c r="X28" s="311"/>
      <c r="Y28" s="311"/>
      <c r="Z28" s="311"/>
      <c r="AA28" s="311"/>
      <c r="AB28" s="311"/>
      <c r="AC28" s="311"/>
      <c r="AD28" s="311"/>
      <c r="AE28" s="311"/>
      <c r="AF28" s="311"/>
      <c r="AG28" s="311"/>
      <c r="AH28" s="311"/>
      <c r="AI28" s="312"/>
      <c r="AJ28" s="312"/>
      <c r="AK28" s="311"/>
      <c r="AL28" s="311"/>
      <c r="AM28" s="311"/>
      <c r="AN28" s="311"/>
      <c r="AO28" s="311"/>
      <c r="AP28" s="311"/>
      <c r="AQ28" s="311"/>
      <c r="AR28" s="311"/>
      <c r="AS28" s="311"/>
      <c r="AT28" s="311"/>
      <c r="AU28" s="311"/>
      <c r="AV28" s="311"/>
      <c r="AW28" s="311"/>
      <c r="AX28" s="311"/>
      <c r="AY28" s="311"/>
      <c r="AZ28" s="311"/>
      <c r="BA28" s="311"/>
      <c r="BB28" s="311"/>
      <c r="BC28" s="311"/>
      <c r="BD28" s="311"/>
      <c r="BE28" s="311"/>
      <c r="BF28" s="311"/>
      <c r="BG28" s="311"/>
      <c r="BH28" s="311"/>
      <c r="BI28" s="311"/>
      <c r="BJ28" s="311"/>
      <c r="BK28" s="311"/>
      <c r="BL28" s="311"/>
      <c r="BM28" s="311"/>
      <c r="BN28" s="311"/>
      <c r="BO28" s="312"/>
      <c r="BP28" s="312"/>
    </row>
    <row r="29" spans="1:76">
      <c r="A29" s="280">
        <f t="shared" si="2"/>
        <v>17</v>
      </c>
      <c r="B29" s="2" t="s">
        <v>13</v>
      </c>
      <c r="C29" s="311">
        <f>+'[4]Allocated (CBR)'!B24</f>
        <v>127167992.89</v>
      </c>
      <c r="D29" s="311"/>
      <c r="E29" s="311"/>
      <c r="F29" s="311"/>
      <c r="G29" s="311"/>
      <c r="H29" s="311"/>
      <c r="I29" s="311"/>
      <c r="J29" s="311"/>
      <c r="K29" s="56">
        <f>'Common Adj'!BJ16</f>
        <v>-43337.161375397118</v>
      </c>
      <c r="L29" s="311"/>
      <c r="M29" s="311"/>
      <c r="N29" s="311"/>
      <c r="O29" s="311"/>
      <c r="P29" s="311"/>
      <c r="Q29" s="311"/>
      <c r="R29" s="56">
        <f>'Common Adj'!DN16</f>
        <v>7381.9615589678288</v>
      </c>
      <c r="S29" s="311"/>
      <c r="T29" s="311"/>
      <c r="U29" s="311"/>
      <c r="V29" s="311"/>
      <c r="W29" s="311"/>
      <c r="X29" s="311"/>
      <c r="Y29" s="311"/>
      <c r="Z29" s="311"/>
      <c r="AA29" s="311"/>
      <c r="AB29" s="311"/>
      <c r="AC29" s="311"/>
      <c r="AD29" s="311"/>
      <c r="AE29" s="311"/>
      <c r="AF29" s="311"/>
      <c r="AG29" s="311"/>
      <c r="AH29" s="311"/>
      <c r="AI29" s="307">
        <f t="shared" ref="AI29:AI43" si="7">SUM(D29:AH29)</f>
        <v>-35955.199816429289</v>
      </c>
      <c r="AJ29" s="312">
        <f t="shared" ref="AJ29:AJ43" si="8">+AI29+C29</f>
        <v>127132037.69018357</v>
      </c>
      <c r="AK29" s="311"/>
      <c r="AL29" s="311"/>
      <c r="AM29" s="311"/>
      <c r="AN29" s="311"/>
      <c r="AO29" s="311"/>
      <c r="AP29" s="311"/>
      <c r="AQ29" s="56">
        <f>+'Common Adj'!DP16</f>
        <v>691614.88958714157</v>
      </c>
      <c r="AR29" s="311"/>
      <c r="AS29" s="311"/>
      <c r="AT29" s="311"/>
      <c r="AU29" s="311"/>
      <c r="AV29" s="311"/>
      <c r="AW29" s="311"/>
      <c r="AX29" s="311"/>
      <c r="AY29" s="311"/>
      <c r="AZ29" s="311"/>
      <c r="BA29" s="311"/>
      <c r="BB29" s="311"/>
      <c r="BC29" s="311"/>
      <c r="BD29" s="311">
        <f>+'Electric Adj'!H27</f>
        <v>-20921420.078863323</v>
      </c>
      <c r="BE29" s="311"/>
      <c r="BF29" s="311"/>
      <c r="BG29" s="311"/>
      <c r="BH29" s="311"/>
      <c r="BI29" s="311"/>
      <c r="BJ29" s="311"/>
      <c r="BK29" s="311"/>
      <c r="BL29" s="311"/>
      <c r="BM29" s="311"/>
      <c r="BN29" s="311"/>
      <c r="BO29" s="307">
        <f>SUM(AK29:BN29)</f>
        <v>-20229805.189276181</v>
      </c>
      <c r="BP29" s="312">
        <f t="shared" ref="BP29:BP43" si="9">+BO29+AJ29</f>
        <v>106902232.50090739</v>
      </c>
    </row>
    <row r="30" spans="1:76">
      <c r="A30" s="280">
        <f t="shared" si="2"/>
        <v>18</v>
      </c>
      <c r="B30" s="245" t="s">
        <v>14</v>
      </c>
      <c r="C30" s="314">
        <f>+'[4]Allocated (CBR)'!B25</f>
        <v>24439502.479999997</v>
      </c>
      <c r="D30" s="56"/>
      <c r="E30" s="56"/>
      <c r="F30" s="56"/>
      <c r="G30" s="56"/>
      <c r="H30" s="56"/>
      <c r="I30" s="56"/>
      <c r="J30" s="56"/>
      <c r="K30" s="56">
        <f>'Common Adj'!BJ17</f>
        <v>-18706.718945487402</v>
      </c>
      <c r="L30" s="56"/>
      <c r="M30" s="56"/>
      <c r="N30" s="56"/>
      <c r="O30" s="56"/>
      <c r="P30" s="56"/>
      <c r="Q30" s="56"/>
      <c r="R30" s="56">
        <f>+'Common Adj'!DN17</f>
        <v>6417.9413588624448</v>
      </c>
      <c r="S30" s="56"/>
      <c r="T30" s="56"/>
      <c r="U30" s="56"/>
      <c r="V30" s="56"/>
      <c r="W30" s="56"/>
      <c r="X30" s="56"/>
      <c r="Y30" s="56"/>
      <c r="Z30" s="56"/>
      <c r="AA30" s="56"/>
      <c r="AB30" s="56">
        <f>+'Electric Adj'!AL17</f>
        <v>-107344.6766666667</v>
      </c>
      <c r="AC30" s="56"/>
      <c r="AD30" s="56"/>
      <c r="AE30" s="56"/>
      <c r="AF30" s="56"/>
      <c r="AG30" s="56"/>
      <c r="AH30" s="56"/>
      <c r="AI30" s="307">
        <f t="shared" si="7"/>
        <v>-119633.45425329165</v>
      </c>
      <c r="AJ30" s="307">
        <f t="shared" si="8"/>
        <v>24319869.025746707</v>
      </c>
      <c r="AK30" s="56"/>
      <c r="AL30" s="56"/>
      <c r="AM30" s="56"/>
      <c r="AN30" s="56"/>
      <c r="AO30" s="56"/>
      <c r="AP30" s="56"/>
      <c r="AQ30" s="56">
        <f>+'Common Adj'!DP17</f>
        <v>329177.9771651458</v>
      </c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>
        <f>'Common Adj'!HP14</f>
        <v>159208.47999999952</v>
      </c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307">
        <f t="shared" ref="BO30:BO43" si="10">SUM(AK30:BN30)</f>
        <v>488386.45716514532</v>
      </c>
      <c r="BP30" s="307">
        <f t="shared" si="9"/>
        <v>24808255.482911851</v>
      </c>
    </row>
    <row r="31" spans="1:76">
      <c r="A31" s="280">
        <f t="shared" si="2"/>
        <v>19</v>
      </c>
      <c r="B31" s="245" t="s">
        <v>15</v>
      </c>
      <c r="C31" s="314">
        <f>+'[4]Allocated (CBR)'!B26</f>
        <v>83251239.00999999</v>
      </c>
      <c r="D31" s="56"/>
      <c r="E31" s="56"/>
      <c r="F31" s="56"/>
      <c r="G31" s="56"/>
      <c r="H31" s="56"/>
      <c r="I31" s="56"/>
      <c r="J31" s="56"/>
      <c r="K31" s="56">
        <f>'Common Adj'!BJ18</f>
        <v>-56877.492170206737</v>
      </c>
      <c r="L31" s="56"/>
      <c r="M31" s="56"/>
      <c r="N31" s="56"/>
      <c r="O31" s="56"/>
      <c r="P31" s="56"/>
      <c r="Q31" s="56"/>
      <c r="R31" s="56">
        <f>+'Common Adj'!DN18</f>
        <v>5812.8265940360725</v>
      </c>
      <c r="S31" s="56"/>
      <c r="T31" s="56"/>
      <c r="U31" s="56"/>
      <c r="V31" s="56"/>
      <c r="W31" s="56"/>
      <c r="X31" s="56"/>
      <c r="Y31" s="56"/>
      <c r="Z31" s="56"/>
      <c r="AA31" s="56"/>
      <c r="AB31" s="56">
        <f>+'Electric Adj'!AL15</f>
        <v>121269.80000000075</v>
      </c>
      <c r="AC31" s="56"/>
      <c r="AD31" s="56"/>
      <c r="AE31" s="56"/>
      <c r="AF31" s="56"/>
      <c r="AG31" s="56"/>
      <c r="AH31" s="56"/>
      <c r="AI31" s="307">
        <f t="shared" si="7"/>
        <v>70205.134423830081</v>
      </c>
      <c r="AJ31" s="307">
        <f t="shared" si="8"/>
        <v>83321444.144423828</v>
      </c>
      <c r="AK31" s="56"/>
      <c r="AL31" s="56"/>
      <c r="AM31" s="56"/>
      <c r="AN31" s="56"/>
      <c r="AO31" s="56"/>
      <c r="AP31" s="56"/>
      <c r="AQ31" s="56">
        <f>+'Common Adj'!DP18</f>
        <v>869408.50621556863</v>
      </c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>
        <f>'Common Adj'!HP15</f>
        <v>1377954.2199999988</v>
      </c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307">
        <f t="shared" si="10"/>
        <v>2247362.7262155674</v>
      </c>
      <c r="BP31" s="307">
        <f t="shared" si="9"/>
        <v>85568806.870639399</v>
      </c>
    </row>
    <row r="32" spans="1:76">
      <c r="A32" s="280">
        <f t="shared" si="2"/>
        <v>20</v>
      </c>
      <c r="B32" s="245" t="s">
        <v>16</v>
      </c>
      <c r="C32" s="314">
        <f>+'[4]Allocated (CBR)'!B27</f>
        <v>53199861.179999992</v>
      </c>
      <c r="D32" s="56">
        <f>'Common Adj'!F42</f>
        <v>373453.32075531798</v>
      </c>
      <c r="E32" s="56">
        <f>'Common Adj'!N20</f>
        <v>55552.890259</v>
      </c>
      <c r="F32" s="56"/>
      <c r="G32" s="56"/>
      <c r="H32" s="56">
        <f>+'Common Adj'!AL31</f>
        <v>-1605619.9023454485</v>
      </c>
      <c r="I32" s="56"/>
      <c r="J32" s="56">
        <f>+'Common Adj'!BB15</f>
        <v>-383738.93548899889</v>
      </c>
      <c r="K32" s="56">
        <f>'Common Adj'!BJ19</f>
        <v>-22040.633999859798</v>
      </c>
      <c r="L32" s="56"/>
      <c r="M32" s="56"/>
      <c r="N32" s="56">
        <f>+'Common Adj'!CH14</f>
        <v>803909.33835699933</v>
      </c>
      <c r="O32" s="56"/>
      <c r="P32" s="56"/>
      <c r="Q32" s="56"/>
      <c r="R32" s="56">
        <f>+'Common Adj'!DN19</f>
        <v>3681.0816675275564</v>
      </c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307">
        <f t="shared" si="7"/>
        <v>-774802.84079546237</v>
      </c>
      <c r="AJ32" s="307">
        <f t="shared" si="8"/>
        <v>52425058.339204527</v>
      </c>
      <c r="AK32" s="56">
        <f>'Common Adj'!H42</f>
        <v>-289777.14263137005</v>
      </c>
      <c r="AL32" s="56">
        <f>'Common Adj'!P20</f>
        <v>96708.811594001018</v>
      </c>
      <c r="AM32" s="56"/>
      <c r="AN32" s="56"/>
      <c r="AO32" s="56"/>
      <c r="AP32" s="56"/>
      <c r="AQ32" s="56">
        <f>+'Common Adj'!DP19</f>
        <v>344111.48429154046</v>
      </c>
      <c r="AR32" s="56"/>
      <c r="AS32" s="56"/>
      <c r="AT32" s="56"/>
      <c r="AU32" s="56"/>
      <c r="AV32" s="56"/>
      <c r="AW32" s="56"/>
      <c r="AX32" s="56"/>
      <c r="AY32" s="56">
        <f>'Common Adj'!GR15</f>
        <v>-604216.168725</v>
      </c>
      <c r="AZ32" s="56"/>
      <c r="BA32" s="56"/>
      <c r="BB32" s="56">
        <f>'Common Adj'!HP16</f>
        <v>146042.08000000007</v>
      </c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307">
        <f t="shared" si="10"/>
        <v>-307130.9354708285</v>
      </c>
      <c r="BP32" s="307">
        <f t="shared" si="9"/>
        <v>52117927.403733701</v>
      </c>
      <c r="BX32" s="260"/>
    </row>
    <row r="33" spans="1:76">
      <c r="A33" s="280">
        <f t="shared" si="2"/>
        <v>21</v>
      </c>
      <c r="B33" s="245" t="s">
        <v>17</v>
      </c>
      <c r="C33" s="314">
        <f>+'[4]Allocated (CBR)'!B28</f>
        <v>22140921.049999997</v>
      </c>
      <c r="D33" s="56"/>
      <c r="E33" s="56"/>
      <c r="F33" s="56"/>
      <c r="G33" s="56"/>
      <c r="H33" s="56">
        <f>+'Common Adj'!AL40+'Common Adj'!AL44</f>
        <v>-18123263</v>
      </c>
      <c r="I33" s="56"/>
      <c r="J33" s="56"/>
      <c r="K33" s="56">
        <f>'Common Adj'!BJ20+'Common Adj'!BJ21</f>
        <v>-3608.3649412231462</v>
      </c>
      <c r="L33" s="56"/>
      <c r="M33" s="56"/>
      <c r="N33" s="56"/>
      <c r="O33" s="56"/>
      <c r="P33" s="56"/>
      <c r="Q33" s="56"/>
      <c r="R33" s="56">
        <f>+'Common Adj'!DN20+'Common Adj'!DN21</f>
        <v>1631.5225314904237</v>
      </c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307">
        <f t="shared" si="7"/>
        <v>-18125239.842409734</v>
      </c>
      <c r="AJ33" s="307">
        <f t="shared" si="8"/>
        <v>4015681.2075902633</v>
      </c>
      <c r="AK33" s="56"/>
      <c r="AL33" s="56"/>
      <c r="AM33" s="56"/>
      <c r="AN33" s="56"/>
      <c r="AO33" s="56"/>
      <c r="AP33" s="56"/>
      <c r="AQ33" s="56">
        <f>+'Common Adj'!DP20+'Common Adj'!DP21</f>
        <v>67858.879361970816</v>
      </c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307">
        <f t="shared" si="10"/>
        <v>67858.879361970816</v>
      </c>
      <c r="BP33" s="307">
        <f t="shared" si="9"/>
        <v>4083540.0869522342</v>
      </c>
      <c r="BX33" s="260"/>
    </row>
    <row r="34" spans="1:76">
      <c r="A34" s="280">
        <f t="shared" si="2"/>
        <v>22</v>
      </c>
      <c r="B34" s="245" t="s">
        <v>18</v>
      </c>
      <c r="C34" s="314">
        <f>+'[4]Allocated (CBR)'!B29</f>
        <v>97087902.950000003</v>
      </c>
      <c r="D34" s="56"/>
      <c r="E34" s="56"/>
      <c r="F34" s="56"/>
      <c r="G34" s="56"/>
      <c r="H34" s="56">
        <f>+'Common Adj'!AL37</f>
        <v>-97087902.950000003</v>
      </c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307">
        <f t="shared" si="7"/>
        <v>-97087902.950000003</v>
      </c>
      <c r="AJ34" s="307">
        <f t="shared" si="8"/>
        <v>0</v>
      </c>
      <c r="AK34" s="56"/>
      <c r="AL34" s="56"/>
      <c r="AM34" s="56"/>
      <c r="AN34" s="56"/>
      <c r="AO34" s="56"/>
      <c r="AP34" s="56"/>
      <c r="AQ34" s="311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307">
        <f t="shared" si="10"/>
        <v>0</v>
      </c>
      <c r="BP34" s="307">
        <f t="shared" si="9"/>
        <v>0</v>
      </c>
      <c r="BX34" s="260"/>
    </row>
    <row r="35" spans="1:76">
      <c r="A35" s="280">
        <f t="shared" si="2"/>
        <v>23</v>
      </c>
      <c r="B35" s="245" t="s">
        <v>19</v>
      </c>
      <c r="C35" s="314">
        <f>+'[4]Allocated (CBR)'!B30</f>
        <v>124825410.95999999</v>
      </c>
      <c r="D35" s="56">
        <f>'Common Adj'!F43</f>
        <v>88089.001239607955</v>
      </c>
      <c r="E35" s="56">
        <f>'Common Adj'!N21</f>
        <v>13103.642</v>
      </c>
      <c r="F35" s="56"/>
      <c r="G35" s="56"/>
      <c r="H35" s="56">
        <f>+'Common Adj'!AL32+'Common Adj'!AL45</f>
        <v>-408082.83062400005</v>
      </c>
      <c r="I35" s="56">
        <f>+'Common Adj'!AT16</f>
        <v>-84300.474512874614</v>
      </c>
      <c r="J35" s="56"/>
      <c r="K35" s="56">
        <f>+'Common Adj'!BJ22</f>
        <v>-56643.756348991301</v>
      </c>
      <c r="L35" s="56">
        <f>+'Common Adj'!BR14</f>
        <v>14061.997781991959</v>
      </c>
      <c r="M35" s="56">
        <f>+'Common Adj'!BZ16</f>
        <v>-6710.549906840708</v>
      </c>
      <c r="N35" s="56"/>
      <c r="O35" s="56">
        <f>+'Common Adj'!CP20</f>
        <v>628553.90760300006</v>
      </c>
      <c r="P35" s="56">
        <f>'Common Adj'!CX15</f>
        <v>2184999.0024255933</v>
      </c>
      <c r="Q35" s="56">
        <f>'Common Adj'!DF16</f>
        <v>-405001.75899837748</v>
      </c>
      <c r="R35" s="56">
        <f>+'Common Adj'!DN22</f>
        <v>27562.31451934576</v>
      </c>
      <c r="S35" s="56">
        <f>+'Common Adj'!DV28</f>
        <v>16653.918911919929</v>
      </c>
      <c r="T35" s="56">
        <f>'Common Adj'!ED21</f>
        <v>30190.192556923255</v>
      </c>
      <c r="U35" s="56"/>
      <c r="V35" s="56"/>
      <c r="W35" s="56">
        <f>+'Common Adj'!FZ29-'Common Adj'!FZ22-'Common Adj'!FZ17</f>
        <v>-1290076.1837477004</v>
      </c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307">
        <f t="shared" si="7"/>
        <v>752398.42289959756</v>
      </c>
      <c r="AJ35" s="307">
        <f t="shared" si="8"/>
        <v>125577809.3828996</v>
      </c>
      <c r="AK35" s="56">
        <f>'Common Adj'!H43</f>
        <v>-68351.726060000001</v>
      </c>
      <c r="AL35" s="56">
        <f>'Common Adj'!P21</f>
        <v>22811.372000000207</v>
      </c>
      <c r="AM35" s="56"/>
      <c r="AN35" s="56">
        <f>+'Common Adj'!BT14</f>
        <v>-14061.997781991959</v>
      </c>
      <c r="AO35" s="56">
        <f>+'Common Adj'!CB18</f>
        <v>6710.549906840708</v>
      </c>
      <c r="AP35" s="56">
        <f>'Common Adj'!DH16</f>
        <v>560237.97633404168</v>
      </c>
      <c r="AQ35" s="56">
        <f>+'Common Adj'!DP22</f>
        <v>1071660.7177337781</v>
      </c>
      <c r="AR35" s="56">
        <f>+'Common Adj'!DX28</f>
        <v>263515.60003291816</v>
      </c>
      <c r="AS35" s="56">
        <f>'Common Adj'!EF21</f>
        <v>874996.06141313724</v>
      </c>
      <c r="AT35" s="56"/>
      <c r="AU35" s="56"/>
      <c r="AV35" s="56"/>
      <c r="AW35" s="56">
        <f>+'Common Adj'!GB29</f>
        <v>-499429.07517434994</v>
      </c>
      <c r="AX35" s="56"/>
      <c r="AY35" s="56"/>
      <c r="AZ35" s="56"/>
      <c r="BA35" s="56"/>
      <c r="BB35" s="56">
        <f>'Common Adj'!HP17</f>
        <v>1258.4533669999946</v>
      </c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307">
        <f t="shared" si="10"/>
        <v>2219347.9317713743</v>
      </c>
      <c r="BP35" s="307">
        <f t="shared" si="9"/>
        <v>127797157.31467097</v>
      </c>
    </row>
    <row r="36" spans="1:76">
      <c r="A36" s="280">
        <f t="shared" si="2"/>
        <v>24</v>
      </c>
      <c r="B36" s="245" t="s">
        <v>20</v>
      </c>
      <c r="C36" s="314">
        <f>+'[4]Allocated (CBR)'!B31</f>
        <v>341625259.95999998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>
        <f>+'Common Adj'!ET14+'Common Adj'!ET15+'Common Adj'!ET19</f>
        <v>5699417.5924432306</v>
      </c>
      <c r="W36" s="56"/>
      <c r="X36" s="56"/>
      <c r="Y36" s="56"/>
      <c r="Z36" s="56">
        <f>'Electric Adj'!V24</f>
        <v>-212064</v>
      </c>
      <c r="AA36" s="56"/>
      <c r="AB36" s="56"/>
      <c r="AC36" s="144">
        <f>'Electric Adj'!BB26+'Electric Adj'!BB18</f>
        <v>-2348854.8283335716</v>
      </c>
      <c r="AD36" s="56"/>
      <c r="AE36" s="56"/>
      <c r="AF36" s="56">
        <f>'Staff Smart Burn'!F15</f>
        <v>-557156</v>
      </c>
      <c r="AG36" s="56"/>
      <c r="AH36" s="56"/>
      <c r="AI36" s="307">
        <f t="shared" si="7"/>
        <v>2581342.764109659</v>
      </c>
      <c r="AJ36" s="307">
        <f t="shared" si="8"/>
        <v>344206602.72410965</v>
      </c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>
        <f>SUM('Common Adj'!FS29:FS30)</f>
        <v>1288993.5097277348</v>
      </c>
      <c r="AW36" s="56">
        <f>+'Common Adj'!GB22</f>
        <v>0</v>
      </c>
      <c r="AX36" s="287"/>
      <c r="AY36" s="56"/>
      <c r="AZ36" s="56"/>
      <c r="BA36" s="56"/>
      <c r="BB36" s="56"/>
      <c r="BC36" s="287"/>
      <c r="BD36" s="56"/>
      <c r="BE36" s="56"/>
      <c r="BF36" s="56"/>
      <c r="BG36" s="56"/>
      <c r="BH36" s="56"/>
      <c r="BI36" s="56"/>
      <c r="BJ36" s="311">
        <f>'Electric Adj'!CB23</f>
        <v>3090056.355</v>
      </c>
      <c r="BK36" s="311">
        <f>'Staff Shuffleton'!F15</f>
        <v>-57000</v>
      </c>
      <c r="BL36" s="56"/>
      <c r="BM36" s="56"/>
      <c r="BN36" s="56"/>
      <c r="BO36" s="307">
        <f t="shared" si="10"/>
        <v>4322049.8647277346</v>
      </c>
      <c r="BP36" s="307">
        <f t="shared" si="9"/>
        <v>348528652.58883739</v>
      </c>
    </row>
    <row r="37" spans="1:76">
      <c r="A37" s="280">
        <f t="shared" si="2"/>
        <v>25</v>
      </c>
      <c r="B37" s="245" t="s">
        <v>21</v>
      </c>
      <c r="C37" s="314">
        <f>+'[4]Allocated (CBR)'!B32</f>
        <v>75292958.060000002</v>
      </c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>
        <f>+'Common Adj'!ET16+'Common Adj'!ET17+'Common Adj'!ET20</f>
        <v>15699257.697837964</v>
      </c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307">
        <f t="shared" si="7"/>
        <v>15699257.697837964</v>
      </c>
      <c r="AJ37" s="307">
        <f t="shared" si="8"/>
        <v>90992215.757837966</v>
      </c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>
        <f>'Common Adj'!GJ30</f>
        <v>2876916.4773086668</v>
      </c>
      <c r="AY37" s="56"/>
      <c r="AZ37" s="56"/>
      <c r="BA37" s="56"/>
      <c r="BB37" s="56"/>
      <c r="BC37" s="56"/>
      <c r="BD37" s="56"/>
      <c r="BE37" s="56"/>
      <c r="BF37" s="56"/>
      <c r="BG37" s="56"/>
      <c r="BH37" s="56">
        <f>'Electric Adj'!BL25</f>
        <v>-5669283.3340000007</v>
      </c>
      <c r="BI37" s="56"/>
      <c r="BJ37" s="56"/>
      <c r="BK37" s="56"/>
      <c r="BL37" s="56"/>
      <c r="BM37" s="56"/>
      <c r="BN37" s="56"/>
      <c r="BO37" s="307">
        <f t="shared" si="10"/>
        <v>-2792366.8566913339</v>
      </c>
      <c r="BP37" s="307">
        <f t="shared" si="9"/>
        <v>88199848.901146635</v>
      </c>
    </row>
    <row r="38" spans="1:76">
      <c r="A38" s="280">
        <f t="shared" si="2"/>
        <v>26</v>
      </c>
      <c r="B38" s="2" t="s">
        <v>22</v>
      </c>
      <c r="C38" s="314">
        <f>+'[4]Allocated (CBR)'!B33</f>
        <v>35645161.039999902</v>
      </c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307">
        <f t="shared" si="7"/>
        <v>0</v>
      </c>
      <c r="AJ38" s="307">
        <f t="shared" si="8"/>
        <v>35645161.039999902</v>
      </c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>
        <f>+'Electric Adj'!AN21</f>
        <v>13521271.800000004</v>
      </c>
      <c r="BG38" s="56">
        <f>'Electric Adj'!AV48+'Electric Adj'!AV47</f>
        <v>-6016033.5165937655</v>
      </c>
      <c r="BH38" s="56"/>
      <c r="BI38" s="56"/>
      <c r="BJ38" s="56"/>
      <c r="BK38" s="56"/>
      <c r="BL38" s="56"/>
      <c r="BM38" s="56"/>
      <c r="BN38" s="56"/>
      <c r="BO38" s="307">
        <f t="shared" si="10"/>
        <v>7505238.283406239</v>
      </c>
      <c r="BP38" s="307">
        <f t="shared" si="9"/>
        <v>43150399.323406145</v>
      </c>
    </row>
    <row r="39" spans="1:76">
      <c r="A39" s="280">
        <f t="shared" si="2"/>
        <v>27</v>
      </c>
      <c r="B39" s="245" t="s">
        <v>23</v>
      </c>
      <c r="C39" s="314">
        <f>+'[4]Allocated (CBR)'!B34</f>
        <v>-21632953.829999994</v>
      </c>
      <c r="D39" s="56">
        <f>'Common Adj'!F39</f>
        <v>31349866.02</v>
      </c>
      <c r="E39" s="56"/>
      <c r="F39" s="56"/>
      <c r="G39" s="56"/>
      <c r="H39" s="56">
        <f>+'Common Adj'!AL42</f>
        <v>83311.960000000006</v>
      </c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307">
        <f t="shared" si="7"/>
        <v>31433177.98</v>
      </c>
      <c r="AJ39" s="307">
        <f t="shared" si="8"/>
        <v>9800224.150000006</v>
      </c>
      <c r="AK39" s="56"/>
      <c r="AL39" s="56"/>
      <c r="AM39" s="56"/>
      <c r="AN39" s="56"/>
      <c r="AO39" s="56"/>
      <c r="AP39" s="56"/>
      <c r="AQ39" s="56"/>
      <c r="AR39" s="56"/>
      <c r="AS39" s="56"/>
      <c r="AT39" s="56">
        <f>+'Common Adj'!FD17</f>
        <v>-3533963.9933333327</v>
      </c>
      <c r="AU39" s="56">
        <f>'Common Adj'!FL15</f>
        <v>152047.66032121028</v>
      </c>
      <c r="AV39" s="56">
        <f>'Common Adj'!FT32+'Common Adj'!FS31</f>
        <v>4868445.0880221995</v>
      </c>
      <c r="AW39" s="56"/>
      <c r="AX39" s="56">
        <f>'Common Adj'!GJ31</f>
        <v>3681830.6018343112</v>
      </c>
      <c r="AY39" s="56"/>
      <c r="AZ39" s="56"/>
      <c r="BA39" s="56"/>
      <c r="BB39" s="56"/>
      <c r="BC39" s="56"/>
      <c r="BD39" s="56"/>
      <c r="BE39" s="56"/>
      <c r="BF39" s="56"/>
      <c r="BG39" s="56">
        <f>'Electric Adj'!AV51-BG38</f>
        <v>-5503100.002442643</v>
      </c>
      <c r="BH39" s="56"/>
      <c r="BI39" s="56"/>
      <c r="BJ39" s="56"/>
      <c r="BK39" s="56"/>
      <c r="BL39" s="56"/>
      <c r="BM39" s="56"/>
      <c r="BN39" s="56"/>
      <c r="BO39" s="307">
        <f t="shared" si="10"/>
        <v>-334740.6455982551</v>
      </c>
      <c r="BP39" s="307">
        <f t="shared" si="9"/>
        <v>9465483.5044017509</v>
      </c>
    </row>
    <row r="40" spans="1:76">
      <c r="A40" s="280">
        <f t="shared" si="2"/>
        <v>28</v>
      </c>
      <c r="B40" s="154" t="s">
        <v>24</v>
      </c>
      <c r="C40" s="314">
        <f>+'[4]Allocated (CBR)'!B35</f>
        <v>-41661500.859999999</v>
      </c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>
        <f>+'Electric Adj'!AD15</f>
        <v>41661500.859999999</v>
      </c>
      <c r="AB40" s="56"/>
      <c r="AC40" s="56"/>
      <c r="AD40" s="56"/>
      <c r="AE40" s="56"/>
      <c r="AF40" s="56"/>
      <c r="AG40" s="56"/>
      <c r="AH40" s="56"/>
      <c r="AI40" s="307">
        <f t="shared" si="7"/>
        <v>41661500.859999999</v>
      </c>
      <c r="AJ40" s="307">
        <f t="shared" si="8"/>
        <v>0</v>
      </c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307">
        <f t="shared" si="10"/>
        <v>0</v>
      </c>
      <c r="BP40" s="307">
        <f t="shared" si="9"/>
        <v>0</v>
      </c>
    </row>
    <row r="41" spans="1:76">
      <c r="A41" s="280">
        <f t="shared" si="2"/>
        <v>29</v>
      </c>
      <c r="B41" s="245" t="s">
        <v>25</v>
      </c>
      <c r="C41" s="314">
        <f>+'[4]Allocated (CBR)'!B36</f>
        <v>234440433.30000001</v>
      </c>
      <c r="D41" s="56">
        <f>'Common Adj'!F44</f>
        <v>1691573.0908041918</v>
      </c>
      <c r="E41" s="56">
        <f>'Common Adj'!N22</f>
        <v>251629.23732600003</v>
      </c>
      <c r="F41" s="56"/>
      <c r="G41" s="56"/>
      <c r="H41" s="56">
        <f>+'Common Adj'!AL33+'Common Adj'!AL38+'Common Adj'!AL39+'Common Adj'!AL46</f>
        <v>-148546495.51061568</v>
      </c>
      <c r="I41" s="56"/>
      <c r="J41" s="56"/>
      <c r="K41" s="56">
        <f>+'Common Adj'!BJ25</f>
        <v>-18951.694391689729</v>
      </c>
      <c r="L41" s="56">
        <f>+'Common Adj'!BR15</f>
        <v>-104992.07986000087</v>
      </c>
      <c r="M41" s="56"/>
      <c r="N41" s="56"/>
      <c r="O41" s="56"/>
      <c r="P41" s="56"/>
      <c r="Q41" s="56"/>
      <c r="R41" s="56">
        <f>+'Common Adj'!DN25</f>
        <v>19412.258474519269</v>
      </c>
      <c r="S41" s="56"/>
      <c r="T41" s="56"/>
      <c r="U41" s="56"/>
      <c r="V41" s="56"/>
      <c r="W41" s="56"/>
      <c r="X41" s="56">
        <f>-'Electric Adj'!F33</f>
        <v>0</v>
      </c>
      <c r="Y41" s="56">
        <f>+'Electric Adj'!N19</f>
        <v>86860.814999999944</v>
      </c>
      <c r="Z41" s="56"/>
      <c r="AA41" s="56"/>
      <c r="AB41" s="56"/>
      <c r="AC41" s="56"/>
      <c r="AD41" s="56"/>
      <c r="AE41" s="56"/>
      <c r="AF41" s="56"/>
      <c r="AG41" s="56"/>
      <c r="AH41" s="56"/>
      <c r="AI41" s="307">
        <f t="shared" si="7"/>
        <v>-146620963.88326266</v>
      </c>
      <c r="AJ41" s="307">
        <f t="shared" si="8"/>
        <v>87819469.416737348</v>
      </c>
      <c r="AK41" s="56">
        <f>'Common Adj'!H44</f>
        <v>-1312558.1955301801</v>
      </c>
      <c r="AL41" s="56">
        <f>'Common Adj'!P22</f>
        <v>438046.7765160054</v>
      </c>
      <c r="AM41" s="56"/>
      <c r="AN41" s="56">
        <f>+'Common Adj'!BT15</f>
        <v>104992.07986000087</v>
      </c>
      <c r="AO41" s="56"/>
      <c r="AP41" s="56"/>
      <c r="AQ41" s="56">
        <f>+'Common Adj'!DP25</f>
        <v>182188.09454757578</v>
      </c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>
        <f>+'Electric Adj'!H33</f>
        <v>56751.381884112845</v>
      </c>
      <c r="BE41" s="56">
        <f>+'Electric Adj'!P19</f>
        <v>-695900.58093892643</v>
      </c>
      <c r="BF41" s="56"/>
      <c r="BG41" s="56"/>
      <c r="BH41" s="56"/>
      <c r="BI41" s="56"/>
      <c r="BJ41" s="56"/>
      <c r="BK41" s="56"/>
      <c r="BL41" s="56"/>
      <c r="BM41" s="56"/>
      <c r="BN41" s="56"/>
      <c r="BO41" s="307">
        <f t="shared" si="10"/>
        <v>-1226480.4436614118</v>
      </c>
      <c r="BP41" s="307">
        <f t="shared" si="9"/>
        <v>86592988.973075941</v>
      </c>
    </row>
    <row r="42" spans="1:76">
      <c r="A42" s="280">
        <f t="shared" si="2"/>
        <v>30</v>
      </c>
      <c r="B42" s="245" t="s">
        <v>26</v>
      </c>
      <c r="C42" s="314">
        <f>+'[4]Allocated (CBR)'!B37</f>
        <v>22841555.030000001</v>
      </c>
      <c r="D42" s="56">
        <f>'Common Adj'!F49</f>
        <v>2213719.029271021</v>
      </c>
      <c r="E42" s="56">
        <f>'Common Adj'!N27</f>
        <v>1308622.3983871499</v>
      </c>
      <c r="F42" s="56">
        <f>+'Common Adj'!V14</f>
        <v>96903246.731522843</v>
      </c>
      <c r="G42" s="56">
        <f>+'Common Adj'!AD21</f>
        <v>-33118422.164963614</v>
      </c>
      <c r="H42" s="56">
        <f>+'Common Adj'!AL50</f>
        <v>-519945.70634724048</v>
      </c>
      <c r="I42" s="56">
        <f>+'Common Adj'!AT19</f>
        <v>17703.099647703668</v>
      </c>
      <c r="J42" s="56">
        <f>+'Common Adj'!BB18</f>
        <v>80585.176452689804</v>
      </c>
      <c r="K42" s="56">
        <f>+'Common Adj'!BJ28</f>
        <v>48949.980307859136</v>
      </c>
      <c r="L42" s="56">
        <f>+'Common Adj'!BR19</f>
        <v>19095.317236382514</v>
      </c>
      <c r="M42" s="56">
        <f>+'Common Adj'!BZ20</f>
        <v>1409.2154804365487</v>
      </c>
      <c r="N42" s="56"/>
      <c r="O42" s="56">
        <f>+'Common Adj'!CP22</f>
        <v>-131996.32059662999</v>
      </c>
      <c r="P42" s="56">
        <f>+'Common Adj'!CX17</f>
        <v>-458849.79050937446</v>
      </c>
      <c r="Q42" s="56">
        <f>'Common Adj'!DF18</f>
        <v>85050.369389659259</v>
      </c>
      <c r="R42" s="56">
        <f>+'Common Adj'!DN29</f>
        <v>-16430.619345331426</v>
      </c>
      <c r="S42" s="56">
        <f>+'Common Adj'!DV32</f>
        <v>-3497.3229715031848</v>
      </c>
      <c r="T42" s="56">
        <f>'Common Adj'!ED23</f>
        <v>-6339.9404369538834</v>
      </c>
      <c r="U42" s="56"/>
      <c r="V42" s="56">
        <f>'Common Adj'!ET25</f>
        <v>-4493721.8109590504</v>
      </c>
      <c r="W42" s="56">
        <f>+'Common Adj'!FZ31</f>
        <v>90617.111287017076</v>
      </c>
      <c r="X42" s="56">
        <f>'Electric Adj'!F36</f>
        <v>-2139310.6977446466</v>
      </c>
      <c r="Y42" s="56">
        <f>+'Electric Adj'!N21</f>
        <v>-18240.771149999986</v>
      </c>
      <c r="Z42" s="56">
        <f>'Electric Adj'!V26</f>
        <v>44533.439999999995</v>
      </c>
      <c r="AA42" s="56"/>
      <c r="AB42" s="56">
        <f>'Electric Adj'!AL25</f>
        <v>-2924.2759000001502</v>
      </c>
      <c r="AC42" s="96">
        <f>'Electric Adj'!BB27+'Electric Adj'!BB28+'Electric Adj'!BB19+'Electric Adj'!BB20</f>
        <v>680428.34983163839</v>
      </c>
      <c r="AD42" s="56"/>
      <c r="AE42" s="56"/>
      <c r="AF42" s="56">
        <f>'Staff Smart Burn'!F16+'Staff Smart Burn'!F17</f>
        <v>125331.31936176808</v>
      </c>
      <c r="AG42" s="56"/>
      <c r="AH42" s="56"/>
      <c r="AI42" s="307">
        <f t="shared" si="7"/>
        <v>60709612.117251843</v>
      </c>
      <c r="AJ42" s="307">
        <f t="shared" si="8"/>
        <v>83551167.147251844</v>
      </c>
      <c r="AK42" s="56">
        <f>'Common Adj'!H49</f>
        <v>-6826086.9528134745</v>
      </c>
      <c r="AL42" s="56">
        <f>'Common Adj'!P27</f>
        <v>2278104.9983769059</v>
      </c>
      <c r="AM42" s="56">
        <f>+'Common Adj'!AF21</f>
        <v>659022.41484294983</v>
      </c>
      <c r="AN42" s="56">
        <f>+'Common Adj'!BT19</f>
        <v>-19095.31723638187</v>
      </c>
      <c r="AO42" s="56">
        <f>+'Common Adj'!CB20</f>
        <v>-1409.2154804365487</v>
      </c>
      <c r="AP42" s="56">
        <f>'Common Adj'!DH18</f>
        <v>-117649.97503014863</v>
      </c>
      <c r="AQ42" s="56">
        <f>+'Common Adj'!DP29</f>
        <v>-798413.9281708037</v>
      </c>
      <c r="AR42" s="56">
        <f>+'Common Adj'!DX32</f>
        <v>-55338.276006912813</v>
      </c>
      <c r="AS42" s="56">
        <f>'Common Adj'!EF23</f>
        <v>-183749.17289675883</v>
      </c>
      <c r="AT42" s="56">
        <f>+'Common Adj'!FD19</f>
        <v>742132.43859999988</v>
      </c>
      <c r="AU42" s="56">
        <f>'Common Adj'!FL18</f>
        <v>-31930.008667454156</v>
      </c>
      <c r="AV42" s="56">
        <f>+'Common Adj'!FS37</f>
        <v>-1293062.105527486</v>
      </c>
      <c r="AW42" s="56">
        <f>+'Common Adj'!GB31</f>
        <v>104880.10578661348</v>
      </c>
      <c r="AX42" s="56">
        <f>'Common Adj'!GJ37</f>
        <v>-1377336.8866200254</v>
      </c>
      <c r="AY42" s="56">
        <f>'Common Adj'!GR19</f>
        <v>126885.39543224999</v>
      </c>
      <c r="AZ42" s="56"/>
      <c r="BA42" s="56"/>
      <c r="BB42" s="56">
        <f>'Common Adj'!HP20</f>
        <v>-353737.27900707163</v>
      </c>
      <c r="BC42" s="56"/>
      <c r="BD42" s="56">
        <f>+'Electric Adj'!H36</f>
        <v>3115566.957635242</v>
      </c>
      <c r="BE42" s="56">
        <f>+'Electric Adj'!P21</f>
        <v>146139.12199717454</v>
      </c>
      <c r="BF42" s="56">
        <f>+'Electric Adj'!AN25</f>
        <v>-2839467.0780000007</v>
      </c>
      <c r="BG42" s="56">
        <f>'Electric Adj'!AV53</f>
        <v>2419018.0389976455</v>
      </c>
      <c r="BH42" s="56">
        <f>'Electric Adj'!BI27</f>
        <v>1190549.5001400001</v>
      </c>
      <c r="BI42" s="56"/>
      <c r="BJ42" s="56">
        <f>'Electric Adj'!CB28</f>
        <v>-648911.83455000003</v>
      </c>
      <c r="BK42" s="56">
        <f>'Staff Shuffleton'!F16</f>
        <v>11970</v>
      </c>
      <c r="BL42" s="56"/>
      <c r="BM42" s="56"/>
      <c r="BN42" s="56"/>
      <c r="BO42" s="307">
        <f t="shared" si="10"/>
        <v>-3751919.0581981735</v>
      </c>
      <c r="BP42" s="307">
        <f t="shared" si="9"/>
        <v>79799248.089053676</v>
      </c>
    </row>
    <row r="43" spans="1:76">
      <c r="A43" s="280">
        <f t="shared" si="2"/>
        <v>31</v>
      </c>
      <c r="B43" s="154" t="s">
        <v>27</v>
      </c>
      <c r="C43" s="314">
        <f>+'[4]Allocated (CBR)'!B38</f>
        <v>38907707.560000002</v>
      </c>
      <c r="D43" s="56"/>
      <c r="E43" s="56"/>
      <c r="F43" s="56">
        <f>+'Common Adj'!V15</f>
        <v>-81967593.284695342</v>
      </c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>
        <f>+'Electric Adj'!AD21</f>
        <v>-8748915.1805999987</v>
      </c>
      <c r="AB43" s="56"/>
      <c r="AC43" s="56"/>
      <c r="AD43" s="56"/>
      <c r="AE43" s="56"/>
      <c r="AF43" s="249"/>
      <c r="AG43" s="56"/>
      <c r="AH43" s="56"/>
      <c r="AI43" s="307">
        <f t="shared" si="7"/>
        <v>-90716508.465295345</v>
      </c>
      <c r="AJ43" s="307">
        <f t="shared" si="8"/>
        <v>-51808800.905295342</v>
      </c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>
        <f>'Common Adj'!GY19</f>
        <v>-9006372.2399999984</v>
      </c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307">
        <f t="shared" si="10"/>
        <v>-9006372.2399999984</v>
      </c>
      <c r="BP43" s="307">
        <f t="shared" si="9"/>
        <v>-60815173.145295337</v>
      </c>
    </row>
    <row r="44" spans="1:76">
      <c r="A44" s="280">
        <f t="shared" si="2"/>
        <v>32</v>
      </c>
      <c r="B44" s="245" t="s">
        <v>28</v>
      </c>
      <c r="C44" s="422">
        <f t="shared" ref="C44:AK44" si="11">SUM(C27:C43)</f>
        <v>2051942496.7299988</v>
      </c>
      <c r="D44" s="422">
        <f t="shared" si="11"/>
        <v>35716700.462070137</v>
      </c>
      <c r="E44" s="422">
        <f t="shared" si="11"/>
        <v>1628908.1679721498</v>
      </c>
      <c r="F44" s="422">
        <f t="shared" si="11"/>
        <v>14935653.446827501</v>
      </c>
      <c r="G44" s="422">
        <f t="shared" si="11"/>
        <v>-33118422.164963614</v>
      </c>
      <c r="H44" s="422">
        <f t="shared" si="11"/>
        <v>-188754338.42993236</v>
      </c>
      <c r="I44" s="422">
        <f t="shared" si="11"/>
        <v>-66597.374865170947</v>
      </c>
      <c r="J44" s="422">
        <f t="shared" si="11"/>
        <v>-303153.75903630909</v>
      </c>
      <c r="K44" s="422">
        <f t="shared" si="11"/>
        <v>-184145.16401528011</v>
      </c>
      <c r="L44" s="422">
        <f t="shared" si="11"/>
        <v>-71834.764841626398</v>
      </c>
      <c r="M44" s="422">
        <f t="shared" si="11"/>
        <v>-5301.3344264041589</v>
      </c>
      <c r="N44" s="422">
        <f t="shared" si="11"/>
        <v>803909.33835699933</v>
      </c>
      <c r="O44" s="422">
        <f t="shared" si="11"/>
        <v>496557.58700637007</v>
      </c>
      <c r="P44" s="422">
        <f t="shared" si="11"/>
        <v>1726149.211916219</v>
      </c>
      <c r="Q44" s="422">
        <f t="shared" si="11"/>
        <v>-319951.38960871822</v>
      </c>
      <c r="R44" s="422">
        <f t="shared" si="11"/>
        <v>61810.425156236211</v>
      </c>
      <c r="S44" s="422">
        <f t="shared" si="11"/>
        <v>13156.595940416744</v>
      </c>
      <c r="T44" s="422">
        <f t="shared" si="11"/>
        <v>23850.252119969373</v>
      </c>
      <c r="U44" s="422">
        <f t="shared" si="11"/>
        <v>0</v>
      </c>
      <c r="V44" s="422">
        <f t="shared" si="11"/>
        <v>16904953.479322143</v>
      </c>
      <c r="W44" s="422">
        <f t="shared" si="11"/>
        <v>-1199459.0724606833</v>
      </c>
      <c r="X44" s="422">
        <f t="shared" si="11"/>
        <v>8047883.1010393854</v>
      </c>
      <c r="Y44" s="422">
        <f t="shared" si="11"/>
        <v>68620.043849999958</v>
      </c>
      <c r="Z44" s="422">
        <f t="shared" si="11"/>
        <v>-167530.56</v>
      </c>
      <c r="AA44" s="422">
        <f t="shared" si="11"/>
        <v>32912585.679400001</v>
      </c>
      <c r="AB44" s="422">
        <f t="shared" si="11"/>
        <v>11000.8474333339</v>
      </c>
      <c r="AC44" s="422">
        <f>SUM(AC27:AC43)</f>
        <v>-1668426.4785019332</v>
      </c>
      <c r="AD44" s="422">
        <f t="shared" si="11"/>
        <v>0</v>
      </c>
      <c r="AE44" s="422">
        <f t="shared" si="11"/>
        <v>0</v>
      </c>
      <c r="AF44" s="422">
        <f>SUM(AF27:AF43)</f>
        <v>-431824.68063823192</v>
      </c>
      <c r="AG44" s="422"/>
      <c r="AH44" s="422"/>
      <c r="AI44" s="313">
        <f t="shared" si="11"/>
        <v>-112939246.53487945</v>
      </c>
      <c r="AJ44" s="313">
        <f t="shared" si="11"/>
        <v>1939003250.1951191</v>
      </c>
      <c r="AK44" s="422">
        <f t="shared" si="11"/>
        <v>-8496774.0170350242</v>
      </c>
      <c r="AL44" s="422">
        <f>SUM(AL27:AL43)</f>
        <v>2835671.9584869128</v>
      </c>
      <c r="AM44" s="422">
        <f t="shared" ref="AM44:BP44" si="12">SUM(AM27:AM43)</f>
        <v>659022.41484294983</v>
      </c>
      <c r="AN44" s="422">
        <f t="shared" si="12"/>
        <v>71834.764841627039</v>
      </c>
      <c r="AO44" s="422">
        <f t="shared" si="12"/>
        <v>5301.3344264041589</v>
      </c>
      <c r="AP44" s="422">
        <f t="shared" si="12"/>
        <v>442588.00130389305</v>
      </c>
      <c r="AQ44" s="422">
        <f t="shared" si="12"/>
        <v>3003557.1583568119</v>
      </c>
      <c r="AR44" s="422">
        <f t="shared" si="12"/>
        <v>208177.32402600534</v>
      </c>
      <c r="AS44" s="422">
        <f t="shared" si="12"/>
        <v>691246.88851637836</v>
      </c>
      <c r="AT44" s="422">
        <f t="shared" si="12"/>
        <v>-2791831.5547333327</v>
      </c>
      <c r="AU44" s="422">
        <f t="shared" si="12"/>
        <v>120117.65165375613</v>
      </c>
      <c r="AV44" s="422">
        <f t="shared" si="12"/>
        <v>4864376.4922224488</v>
      </c>
      <c r="AW44" s="422">
        <f t="shared" si="12"/>
        <v>-394548.96938773646</v>
      </c>
      <c r="AX44" s="422">
        <f t="shared" si="12"/>
        <v>5181410.1925229533</v>
      </c>
      <c r="AY44" s="422">
        <f t="shared" si="12"/>
        <v>-477330.77329275</v>
      </c>
      <c r="AZ44" s="422">
        <f t="shared" si="12"/>
        <v>-9006372.2399999984</v>
      </c>
      <c r="BA44" s="422">
        <f t="shared" si="12"/>
        <v>0</v>
      </c>
      <c r="BB44" s="422">
        <f t="shared" si="12"/>
        <v>1330725.9543599267</v>
      </c>
      <c r="BC44" s="422">
        <f t="shared" si="12"/>
        <v>0</v>
      </c>
      <c r="BD44" s="422">
        <f>SUM(BD27:BD43)</f>
        <v>-205965159.46321049</v>
      </c>
      <c r="BE44" s="422">
        <f t="shared" si="12"/>
        <v>-549761.45894175186</v>
      </c>
      <c r="BF44" s="422">
        <f t="shared" si="12"/>
        <v>10681804.722000003</v>
      </c>
      <c r="BG44" s="422">
        <f t="shared" si="12"/>
        <v>-9100115.4800387621</v>
      </c>
      <c r="BH44" s="422">
        <f t="shared" si="12"/>
        <v>-4478733.8338600006</v>
      </c>
      <c r="BI44" s="422">
        <f t="shared" si="12"/>
        <v>0</v>
      </c>
      <c r="BJ44" s="422">
        <f t="shared" si="12"/>
        <v>2441144.5204499997</v>
      </c>
      <c r="BK44" s="422">
        <f t="shared" si="12"/>
        <v>-45030</v>
      </c>
      <c r="BL44" s="422">
        <f t="shared" si="12"/>
        <v>0</v>
      </c>
      <c r="BM44" s="422">
        <f t="shared" si="12"/>
        <v>0</v>
      </c>
      <c r="BN44" s="422"/>
      <c r="BO44" s="313">
        <f>SUM(BO27:BO43)</f>
        <v>-208768678.41248983</v>
      </c>
      <c r="BP44" s="313">
        <f t="shared" si="12"/>
        <v>1730234571.7826293</v>
      </c>
    </row>
    <row r="45" spans="1:76">
      <c r="A45" s="280">
        <f t="shared" si="2"/>
        <v>33</v>
      </c>
      <c r="B45" s="154"/>
      <c r="C45" s="315"/>
      <c r="D45" s="315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6"/>
      <c r="AJ45" s="316"/>
      <c r="AK45" s="315"/>
      <c r="AL45" s="315"/>
      <c r="AM45" s="315"/>
      <c r="AN45" s="315">
        <f>+L45</f>
        <v>0</v>
      </c>
      <c r="AO45" s="315">
        <f>+M45</f>
        <v>0</v>
      </c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  <c r="BM45" s="315"/>
      <c r="BN45" s="315"/>
      <c r="BO45" s="316"/>
      <c r="BP45" s="316"/>
    </row>
    <row r="46" spans="1:76" s="287" customFormat="1" ht="13.5" thickBot="1">
      <c r="A46" s="280">
        <f t="shared" ref="A46:A74" si="13">A45+1</f>
        <v>34</v>
      </c>
      <c r="B46" s="154" t="s">
        <v>29</v>
      </c>
      <c r="C46" s="317">
        <f t="shared" ref="C46:AK46" si="14">+C18-C44</f>
        <v>391140691.10000062</v>
      </c>
      <c r="D46" s="317">
        <f t="shared" si="14"/>
        <v>8327800.1577338427</v>
      </c>
      <c r="E46" s="317">
        <f t="shared" si="14"/>
        <v>4922912.8320278507</v>
      </c>
      <c r="F46" s="317">
        <f t="shared" si="14"/>
        <v>-14935653.446827501</v>
      </c>
      <c r="G46" s="317">
        <f t="shared" si="14"/>
        <v>33118422.164963614</v>
      </c>
      <c r="H46" s="317">
        <f t="shared" si="14"/>
        <v>-1955986.2286396027</v>
      </c>
      <c r="I46" s="317">
        <f t="shared" si="14"/>
        <v>66597.374865170947</v>
      </c>
      <c r="J46" s="317">
        <f t="shared" si="14"/>
        <v>303153.75903630909</v>
      </c>
      <c r="K46" s="317">
        <f t="shared" si="14"/>
        <v>184145.16401528011</v>
      </c>
      <c r="L46" s="317">
        <f t="shared" si="14"/>
        <v>71834.764841626398</v>
      </c>
      <c r="M46" s="317">
        <f t="shared" si="14"/>
        <v>5301.3344264041589</v>
      </c>
      <c r="N46" s="317">
        <f t="shared" si="14"/>
        <v>-803909.33835699933</v>
      </c>
      <c r="O46" s="317">
        <f t="shared" si="14"/>
        <v>-496557.58700637007</v>
      </c>
      <c r="P46" s="317">
        <f t="shared" si="14"/>
        <v>-1726149.211916219</v>
      </c>
      <c r="Q46" s="317">
        <f t="shared" si="14"/>
        <v>319951.38960871822</v>
      </c>
      <c r="R46" s="317">
        <f t="shared" si="14"/>
        <v>-61810.425156236211</v>
      </c>
      <c r="S46" s="317">
        <f t="shared" si="14"/>
        <v>-13156.595940416744</v>
      </c>
      <c r="T46" s="317">
        <f t="shared" si="14"/>
        <v>-23850.252119969373</v>
      </c>
      <c r="U46" s="317">
        <f t="shared" si="14"/>
        <v>0</v>
      </c>
      <c r="V46" s="317">
        <f t="shared" si="14"/>
        <v>-16904953.479322143</v>
      </c>
      <c r="W46" s="317">
        <f t="shared" si="14"/>
        <v>340892.94246068329</v>
      </c>
      <c r="X46" s="317">
        <f t="shared" si="14"/>
        <v>-8047883.1010393854</v>
      </c>
      <c r="Y46" s="317">
        <f t="shared" si="14"/>
        <v>-68620.043849999958</v>
      </c>
      <c r="Z46" s="317">
        <f t="shared" si="14"/>
        <v>167530.56</v>
      </c>
      <c r="AA46" s="317">
        <f t="shared" si="14"/>
        <v>-32912585.679400001</v>
      </c>
      <c r="AB46" s="317">
        <f t="shared" si="14"/>
        <v>-11000.8474333339</v>
      </c>
      <c r="AC46" s="317">
        <f>+AC18-AC44</f>
        <v>1668426.4785019332</v>
      </c>
      <c r="AD46" s="317">
        <f t="shared" si="14"/>
        <v>0</v>
      </c>
      <c r="AE46" s="317">
        <f t="shared" si="14"/>
        <v>0</v>
      </c>
      <c r="AF46" s="317">
        <f>+AF18-AF44</f>
        <v>431824.68063823192</v>
      </c>
      <c r="AG46" s="317"/>
      <c r="AH46" s="317"/>
      <c r="AI46" s="895">
        <f>+AI18-AI44</f>
        <v>-28033322.633888543</v>
      </c>
      <c r="AJ46" s="895">
        <f t="shared" si="14"/>
        <v>363107368.46611285</v>
      </c>
      <c r="AK46" s="317">
        <f t="shared" si="14"/>
        <v>-25679089.012964979</v>
      </c>
      <c r="AL46" s="317">
        <f t="shared" ref="AL46:BP46" si="15">+AL18-AL44</f>
        <v>8570014.0415132064</v>
      </c>
      <c r="AM46" s="317">
        <f t="shared" si="15"/>
        <v>-659022.41484294983</v>
      </c>
      <c r="AN46" s="317">
        <f t="shared" si="15"/>
        <v>-71834.764841627039</v>
      </c>
      <c r="AO46" s="317">
        <f t="shared" si="15"/>
        <v>-5301.3344264041589</v>
      </c>
      <c r="AP46" s="317">
        <f t="shared" si="15"/>
        <v>-442588.00130389305</v>
      </c>
      <c r="AQ46" s="317">
        <f t="shared" si="15"/>
        <v>-3003557.1583568119</v>
      </c>
      <c r="AR46" s="317">
        <f t="shared" si="15"/>
        <v>-208177.32402600534</v>
      </c>
      <c r="AS46" s="317">
        <f t="shared" si="15"/>
        <v>-691246.88851637836</v>
      </c>
      <c r="AT46" s="317">
        <f t="shared" si="15"/>
        <v>2791831.5547333327</v>
      </c>
      <c r="AU46" s="317">
        <f t="shared" si="15"/>
        <v>-120117.65165375613</v>
      </c>
      <c r="AV46" s="317">
        <f t="shared" si="15"/>
        <v>-4864376.4922224488</v>
      </c>
      <c r="AW46" s="317">
        <f t="shared" si="15"/>
        <v>394548.96938773646</v>
      </c>
      <c r="AX46" s="317">
        <f t="shared" si="15"/>
        <v>-5181410.1925229533</v>
      </c>
      <c r="AY46" s="317">
        <f t="shared" si="15"/>
        <v>477330.77329275</v>
      </c>
      <c r="AZ46" s="317">
        <f t="shared" si="15"/>
        <v>9006372.2399999984</v>
      </c>
      <c r="BA46" s="317">
        <f t="shared" si="15"/>
        <v>0</v>
      </c>
      <c r="BB46" s="317">
        <f t="shared" si="15"/>
        <v>-1330725.9543599267</v>
      </c>
      <c r="BC46" s="317">
        <f t="shared" si="15"/>
        <v>0</v>
      </c>
      <c r="BD46" s="317">
        <f t="shared" si="15"/>
        <v>11720466.173961133</v>
      </c>
      <c r="BE46" s="317">
        <f t="shared" si="15"/>
        <v>549761.45894175186</v>
      </c>
      <c r="BF46" s="317">
        <f t="shared" si="15"/>
        <v>-10681804.722000003</v>
      </c>
      <c r="BG46" s="317">
        <f t="shared" si="15"/>
        <v>9100115.4800387621</v>
      </c>
      <c r="BH46" s="317">
        <f t="shared" si="15"/>
        <v>4478733.8338600006</v>
      </c>
      <c r="BI46" s="317">
        <f t="shared" si="15"/>
        <v>0</v>
      </c>
      <c r="BJ46" s="317">
        <f t="shared" si="15"/>
        <v>-2441144.5204499997</v>
      </c>
      <c r="BK46" s="317">
        <f t="shared" si="15"/>
        <v>45030</v>
      </c>
      <c r="BL46" s="317">
        <f t="shared" si="15"/>
        <v>0</v>
      </c>
      <c r="BM46" s="317">
        <f t="shared" si="15"/>
        <v>0</v>
      </c>
      <c r="BN46" s="317"/>
      <c r="BO46" s="318">
        <f>+BO18-BO44</f>
        <v>-8246191.9067594111</v>
      </c>
      <c r="BP46" s="318">
        <f t="shared" si="15"/>
        <v>354861176.55935359</v>
      </c>
    </row>
    <row r="47" spans="1:76" ht="15.75" thickTop="1">
      <c r="A47" s="280">
        <f t="shared" si="13"/>
        <v>35</v>
      </c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 s="144">
        <f>AD46</f>
        <v>0</v>
      </c>
      <c r="AE47" s="144">
        <f>AE46</f>
        <v>0</v>
      </c>
      <c r="AF47" s="311"/>
      <c r="AG47" s="311"/>
      <c r="AH47" s="311"/>
      <c r="AI47" s="305"/>
      <c r="AJ47" s="305"/>
      <c r="AK47" s="287"/>
      <c r="AL47" s="287"/>
      <c r="AM47" s="287"/>
      <c r="AN47" s="287"/>
      <c r="AO47" s="287"/>
      <c r="AP47" s="287"/>
      <c r="AQ47" s="287"/>
      <c r="AR47" s="287"/>
      <c r="AS47" s="287"/>
      <c r="AT47" s="311"/>
      <c r="AU47" s="287"/>
      <c r="AV47" s="287"/>
      <c r="AW47" s="287"/>
      <c r="AX47" s="287"/>
      <c r="AY47" s="287"/>
      <c r="AZ47" s="287"/>
      <c r="BA47" s="287"/>
      <c r="BB47" s="287"/>
      <c r="BC47" s="287"/>
      <c r="BD47" s="287"/>
      <c r="BE47" s="287"/>
      <c r="BF47" s="287"/>
      <c r="BG47" s="287"/>
      <c r="BH47" s="287"/>
      <c r="BI47" s="287"/>
      <c r="BJ47" s="287"/>
      <c r="BK47" s="287"/>
      <c r="BL47" s="287"/>
      <c r="BM47" s="287"/>
      <c r="BN47" s="287"/>
      <c r="BO47" s="305"/>
      <c r="BP47" s="305"/>
    </row>
    <row r="48" spans="1:76" s="260" customFormat="1">
      <c r="A48" s="280">
        <f t="shared" si="13"/>
        <v>36</v>
      </c>
      <c r="B48" s="245" t="s">
        <v>30</v>
      </c>
      <c r="C48" s="311">
        <f t="shared" ref="C48:AD48" si="16">C59</f>
        <v>5208778506.3049917</v>
      </c>
      <c r="D48" s="311">
        <f t="shared" si="16"/>
        <v>0</v>
      </c>
      <c r="E48" s="311">
        <f t="shared" si="16"/>
        <v>0</v>
      </c>
      <c r="F48" s="311">
        <f t="shared" si="16"/>
        <v>0</v>
      </c>
      <c r="G48" s="311">
        <f t="shared" si="16"/>
        <v>0</v>
      </c>
      <c r="H48" s="311">
        <f t="shared" si="16"/>
        <v>0</v>
      </c>
      <c r="I48" s="311">
        <f t="shared" si="16"/>
        <v>0</v>
      </c>
      <c r="J48" s="311">
        <f t="shared" si="16"/>
        <v>0</v>
      </c>
      <c r="K48" s="311">
        <f t="shared" si="16"/>
        <v>0</v>
      </c>
      <c r="L48" s="311">
        <f t="shared" si="16"/>
        <v>0</v>
      </c>
      <c r="M48" s="311">
        <f t="shared" si="16"/>
        <v>0</v>
      </c>
      <c r="N48" s="311">
        <f t="shared" si="16"/>
        <v>0</v>
      </c>
      <c r="O48" s="311">
        <f t="shared" si="16"/>
        <v>0</v>
      </c>
      <c r="P48" s="311">
        <f t="shared" si="16"/>
        <v>0</v>
      </c>
      <c r="Q48" s="311">
        <f t="shared" si="16"/>
        <v>0</v>
      </c>
      <c r="R48" s="311">
        <f t="shared" si="16"/>
        <v>0</v>
      </c>
      <c r="S48" s="311">
        <f t="shared" si="16"/>
        <v>0</v>
      </c>
      <c r="T48" s="311">
        <f t="shared" si="16"/>
        <v>0</v>
      </c>
      <c r="U48" s="311">
        <f t="shared" si="16"/>
        <v>190746231.15314114</v>
      </c>
      <c r="V48" s="311">
        <f t="shared" si="16"/>
        <v>-16904953.479322143</v>
      </c>
      <c r="W48" s="311">
        <f t="shared" si="16"/>
        <v>0</v>
      </c>
      <c r="X48" s="311">
        <f t="shared" si="16"/>
        <v>0</v>
      </c>
      <c r="Y48" s="311">
        <f t="shared" si="16"/>
        <v>0</v>
      </c>
      <c r="Z48" s="311">
        <f t="shared" si="16"/>
        <v>-1615371.4300000002</v>
      </c>
      <c r="AA48" s="311">
        <f t="shared" si="16"/>
        <v>0</v>
      </c>
      <c r="AB48" s="311">
        <f t="shared" si="16"/>
        <v>0</v>
      </c>
      <c r="AC48" s="311">
        <f t="shared" si="16"/>
        <v>-11018406.688827798</v>
      </c>
      <c r="AD48" s="311">
        <f t="shared" si="16"/>
        <v>0</v>
      </c>
      <c r="AE48" s="311">
        <f>'Electric Adj'!DF87+'Electric Adj'!DF107</f>
        <v>0</v>
      </c>
      <c r="AF48" s="311">
        <f>AF59</f>
        <v>-5272400.7298989873</v>
      </c>
      <c r="AG48" s="311">
        <f>AG59</f>
        <v>-326274</v>
      </c>
      <c r="AH48" s="311"/>
      <c r="AI48" s="312">
        <f t="shared" ref="AI48:BP48" si="17">AI59</f>
        <v>155397419.34509224</v>
      </c>
      <c r="AJ48" s="312">
        <f t="shared" si="17"/>
        <v>5364175925.6500835</v>
      </c>
      <c r="AK48" s="311">
        <f t="shared" si="17"/>
        <v>0</v>
      </c>
      <c r="AL48" s="311">
        <f t="shared" si="17"/>
        <v>0</v>
      </c>
      <c r="AM48" s="311">
        <f t="shared" si="17"/>
        <v>0</v>
      </c>
      <c r="AN48" s="311">
        <f t="shared" si="17"/>
        <v>0</v>
      </c>
      <c r="AO48" s="311">
        <f t="shared" si="17"/>
        <v>0</v>
      </c>
      <c r="AP48" s="311">
        <f t="shared" si="17"/>
        <v>0</v>
      </c>
      <c r="AQ48" s="311">
        <f t="shared" si="17"/>
        <v>0</v>
      </c>
      <c r="AR48" s="311">
        <f t="shared" si="17"/>
        <v>0</v>
      </c>
      <c r="AS48" s="311">
        <f t="shared" si="17"/>
        <v>0</v>
      </c>
      <c r="AT48" s="311">
        <f t="shared" si="17"/>
        <v>0</v>
      </c>
      <c r="AU48" s="311">
        <f t="shared" si="17"/>
        <v>0</v>
      </c>
      <c r="AV48" s="311">
        <f t="shared" si="17"/>
        <v>28244978.592898086</v>
      </c>
      <c r="AW48" s="311">
        <f t="shared" si="17"/>
        <v>0</v>
      </c>
      <c r="AX48" s="311">
        <f t="shared" si="17"/>
        <v>11359234.266798822</v>
      </c>
      <c r="AY48" s="311">
        <f t="shared" si="17"/>
        <v>0</v>
      </c>
      <c r="AZ48" s="311">
        <f t="shared" si="17"/>
        <v>4503186.1200000085</v>
      </c>
      <c r="BA48" s="311">
        <f t="shared" si="17"/>
        <v>0</v>
      </c>
      <c r="BB48" s="311">
        <f t="shared" si="17"/>
        <v>0</v>
      </c>
      <c r="BC48" s="311">
        <f t="shared" si="17"/>
        <v>0</v>
      </c>
      <c r="BD48" s="311">
        <f t="shared" si="17"/>
        <v>0</v>
      </c>
      <c r="BE48" s="311">
        <f t="shared" si="17"/>
        <v>0</v>
      </c>
      <c r="BF48" s="311">
        <f t="shared" si="17"/>
        <v>0</v>
      </c>
      <c r="BG48" s="311">
        <f t="shared" si="17"/>
        <v>-23391891.903797138</v>
      </c>
      <c r="BH48" s="311">
        <f t="shared" si="17"/>
        <v>-3321469.9169705859</v>
      </c>
      <c r="BI48" s="311">
        <f t="shared" si="17"/>
        <v>0</v>
      </c>
      <c r="BJ48" s="311">
        <f t="shared" si="17"/>
        <v>4644660.6473233327</v>
      </c>
      <c r="BK48" s="311"/>
      <c r="BL48" s="311">
        <f t="shared" si="17"/>
        <v>0</v>
      </c>
      <c r="BM48" s="311">
        <f t="shared" si="17"/>
        <v>0</v>
      </c>
      <c r="BN48" s="311"/>
      <c r="BO48" s="312">
        <f t="shared" si="17"/>
        <v>21488542.596252523</v>
      </c>
      <c r="BP48" s="312">
        <f t="shared" si="17"/>
        <v>5385664468.246336</v>
      </c>
    </row>
    <row r="49" spans="1:68" ht="15">
      <c r="A49" s="280">
        <f t="shared" si="13"/>
        <v>37</v>
      </c>
      <c r="B49" s="154"/>
      <c r="C49" s="287"/>
      <c r="D49" s="287"/>
      <c r="E49" s="287"/>
      <c r="F49"/>
      <c r="G49"/>
      <c r="H49"/>
      <c r="I49" s="287"/>
      <c r="J49" s="287"/>
      <c r="K49" s="287"/>
      <c r="L49" s="287"/>
      <c r="M49" s="287"/>
      <c r="N49" s="287"/>
      <c r="O49" s="287"/>
      <c r="P49" s="287"/>
      <c r="Q49" s="287"/>
      <c r="R49" s="287"/>
      <c r="S49" s="287"/>
      <c r="T49" s="287"/>
      <c r="U49" s="287"/>
      <c r="V49" s="287"/>
      <c r="W49" s="287"/>
      <c r="X49" s="287"/>
      <c r="Y49" s="287"/>
      <c r="Z49" s="287"/>
      <c r="AA49" s="287"/>
      <c r="AB49" s="287"/>
      <c r="AC49" s="287"/>
      <c r="AD49" s="287"/>
      <c r="AE49" s="287"/>
      <c r="AF49" s="287"/>
      <c r="AG49" s="287"/>
      <c r="AH49" s="287"/>
      <c r="AI49" s="305"/>
      <c r="AJ49" s="305"/>
      <c r="AK49" s="287"/>
      <c r="AL49" s="287"/>
      <c r="AM49" s="287"/>
      <c r="AN49" s="287"/>
      <c r="AO49" s="287"/>
      <c r="AP49" s="287"/>
      <c r="AQ49" s="287"/>
      <c r="AR49" s="287"/>
      <c r="AS49" s="287"/>
      <c r="AT49" s="287"/>
      <c r="AU49" s="287"/>
      <c r="AV49" s="287"/>
      <c r="AW49" s="287"/>
      <c r="AX49" s="287"/>
      <c r="AY49" s="287"/>
      <c r="AZ49" s="287"/>
      <c r="BA49" s="287"/>
      <c r="BB49" s="287"/>
      <c r="BC49" s="287"/>
      <c r="BD49" s="287"/>
      <c r="BE49" s="287"/>
      <c r="BF49" s="287"/>
      <c r="BG49" s="287"/>
      <c r="BH49" s="287"/>
      <c r="BI49" s="287"/>
      <c r="BJ49" s="287"/>
      <c r="BK49" s="287"/>
      <c r="BL49" s="287"/>
      <c r="BM49" s="287"/>
      <c r="BN49" s="287"/>
      <c r="BO49" s="305"/>
      <c r="BP49" s="305"/>
    </row>
    <row r="50" spans="1:68" ht="15">
      <c r="A50" s="280">
        <f t="shared" si="13"/>
        <v>38</v>
      </c>
      <c r="B50" s="245" t="s">
        <v>31</v>
      </c>
      <c r="C50" s="319">
        <f>+C46/C48</f>
        <v>7.5092594286077327E-2</v>
      </c>
      <c r="D50" s="56"/>
      <c r="E50" s="56"/>
      <c r="F50"/>
      <c r="G50"/>
      <c r="H50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307"/>
      <c r="AJ50" s="320">
        <f>+AJ46/AJ48</f>
        <v>6.7691174469097587E-2</v>
      </c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307"/>
      <c r="BP50" s="320">
        <f>+BP46/BP48</f>
        <v>6.5889952605031568E-2</v>
      </c>
    </row>
    <row r="51" spans="1:68" ht="15">
      <c r="A51" s="280">
        <f t="shared" si="13"/>
        <v>39</v>
      </c>
      <c r="B51" s="154"/>
      <c r="C51" s="56"/>
      <c r="D51" s="56"/>
      <c r="E51" s="56"/>
      <c r="F51"/>
      <c r="G51"/>
      <c r="H51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307"/>
      <c r="AJ51" s="307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307"/>
      <c r="BP51" s="307"/>
    </row>
    <row r="52" spans="1:68" ht="15">
      <c r="A52" s="280">
        <f t="shared" si="13"/>
        <v>40</v>
      </c>
      <c r="B52" s="154" t="s">
        <v>32</v>
      </c>
      <c r="C52" s="56"/>
      <c r="D52" s="56"/>
      <c r="E52" s="56"/>
      <c r="F52"/>
      <c r="G52"/>
      <c r="H52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307"/>
      <c r="AJ52" s="307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307"/>
      <c r="BP52" s="307"/>
    </row>
    <row r="53" spans="1:68">
      <c r="A53" s="280">
        <f t="shared" si="13"/>
        <v>41</v>
      </c>
      <c r="B53" s="92" t="s">
        <v>33</v>
      </c>
      <c r="C53" s="311">
        <f>+'[5]ERB AMA'!D92</f>
        <v>10572466950.394854</v>
      </c>
      <c r="D53" s="311"/>
      <c r="E53" s="311"/>
      <c r="F53" s="311"/>
      <c r="G53" s="311"/>
      <c r="H53" s="311"/>
      <c r="I53" s="311"/>
      <c r="J53" s="311"/>
      <c r="K53" s="311"/>
      <c r="L53" s="311"/>
      <c r="M53" s="311"/>
      <c r="N53" s="311"/>
      <c r="O53" s="311"/>
      <c r="P53" s="311"/>
      <c r="Q53" s="311"/>
      <c r="R53" s="311"/>
      <c r="S53" s="311"/>
      <c r="T53" s="311"/>
      <c r="U53" s="311">
        <f>'Common Adj'!EL14</f>
        <v>326078876.75844002</v>
      </c>
      <c r="X53" s="311"/>
      <c r="Y53" s="311"/>
      <c r="Z53" s="311">
        <f>'Electric Adj'!V16</f>
        <v>-4539000</v>
      </c>
      <c r="AA53" s="311"/>
      <c r="AB53" s="311"/>
      <c r="AC53" s="311"/>
      <c r="AD53" s="311"/>
      <c r="AE53" s="311"/>
      <c r="AF53" s="311">
        <f>'Staff Smart Burn'!F21</f>
        <v>-7248346</v>
      </c>
      <c r="AG53" s="311">
        <f>'Staff Colstrip Outage'!F20</f>
        <v>-334385</v>
      </c>
      <c r="AH53" s="311">
        <f>'Staff Green Direct'!E15</f>
        <v>-227315.76</v>
      </c>
      <c r="AI53" s="312">
        <f t="shared" ref="AI53:AI58" si="18">SUM(D53:AH53)</f>
        <v>313729829.99844003</v>
      </c>
      <c r="AJ53" s="312">
        <f>+AI53+C53</f>
        <v>10886196780.393293</v>
      </c>
      <c r="AK53" s="311"/>
      <c r="AL53" s="311"/>
      <c r="AM53" s="311"/>
      <c r="AN53" s="311"/>
      <c r="AO53" s="311"/>
      <c r="AP53" s="311"/>
      <c r="AQ53" s="311"/>
      <c r="AR53" s="311"/>
      <c r="AS53" s="311"/>
      <c r="AT53" s="56"/>
      <c r="AU53" s="311"/>
      <c r="AV53" s="311">
        <f>+'Common Adj'!FS16</f>
        <v>24644867.610000003</v>
      </c>
      <c r="AW53" s="311">
        <f>+'Common Adj'!GB37</f>
        <v>0</v>
      </c>
      <c r="AX53" s="311">
        <f>'Common Adj'!GJ16</f>
        <v>8630749.431925999</v>
      </c>
      <c r="AY53" s="311"/>
      <c r="AZ53" s="311"/>
      <c r="BA53" s="311"/>
      <c r="BB53" s="311"/>
      <c r="BC53" s="311"/>
      <c r="BD53" s="311"/>
      <c r="BE53" s="311"/>
      <c r="BF53" s="311"/>
      <c r="BG53" s="311"/>
      <c r="BH53" s="311">
        <f>'Electric Adj'!BL17</f>
        <v>-16990239.199999999</v>
      </c>
      <c r="BI53" s="311"/>
      <c r="BJ53" s="311">
        <f>'Electric Adj'!CB17</f>
        <v>9659116.8499999996</v>
      </c>
      <c r="BK53" s="311">
        <f>'Staff Shuffleton'!F20</f>
        <v>-550155.21</v>
      </c>
      <c r="BL53" s="311"/>
      <c r="BM53" s="311"/>
      <c r="BN53" s="311"/>
      <c r="BO53" s="312">
        <f t="shared" ref="BO53:BO58" si="19">SUM(AK53:BN53)</f>
        <v>25394339.481926002</v>
      </c>
      <c r="BP53" s="312">
        <f t="shared" ref="BP53:BP58" si="20">+BO53+AJ53</f>
        <v>10911591119.875219</v>
      </c>
    </row>
    <row r="54" spans="1:68">
      <c r="A54" s="280">
        <f t="shared" si="13"/>
        <v>42</v>
      </c>
      <c r="B54" s="92" t="s">
        <v>34</v>
      </c>
      <c r="C54" s="314">
        <f>+'[5]ERB AMA'!D93</f>
        <v>-4244925258.0010071</v>
      </c>
      <c r="D54" s="314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>
        <f>'Common Adj'!EL15</f>
        <v>-143742277.5314436</v>
      </c>
      <c r="V54" s="314">
        <f>'Common Adj'!ET30</f>
        <v>-21398675.290281195</v>
      </c>
      <c r="W54" s="314"/>
      <c r="X54" s="314"/>
      <c r="Y54" s="314"/>
      <c r="Z54" s="311">
        <f>'Electric Adj'!V17</f>
        <v>2120000</v>
      </c>
      <c r="AA54" s="314"/>
      <c r="AB54" s="314"/>
      <c r="AC54" s="314">
        <f>'Electric Adj'!BB32</f>
        <v>-16445383.11765343</v>
      </c>
      <c r="AD54" s="314"/>
      <c r="AE54" s="314"/>
      <c r="AF54" s="314">
        <f>'Staff Smart Burn'!F22</f>
        <v>674903</v>
      </c>
      <c r="AG54" s="314">
        <f>'Staff Colstrip Outage'!F21</f>
        <v>6934</v>
      </c>
      <c r="AH54" s="314"/>
      <c r="AI54" s="307">
        <f t="shared" si="18"/>
        <v>-178784498.93937823</v>
      </c>
      <c r="AJ54" s="307">
        <f t="shared" ref="AJ54:AJ58" si="21">+AI54+C54</f>
        <v>-4423709756.9403849</v>
      </c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>
        <f>+'Common Adj'!FS17</f>
        <v>-2140347.6892875</v>
      </c>
      <c r="AW54" s="56">
        <f>+'Common Adj'!GB38</f>
        <v>0</v>
      </c>
      <c r="AX54" s="56">
        <f>'Common Adj'!GJ17</f>
        <v>-4794860.7955144448</v>
      </c>
      <c r="AY54" s="56"/>
      <c r="AZ54" s="56"/>
      <c r="BA54" s="311"/>
      <c r="BB54" s="56"/>
      <c r="BC54" s="56"/>
      <c r="BD54" s="56"/>
      <c r="BE54" s="56"/>
      <c r="BF54" s="56"/>
      <c r="BG54" s="56"/>
      <c r="BH54" s="56">
        <f>'Electric Adj'!BL18</f>
        <v>12688074.934416663</v>
      </c>
      <c r="BI54" s="56"/>
      <c r="BJ54" s="311">
        <f>'Electric Adj'!CB18</f>
        <v>-5277574.0231666667</v>
      </c>
      <c r="BK54" s="56"/>
      <c r="BL54" s="56"/>
      <c r="BM54" s="56"/>
      <c r="BN54" s="56"/>
      <c r="BO54" s="307">
        <f t="shared" si="19"/>
        <v>475292.42644805182</v>
      </c>
      <c r="BP54" s="307">
        <f t="shared" si="20"/>
        <v>-4423234464.513937</v>
      </c>
    </row>
    <row r="55" spans="1:68">
      <c r="A55" s="280">
        <f t="shared" si="13"/>
        <v>43</v>
      </c>
      <c r="B55" s="154" t="s">
        <v>35</v>
      </c>
      <c r="C55" s="314">
        <f>+'[5]ERB AMA'!D94</f>
        <v>285841342.02833331</v>
      </c>
      <c r="D55" s="314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>
        <f>'Common Adj'!EL16</f>
        <v>-12697238.698333323</v>
      </c>
      <c r="V55" s="314"/>
      <c r="W55" s="314"/>
      <c r="X55" s="314"/>
      <c r="Y55" s="314"/>
      <c r="Z55" s="311"/>
      <c r="AA55" s="314"/>
      <c r="AB55" s="314"/>
      <c r="AC55" s="314"/>
      <c r="AD55" s="314"/>
      <c r="AE55" s="314"/>
      <c r="AF55" s="314"/>
      <c r="AG55" s="314"/>
      <c r="AH55" s="314"/>
      <c r="AI55" s="307">
        <f t="shared" si="18"/>
        <v>-12697238.698333323</v>
      </c>
      <c r="AJ55" s="307">
        <f t="shared" si="21"/>
        <v>273144103.32999998</v>
      </c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>
        <f>+'Common Adj'!FS18+'Common Adj'!FS23</f>
        <v>-3679667.3302051304</v>
      </c>
      <c r="AW55" s="56"/>
      <c r="AX55" s="56">
        <f>'Common Adj'!GJ22+'Common Adj'!GI23</f>
        <v>9204576.5045857728</v>
      </c>
      <c r="AY55" s="56"/>
      <c r="AZ55" s="56"/>
      <c r="BA55" s="311"/>
      <c r="BB55" s="56"/>
      <c r="BC55" s="56"/>
      <c r="BD55" s="56"/>
      <c r="BE55" s="56"/>
      <c r="BF55" s="56"/>
      <c r="BG55" s="56">
        <f>'Electric Adj'!AR61</f>
        <v>-31039847.298310034</v>
      </c>
      <c r="BH55" s="56"/>
      <c r="BI55" s="56"/>
      <c r="BJ55" s="311"/>
      <c r="BK55" s="56"/>
      <c r="BL55" s="56"/>
      <c r="BM55" s="56"/>
      <c r="BN55" s="56"/>
      <c r="BO55" s="307">
        <f t="shared" si="19"/>
        <v>-25514938.123929393</v>
      </c>
      <c r="BP55" s="307">
        <f t="shared" si="20"/>
        <v>247629165.2060706</v>
      </c>
    </row>
    <row r="56" spans="1:68">
      <c r="A56" s="280">
        <f t="shared" si="13"/>
        <v>44</v>
      </c>
      <c r="B56" s="154" t="s">
        <v>36</v>
      </c>
      <c r="C56" s="314">
        <f>+'[5]ERB AMA'!D95</f>
        <v>-1443684469.5857882</v>
      </c>
      <c r="D56" s="314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>
        <f>'Common Adj'!EL17</f>
        <v>22974386.588703156</v>
      </c>
      <c r="V56" s="314">
        <f>'Common Adj'!ET31</f>
        <v>4493721.8109590504</v>
      </c>
      <c r="W56" s="314"/>
      <c r="X56" s="314"/>
      <c r="Y56" s="314"/>
      <c r="Z56" s="311">
        <f>'Electric Adj'!V18</f>
        <v>803628.57</v>
      </c>
      <c r="AA56" s="314"/>
      <c r="AB56" s="314"/>
      <c r="AC56" s="157">
        <f>SUM('Electric Adj'!BB33:'Electric Adj'!BB34)</f>
        <v>5426976.4288256317</v>
      </c>
      <c r="AD56" s="314"/>
      <c r="AE56" s="314"/>
      <c r="AF56" s="314">
        <f>'Staff Smart Burn'!F23</f>
        <v>1301042.2701010129</v>
      </c>
      <c r="AG56" s="314">
        <f>'Staff Colstrip Outage'!F22</f>
        <v>1177</v>
      </c>
      <c r="AH56" s="314">
        <f>'Staff Green Direct'!E17</f>
        <v>15910.28</v>
      </c>
      <c r="AI56" s="307">
        <f t="shared" si="18"/>
        <v>35016842.948588848</v>
      </c>
      <c r="AJ56" s="307">
        <f t="shared" si="21"/>
        <v>-1408667626.6371994</v>
      </c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>
        <f>+'Common Adj'!FS21+'Common Adj'!FS22</f>
        <v>9420126.0023907125</v>
      </c>
      <c r="AW56" s="56">
        <f>+'Common Adj'!GB39</f>
        <v>0</v>
      </c>
      <c r="AX56" s="56">
        <f>'Common Adj'!GJ18+'Common Adj'!GJ24</f>
        <v>-1681230.8741985054</v>
      </c>
      <c r="AY56" s="56"/>
      <c r="AZ56" s="56">
        <f>'Common Adj'!GZ16</f>
        <v>4503186.1200000085</v>
      </c>
      <c r="BA56" s="311"/>
      <c r="BB56" s="56"/>
      <c r="BC56" s="56"/>
      <c r="BD56" s="56"/>
      <c r="BE56" s="56"/>
      <c r="BF56" s="56"/>
      <c r="BG56" s="56">
        <f>'Electric Adj'!AR62</f>
        <v>7647955.3945128955</v>
      </c>
      <c r="BH56" s="56">
        <f>'Electric Adj'!BL19</f>
        <v>980694.34861275041</v>
      </c>
      <c r="BI56" s="56"/>
      <c r="BJ56" s="56">
        <f>'Electric Adj'!CB19</f>
        <v>263117.82048999966</v>
      </c>
      <c r="BK56" s="56"/>
      <c r="BL56" s="56"/>
      <c r="BM56" s="56"/>
      <c r="BN56" s="56"/>
      <c r="BO56" s="307">
        <f>SUM(AK56:BN56)</f>
        <v>21133848.811807863</v>
      </c>
      <c r="BP56" s="307">
        <f t="shared" si="20"/>
        <v>-1387533777.8253915</v>
      </c>
    </row>
    <row r="57" spans="1:68">
      <c r="A57" s="280">
        <f t="shared" si="13"/>
        <v>45</v>
      </c>
      <c r="B57" s="154" t="s">
        <v>37</v>
      </c>
      <c r="C57" s="314">
        <f>+'[5]ERB AMA'!D96</f>
        <v>145303204.9988502</v>
      </c>
      <c r="D57" s="314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886">
        <f>'Common Adj'!EL18</f>
        <v>0</v>
      </c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07">
        <f t="shared" si="18"/>
        <v>0</v>
      </c>
      <c r="AJ57" s="307">
        <f t="shared" si="21"/>
        <v>145303204.9988502</v>
      </c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307">
        <f t="shared" si="19"/>
        <v>0</v>
      </c>
      <c r="BP57" s="307">
        <f t="shared" si="20"/>
        <v>145303204.9988502</v>
      </c>
    </row>
    <row r="58" spans="1:68">
      <c r="A58" s="280">
        <f t="shared" si="13"/>
        <v>46</v>
      </c>
      <c r="B58" s="154" t="s">
        <v>38</v>
      </c>
      <c r="C58" s="314">
        <f>+'[5]ERB AMA'!D97</f>
        <v>-106223263.53024991</v>
      </c>
      <c r="D58" s="314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>
        <f>'Common Adj'!EL19</f>
        <v>-1867515.9642250985</v>
      </c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07">
        <f t="shared" si="18"/>
        <v>-1867515.9642250985</v>
      </c>
      <c r="AJ58" s="307">
        <f t="shared" si="21"/>
        <v>-108090779.49447501</v>
      </c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307">
        <f t="shared" si="19"/>
        <v>0</v>
      </c>
      <c r="BP58" s="307">
        <f t="shared" si="20"/>
        <v>-108090779.49447501</v>
      </c>
    </row>
    <row r="59" spans="1:68" s="654" customFormat="1" ht="13.5" thickBot="1">
      <c r="A59" s="732">
        <f t="shared" si="13"/>
        <v>47</v>
      </c>
      <c r="B59" s="733" t="s">
        <v>39</v>
      </c>
      <c r="C59" s="734">
        <f t="shared" ref="C59:AK59" si="22">SUM(C53:C58)</f>
        <v>5208778506.3049917</v>
      </c>
      <c r="D59" s="734">
        <f t="shared" si="22"/>
        <v>0</v>
      </c>
      <c r="E59" s="734">
        <f t="shared" si="22"/>
        <v>0</v>
      </c>
      <c r="F59" s="734">
        <f t="shared" si="22"/>
        <v>0</v>
      </c>
      <c r="G59" s="734">
        <f t="shared" si="22"/>
        <v>0</v>
      </c>
      <c r="H59" s="734">
        <f t="shared" si="22"/>
        <v>0</v>
      </c>
      <c r="I59" s="734">
        <f t="shared" si="22"/>
        <v>0</v>
      </c>
      <c r="J59" s="734">
        <f t="shared" si="22"/>
        <v>0</v>
      </c>
      <c r="K59" s="734">
        <f t="shared" si="22"/>
        <v>0</v>
      </c>
      <c r="L59" s="734">
        <f t="shared" si="22"/>
        <v>0</v>
      </c>
      <c r="M59" s="734">
        <f t="shared" si="22"/>
        <v>0</v>
      </c>
      <c r="N59" s="734">
        <f t="shared" si="22"/>
        <v>0</v>
      </c>
      <c r="O59" s="734">
        <f t="shared" si="22"/>
        <v>0</v>
      </c>
      <c r="P59" s="734">
        <f t="shared" si="22"/>
        <v>0</v>
      </c>
      <c r="Q59" s="734">
        <f t="shared" si="22"/>
        <v>0</v>
      </c>
      <c r="R59" s="734">
        <f t="shared" si="22"/>
        <v>0</v>
      </c>
      <c r="S59" s="734">
        <f t="shared" si="22"/>
        <v>0</v>
      </c>
      <c r="T59" s="734">
        <f t="shared" si="22"/>
        <v>0</v>
      </c>
      <c r="U59" s="734">
        <f t="shared" si="22"/>
        <v>190746231.15314114</v>
      </c>
      <c r="V59" s="734">
        <f t="shared" si="22"/>
        <v>-16904953.479322143</v>
      </c>
      <c r="W59" s="734">
        <f t="shared" si="22"/>
        <v>0</v>
      </c>
      <c r="X59" s="734">
        <f t="shared" si="22"/>
        <v>0</v>
      </c>
      <c r="Y59" s="734">
        <f t="shared" si="22"/>
        <v>0</v>
      </c>
      <c r="Z59" s="734">
        <f t="shared" si="22"/>
        <v>-1615371.4300000002</v>
      </c>
      <c r="AA59" s="734">
        <f t="shared" si="22"/>
        <v>0</v>
      </c>
      <c r="AB59" s="734">
        <f t="shared" si="22"/>
        <v>0</v>
      </c>
      <c r="AC59" s="734">
        <f t="shared" si="22"/>
        <v>-11018406.688827798</v>
      </c>
      <c r="AD59" s="734">
        <f t="shared" si="22"/>
        <v>0</v>
      </c>
      <c r="AE59" s="734">
        <f t="shared" si="22"/>
        <v>0</v>
      </c>
      <c r="AF59" s="734">
        <f t="shared" si="22"/>
        <v>-5272400.7298989873</v>
      </c>
      <c r="AG59" s="734">
        <f t="shared" si="22"/>
        <v>-326274</v>
      </c>
      <c r="AH59" s="734">
        <f t="shared" si="22"/>
        <v>-211405.48</v>
      </c>
      <c r="AI59" s="735">
        <f>SUM(AI53:AI58)</f>
        <v>155397419.34509224</v>
      </c>
      <c r="AJ59" s="735">
        <f t="shared" si="22"/>
        <v>5364175925.6500835</v>
      </c>
      <c r="AK59" s="734">
        <f t="shared" si="22"/>
        <v>0</v>
      </c>
      <c r="AL59" s="734">
        <f t="shared" ref="AL59:BP59" si="23">SUM(AL53:AL58)</f>
        <v>0</v>
      </c>
      <c r="AM59" s="734">
        <f t="shared" si="23"/>
        <v>0</v>
      </c>
      <c r="AN59" s="734">
        <f t="shared" si="23"/>
        <v>0</v>
      </c>
      <c r="AO59" s="734">
        <f t="shared" si="23"/>
        <v>0</v>
      </c>
      <c r="AP59" s="734">
        <f t="shared" si="23"/>
        <v>0</v>
      </c>
      <c r="AQ59" s="734">
        <f t="shared" si="23"/>
        <v>0</v>
      </c>
      <c r="AR59" s="734">
        <f t="shared" si="23"/>
        <v>0</v>
      </c>
      <c r="AS59" s="734">
        <f t="shared" si="23"/>
        <v>0</v>
      </c>
      <c r="AT59" s="734">
        <f t="shared" si="23"/>
        <v>0</v>
      </c>
      <c r="AU59" s="734">
        <f t="shared" si="23"/>
        <v>0</v>
      </c>
      <c r="AV59" s="734">
        <f t="shared" si="23"/>
        <v>28244978.592898086</v>
      </c>
      <c r="AW59" s="734">
        <f t="shared" si="23"/>
        <v>0</v>
      </c>
      <c r="AX59" s="734">
        <f t="shared" si="23"/>
        <v>11359234.266798822</v>
      </c>
      <c r="AY59" s="734">
        <f t="shared" si="23"/>
        <v>0</v>
      </c>
      <c r="AZ59" s="734">
        <f t="shared" si="23"/>
        <v>4503186.1200000085</v>
      </c>
      <c r="BA59" s="734">
        <f t="shared" si="23"/>
        <v>0</v>
      </c>
      <c r="BB59" s="734">
        <f t="shared" si="23"/>
        <v>0</v>
      </c>
      <c r="BC59" s="734">
        <f t="shared" si="23"/>
        <v>0</v>
      </c>
      <c r="BD59" s="734">
        <f t="shared" si="23"/>
        <v>0</v>
      </c>
      <c r="BE59" s="734">
        <f t="shared" si="23"/>
        <v>0</v>
      </c>
      <c r="BF59" s="734">
        <f t="shared" si="23"/>
        <v>0</v>
      </c>
      <c r="BG59" s="734">
        <f t="shared" si="23"/>
        <v>-23391891.903797138</v>
      </c>
      <c r="BH59" s="734">
        <f t="shared" si="23"/>
        <v>-3321469.9169705859</v>
      </c>
      <c r="BI59" s="734">
        <f t="shared" si="23"/>
        <v>0</v>
      </c>
      <c r="BJ59" s="734">
        <f>SUM(BJ53:BJ58)</f>
        <v>4644660.6473233327</v>
      </c>
      <c r="BK59" s="734">
        <f>SUM(BK53:BK58)</f>
        <v>-550155.21</v>
      </c>
      <c r="BL59" s="734">
        <f t="shared" si="23"/>
        <v>0</v>
      </c>
      <c r="BM59" s="734">
        <f t="shared" si="23"/>
        <v>0</v>
      </c>
      <c r="BN59" s="734">
        <f t="shared" si="23"/>
        <v>0</v>
      </c>
      <c r="BO59" s="735">
        <f>SUM(BO53:BO58)</f>
        <v>21488542.596252523</v>
      </c>
      <c r="BP59" s="735">
        <f t="shared" si="23"/>
        <v>5385664468.246336</v>
      </c>
    </row>
    <row r="60" spans="1:68" ht="14.25" thickTop="1" thickBot="1">
      <c r="A60" s="280">
        <f t="shared" si="13"/>
        <v>48</v>
      </c>
      <c r="G60" s="82" t="s">
        <v>353</v>
      </c>
      <c r="X60" s="287"/>
      <c r="Z60" s="286" t="s">
        <v>838</v>
      </c>
      <c r="AF60" s="287"/>
      <c r="AG60" s="287"/>
      <c r="AH60" s="287"/>
      <c r="AI60" s="305"/>
      <c r="AJ60" s="305"/>
      <c r="AX60" s="287"/>
      <c r="BA60" s="287"/>
      <c r="BC60" s="287"/>
      <c r="BD60" s="287"/>
      <c r="BE60" s="287"/>
      <c r="BF60" s="287"/>
      <c r="BG60" s="287"/>
      <c r="BH60" s="287"/>
      <c r="BI60" s="287"/>
      <c r="BJ60" s="287"/>
      <c r="BK60" s="287"/>
      <c r="BO60" s="305"/>
      <c r="BP60" s="305"/>
    </row>
    <row r="61" spans="1:68" ht="13.5" thickBot="1">
      <c r="A61" s="280">
        <f t="shared" si="13"/>
        <v>49</v>
      </c>
      <c r="B61" s="154" t="s">
        <v>195</v>
      </c>
      <c r="C61" s="321">
        <f>+'COC, Def, ConvF'!$C$13</f>
        <v>7.3300000000000004E-2</v>
      </c>
      <c r="D61" s="321">
        <f>+'COC, Def, ConvF'!$C$13</f>
        <v>7.3300000000000004E-2</v>
      </c>
      <c r="E61" s="321">
        <f>+'COC, Def, ConvF'!$C$13</f>
        <v>7.3300000000000004E-2</v>
      </c>
      <c r="F61" s="321">
        <f>+'COC, Def, ConvF'!$C$13</f>
        <v>7.3300000000000004E-2</v>
      </c>
      <c r="G61" s="1016">
        <f>+'COC-Restating'!E14</f>
        <v>7.5999999999999998E-2</v>
      </c>
      <c r="H61" s="321">
        <f>+'COC, Def, ConvF'!$C$13</f>
        <v>7.3300000000000004E-2</v>
      </c>
      <c r="I61" s="321">
        <f>+'COC, Def, ConvF'!$C$13</f>
        <v>7.3300000000000004E-2</v>
      </c>
      <c r="J61" s="321">
        <f>+'COC, Def, ConvF'!$C$13</f>
        <v>7.3300000000000004E-2</v>
      </c>
      <c r="K61" s="321">
        <f>+'COC, Def, ConvF'!$C$13</f>
        <v>7.3300000000000004E-2</v>
      </c>
      <c r="L61" s="321">
        <f>+'COC, Def, ConvF'!$C$13</f>
        <v>7.3300000000000004E-2</v>
      </c>
      <c r="M61" s="321">
        <f>+'COC, Def, ConvF'!$C$13</f>
        <v>7.3300000000000004E-2</v>
      </c>
      <c r="N61" s="321">
        <f>+'COC, Def, ConvF'!$C$13</f>
        <v>7.3300000000000004E-2</v>
      </c>
      <c r="O61" s="321">
        <f>+'COC, Def, ConvF'!$C$13</f>
        <v>7.3300000000000004E-2</v>
      </c>
      <c r="P61" s="321">
        <f>+'COC, Def, ConvF'!$C$13</f>
        <v>7.3300000000000004E-2</v>
      </c>
      <c r="Q61" s="321">
        <f>+'COC, Def, ConvF'!$C$13</f>
        <v>7.3300000000000004E-2</v>
      </c>
      <c r="R61" s="321">
        <f>+'COC, Def, ConvF'!$C$13</f>
        <v>7.3300000000000004E-2</v>
      </c>
      <c r="S61" s="321">
        <f>+'COC, Def, ConvF'!$C$13</f>
        <v>7.3300000000000004E-2</v>
      </c>
      <c r="T61" s="321">
        <f>+'COC, Def, ConvF'!$C$13</f>
        <v>7.3300000000000004E-2</v>
      </c>
      <c r="U61" s="321">
        <f>+'COC, Def, ConvF'!$C$13</f>
        <v>7.3300000000000004E-2</v>
      </c>
      <c r="V61" s="321">
        <f>+'COC, Def, ConvF'!$C$13</f>
        <v>7.3300000000000004E-2</v>
      </c>
      <c r="W61" s="321">
        <f>+'COC, Def, ConvF'!$C$13</f>
        <v>7.3300000000000004E-2</v>
      </c>
      <c r="X61" s="321">
        <f>+'COC, Def, ConvF'!$C$13</f>
        <v>7.3300000000000004E-2</v>
      </c>
      <c r="Y61" s="321">
        <f>+'COC, Def, ConvF'!$C$13</f>
        <v>7.3300000000000004E-2</v>
      </c>
      <c r="Z61" s="321">
        <f>+'COC, Def, ConvF'!$C$13</f>
        <v>7.3300000000000004E-2</v>
      </c>
      <c r="AA61" s="321">
        <f>+'COC, Def, ConvF'!$C$13</f>
        <v>7.3300000000000004E-2</v>
      </c>
      <c r="AB61" s="321">
        <f>+'COC, Def, ConvF'!$C$13</f>
        <v>7.3300000000000004E-2</v>
      </c>
      <c r="AC61" s="321">
        <f>+'COC, Def, ConvF'!$C$13</f>
        <v>7.3300000000000004E-2</v>
      </c>
      <c r="AD61" s="321">
        <f>+'COC, Def, ConvF'!$C$13</f>
        <v>7.3300000000000004E-2</v>
      </c>
      <c r="AE61" s="321">
        <f>+'COC, Def, ConvF'!$C$13</f>
        <v>7.3300000000000004E-2</v>
      </c>
      <c r="AF61" s="642">
        <f>+'COC, Def, ConvF'!$C$13</f>
        <v>7.3300000000000004E-2</v>
      </c>
      <c r="AG61" s="642">
        <f>+'COC, Def, ConvF'!$C$13</f>
        <v>7.3300000000000004E-2</v>
      </c>
      <c r="AH61" s="642">
        <f>+'COC, Def, ConvF'!$C$13</f>
        <v>7.3300000000000004E-2</v>
      </c>
      <c r="AI61" s="322">
        <f>+'COC, Def, ConvF'!$C$13</f>
        <v>7.3300000000000004E-2</v>
      </c>
      <c r="AJ61" s="322">
        <f>+'COC, Def, ConvF'!$C$13</f>
        <v>7.3300000000000004E-2</v>
      </c>
      <c r="AK61" s="321">
        <f>+'COC, Def, ConvF'!$C$13</f>
        <v>7.3300000000000004E-2</v>
      </c>
      <c r="AL61" s="321">
        <f>+'COC, Def, ConvF'!$C$13</f>
        <v>7.3300000000000004E-2</v>
      </c>
      <c r="AM61" s="321">
        <f>+'COC, Def, ConvF'!$C$13</f>
        <v>7.3300000000000004E-2</v>
      </c>
      <c r="AN61" s="321">
        <f>+'COC, Def, ConvF'!$C$13</f>
        <v>7.3300000000000004E-2</v>
      </c>
      <c r="AO61" s="321">
        <f>+'COC, Def, ConvF'!$C$13</f>
        <v>7.3300000000000004E-2</v>
      </c>
      <c r="AP61" s="321">
        <f>+'COC, Def, ConvF'!$C$13</f>
        <v>7.3300000000000004E-2</v>
      </c>
      <c r="AQ61" s="321">
        <f>+'COC, Def, ConvF'!$C$13</f>
        <v>7.3300000000000004E-2</v>
      </c>
      <c r="AR61" s="321">
        <f>+'COC, Def, ConvF'!$C$13</f>
        <v>7.3300000000000004E-2</v>
      </c>
      <c r="AS61" s="321">
        <f>+'COC, Def, ConvF'!$C$13</f>
        <v>7.3300000000000004E-2</v>
      </c>
      <c r="AT61" s="321">
        <f>+'COC, Def, ConvF'!$C$13</f>
        <v>7.3300000000000004E-2</v>
      </c>
      <c r="AU61" s="321">
        <f>+'COC, Def, ConvF'!$C$13</f>
        <v>7.3300000000000004E-2</v>
      </c>
      <c r="AV61" s="321">
        <f>+'COC, Def, ConvF'!$C$13</f>
        <v>7.3300000000000004E-2</v>
      </c>
      <c r="AW61" s="321">
        <f>+'COC, Def, ConvF'!$C$13</f>
        <v>7.3300000000000004E-2</v>
      </c>
      <c r="AX61" s="642">
        <f>+'COC, Def, ConvF'!$C$13</f>
        <v>7.3300000000000004E-2</v>
      </c>
      <c r="AY61" s="321">
        <f>+'COC, Def, ConvF'!$C$13</f>
        <v>7.3300000000000004E-2</v>
      </c>
      <c r="AZ61" s="321">
        <f>+'COC, Def, ConvF'!$C$13</f>
        <v>7.3300000000000004E-2</v>
      </c>
      <c r="BA61" s="642">
        <f>+'COC, Def, ConvF'!$C$13</f>
        <v>7.3300000000000004E-2</v>
      </c>
      <c r="BB61" s="321">
        <f>+'COC, Def, ConvF'!$C$13</f>
        <v>7.3300000000000004E-2</v>
      </c>
      <c r="BC61" s="642">
        <f>+'COC, Def, ConvF'!$C$13</f>
        <v>7.3300000000000004E-2</v>
      </c>
      <c r="BD61" s="642">
        <f>+'COC, Def, ConvF'!$C$13</f>
        <v>7.3300000000000004E-2</v>
      </c>
      <c r="BE61" s="642">
        <f>+'COC, Def, ConvF'!$C$13</f>
        <v>7.3300000000000004E-2</v>
      </c>
      <c r="BF61" s="642">
        <f>+'COC, Def, ConvF'!$C$13</f>
        <v>7.3300000000000004E-2</v>
      </c>
      <c r="BG61" s="642">
        <f>+'COC, Def, ConvF'!$C$13</f>
        <v>7.3300000000000004E-2</v>
      </c>
      <c r="BH61" s="642">
        <f>+'COC, Def, ConvF'!$C$13</f>
        <v>7.3300000000000004E-2</v>
      </c>
      <c r="BI61" s="642">
        <f>+'COC, Def, ConvF'!$C$13</f>
        <v>7.3300000000000004E-2</v>
      </c>
      <c r="BJ61" s="642">
        <f>+'COC, Def, ConvF'!$C$13</f>
        <v>7.3300000000000004E-2</v>
      </c>
      <c r="BK61" s="642">
        <f>+'COC, Def, ConvF'!$C$13</f>
        <v>7.3300000000000004E-2</v>
      </c>
      <c r="BL61" s="321">
        <f>+'COC, Def, ConvF'!$C$13</f>
        <v>7.3300000000000004E-2</v>
      </c>
      <c r="BM61" s="321">
        <f>+'COC, Def, ConvF'!$C$13</f>
        <v>7.3300000000000004E-2</v>
      </c>
      <c r="BN61" s="321">
        <f>+'COC, Def, ConvF'!$C$13</f>
        <v>7.3300000000000004E-2</v>
      </c>
      <c r="BO61" s="322">
        <f>+'COC, Def, ConvF'!$C$13</f>
        <v>7.3300000000000004E-2</v>
      </c>
      <c r="BP61" s="322">
        <f>+'COC, Def, ConvF'!$C$13</f>
        <v>7.3300000000000004E-2</v>
      </c>
    </row>
    <row r="62" spans="1:68">
      <c r="A62" s="280">
        <f t="shared" si="13"/>
        <v>50</v>
      </c>
      <c r="B62" s="154" t="s">
        <v>250</v>
      </c>
      <c r="C62" s="323">
        <f>+'COC, Def, ConvF'!$M$20</f>
        <v>0.75138099999999997</v>
      </c>
      <c r="D62" s="323">
        <f>+'COC, Def, ConvF'!$M$20</f>
        <v>0.75138099999999997</v>
      </c>
      <c r="E62" s="323">
        <f>+'COC, Def, ConvF'!$M$20</f>
        <v>0.75138099999999997</v>
      </c>
      <c r="F62" s="323">
        <f>+'COC, Def, ConvF'!$M$20</f>
        <v>0.75138099999999997</v>
      </c>
      <c r="G62" s="323">
        <f>+'COC, Def, ConvF'!$M$20</f>
        <v>0.75138099999999997</v>
      </c>
      <c r="H62" s="323">
        <f>+'COC, Def, ConvF'!$M$20</f>
        <v>0.75138099999999997</v>
      </c>
      <c r="I62" s="323">
        <f>+'COC, Def, ConvF'!$M$20</f>
        <v>0.75138099999999997</v>
      </c>
      <c r="J62" s="323">
        <f>+'COC, Def, ConvF'!$M$20</f>
        <v>0.75138099999999997</v>
      </c>
      <c r="K62" s="323">
        <f>+'COC, Def, ConvF'!$M$20</f>
        <v>0.75138099999999997</v>
      </c>
      <c r="L62" s="323">
        <f>+'COC, Def, ConvF'!$M$20</f>
        <v>0.75138099999999997</v>
      </c>
      <c r="M62" s="323">
        <f>+'COC, Def, ConvF'!$M$20</f>
        <v>0.75138099999999997</v>
      </c>
      <c r="N62" s="323">
        <f>+'COC, Def, ConvF'!$M$20</f>
        <v>0.75138099999999997</v>
      </c>
      <c r="O62" s="323">
        <f>+'COC, Def, ConvF'!$M$20</f>
        <v>0.75138099999999997</v>
      </c>
      <c r="P62" s="323">
        <f>+'COC, Def, ConvF'!$M$20</f>
        <v>0.75138099999999997</v>
      </c>
      <c r="Q62" s="323">
        <f>+'COC, Def, ConvF'!$M$20</f>
        <v>0.75138099999999997</v>
      </c>
      <c r="R62" s="323">
        <f>+'COC, Def, ConvF'!$M$20</f>
        <v>0.75138099999999997</v>
      </c>
      <c r="S62" s="323">
        <f>+'COC, Def, ConvF'!$M$20</f>
        <v>0.75138099999999997</v>
      </c>
      <c r="T62" s="323">
        <f>+'COC, Def, ConvF'!$M$20</f>
        <v>0.75138099999999997</v>
      </c>
      <c r="U62" s="323">
        <f>+'COC, Def, ConvF'!$M$20</f>
        <v>0.75138099999999997</v>
      </c>
      <c r="V62" s="323">
        <f>+'COC, Def, ConvF'!$M$20</f>
        <v>0.75138099999999997</v>
      </c>
      <c r="W62" s="323">
        <f>+'COC, Def, ConvF'!$M$20</f>
        <v>0.75138099999999997</v>
      </c>
      <c r="X62" s="323">
        <f>+'COC, Def, ConvF'!$M$20</f>
        <v>0.75138099999999997</v>
      </c>
      <c r="Y62" s="323">
        <f>+'COC, Def, ConvF'!$M$20</f>
        <v>0.75138099999999997</v>
      </c>
      <c r="Z62" s="323">
        <f>+'COC, Def, ConvF'!$M$20</f>
        <v>0.75138099999999997</v>
      </c>
      <c r="AA62" s="323">
        <f>+'COC, Def, ConvF'!$M$20</f>
        <v>0.75138099999999997</v>
      </c>
      <c r="AB62" s="323">
        <f>+'COC, Def, ConvF'!$M$20</f>
        <v>0.75138099999999997</v>
      </c>
      <c r="AC62" s="323">
        <f>+'COC, Def, ConvF'!$M$20</f>
        <v>0.75138099999999997</v>
      </c>
      <c r="AD62" s="323">
        <f>+'COC, Def, ConvF'!$M$20</f>
        <v>0.75138099999999997</v>
      </c>
      <c r="AE62" s="323">
        <f>+'COC, Def, ConvF'!$M$20</f>
        <v>0.75138099999999997</v>
      </c>
      <c r="AF62" s="643">
        <f>+'COC, Def, ConvF'!$M$20</f>
        <v>0.75138099999999997</v>
      </c>
      <c r="AG62" s="643">
        <f>+'COC, Def, ConvF'!$M$20</f>
        <v>0.75138099999999997</v>
      </c>
      <c r="AH62" s="643">
        <f>+'COC, Def, ConvF'!$M$20</f>
        <v>0.75138099999999997</v>
      </c>
      <c r="AI62" s="324">
        <f>+'COC, Def, ConvF'!$M$20</f>
        <v>0.75138099999999997</v>
      </c>
      <c r="AJ62" s="324">
        <f>+'COC, Def, ConvF'!$M$20</f>
        <v>0.75138099999999997</v>
      </c>
      <c r="AK62" s="323">
        <f>+'COC, Def, ConvF'!$M$20</f>
        <v>0.75138099999999997</v>
      </c>
      <c r="AL62" s="323">
        <f>+'COC, Def, ConvF'!$M$20</f>
        <v>0.75138099999999997</v>
      </c>
      <c r="AM62" s="323">
        <f>+'COC, Def, ConvF'!$M$20</f>
        <v>0.75138099999999997</v>
      </c>
      <c r="AN62" s="323">
        <f>+'COC, Def, ConvF'!$M$20</f>
        <v>0.75138099999999997</v>
      </c>
      <c r="AO62" s="323">
        <f>+'COC, Def, ConvF'!$M$20</f>
        <v>0.75138099999999997</v>
      </c>
      <c r="AP62" s="323">
        <f>+'COC, Def, ConvF'!$M$20</f>
        <v>0.75138099999999997</v>
      </c>
      <c r="AQ62" s="323">
        <f>+'COC, Def, ConvF'!$M$20</f>
        <v>0.75138099999999997</v>
      </c>
      <c r="AR62" s="323">
        <f>+'COC, Def, ConvF'!$M$20</f>
        <v>0.75138099999999997</v>
      </c>
      <c r="AS62" s="323">
        <f>+'COC, Def, ConvF'!$M$20</f>
        <v>0.75138099999999997</v>
      </c>
      <c r="AT62" s="323">
        <f>+'COC, Def, ConvF'!$M$20</f>
        <v>0.75138099999999997</v>
      </c>
      <c r="AU62" s="323">
        <f>+'COC, Def, ConvF'!$M$20</f>
        <v>0.75138099999999997</v>
      </c>
      <c r="AV62" s="323">
        <f>+'COC, Def, ConvF'!$M$20</f>
        <v>0.75138099999999997</v>
      </c>
      <c r="AW62" s="323">
        <f>+'COC, Def, ConvF'!$M$20</f>
        <v>0.75138099999999997</v>
      </c>
      <c r="AX62" s="643">
        <f>+'COC, Def, ConvF'!$M$20</f>
        <v>0.75138099999999997</v>
      </c>
      <c r="AY62" s="323">
        <f>+'COC, Def, ConvF'!$M$20</f>
        <v>0.75138099999999997</v>
      </c>
      <c r="AZ62" s="323">
        <f>+'COC, Def, ConvF'!$M$20</f>
        <v>0.75138099999999997</v>
      </c>
      <c r="BA62" s="643">
        <f>+'COC, Def, ConvF'!$M$20</f>
        <v>0.75138099999999997</v>
      </c>
      <c r="BB62" s="323">
        <f>+'COC, Def, ConvF'!$M$20</f>
        <v>0.75138099999999997</v>
      </c>
      <c r="BC62" s="643">
        <f>+'COC, Def, ConvF'!$M$20</f>
        <v>0.75138099999999997</v>
      </c>
      <c r="BD62" s="643">
        <f>+'COC, Def, ConvF'!$M$20</f>
        <v>0.75138099999999997</v>
      </c>
      <c r="BE62" s="643">
        <f>+'COC, Def, ConvF'!$M$20</f>
        <v>0.75138099999999997</v>
      </c>
      <c r="BF62" s="643">
        <f>+'COC, Def, ConvF'!$M$20</f>
        <v>0.75138099999999997</v>
      </c>
      <c r="BG62" s="643">
        <f>+'COC, Def, ConvF'!$M$20</f>
        <v>0.75138099999999997</v>
      </c>
      <c r="BH62" s="643">
        <f>+'COC, Def, ConvF'!$M$20</f>
        <v>0.75138099999999997</v>
      </c>
      <c r="BI62" s="643">
        <f>+'COC, Def, ConvF'!$M$20</f>
        <v>0.75138099999999997</v>
      </c>
      <c r="BJ62" s="643">
        <f>+'COC, Def, ConvF'!$M$20</f>
        <v>0.75138099999999997</v>
      </c>
      <c r="BK62" s="643">
        <f>+'COC, Def, ConvF'!$M$20</f>
        <v>0.75138099999999997</v>
      </c>
      <c r="BL62" s="323">
        <f>+'COC, Def, ConvF'!$M$20</f>
        <v>0.75138099999999997</v>
      </c>
      <c r="BM62" s="323">
        <f>+'COC, Def, ConvF'!$M$20</f>
        <v>0.75138099999999997</v>
      </c>
      <c r="BN62" s="323">
        <f>+'COC, Def, ConvF'!$M$20</f>
        <v>0.75138099999999997</v>
      </c>
      <c r="BO62" s="324">
        <f>+'COC, Def, ConvF'!$M$20</f>
        <v>0.75138099999999997</v>
      </c>
      <c r="BP62" s="324">
        <f>+'COC, Def, ConvF'!$M$20</f>
        <v>0.75138099999999997</v>
      </c>
    </row>
    <row r="63" spans="1:68">
      <c r="A63" s="280">
        <f t="shared" si="13"/>
        <v>51</v>
      </c>
      <c r="B63" s="154" t="s">
        <v>251</v>
      </c>
      <c r="C63" s="260">
        <f t="shared" ref="C63:AE63" si="24">+C46-(C59*C61)</f>
        <v>9337226.5878447294</v>
      </c>
      <c r="D63" s="260">
        <f t="shared" si="24"/>
        <v>8327800.1577338427</v>
      </c>
      <c r="E63" s="260">
        <f t="shared" si="24"/>
        <v>4922912.8320278507</v>
      </c>
      <c r="F63" s="260">
        <f t="shared" si="24"/>
        <v>-14935653.446827501</v>
      </c>
      <c r="G63" s="260">
        <f t="shared" si="24"/>
        <v>33118422.164963614</v>
      </c>
      <c r="H63" s="260">
        <f t="shared" si="24"/>
        <v>-1955986.2286396027</v>
      </c>
      <c r="I63" s="260">
        <f t="shared" si="24"/>
        <v>66597.374865170947</v>
      </c>
      <c r="J63" s="260">
        <f t="shared" si="24"/>
        <v>303153.75903630909</v>
      </c>
      <c r="K63" s="260">
        <f t="shared" si="24"/>
        <v>184145.16401528011</v>
      </c>
      <c r="L63" s="260">
        <f t="shared" si="24"/>
        <v>71834.764841626398</v>
      </c>
      <c r="M63" s="260">
        <f t="shared" si="24"/>
        <v>5301.3344264041589</v>
      </c>
      <c r="N63" s="260">
        <f t="shared" si="24"/>
        <v>-803909.33835699933</v>
      </c>
      <c r="O63" s="260">
        <f t="shared" si="24"/>
        <v>-496557.58700637007</v>
      </c>
      <c r="P63" s="260">
        <f t="shared" si="24"/>
        <v>-1726149.211916219</v>
      </c>
      <c r="Q63" s="260">
        <f t="shared" si="24"/>
        <v>319951.38960871822</v>
      </c>
      <c r="R63" s="260">
        <f t="shared" si="24"/>
        <v>-61810.425156236211</v>
      </c>
      <c r="S63" s="260">
        <f t="shared" si="24"/>
        <v>-13156.595940416744</v>
      </c>
      <c r="T63" s="260">
        <f t="shared" si="24"/>
        <v>-23850.252119969373</v>
      </c>
      <c r="U63" s="260">
        <f t="shared" si="24"/>
        <v>-13981698.743525246</v>
      </c>
      <c r="V63" s="260">
        <f t="shared" si="24"/>
        <v>-15665820.389287829</v>
      </c>
      <c r="W63" s="260">
        <f t="shared" si="24"/>
        <v>340892.94246068329</v>
      </c>
      <c r="X63" s="260">
        <f t="shared" si="24"/>
        <v>-8047883.1010393854</v>
      </c>
      <c r="Y63" s="260">
        <f t="shared" si="24"/>
        <v>-68620.043849999958</v>
      </c>
      <c r="Z63" s="260">
        <f t="shared" si="24"/>
        <v>285937.28581899998</v>
      </c>
      <c r="AA63" s="260">
        <f t="shared" si="24"/>
        <v>-32912585.679400001</v>
      </c>
      <c r="AB63" s="260">
        <f t="shared" si="24"/>
        <v>-11000.8474333339</v>
      </c>
      <c r="AC63" s="260">
        <f t="shared" si="24"/>
        <v>2476075.688793011</v>
      </c>
      <c r="AD63" s="260">
        <f t="shared" si="24"/>
        <v>0</v>
      </c>
      <c r="AE63" s="260">
        <f t="shared" si="24"/>
        <v>0</v>
      </c>
      <c r="AF63" s="157">
        <f>+AF46-(AF59*AF61)</f>
        <v>818291.6541398277</v>
      </c>
      <c r="AG63" s="157">
        <f>+AG46-(AG59*AG61)</f>
        <v>23915.8842</v>
      </c>
      <c r="AH63" s="157">
        <f>+AH46-(AH59*AH61)</f>
        <v>15496.021684000001</v>
      </c>
      <c r="AI63" s="307">
        <f>SUM(D63:AH63)</f>
        <v>-39423953.471883781</v>
      </c>
      <c r="AJ63" s="307">
        <f>+AI63+C63</f>
        <v>-30086726.884039052</v>
      </c>
      <c r="AK63" s="260">
        <f t="shared" ref="AK63:BM63" si="25">+AK46-(AK59*AK61)</f>
        <v>-25679089.012964979</v>
      </c>
      <c r="AL63" s="260">
        <f t="shared" si="25"/>
        <v>8570014.0415132064</v>
      </c>
      <c r="AM63" s="260">
        <f t="shared" si="25"/>
        <v>-659022.41484294983</v>
      </c>
      <c r="AN63" s="260">
        <f t="shared" si="25"/>
        <v>-71834.764841627039</v>
      </c>
      <c r="AO63" s="260">
        <f t="shared" si="25"/>
        <v>-5301.3344264041589</v>
      </c>
      <c r="AP63" s="260">
        <f t="shared" si="25"/>
        <v>-442588.00130389305</v>
      </c>
      <c r="AQ63" s="260">
        <f t="shared" si="25"/>
        <v>-3003557.1583568119</v>
      </c>
      <c r="AR63" s="260">
        <f>+AR46-(AR59*AR61)</f>
        <v>-208177.32402600534</v>
      </c>
      <c r="AS63" s="260">
        <f t="shared" si="25"/>
        <v>-691246.88851637836</v>
      </c>
      <c r="AT63" s="260">
        <f t="shared" si="25"/>
        <v>2791831.5547333327</v>
      </c>
      <c r="AU63" s="260">
        <f t="shared" si="25"/>
        <v>-120117.65165375613</v>
      </c>
      <c r="AV63" s="260">
        <f t="shared" si="25"/>
        <v>-6934733.4230818786</v>
      </c>
      <c r="AW63" s="260">
        <f t="shared" si="25"/>
        <v>394548.96938773646</v>
      </c>
      <c r="AX63" s="157">
        <f t="shared" si="25"/>
        <v>-6014042.0642793067</v>
      </c>
      <c r="AY63" s="260">
        <f t="shared" si="25"/>
        <v>477330.77329275</v>
      </c>
      <c r="AZ63" s="260">
        <f t="shared" si="25"/>
        <v>8676288.6974039972</v>
      </c>
      <c r="BA63" s="157">
        <f t="shared" si="25"/>
        <v>0</v>
      </c>
      <c r="BB63" s="260">
        <f t="shared" si="25"/>
        <v>-1330725.9543599267</v>
      </c>
      <c r="BC63" s="157">
        <f t="shared" si="25"/>
        <v>0</v>
      </c>
      <c r="BD63" s="157">
        <f t="shared" si="25"/>
        <v>11720466.173961133</v>
      </c>
      <c r="BE63" s="157">
        <f t="shared" si="25"/>
        <v>549761.45894175186</v>
      </c>
      <c r="BF63" s="157">
        <f t="shared" si="25"/>
        <v>-10681804.722000003</v>
      </c>
      <c r="BG63" s="157">
        <f t="shared" si="25"/>
        <v>10814741.156587092</v>
      </c>
      <c r="BH63" s="157">
        <f t="shared" si="25"/>
        <v>4722197.5787739446</v>
      </c>
      <c r="BI63" s="157">
        <f t="shared" si="25"/>
        <v>0</v>
      </c>
      <c r="BJ63" s="157">
        <f t="shared" si="25"/>
        <v>-2781598.1458987999</v>
      </c>
      <c r="BK63" s="157">
        <f>+BK46-(BK59*BK61)</f>
        <v>85356.376893000008</v>
      </c>
      <c r="BL63" s="260">
        <f t="shared" si="25"/>
        <v>0</v>
      </c>
      <c r="BM63" s="260">
        <f t="shared" si="25"/>
        <v>0</v>
      </c>
      <c r="BN63" s="260">
        <f t="shared" ref="BN63" si="26">+BN46-(BN59*BN61)</f>
        <v>0</v>
      </c>
      <c r="BO63" s="307">
        <f>SUM(AK63:BN63)</f>
        <v>-9821302.0790647753</v>
      </c>
      <c r="BP63" s="307">
        <f>+BO63+AJ63</f>
        <v>-39908028.963103831</v>
      </c>
    </row>
    <row r="64" spans="1:68" s="287" customFormat="1">
      <c r="A64" s="280">
        <f t="shared" si="13"/>
        <v>52</v>
      </c>
      <c r="B64" s="154" t="s">
        <v>252</v>
      </c>
      <c r="C64" s="157">
        <f t="shared" ref="C64:AK64" si="27">-C63/C62</f>
        <v>-12426753.654730063</v>
      </c>
      <c r="D64" s="157">
        <f t="shared" si="27"/>
        <v>-11083325.44705528</v>
      </c>
      <c r="E64" s="157">
        <f t="shared" si="27"/>
        <v>-6551819.6920441836</v>
      </c>
      <c r="F64" s="157">
        <f t="shared" si="27"/>
        <v>19877603.302222844</v>
      </c>
      <c r="G64" s="157">
        <f t="shared" si="27"/>
        <v>-44076736.256258294</v>
      </c>
      <c r="H64" s="157">
        <f t="shared" si="27"/>
        <v>2603188.30079494</v>
      </c>
      <c r="I64" s="157">
        <f t="shared" si="27"/>
        <v>-88633.296377165447</v>
      </c>
      <c r="J64" s="157">
        <f t="shared" si="27"/>
        <v>-403462.10382789705</v>
      </c>
      <c r="K64" s="157">
        <f t="shared" si="27"/>
        <v>-245075.6194464328</v>
      </c>
      <c r="L64" s="157">
        <f t="shared" si="27"/>
        <v>-95603.64827115192</v>
      </c>
      <c r="M64" s="157">
        <f t="shared" si="27"/>
        <v>-7055.4544583961524</v>
      </c>
      <c r="N64" s="157">
        <f t="shared" si="27"/>
        <v>1069909.0585961042</v>
      </c>
      <c r="O64" s="157">
        <f t="shared" si="27"/>
        <v>660859.91927713121</v>
      </c>
      <c r="P64" s="157">
        <f t="shared" si="27"/>
        <v>2297302.1834678003</v>
      </c>
      <c r="Q64" s="157">
        <f t="shared" si="27"/>
        <v>-425817.78033876052</v>
      </c>
      <c r="R64" s="157">
        <f t="shared" si="27"/>
        <v>82262.427658187007</v>
      </c>
      <c r="S64" s="157">
        <f t="shared" si="27"/>
        <v>17509.886383095585</v>
      </c>
      <c r="T64" s="157">
        <f t="shared" si="27"/>
        <v>31741.888762118517</v>
      </c>
      <c r="U64" s="157">
        <f t="shared" si="27"/>
        <v>18608001.458015636</v>
      </c>
      <c r="V64" s="157">
        <f t="shared" si="27"/>
        <v>20849369.879312664</v>
      </c>
      <c r="W64" s="157">
        <f t="shared" si="27"/>
        <v>-453688.53146497358</v>
      </c>
      <c r="X64" s="157">
        <f t="shared" si="27"/>
        <v>10710788.669182992</v>
      </c>
      <c r="Y64" s="157">
        <f t="shared" si="27"/>
        <v>91325.231606867834</v>
      </c>
      <c r="Z64" s="157">
        <f t="shared" si="27"/>
        <v>-380548.99687242555</v>
      </c>
      <c r="AA64" s="157">
        <f t="shared" si="27"/>
        <v>43802792.03147272</v>
      </c>
      <c r="AB64" s="157">
        <f t="shared" si="27"/>
        <v>14640.837914897902</v>
      </c>
      <c r="AC64" s="157">
        <f t="shared" si="27"/>
        <v>-3295366.3837560588</v>
      </c>
      <c r="AD64" s="157">
        <f t="shared" si="27"/>
        <v>0</v>
      </c>
      <c r="AE64" s="157">
        <f t="shared" si="27"/>
        <v>0</v>
      </c>
      <c r="AF64" s="157">
        <f>-AF63/AF62</f>
        <v>-1089050.2343549114</v>
      </c>
      <c r="AG64" s="157">
        <f>-AG63/AG62</f>
        <v>-31829.237364266599</v>
      </c>
      <c r="AH64" s="157">
        <f>-AH63/AH62</f>
        <v>-20623.387714089127</v>
      </c>
      <c r="AI64" s="1017">
        <f>-AI63/AI62</f>
        <v>52468659.00506372</v>
      </c>
      <c r="AJ64" s="1017">
        <f t="shared" si="27"/>
        <v>40041905.350333653</v>
      </c>
      <c r="AK64" s="157">
        <f t="shared" si="27"/>
        <v>34175856.2073901</v>
      </c>
      <c r="AL64" s="157">
        <f t="shared" ref="AL64:BM64" si="28">-AL63/AL62</f>
        <v>-11405683.723055556</v>
      </c>
      <c r="AM64" s="157">
        <f t="shared" si="28"/>
        <v>877081.55362319492</v>
      </c>
      <c r="AN64" s="157">
        <f t="shared" si="28"/>
        <v>95603.648271152779</v>
      </c>
      <c r="AO64" s="157">
        <f t="shared" si="28"/>
        <v>7055.4544583961524</v>
      </c>
      <c r="AP64" s="157">
        <f t="shared" si="28"/>
        <v>589032.7294726551</v>
      </c>
      <c r="AQ64" s="157">
        <f t="shared" si="28"/>
        <v>3997382.3644154058</v>
      </c>
      <c r="AR64" s="157">
        <f>-AR63/AR62</f>
        <v>277059.60627964424</v>
      </c>
      <c r="AS64" s="157">
        <f t="shared" si="28"/>
        <v>919968.54926645523</v>
      </c>
      <c r="AT64" s="157">
        <f t="shared" si="28"/>
        <v>-3715600.4140819809</v>
      </c>
      <c r="AU64" s="157">
        <f t="shared" si="28"/>
        <v>159862.50870564484</v>
      </c>
      <c r="AV64" s="157">
        <f t="shared" si="28"/>
        <v>9229316.9817734007</v>
      </c>
      <c r="AW64" s="157">
        <f t="shared" si="28"/>
        <v>-525098.41130895843</v>
      </c>
      <c r="AX64" s="157">
        <f t="shared" si="28"/>
        <v>8003984.7484555868</v>
      </c>
      <c r="AY64" s="157">
        <f t="shared" si="28"/>
        <v>-635271.28486446955</v>
      </c>
      <c r="AZ64" s="157">
        <f t="shared" si="28"/>
        <v>-11547122.827705249</v>
      </c>
      <c r="BA64" s="157">
        <f t="shared" si="28"/>
        <v>0</v>
      </c>
      <c r="BB64" s="157">
        <f t="shared" si="28"/>
        <v>1771040.1971302533</v>
      </c>
      <c r="BC64" s="157">
        <f t="shared" si="28"/>
        <v>0</v>
      </c>
      <c r="BD64" s="157">
        <f t="shared" si="28"/>
        <v>-15598566.072287073</v>
      </c>
      <c r="BE64" s="157">
        <f t="shared" si="28"/>
        <v>-731668.03384934121</v>
      </c>
      <c r="BF64" s="157">
        <f t="shared" si="28"/>
        <v>14216229.4787864</v>
      </c>
      <c r="BG64" s="157">
        <f t="shared" si="28"/>
        <v>-14393152.284376491</v>
      </c>
      <c r="BH64" s="157">
        <f t="shared" si="28"/>
        <v>-6284691.2269194257</v>
      </c>
      <c r="BI64" s="157">
        <f t="shared" si="28"/>
        <v>0</v>
      </c>
      <c r="BJ64" s="157">
        <f t="shared" si="28"/>
        <v>3701980.9469480864</v>
      </c>
      <c r="BK64" s="157">
        <f>-BK63/BK62</f>
        <v>-113599.32829416769</v>
      </c>
      <c r="BL64" s="157">
        <f t="shared" si="28"/>
        <v>0</v>
      </c>
      <c r="BM64" s="157">
        <f t="shared" si="28"/>
        <v>0</v>
      </c>
      <c r="BN64" s="157">
        <f t="shared" ref="BN64" si="29">-BN63/BN62</f>
        <v>0</v>
      </c>
      <c r="BO64" s="1017">
        <f>SUM(AK64:BN64)</f>
        <v>13071001.368233668</v>
      </c>
      <c r="BP64" s="1017">
        <f>-BP63/BP62</f>
        <v>53112906.718567319</v>
      </c>
    </row>
    <row r="65" spans="1:70">
      <c r="A65" s="280">
        <f>A69+1</f>
        <v>54</v>
      </c>
      <c r="B65" s="154"/>
      <c r="X65" s="287"/>
      <c r="AF65" s="287"/>
      <c r="AG65" s="287"/>
      <c r="AH65" s="287"/>
      <c r="AX65" s="287"/>
      <c r="BA65" s="287"/>
      <c r="BC65" s="287"/>
      <c r="BD65" s="287"/>
      <c r="BE65" s="287"/>
      <c r="BF65" s="287"/>
      <c r="BG65" s="287"/>
      <c r="BH65" s="287"/>
      <c r="BI65" s="287"/>
      <c r="BJ65" s="287"/>
      <c r="BK65" s="287"/>
    </row>
    <row r="66" spans="1:70">
      <c r="A66" s="280">
        <f t="shared" si="13"/>
        <v>55</v>
      </c>
      <c r="B66" s="633" t="s">
        <v>807</v>
      </c>
      <c r="X66" s="287"/>
      <c r="AF66" s="287"/>
      <c r="AG66" s="287"/>
      <c r="AH66" s="287"/>
      <c r="AX66" s="287"/>
      <c r="BA66" s="287"/>
      <c r="BC66" s="287"/>
      <c r="BD66" s="287"/>
      <c r="BE66" s="287"/>
      <c r="BF66" s="287"/>
      <c r="BG66" s="287"/>
      <c r="BH66" s="287"/>
      <c r="BI66" s="287"/>
      <c r="BJ66" s="287"/>
      <c r="BK66" s="287"/>
    </row>
    <row r="67" spans="1:70" s="287" customFormat="1">
      <c r="A67" s="280">
        <f t="shared" si="13"/>
        <v>56</v>
      </c>
      <c r="B67" s="634" t="s">
        <v>252</v>
      </c>
      <c r="C67" s="635">
        <v>7676839.1540905964</v>
      </c>
      <c r="D67" s="635">
        <v>-11083325.44705528</v>
      </c>
      <c r="E67" s="635">
        <v>-5277158.9465078311</v>
      </c>
      <c r="F67" s="635">
        <v>19877603.302222844</v>
      </c>
      <c r="G67" s="635">
        <v>-44059333.674642764</v>
      </c>
      <c r="H67" s="635">
        <v>2603188.30079494</v>
      </c>
      <c r="I67" s="635">
        <v>-88633.296377165447</v>
      </c>
      <c r="J67" s="635">
        <v>-403462.10382789705</v>
      </c>
      <c r="K67" s="635">
        <v>-245075.6194464328</v>
      </c>
      <c r="L67" s="635">
        <v>-95603.64827115192</v>
      </c>
      <c r="M67" s="635">
        <v>-7055.4544583961524</v>
      </c>
      <c r="N67" s="635">
        <v>1069909.0585961042</v>
      </c>
      <c r="O67" s="635">
        <v>660859.91927713121</v>
      </c>
      <c r="P67" s="635">
        <v>2297302.1834678003</v>
      </c>
      <c r="Q67" s="635">
        <v>-425817.78033876052</v>
      </c>
      <c r="R67" s="635">
        <v>82262.427658187007</v>
      </c>
      <c r="S67" s="635">
        <v>17509.886383095585</v>
      </c>
      <c r="T67" s="635">
        <v>31741.888762118517</v>
      </c>
      <c r="U67" s="635">
        <v>18540194.719167996</v>
      </c>
      <c r="V67" s="635">
        <v>20784124.198240038</v>
      </c>
      <c r="W67" s="635">
        <v>-453688.53146497358</v>
      </c>
      <c r="X67" s="635">
        <v>10100814.619248418</v>
      </c>
      <c r="Y67" s="635">
        <v>91325.231606867834</v>
      </c>
      <c r="Z67" s="635">
        <v>-386783.61971622921</v>
      </c>
      <c r="AA67" s="635">
        <v>43802792.03147272</v>
      </c>
      <c r="AB67" s="635">
        <v>14640.837914897902</v>
      </c>
      <c r="AC67" s="635">
        <v>-3337892.5847081728</v>
      </c>
      <c r="AD67" s="635">
        <v>0</v>
      </c>
      <c r="AE67" s="635">
        <v>0</v>
      </c>
      <c r="AF67" s="635">
        <v>0</v>
      </c>
      <c r="AG67" s="635"/>
      <c r="AH67" s="635"/>
      <c r="AI67" s="635">
        <v>54110437.897998102</v>
      </c>
      <c r="AJ67" s="635">
        <v>61787277.052088693</v>
      </c>
      <c r="AK67" s="635">
        <v>34187680.205029644</v>
      </c>
      <c r="AL67" s="635">
        <v>-9108944.1815591268</v>
      </c>
      <c r="AM67" s="635">
        <v>515378.79509644205</v>
      </c>
      <c r="AN67" s="635">
        <v>95603.648271152779</v>
      </c>
      <c r="AO67" s="635">
        <v>7055.4544583961524</v>
      </c>
      <c r="AP67" s="635">
        <v>589032.7294726551</v>
      </c>
      <c r="AQ67" s="635">
        <v>3997382.3644154058</v>
      </c>
      <c r="AR67" s="635">
        <v>277059.60627964424</v>
      </c>
      <c r="AS67" s="635">
        <v>919968.54926645523</v>
      </c>
      <c r="AT67" s="635">
        <v>545713.08732409659</v>
      </c>
      <c r="AU67" s="635">
        <v>159862.50870564484</v>
      </c>
      <c r="AV67" s="635">
        <v>9338330.1693831533</v>
      </c>
      <c r="AW67" s="635">
        <v>-525098.41130895843</v>
      </c>
      <c r="AX67" s="635">
        <v>15437530.768072532</v>
      </c>
      <c r="AY67" s="635">
        <v>-635271.28486446955</v>
      </c>
      <c r="AZ67" s="635">
        <v>-11529742.510997748</v>
      </c>
      <c r="BA67" s="635">
        <v>1697987.0022638824</v>
      </c>
      <c r="BB67" s="635">
        <v>1771040.1971302533</v>
      </c>
      <c r="BC67" s="635">
        <v>1272648.6365675053</v>
      </c>
      <c r="BD67" s="635">
        <v>-4333400.7758938372</v>
      </c>
      <c r="BE67" s="635">
        <v>-689411.45793686877</v>
      </c>
      <c r="BF67" s="635">
        <v>14216229.4787864</v>
      </c>
      <c r="BG67" s="635">
        <v>-14483434.693062646</v>
      </c>
      <c r="BH67" s="635">
        <v>-6297510.639120711</v>
      </c>
      <c r="BI67" s="635">
        <v>1596433.3850885124</v>
      </c>
      <c r="BJ67" s="635">
        <v>3693223.6559810531</v>
      </c>
      <c r="BK67" s="635">
        <v>0</v>
      </c>
      <c r="BL67" s="635"/>
      <c r="BM67" s="635"/>
      <c r="BN67" s="635"/>
      <c r="BO67" s="635">
        <v>42715346.286848463</v>
      </c>
      <c r="BP67" s="635">
        <v>104502623.33893718</v>
      </c>
    </row>
    <row r="68" spans="1:70" s="287" customFormat="1">
      <c r="A68" s="280">
        <f t="shared" si="13"/>
        <v>57</v>
      </c>
      <c r="B68" s="637" t="s">
        <v>796</v>
      </c>
      <c r="C68" s="891">
        <f t="shared" ref="C68:AH68" si="30">C64-C67</f>
        <v>-20103592.808820657</v>
      </c>
      <c r="D68" s="638">
        <f t="shared" si="30"/>
        <v>0</v>
      </c>
      <c r="E68" s="891">
        <f>E64-E67</f>
        <v>-1274660.7455363525</v>
      </c>
      <c r="F68" s="638">
        <f t="shared" si="30"/>
        <v>0</v>
      </c>
      <c r="G68" s="891">
        <f t="shared" si="30"/>
        <v>-17402.581615529954</v>
      </c>
      <c r="H68" s="638">
        <f t="shared" si="30"/>
        <v>0</v>
      </c>
      <c r="I68" s="638">
        <f t="shared" si="30"/>
        <v>0</v>
      </c>
      <c r="J68" s="638">
        <f t="shared" si="30"/>
        <v>0</v>
      </c>
      <c r="K68" s="638">
        <f t="shared" si="30"/>
        <v>0</v>
      </c>
      <c r="L68" s="638">
        <f t="shared" si="30"/>
        <v>0</v>
      </c>
      <c r="M68" s="638">
        <f t="shared" si="30"/>
        <v>0</v>
      </c>
      <c r="N68" s="638">
        <f t="shared" si="30"/>
        <v>0</v>
      </c>
      <c r="O68" s="638">
        <f t="shared" si="30"/>
        <v>0</v>
      </c>
      <c r="P68" s="638">
        <f t="shared" si="30"/>
        <v>0</v>
      </c>
      <c r="Q68" s="638">
        <f t="shared" si="30"/>
        <v>0</v>
      </c>
      <c r="R68" s="638">
        <f t="shared" si="30"/>
        <v>0</v>
      </c>
      <c r="S68" s="638">
        <f t="shared" si="30"/>
        <v>0</v>
      </c>
      <c r="T68" s="638">
        <f t="shared" si="30"/>
        <v>0</v>
      </c>
      <c r="U68" s="891">
        <f t="shared" si="30"/>
        <v>67806.738847639412</v>
      </c>
      <c r="V68" s="638">
        <f t="shared" si="30"/>
        <v>65245.681072626263</v>
      </c>
      <c r="W68" s="638">
        <f t="shared" si="30"/>
        <v>0</v>
      </c>
      <c r="X68" s="891">
        <f t="shared" si="30"/>
        <v>609974.04993457347</v>
      </c>
      <c r="Y68" s="638">
        <f t="shared" si="30"/>
        <v>0</v>
      </c>
      <c r="Z68" s="638">
        <f t="shared" si="30"/>
        <v>6234.6228438036633</v>
      </c>
      <c r="AA68" s="638">
        <f t="shared" si="30"/>
        <v>0</v>
      </c>
      <c r="AB68" s="638">
        <f t="shared" si="30"/>
        <v>0</v>
      </c>
      <c r="AC68" s="638">
        <f t="shared" si="30"/>
        <v>42526.200952114072</v>
      </c>
      <c r="AD68" s="638">
        <f t="shared" si="30"/>
        <v>0</v>
      </c>
      <c r="AE68" s="638">
        <f t="shared" si="30"/>
        <v>0</v>
      </c>
      <c r="AF68" s="891">
        <f t="shared" si="30"/>
        <v>-1089050.2343549114</v>
      </c>
      <c r="AG68" s="891">
        <f t="shared" si="30"/>
        <v>-31829.237364266599</v>
      </c>
      <c r="AH68" s="891">
        <f t="shared" si="30"/>
        <v>-20623.387714089127</v>
      </c>
      <c r="AI68" s="638">
        <f t="shared" ref="AI68:BO68" si="31">AI64-AI67</f>
        <v>-1641778.892934382</v>
      </c>
      <c r="AJ68" s="638">
        <f t="shared" si="31"/>
        <v>-21745371.701755039</v>
      </c>
      <c r="AK68" s="891">
        <f t="shared" si="31"/>
        <v>-11823.997639544308</v>
      </c>
      <c r="AL68" s="891">
        <f>AL64-AL67</f>
        <v>-2296739.5414964296</v>
      </c>
      <c r="AM68" s="891">
        <f t="shared" si="31"/>
        <v>361702.75852675288</v>
      </c>
      <c r="AN68" s="638">
        <f t="shared" si="31"/>
        <v>0</v>
      </c>
      <c r="AO68" s="638">
        <f t="shared" si="31"/>
        <v>0</v>
      </c>
      <c r="AP68" s="638">
        <f t="shared" si="31"/>
        <v>0</v>
      </c>
      <c r="AQ68" s="638">
        <f t="shared" si="31"/>
        <v>0</v>
      </c>
      <c r="AR68" s="638">
        <f t="shared" si="31"/>
        <v>0</v>
      </c>
      <c r="AS68" s="638">
        <f t="shared" si="31"/>
        <v>0</v>
      </c>
      <c r="AT68" s="638">
        <f t="shared" si="31"/>
        <v>-4261313.5014060773</v>
      </c>
      <c r="AU68" s="638">
        <f t="shared" si="31"/>
        <v>0</v>
      </c>
      <c r="AV68" s="638">
        <f t="shared" si="31"/>
        <v>-109013.18760975264</v>
      </c>
      <c r="AW68" s="638">
        <f t="shared" si="31"/>
        <v>0</v>
      </c>
      <c r="AX68" s="891">
        <f t="shared" si="31"/>
        <v>-7433546.0196169456</v>
      </c>
      <c r="AY68" s="638">
        <f t="shared" si="31"/>
        <v>0</v>
      </c>
      <c r="AZ68" s="638">
        <f t="shared" si="31"/>
        <v>-17380.316707501188</v>
      </c>
      <c r="BA68" s="891">
        <f t="shared" si="31"/>
        <v>-1697987.0022638824</v>
      </c>
      <c r="BB68" s="638">
        <f t="shared" si="31"/>
        <v>0</v>
      </c>
      <c r="BC68" s="891">
        <f t="shared" si="31"/>
        <v>-1272648.6365675053</v>
      </c>
      <c r="BD68" s="891">
        <f t="shared" si="31"/>
        <v>-11265165.296393236</v>
      </c>
      <c r="BE68" s="891">
        <f t="shared" si="31"/>
        <v>-42256.575912472443</v>
      </c>
      <c r="BF68" s="638">
        <f t="shared" si="31"/>
        <v>0</v>
      </c>
      <c r="BG68" s="638">
        <f t="shared" si="31"/>
        <v>90282.408686155453</v>
      </c>
      <c r="BH68" s="638">
        <f t="shared" si="31"/>
        <v>12819.412201285362</v>
      </c>
      <c r="BI68" s="891">
        <f t="shared" si="31"/>
        <v>-1596433.3850885124</v>
      </c>
      <c r="BJ68" s="891">
        <f t="shared" si="31"/>
        <v>8757.2909670332447</v>
      </c>
      <c r="BK68" s="891">
        <f>BK64-BK67</f>
        <v>-113599.32829416769</v>
      </c>
      <c r="BL68" s="638">
        <f t="shared" si="31"/>
        <v>0</v>
      </c>
      <c r="BM68" s="638">
        <f t="shared" si="31"/>
        <v>0</v>
      </c>
      <c r="BN68" s="891">
        <f t="shared" si="31"/>
        <v>0</v>
      </c>
      <c r="BO68" s="638">
        <f t="shared" si="31"/>
        <v>-29644344.918614797</v>
      </c>
      <c r="BP68" s="638">
        <f t="shared" ref="BP68" si="32">BP64-BP67</f>
        <v>-51389716.620369859</v>
      </c>
    </row>
    <row r="69" spans="1:70" s="287" customFormat="1">
      <c r="A69" s="280">
        <f>A64+1</f>
        <v>53</v>
      </c>
      <c r="B69" s="154" t="s">
        <v>805</v>
      </c>
      <c r="C69" s="157"/>
      <c r="D69" s="157"/>
      <c r="E69" s="157">
        <f>E68-'Common Adj'!N40</f>
        <v>0</v>
      </c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57"/>
      <c r="R69" s="157"/>
      <c r="S69" s="157"/>
      <c r="T69" s="157"/>
      <c r="U69" s="157">
        <f>U68-'Common Adj'!EL27</f>
        <v>0</v>
      </c>
      <c r="V69" s="157"/>
      <c r="W69" s="157"/>
      <c r="X69" s="157"/>
      <c r="Y69" s="157"/>
      <c r="Z69" s="157"/>
      <c r="AA69" s="157"/>
      <c r="AB69" s="157"/>
      <c r="AC69" s="157"/>
      <c r="AD69" s="157"/>
      <c r="AE69" s="157"/>
      <c r="AF69" s="157">
        <f>AF68-'Staff Smart Burn'!C46</f>
        <v>0</v>
      </c>
      <c r="AG69" s="157"/>
      <c r="AH69" s="157">
        <f>AH68-'Staff Green Direct'!E20</f>
        <v>0</v>
      </c>
      <c r="AI69" s="644"/>
      <c r="AJ69" s="644"/>
      <c r="AK69" s="157">
        <f>AK68-'Common Adj'!H57</f>
        <v>-4.7293724492192268E-10</v>
      </c>
      <c r="AL69" s="157">
        <f>AL68-'Common Adj'!N50</f>
        <v>0</v>
      </c>
      <c r="AM69" s="157"/>
      <c r="AN69" s="157"/>
      <c r="AO69" s="157"/>
      <c r="AP69" s="157"/>
      <c r="AQ69" s="157"/>
      <c r="AR69" s="157"/>
      <c r="AS69" s="157"/>
      <c r="AT69" s="157">
        <f>AT68-'Common Adj'!FB28</f>
        <v>0</v>
      </c>
      <c r="AU69" s="157"/>
      <c r="AV69" s="157">
        <f>AV68-'Common Adj'!FR56</f>
        <v>9.3132257461547852E-10</v>
      </c>
      <c r="AW69" s="157"/>
      <c r="AX69" s="157">
        <f>AX68-'[6]Elec Lead '!$F$50</f>
        <v>0</v>
      </c>
      <c r="AY69" s="157"/>
      <c r="AZ69" s="157"/>
      <c r="BA69" s="157">
        <f>BA68-'Common Adj'!HF41</f>
        <v>0</v>
      </c>
      <c r="BB69" s="157"/>
      <c r="BC69" s="157">
        <f>BC68-'Common Adj'!HV44</f>
        <v>0</v>
      </c>
      <c r="BD69" s="157">
        <f>BD68-'Electric Adj'!D52</f>
        <v>-11265165.296393236</v>
      </c>
      <c r="BE69" s="157">
        <f>BE68-'Electric Adj'!N30</f>
        <v>2.255546860396862E-10</v>
      </c>
      <c r="BF69" s="157"/>
      <c r="BG69" s="157"/>
      <c r="BH69" s="157"/>
      <c r="BI69" s="157">
        <f>BI68-'Electric Adj'!BR43</f>
        <v>0</v>
      </c>
      <c r="BJ69" s="157">
        <f>BJ68-'Electric Adj'!BZ43</f>
        <v>0</v>
      </c>
      <c r="BK69" s="157">
        <f>BK68-'Staff Shuffleton'!C33</f>
        <v>0</v>
      </c>
      <c r="BL69" s="157"/>
      <c r="BM69" s="157"/>
      <c r="BN69" s="157"/>
      <c r="BO69" s="644"/>
      <c r="BP69" s="644" t="e">
        <f>BP68-#REF!</f>
        <v>#REF!</v>
      </c>
    </row>
    <row r="70" spans="1:70" s="287" customFormat="1">
      <c r="A70" s="280">
        <f>A68+1</f>
        <v>58</v>
      </c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57"/>
      <c r="AB70" s="157"/>
      <c r="AC70" s="157"/>
      <c r="AD70" s="157"/>
      <c r="AE70" s="157"/>
      <c r="AF70" s="157"/>
      <c r="AG70" s="157"/>
      <c r="AH70" s="157"/>
      <c r="AI70" s="157"/>
      <c r="AJ70" s="157"/>
      <c r="AK70" s="157"/>
      <c r="AL70" s="157">
        <f>AL68+E68</f>
        <v>-3571400.2870327821</v>
      </c>
      <c r="AM70" s="157"/>
      <c r="AN70" s="157"/>
      <c r="AO70" s="157"/>
      <c r="AP70" s="157"/>
      <c r="AQ70" s="157"/>
      <c r="AR70" s="157"/>
      <c r="AS70" s="157"/>
      <c r="AT70" s="157"/>
      <c r="AU70" s="157"/>
      <c r="AV70" s="157"/>
      <c r="AW70" s="157"/>
      <c r="AX70" s="157"/>
      <c r="AY70" s="157"/>
      <c r="AZ70" s="157"/>
      <c r="BA70" s="157"/>
      <c r="BB70" s="157"/>
      <c r="BC70" s="157"/>
      <c r="BD70" s="157"/>
      <c r="BE70" s="157"/>
      <c r="BF70" s="157"/>
      <c r="BG70" s="157"/>
      <c r="BH70" s="157"/>
      <c r="BI70" s="157"/>
      <c r="BJ70" s="157"/>
      <c r="BK70" s="157"/>
      <c r="BL70" s="157"/>
      <c r="BM70" s="157"/>
      <c r="BN70" s="157"/>
      <c r="BO70" s="157"/>
      <c r="BP70" s="157"/>
    </row>
    <row r="71" spans="1:70" s="287" customFormat="1">
      <c r="A71" s="280">
        <f t="shared" si="13"/>
        <v>59</v>
      </c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7"/>
      <c r="Y71" s="157"/>
      <c r="Z71" s="157"/>
      <c r="AA71" s="157"/>
      <c r="AB71" s="157"/>
      <c r="AC71" s="157"/>
      <c r="AD71" s="157"/>
      <c r="AE71" s="157"/>
      <c r="AF71" s="157"/>
      <c r="AG71" s="157"/>
      <c r="AH71" s="157"/>
      <c r="AI71" s="157"/>
      <c r="AJ71" s="157"/>
      <c r="AK71" s="157"/>
      <c r="AL71" s="157"/>
      <c r="AM71" s="157"/>
      <c r="AN71" s="157"/>
      <c r="AO71" s="157"/>
      <c r="AP71" s="157"/>
      <c r="AQ71" s="157"/>
      <c r="AR71" s="157"/>
      <c r="AS71" s="157"/>
      <c r="AT71" s="157"/>
      <c r="AU71" s="157"/>
      <c r="AV71" s="157"/>
      <c r="AW71" s="157"/>
      <c r="AX71" s="157"/>
      <c r="AY71" s="157"/>
      <c r="AZ71" s="157"/>
      <c r="BA71" s="157"/>
      <c r="BB71" s="157"/>
      <c r="BC71" s="157"/>
      <c r="BD71" s="157"/>
      <c r="BE71" s="157"/>
      <c r="BF71" s="157"/>
      <c r="BG71" s="157"/>
      <c r="BH71" s="157"/>
      <c r="BI71" s="157"/>
      <c r="BJ71" s="157"/>
      <c r="BK71" s="157"/>
      <c r="BL71" s="157"/>
      <c r="BM71" s="157"/>
      <c r="BN71" s="157"/>
      <c r="BO71" s="157"/>
      <c r="BP71" s="157"/>
    </row>
    <row r="72" spans="1:70">
      <c r="A72" s="280">
        <f t="shared" si="13"/>
        <v>60</v>
      </c>
      <c r="B72" s="633" t="s">
        <v>808</v>
      </c>
      <c r="X72" s="287"/>
      <c r="AF72" s="287"/>
      <c r="AG72" s="287"/>
      <c r="AH72" s="287"/>
      <c r="AX72" s="287"/>
      <c r="AY72" s="287"/>
      <c r="AZ72" s="287"/>
      <c r="BA72" s="287"/>
      <c r="BB72" s="287"/>
      <c r="BC72" s="287"/>
      <c r="BD72" s="287"/>
      <c r="BE72" s="287"/>
      <c r="BF72" s="287"/>
      <c r="BG72" s="287"/>
      <c r="BH72" s="287"/>
      <c r="BI72" s="287"/>
      <c r="BJ72" s="287"/>
      <c r="BK72" s="287"/>
      <c r="BL72" s="287"/>
      <c r="BM72" s="287"/>
      <c r="BN72" s="287"/>
      <c r="BO72" s="287"/>
      <c r="BP72" s="287"/>
    </row>
    <row r="73" spans="1:70" s="287" customFormat="1">
      <c r="A73" s="280">
        <f t="shared" si="13"/>
        <v>61</v>
      </c>
      <c r="B73" s="634" t="s">
        <v>252</v>
      </c>
      <c r="C73" s="635">
        <v>-12426753.654730063</v>
      </c>
      <c r="D73" s="635">
        <v>-11083325.44705528</v>
      </c>
      <c r="E73" s="635">
        <v>-5277158.9465078311</v>
      </c>
      <c r="F73" s="635">
        <v>19877603.302222844</v>
      </c>
      <c r="G73" s="635">
        <v>-44059333.674642764</v>
      </c>
      <c r="H73" s="635">
        <v>2603188.30079494</v>
      </c>
      <c r="I73" s="635">
        <v>-88633.296377165447</v>
      </c>
      <c r="J73" s="635">
        <v>-403462.10382789705</v>
      </c>
      <c r="K73" s="635">
        <v>-245075.6194464328</v>
      </c>
      <c r="L73" s="635">
        <v>-95603.64827115192</v>
      </c>
      <c r="M73" s="635">
        <v>-7055.4544583961524</v>
      </c>
      <c r="N73" s="635">
        <v>1069909.0585961042</v>
      </c>
      <c r="O73" s="635">
        <v>660859.91927713121</v>
      </c>
      <c r="P73" s="635">
        <v>2297302.1834678003</v>
      </c>
      <c r="Q73" s="635">
        <v>-425817.78033876052</v>
      </c>
      <c r="R73" s="635">
        <v>82262.427658187007</v>
      </c>
      <c r="S73" s="635">
        <v>17509.886383095585</v>
      </c>
      <c r="T73" s="635">
        <v>31741.888762118517</v>
      </c>
      <c r="U73" s="635">
        <v>17834596.757414885</v>
      </c>
      <c r="V73" s="635">
        <v>20849369.879312664</v>
      </c>
      <c r="W73" s="635">
        <v>-453688.53146497358</v>
      </c>
      <c r="X73" s="635">
        <v>10100814.619248418</v>
      </c>
      <c r="Y73" s="635">
        <v>91325.231606867834</v>
      </c>
      <c r="Z73" s="635">
        <v>-380548.99687242555</v>
      </c>
      <c r="AA73" s="635">
        <v>43802792.03147272</v>
      </c>
      <c r="AB73" s="635">
        <v>14640.837914897902</v>
      </c>
      <c r="AC73" s="635">
        <v>-3295366.3837560588</v>
      </c>
      <c r="AD73" s="635">
        <v>0</v>
      </c>
      <c r="AE73" s="635">
        <v>0</v>
      </c>
      <c r="AF73" s="641">
        <v>0</v>
      </c>
      <c r="AG73" s="635">
        <v>0</v>
      </c>
      <c r="AH73" s="635">
        <v>0</v>
      </c>
      <c r="AI73" s="636">
        <f>SUM(D73:AH73)</f>
        <v>53518846.441113532</v>
      </c>
      <c r="AJ73" s="636">
        <f>AI73+C73</f>
        <v>41092092.786383465</v>
      </c>
      <c r="AK73" s="635">
        <v>34187680.205029644</v>
      </c>
      <c r="AL73" s="635">
        <v>-9108944.1815591268</v>
      </c>
      <c r="AM73" s="635">
        <v>515378.79509644205</v>
      </c>
      <c r="AN73" s="635">
        <v>95603.648271152779</v>
      </c>
      <c r="AO73" s="635">
        <v>7055.4544583961524</v>
      </c>
      <c r="AP73" s="635">
        <v>589032.7294726551</v>
      </c>
      <c r="AQ73" s="635">
        <v>3997382.3644154058</v>
      </c>
      <c r="AR73" s="635">
        <v>277059.60627964424</v>
      </c>
      <c r="AS73" s="635">
        <v>919968.54926645523</v>
      </c>
      <c r="AT73" s="635">
        <v>-3715600.4140819809</v>
      </c>
      <c r="AU73" s="635">
        <v>159862.50870564484</v>
      </c>
      <c r="AV73" s="635">
        <v>9229316.9817734007</v>
      </c>
      <c r="AW73" s="635">
        <v>-525098.41130895843</v>
      </c>
      <c r="AX73" s="635">
        <v>15337654.598543353</v>
      </c>
      <c r="AY73" s="635">
        <v>-635271.28486446955</v>
      </c>
      <c r="AZ73" s="635">
        <v>-11547122.827705249</v>
      </c>
      <c r="BA73" s="635">
        <v>1648371.1886033691</v>
      </c>
      <c r="BB73" s="635">
        <v>1771040.1971302533</v>
      </c>
      <c r="BC73" s="635">
        <v>1251494.1973744545</v>
      </c>
      <c r="BD73" s="635">
        <v>-4333400.7758938372</v>
      </c>
      <c r="BE73" s="635">
        <v>-689411.45793686877</v>
      </c>
      <c r="BF73" s="635">
        <v>14216229.4787864</v>
      </c>
      <c r="BG73" s="635">
        <v>-14393152.284376491</v>
      </c>
      <c r="BH73" s="635">
        <v>-6284691.2269194257</v>
      </c>
      <c r="BI73" s="635">
        <v>1550505.5499383877</v>
      </c>
      <c r="BJ73" s="635">
        <v>3676312.8288536482</v>
      </c>
      <c r="BK73" s="635">
        <v>0</v>
      </c>
      <c r="BL73" s="635"/>
      <c r="BM73" s="635"/>
      <c r="BN73" s="635"/>
      <c r="BO73" s="636">
        <f>SUM(AK73:BN73)</f>
        <v>38197256.017352313</v>
      </c>
      <c r="BP73" s="636">
        <f>BO73+AJ73</f>
        <v>79289348.803735778</v>
      </c>
    </row>
    <row r="74" spans="1:70" s="287" customFormat="1">
      <c r="A74" s="280">
        <f t="shared" si="13"/>
        <v>62</v>
      </c>
      <c r="B74" s="639" t="s">
        <v>796</v>
      </c>
      <c r="C74" s="640">
        <f t="shared" ref="C74:AH74" si="33">C64-C73</f>
        <v>0</v>
      </c>
      <c r="D74" s="640">
        <f t="shared" si="33"/>
        <v>0</v>
      </c>
      <c r="E74" s="640">
        <f t="shared" si="33"/>
        <v>-1274660.7455363525</v>
      </c>
      <c r="F74" s="640">
        <f t="shared" si="33"/>
        <v>0</v>
      </c>
      <c r="G74" s="640">
        <f t="shared" si="33"/>
        <v>-17402.581615529954</v>
      </c>
      <c r="H74" s="640">
        <f t="shared" si="33"/>
        <v>0</v>
      </c>
      <c r="I74" s="640">
        <f t="shared" si="33"/>
        <v>0</v>
      </c>
      <c r="J74" s="640">
        <f t="shared" si="33"/>
        <v>0</v>
      </c>
      <c r="K74" s="640">
        <f t="shared" si="33"/>
        <v>0</v>
      </c>
      <c r="L74" s="640">
        <f t="shared" si="33"/>
        <v>0</v>
      </c>
      <c r="M74" s="640">
        <f t="shared" si="33"/>
        <v>0</v>
      </c>
      <c r="N74" s="640">
        <f t="shared" si="33"/>
        <v>0</v>
      </c>
      <c r="O74" s="640">
        <f t="shared" si="33"/>
        <v>0</v>
      </c>
      <c r="P74" s="640">
        <f t="shared" si="33"/>
        <v>0</v>
      </c>
      <c r="Q74" s="640">
        <f t="shared" si="33"/>
        <v>0</v>
      </c>
      <c r="R74" s="640">
        <f t="shared" si="33"/>
        <v>0</v>
      </c>
      <c r="S74" s="640">
        <f t="shared" si="33"/>
        <v>0</v>
      </c>
      <c r="T74" s="640">
        <f t="shared" si="33"/>
        <v>0</v>
      </c>
      <c r="U74" s="640">
        <f t="shared" si="33"/>
        <v>773404.70060075074</v>
      </c>
      <c r="V74" s="640">
        <f t="shared" si="33"/>
        <v>0</v>
      </c>
      <c r="W74" s="640">
        <f t="shared" si="33"/>
        <v>0</v>
      </c>
      <c r="X74" s="640">
        <f t="shared" si="33"/>
        <v>609974.04993457347</v>
      </c>
      <c r="Y74" s="640">
        <f t="shared" si="33"/>
        <v>0</v>
      </c>
      <c r="Z74" s="640">
        <f t="shared" si="33"/>
        <v>0</v>
      </c>
      <c r="AA74" s="640">
        <f t="shared" si="33"/>
        <v>0</v>
      </c>
      <c r="AB74" s="640">
        <f t="shared" si="33"/>
        <v>0</v>
      </c>
      <c r="AC74" s="640">
        <f t="shared" si="33"/>
        <v>0</v>
      </c>
      <c r="AD74" s="640">
        <f t="shared" si="33"/>
        <v>0</v>
      </c>
      <c r="AE74" s="640">
        <f t="shared" si="33"/>
        <v>0</v>
      </c>
      <c r="AF74" s="640">
        <f t="shared" si="33"/>
        <v>-1089050.2343549114</v>
      </c>
      <c r="AG74" s="640">
        <f t="shared" si="33"/>
        <v>-31829.237364266599</v>
      </c>
      <c r="AH74" s="640">
        <f t="shared" si="33"/>
        <v>-20623.387714089127</v>
      </c>
      <c r="AI74" s="640">
        <f t="shared" ref="AI74:BO74" si="34">AI64-AI73</f>
        <v>-1050187.4360498115</v>
      </c>
      <c r="AJ74" s="640">
        <f t="shared" si="34"/>
        <v>-1050187.4360498115</v>
      </c>
      <c r="AK74" s="640">
        <f t="shared" si="34"/>
        <v>-11823.997639544308</v>
      </c>
      <c r="AL74" s="640">
        <f t="shared" si="34"/>
        <v>-2296739.5414964296</v>
      </c>
      <c r="AM74" s="640">
        <f t="shared" si="34"/>
        <v>361702.75852675288</v>
      </c>
      <c r="AN74" s="640">
        <f t="shared" si="34"/>
        <v>0</v>
      </c>
      <c r="AO74" s="640">
        <f t="shared" si="34"/>
        <v>0</v>
      </c>
      <c r="AP74" s="640">
        <f t="shared" si="34"/>
        <v>0</v>
      </c>
      <c r="AQ74" s="640">
        <f t="shared" si="34"/>
        <v>0</v>
      </c>
      <c r="AR74" s="640">
        <f t="shared" si="34"/>
        <v>0</v>
      </c>
      <c r="AS74" s="640">
        <f t="shared" si="34"/>
        <v>0</v>
      </c>
      <c r="AT74" s="640">
        <f t="shared" si="34"/>
        <v>0</v>
      </c>
      <c r="AU74" s="640">
        <f t="shared" si="34"/>
        <v>0</v>
      </c>
      <c r="AV74" s="640">
        <f t="shared" si="34"/>
        <v>0</v>
      </c>
      <c r="AW74" s="640">
        <f t="shared" si="34"/>
        <v>0</v>
      </c>
      <c r="AX74" s="640">
        <f t="shared" si="34"/>
        <v>-7333669.8500877665</v>
      </c>
      <c r="AY74" s="640">
        <f t="shared" si="34"/>
        <v>0</v>
      </c>
      <c r="AZ74" s="640">
        <f t="shared" si="34"/>
        <v>0</v>
      </c>
      <c r="BA74" s="640">
        <f t="shared" si="34"/>
        <v>-1648371.1886033691</v>
      </c>
      <c r="BB74" s="640">
        <f t="shared" si="34"/>
        <v>0</v>
      </c>
      <c r="BC74" s="640">
        <f t="shared" si="34"/>
        <v>-1251494.1973744545</v>
      </c>
      <c r="BD74" s="640">
        <f t="shared" si="34"/>
        <v>-11265165.296393236</v>
      </c>
      <c r="BE74" s="640">
        <f t="shared" si="34"/>
        <v>-42256.575912472443</v>
      </c>
      <c r="BF74" s="640">
        <f t="shared" si="34"/>
        <v>0</v>
      </c>
      <c r="BG74" s="640">
        <f t="shared" si="34"/>
        <v>0</v>
      </c>
      <c r="BH74" s="640">
        <f t="shared" si="34"/>
        <v>0</v>
      </c>
      <c r="BI74" s="640">
        <f t="shared" si="34"/>
        <v>-1550505.5499383877</v>
      </c>
      <c r="BJ74" s="640">
        <f t="shared" si="34"/>
        <v>25668.118094438221</v>
      </c>
      <c r="BK74" s="640">
        <f t="shared" si="34"/>
        <v>-113599.32829416769</v>
      </c>
      <c r="BL74" s="640">
        <f t="shared" si="34"/>
        <v>0</v>
      </c>
      <c r="BM74" s="640">
        <f t="shared" si="34"/>
        <v>0</v>
      </c>
      <c r="BN74" s="640">
        <f t="shared" si="34"/>
        <v>0</v>
      </c>
      <c r="BO74" s="640">
        <f t="shared" si="34"/>
        <v>-25126254.649118647</v>
      </c>
      <c r="BP74" s="640">
        <f t="shared" ref="BP74" si="35">BP64-BP73</f>
        <v>-26176442.085168459</v>
      </c>
    </row>
    <row r="75" spans="1:70" s="287" customFormat="1">
      <c r="C75" s="157"/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7"/>
      <c r="S75" s="157"/>
      <c r="T75" s="157"/>
      <c r="U75" s="157"/>
      <c r="V75" s="157"/>
      <c r="W75" s="157"/>
      <c r="X75" s="157"/>
      <c r="Y75" s="157"/>
      <c r="Z75" s="157"/>
      <c r="AA75" s="157"/>
      <c r="AB75" s="157"/>
      <c r="AC75" s="157"/>
      <c r="AD75" s="157"/>
      <c r="AE75" s="157"/>
      <c r="AF75" s="157"/>
      <c r="AG75" s="157"/>
      <c r="AH75" s="157"/>
      <c r="AI75" s="157"/>
      <c r="AJ75" s="157"/>
      <c r="AK75" s="157"/>
      <c r="AL75" s="157"/>
      <c r="AM75" s="157"/>
      <c r="AN75" s="157"/>
      <c r="AO75" s="157"/>
      <c r="AP75" s="157"/>
      <c r="AQ75" s="157"/>
      <c r="AR75" s="157"/>
      <c r="AS75" s="157"/>
      <c r="AT75" s="157"/>
      <c r="AU75" s="157"/>
      <c r="AV75" s="157"/>
      <c r="AW75" s="157"/>
      <c r="AX75" s="157"/>
      <c r="AY75" s="157"/>
      <c r="AZ75" s="157"/>
      <c r="BA75" s="157"/>
      <c r="BB75" s="157"/>
      <c r="BC75" s="157"/>
      <c r="BD75" s="157"/>
      <c r="BE75" s="157"/>
      <c r="BF75" s="157"/>
      <c r="BG75" s="157"/>
      <c r="BH75" s="157"/>
      <c r="BI75" s="157"/>
      <c r="BJ75" s="157"/>
      <c r="BK75" s="157"/>
      <c r="BL75" s="157"/>
      <c r="BM75" s="157"/>
      <c r="BN75" s="157"/>
      <c r="BO75" s="157"/>
      <c r="BP75" s="157"/>
    </row>
    <row r="76" spans="1:70" s="287" customFormat="1"/>
    <row r="77" spans="1:70">
      <c r="B77" s="325" t="s">
        <v>197</v>
      </c>
      <c r="C77" s="326"/>
      <c r="D77" s="326"/>
      <c r="E77" s="327"/>
      <c r="F77" s="327"/>
      <c r="G77" s="326"/>
      <c r="H77" s="327"/>
      <c r="I77" s="327"/>
      <c r="J77" s="326"/>
      <c r="K77" s="327"/>
      <c r="L77" s="327"/>
      <c r="M77" s="326"/>
      <c r="N77" s="327"/>
      <c r="O77" s="327"/>
      <c r="P77" s="326"/>
      <c r="Q77" s="326"/>
      <c r="R77" s="326"/>
      <c r="S77" s="326"/>
      <c r="T77" s="326"/>
      <c r="U77" s="327"/>
      <c r="V77" s="327"/>
      <c r="W77" s="327"/>
      <c r="X77" s="327"/>
      <c r="Y77" s="326"/>
      <c r="Z77" s="326"/>
      <c r="AA77" s="327"/>
      <c r="AB77" s="327"/>
      <c r="AC77" s="327"/>
      <c r="AD77" s="327"/>
      <c r="AE77" s="327"/>
      <c r="AF77" s="327"/>
      <c r="AG77" s="327"/>
      <c r="AH77" s="327"/>
      <c r="AI77" s="327"/>
      <c r="AJ77" s="326"/>
      <c r="AK77" s="327"/>
      <c r="AL77" s="327"/>
      <c r="AM77" s="327"/>
      <c r="AN77" s="327"/>
      <c r="AO77" s="327"/>
      <c r="AP77" s="327"/>
      <c r="AQ77" s="327"/>
      <c r="AR77" s="327"/>
      <c r="AS77" s="327"/>
      <c r="AT77" s="327"/>
      <c r="AU77" s="327"/>
      <c r="AV77" s="327"/>
      <c r="AW77" s="327"/>
      <c r="AX77" s="327"/>
      <c r="AY77" s="327"/>
      <c r="AZ77" s="327"/>
      <c r="BA77" s="327"/>
      <c r="BB77" s="327"/>
      <c r="BC77" s="327"/>
      <c r="BD77" s="327"/>
      <c r="BE77" s="327"/>
      <c r="BF77" s="327"/>
      <c r="BG77" s="327"/>
      <c r="BH77" s="327"/>
      <c r="BI77" s="327"/>
      <c r="BJ77" s="327"/>
      <c r="BK77" s="327"/>
      <c r="BL77" s="327"/>
      <c r="BM77" s="327"/>
      <c r="BN77" s="327"/>
      <c r="BO77" s="326"/>
      <c r="BP77" s="327"/>
      <c r="BQ77" s="325" t="s">
        <v>197</v>
      </c>
      <c r="BR77" s="286" t="s">
        <v>203</v>
      </c>
    </row>
    <row r="78" spans="1:70">
      <c r="B78" s="328" t="s">
        <v>199</v>
      </c>
      <c r="C78" s="329">
        <v>391140691.10000062</v>
      </c>
      <c r="D78" s="329">
        <v>8327800.1577338427</v>
      </c>
      <c r="E78" s="329">
        <v>3965156.9663860002</v>
      </c>
      <c r="F78" s="329">
        <v>-14935653.446827501</v>
      </c>
      <c r="G78" s="329">
        <v>33105346.195774816</v>
      </c>
      <c r="H78" s="329">
        <v>-1955986.2286396027</v>
      </c>
      <c r="I78" s="329">
        <v>66597.374865170947</v>
      </c>
      <c r="J78" s="329">
        <v>303153.75903630909</v>
      </c>
      <c r="K78" s="329">
        <v>184145.16401528011</v>
      </c>
      <c r="L78" s="329">
        <v>71834.764841626398</v>
      </c>
      <c r="M78" s="329">
        <v>5301.3344264041589</v>
      </c>
      <c r="N78" s="329">
        <v>-803909.33835699933</v>
      </c>
      <c r="O78" s="329">
        <v>-496557.58700637007</v>
      </c>
      <c r="P78" s="329">
        <v>-1726149.211916219</v>
      </c>
      <c r="Q78" s="329">
        <v>319945.96958497842</v>
      </c>
      <c r="R78" s="329">
        <v>-61810.425156236211</v>
      </c>
      <c r="S78" s="329">
        <v>-13156.595940416744</v>
      </c>
      <c r="T78" s="329">
        <v>-23850.252119969373</v>
      </c>
      <c r="U78" s="329">
        <v>0</v>
      </c>
      <c r="V78" s="329">
        <v>-16904953.479322143</v>
      </c>
      <c r="W78" s="329">
        <v>340892.94246068329</v>
      </c>
      <c r="X78" s="329">
        <v>-7589560.1894254955</v>
      </c>
      <c r="Y78" s="329">
        <v>-68620.043849999958</v>
      </c>
      <c r="Z78" s="329">
        <v>167530.56</v>
      </c>
      <c r="AA78" s="329">
        <v>-32912585.679400001</v>
      </c>
      <c r="AB78" s="329">
        <v>-11000.8474333339</v>
      </c>
      <c r="AC78" s="329">
        <v>1668426.4785019332</v>
      </c>
      <c r="AD78" s="329">
        <v>0</v>
      </c>
      <c r="AE78" s="329">
        <v>0</v>
      </c>
      <c r="AF78" s="623"/>
      <c r="AG78" s="623"/>
      <c r="AH78" s="623"/>
      <c r="AI78" s="329">
        <v>-28977661.657767266</v>
      </c>
      <c r="AJ78" s="329">
        <v>362163029.44223428</v>
      </c>
      <c r="AK78" s="329">
        <v>-25687973.340135377</v>
      </c>
      <c r="AL78" s="329">
        <v>6844287.5880840775</v>
      </c>
      <c r="AM78" s="329">
        <v>-387245.83443807182</v>
      </c>
      <c r="AN78" s="329">
        <v>-71834.764841627039</v>
      </c>
      <c r="AO78" s="329">
        <v>-5301.3344264041589</v>
      </c>
      <c r="AP78" s="329">
        <v>-442588.79427990015</v>
      </c>
      <c r="AQ78" s="329">
        <v>-3003557.1583568119</v>
      </c>
      <c r="AR78" s="329">
        <v>-208177.32402600534</v>
      </c>
      <c r="AS78" s="329">
        <v>-691246.88851637836</v>
      </c>
      <c r="AT78" s="329">
        <v>-410038.445266667</v>
      </c>
      <c r="AU78" s="329">
        <v>-120117.65165375613</v>
      </c>
      <c r="AV78" s="329">
        <v>-4864376.4922224488</v>
      </c>
      <c r="AW78" s="329">
        <v>394548.96938773646</v>
      </c>
      <c r="AX78" s="329">
        <v>-9627593.762031367</v>
      </c>
      <c r="AY78" s="329">
        <v>477330.77329275</v>
      </c>
      <c r="AZ78" s="329">
        <v>9006372.2399999984</v>
      </c>
      <c r="BA78" s="329">
        <v>-296261.05729127157</v>
      </c>
      <c r="BB78" s="329">
        <v>-1330725.9543599267</v>
      </c>
      <c r="BC78" s="329">
        <v>-538588.03</v>
      </c>
      <c r="BD78" s="329">
        <v>3256035.0083918869</v>
      </c>
      <c r="BE78" s="329">
        <v>518010.67067606235</v>
      </c>
      <c r="BF78" s="329">
        <v>-10681804.722000003</v>
      </c>
      <c r="BG78" s="329">
        <v>9100115.4800387621</v>
      </c>
      <c r="BH78" s="329">
        <v>4478733.8338600006</v>
      </c>
      <c r="BI78" s="329">
        <v>-292768.03540266951</v>
      </c>
      <c r="BJ78" s="329">
        <v>-2441144.5204499997</v>
      </c>
      <c r="BK78" s="329"/>
      <c r="BL78" s="329">
        <v>0</v>
      </c>
      <c r="BM78" s="329">
        <v>0</v>
      </c>
      <c r="BN78" s="329"/>
      <c r="BO78" s="329">
        <v>-27025909.5459674</v>
      </c>
      <c r="BP78" s="329">
        <v>335137119.89626694</v>
      </c>
      <c r="BQ78" s="328" t="s">
        <v>199</v>
      </c>
      <c r="BR78" s="286" t="s">
        <v>203</v>
      </c>
    </row>
    <row r="79" spans="1:70">
      <c r="B79" s="330" t="s">
        <v>200</v>
      </c>
      <c r="C79" s="108">
        <v>5208778506.3141823</v>
      </c>
      <c r="D79" s="108">
        <v>0</v>
      </c>
      <c r="E79" s="108">
        <v>0</v>
      </c>
      <c r="F79" s="108">
        <v>0</v>
      </c>
      <c r="G79" s="108">
        <v>0</v>
      </c>
      <c r="H79" s="108">
        <v>0</v>
      </c>
      <c r="I79" s="108">
        <v>0</v>
      </c>
      <c r="J79" s="108">
        <v>0</v>
      </c>
      <c r="K79" s="108">
        <v>0</v>
      </c>
      <c r="L79" s="108">
        <v>0</v>
      </c>
      <c r="M79" s="108">
        <v>0</v>
      </c>
      <c r="N79" s="108">
        <v>0</v>
      </c>
      <c r="O79" s="108">
        <v>0</v>
      </c>
      <c r="P79" s="108">
        <v>0</v>
      </c>
      <c r="Q79" s="108">
        <v>0</v>
      </c>
      <c r="R79" s="108">
        <v>0</v>
      </c>
      <c r="S79" s="108">
        <v>0</v>
      </c>
      <c r="T79" s="108">
        <v>0</v>
      </c>
      <c r="U79" s="108">
        <v>182818242.09232873</v>
      </c>
      <c r="V79" s="108">
        <v>-16904953.479322143</v>
      </c>
      <c r="W79" s="108">
        <v>0</v>
      </c>
      <c r="X79" s="108">
        <v>0</v>
      </c>
      <c r="Y79" s="108">
        <v>0</v>
      </c>
      <c r="Z79" s="108">
        <v>-1615371.4300000002</v>
      </c>
      <c r="AA79" s="108">
        <v>0</v>
      </c>
      <c r="AB79" s="108">
        <v>0</v>
      </c>
      <c r="AC79" s="108">
        <v>-11018406.688827798</v>
      </c>
      <c r="AD79" s="108">
        <v>0</v>
      </c>
      <c r="AE79" s="108">
        <v>0</v>
      </c>
      <c r="AF79" s="624"/>
      <c r="AG79" s="624"/>
      <c r="AH79" s="624"/>
      <c r="AI79" s="108">
        <v>153279510.49417877</v>
      </c>
      <c r="AJ79" s="108">
        <v>5362058016.8083611</v>
      </c>
      <c r="AK79" s="108">
        <v>0</v>
      </c>
      <c r="AL79" s="108">
        <v>0</v>
      </c>
      <c r="AM79" s="108">
        <v>0</v>
      </c>
      <c r="AN79" s="108">
        <v>0</v>
      </c>
      <c r="AO79" s="108">
        <v>0</v>
      </c>
      <c r="AP79" s="108">
        <v>0</v>
      </c>
      <c r="AQ79" s="108">
        <v>0</v>
      </c>
      <c r="AR79" s="108">
        <v>0</v>
      </c>
      <c r="AS79" s="108">
        <v>0</v>
      </c>
      <c r="AT79" s="108">
        <v>0</v>
      </c>
      <c r="AU79" s="108">
        <v>0</v>
      </c>
      <c r="AV79" s="108">
        <v>28244978.592898086</v>
      </c>
      <c r="AW79" s="108">
        <v>0</v>
      </c>
      <c r="AX79" s="108">
        <v>25877605.564484786</v>
      </c>
      <c r="AY79" s="108">
        <v>0</v>
      </c>
      <c r="AZ79" s="108">
        <v>4503186.1200000085</v>
      </c>
      <c r="BA79" s="108">
        <v>12855303.339327645</v>
      </c>
      <c r="BB79" s="108">
        <v>0</v>
      </c>
      <c r="BC79" s="108">
        <v>5481049.5432116631</v>
      </c>
      <c r="BD79" s="108">
        <v>0</v>
      </c>
      <c r="BE79" s="108">
        <v>0</v>
      </c>
      <c r="BF79" s="108">
        <v>0</v>
      </c>
      <c r="BG79" s="108">
        <v>-23391891.903797138</v>
      </c>
      <c r="BH79" s="108">
        <v>-3321469.9169705859</v>
      </c>
      <c r="BI79" s="108">
        <v>11899759.55273651</v>
      </c>
      <c r="BJ79" s="108">
        <v>4381542.8268333329</v>
      </c>
      <c r="BK79" s="108"/>
      <c r="BL79" s="108">
        <v>0</v>
      </c>
      <c r="BM79" s="108">
        <v>0</v>
      </c>
      <c r="BN79" s="108"/>
      <c r="BO79" s="108">
        <v>66530063.71872431</v>
      </c>
      <c r="BP79" s="108">
        <v>5428588080.5270853</v>
      </c>
      <c r="BQ79" s="331" t="s">
        <v>200</v>
      </c>
      <c r="BR79" s="286" t="s">
        <v>203</v>
      </c>
    </row>
    <row r="80" spans="1:70">
      <c r="B80" s="325" t="s">
        <v>198</v>
      </c>
      <c r="C80" s="326"/>
      <c r="D80" s="326"/>
      <c r="E80" s="327"/>
      <c r="F80" s="327"/>
      <c r="G80" s="326"/>
      <c r="H80" s="327"/>
      <c r="I80" s="327"/>
      <c r="J80" s="326"/>
      <c r="K80" s="327"/>
      <c r="L80" s="327"/>
      <c r="M80" s="326"/>
      <c r="N80" s="327"/>
      <c r="O80" s="327"/>
      <c r="P80" s="326"/>
      <c r="Q80" s="326"/>
      <c r="R80" s="326"/>
      <c r="S80" s="326"/>
      <c r="T80" s="326"/>
      <c r="U80" s="327"/>
      <c r="V80" s="327"/>
      <c r="W80" s="327"/>
      <c r="X80" s="327"/>
      <c r="Y80" s="326"/>
      <c r="Z80" s="326"/>
      <c r="AA80" s="327"/>
      <c r="AB80" s="327"/>
      <c r="AC80" s="327"/>
      <c r="AD80" s="327"/>
      <c r="AE80" s="327"/>
      <c r="AF80" s="327"/>
      <c r="AG80" s="327"/>
      <c r="AH80" s="327"/>
      <c r="AI80" s="327"/>
      <c r="AJ80" s="326"/>
      <c r="AK80" s="327"/>
      <c r="AL80" s="327"/>
      <c r="AM80" s="327"/>
      <c r="AN80" s="327"/>
      <c r="AO80" s="327"/>
      <c r="AP80" s="327"/>
      <c r="AQ80" s="327"/>
      <c r="AR80" s="327"/>
      <c r="AS80" s="327"/>
      <c r="AT80" s="327"/>
      <c r="AU80" s="327"/>
      <c r="AV80" s="327"/>
      <c r="AW80" s="327"/>
      <c r="AX80" s="327"/>
      <c r="AY80" s="327"/>
      <c r="AZ80" s="327"/>
      <c r="BA80" s="327"/>
      <c r="BB80" s="327"/>
      <c r="BC80" s="327"/>
      <c r="BD80" s="327"/>
      <c r="BE80" s="327"/>
      <c r="BF80" s="327"/>
      <c r="BG80" s="327"/>
      <c r="BH80" s="327"/>
      <c r="BI80" s="327"/>
      <c r="BJ80" s="327"/>
      <c r="BK80" s="327"/>
      <c r="BL80" s="327"/>
      <c r="BM80" s="327"/>
      <c r="BN80" s="327"/>
      <c r="BO80" s="326"/>
      <c r="BP80" s="327"/>
      <c r="BQ80" s="325" t="s">
        <v>198</v>
      </c>
      <c r="BR80" s="286" t="s">
        <v>203</v>
      </c>
    </row>
    <row r="81" spans="1:70">
      <c r="B81" s="332" t="s">
        <v>199</v>
      </c>
      <c r="C81" s="424">
        <f t="shared" ref="C81:AE81" si="36">C46</f>
        <v>391140691.10000062</v>
      </c>
      <c r="D81" s="424">
        <f t="shared" si="36"/>
        <v>8327800.1577338427</v>
      </c>
      <c r="E81" s="424">
        <f t="shared" si="36"/>
        <v>4922912.8320278507</v>
      </c>
      <c r="F81" s="424">
        <f t="shared" si="36"/>
        <v>-14935653.446827501</v>
      </c>
      <c r="G81" s="424">
        <f t="shared" si="36"/>
        <v>33118422.164963614</v>
      </c>
      <c r="H81" s="424">
        <f t="shared" si="36"/>
        <v>-1955986.2286396027</v>
      </c>
      <c r="I81" s="424">
        <f t="shared" si="36"/>
        <v>66597.374865170947</v>
      </c>
      <c r="J81" s="424">
        <f t="shared" si="36"/>
        <v>303153.75903630909</v>
      </c>
      <c r="K81" s="424">
        <f t="shared" si="36"/>
        <v>184145.16401528011</v>
      </c>
      <c r="L81" s="424">
        <f t="shared" si="36"/>
        <v>71834.764841626398</v>
      </c>
      <c r="M81" s="424">
        <f t="shared" si="36"/>
        <v>5301.3344264041589</v>
      </c>
      <c r="N81" s="424">
        <f t="shared" si="36"/>
        <v>-803909.33835699933</v>
      </c>
      <c r="O81" s="424">
        <f t="shared" si="36"/>
        <v>-496557.58700637007</v>
      </c>
      <c r="P81" s="424">
        <f t="shared" si="36"/>
        <v>-1726149.211916219</v>
      </c>
      <c r="Q81" s="424">
        <f t="shared" si="36"/>
        <v>319951.38960871822</v>
      </c>
      <c r="R81" s="424">
        <f t="shared" si="36"/>
        <v>-61810.425156236211</v>
      </c>
      <c r="S81" s="424">
        <f t="shared" si="36"/>
        <v>-13156.595940416744</v>
      </c>
      <c r="T81" s="424">
        <f t="shared" si="36"/>
        <v>-23850.252119969373</v>
      </c>
      <c r="U81" s="424">
        <f t="shared" si="36"/>
        <v>0</v>
      </c>
      <c r="V81" s="424">
        <f t="shared" si="36"/>
        <v>-16904953.479322143</v>
      </c>
      <c r="W81" s="424">
        <f t="shared" si="36"/>
        <v>340892.94246068329</v>
      </c>
      <c r="X81" s="424">
        <f t="shared" si="36"/>
        <v>-8047883.1010393854</v>
      </c>
      <c r="Y81" s="424">
        <f t="shared" si="36"/>
        <v>-68620.043849999958</v>
      </c>
      <c r="Z81" s="424">
        <f t="shared" si="36"/>
        <v>167530.56</v>
      </c>
      <c r="AA81" s="424">
        <f t="shared" si="36"/>
        <v>-32912585.679400001</v>
      </c>
      <c r="AB81" s="424">
        <f t="shared" si="36"/>
        <v>-11000.8474333339</v>
      </c>
      <c r="AC81" s="424">
        <f t="shared" si="36"/>
        <v>1668426.4785019332</v>
      </c>
      <c r="AD81" s="424">
        <f t="shared" si="36"/>
        <v>0</v>
      </c>
      <c r="AE81" s="424">
        <f t="shared" si="36"/>
        <v>0</v>
      </c>
      <c r="AF81" s="424"/>
      <c r="AG81" s="424"/>
      <c r="AH81" s="424"/>
      <c r="AI81" s="424">
        <f t="shared" ref="AI81:BM81" si="37">AI46</f>
        <v>-28033322.633888543</v>
      </c>
      <c r="AJ81" s="424">
        <f t="shared" si="37"/>
        <v>363107368.46611285</v>
      </c>
      <c r="AK81" s="424">
        <f t="shared" si="37"/>
        <v>-25679089.012964979</v>
      </c>
      <c r="AL81" s="424">
        <f t="shared" si="37"/>
        <v>8570014.0415132064</v>
      </c>
      <c r="AM81" s="424">
        <f t="shared" si="37"/>
        <v>-659022.41484294983</v>
      </c>
      <c r="AN81" s="424">
        <f t="shared" si="37"/>
        <v>-71834.764841627039</v>
      </c>
      <c r="AO81" s="424">
        <f t="shared" si="37"/>
        <v>-5301.3344264041589</v>
      </c>
      <c r="AP81" s="424">
        <f t="shared" si="37"/>
        <v>-442588.00130389305</v>
      </c>
      <c r="AQ81" s="424">
        <f t="shared" si="37"/>
        <v>-3003557.1583568119</v>
      </c>
      <c r="AR81" s="424">
        <f t="shared" si="37"/>
        <v>-208177.32402600534</v>
      </c>
      <c r="AS81" s="424">
        <f t="shared" si="37"/>
        <v>-691246.88851637836</v>
      </c>
      <c r="AT81" s="424">
        <f t="shared" si="37"/>
        <v>2791831.5547333327</v>
      </c>
      <c r="AU81" s="424">
        <f t="shared" si="37"/>
        <v>-120117.65165375613</v>
      </c>
      <c r="AV81" s="424">
        <f t="shared" si="37"/>
        <v>-4864376.4922224488</v>
      </c>
      <c r="AW81" s="424">
        <f t="shared" si="37"/>
        <v>394548.96938773646</v>
      </c>
      <c r="AX81" s="424">
        <f t="shared" si="37"/>
        <v>-5181410.1925229533</v>
      </c>
      <c r="AY81" s="424">
        <f t="shared" si="37"/>
        <v>477330.77329275</v>
      </c>
      <c r="AZ81" s="424">
        <f t="shared" si="37"/>
        <v>9006372.2399999984</v>
      </c>
      <c r="BA81" s="424">
        <f t="shared" si="37"/>
        <v>0</v>
      </c>
      <c r="BB81" s="424">
        <f t="shared" si="37"/>
        <v>-1330725.9543599267</v>
      </c>
      <c r="BC81" s="424">
        <f t="shared" si="37"/>
        <v>0</v>
      </c>
      <c r="BD81" s="424">
        <f t="shared" si="37"/>
        <v>11720466.173961133</v>
      </c>
      <c r="BE81" s="424">
        <f t="shared" si="37"/>
        <v>549761.45894175186</v>
      </c>
      <c r="BF81" s="424">
        <f t="shared" si="37"/>
        <v>-10681804.722000003</v>
      </c>
      <c r="BG81" s="424">
        <f t="shared" si="37"/>
        <v>9100115.4800387621</v>
      </c>
      <c r="BH81" s="424">
        <f t="shared" si="37"/>
        <v>4478733.8338600006</v>
      </c>
      <c r="BI81" s="424">
        <f t="shared" si="37"/>
        <v>0</v>
      </c>
      <c r="BJ81" s="424">
        <f t="shared" si="37"/>
        <v>-2441144.5204499997</v>
      </c>
      <c r="BK81" s="424"/>
      <c r="BL81" s="424">
        <f t="shared" si="37"/>
        <v>0</v>
      </c>
      <c r="BM81" s="424">
        <f t="shared" si="37"/>
        <v>0</v>
      </c>
      <c r="BN81" s="424"/>
      <c r="BO81" s="424">
        <f>BO46</f>
        <v>-8246191.9067594111</v>
      </c>
      <c r="BP81" s="424">
        <f>BP46</f>
        <v>354861176.55935359</v>
      </c>
      <c r="BQ81" s="332" t="s">
        <v>199</v>
      </c>
      <c r="BR81" s="286" t="s">
        <v>203</v>
      </c>
    </row>
    <row r="82" spans="1:70">
      <c r="B82" s="333" t="s">
        <v>200</v>
      </c>
      <c r="C82" s="334">
        <f t="shared" ref="C82:AE82" si="38">C48</f>
        <v>5208778506.3049917</v>
      </c>
      <c r="D82" s="334">
        <f t="shared" si="38"/>
        <v>0</v>
      </c>
      <c r="E82" s="334">
        <f t="shared" si="38"/>
        <v>0</v>
      </c>
      <c r="F82" s="334">
        <f t="shared" si="38"/>
        <v>0</v>
      </c>
      <c r="G82" s="334">
        <f t="shared" si="38"/>
        <v>0</v>
      </c>
      <c r="H82" s="334">
        <f t="shared" si="38"/>
        <v>0</v>
      </c>
      <c r="I82" s="334">
        <f t="shared" si="38"/>
        <v>0</v>
      </c>
      <c r="J82" s="334">
        <f t="shared" si="38"/>
        <v>0</v>
      </c>
      <c r="K82" s="334">
        <f t="shared" si="38"/>
        <v>0</v>
      </c>
      <c r="L82" s="334">
        <f t="shared" si="38"/>
        <v>0</v>
      </c>
      <c r="M82" s="334">
        <f t="shared" si="38"/>
        <v>0</v>
      </c>
      <c r="N82" s="334">
        <f t="shared" si="38"/>
        <v>0</v>
      </c>
      <c r="O82" s="334">
        <f t="shared" si="38"/>
        <v>0</v>
      </c>
      <c r="P82" s="334">
        <f t="shared" si="38"/>
        <v>0</v>
      </c>
      <c r="Q82" s="334">
        <f t="shared" si="38"/>
        <v>0</v>
      </c>
      <c r="R82" s="334">
        <f t="shared" si="38"/>
        <v>0</v>
      </c>
      <c r="S82" s="334">
        <f t="shared" si="38"/>
        <v>0</v>
      </c>
      <c r="T82" s="334">
        <f t="shared" si="38"/>
        <v>0</v>
      </c>
      <c r="U82" s="334">
        <f t="shared" si="38"/>
        <v>190746231.15314114</v>
      </c>
      <c r="V82" s="334">
        <f t="shared" si="38"/>
        <v>-16904953.479322143</v>
      </c>
      <c r="W82" s="334">
        <f t="shared" si="38"/>
        <v>0</v>
      </c>
      <c r="X82" s="334">
        <f t="shared" si="38"/>
        <v>0</v>
      </c>
      <c r="Y82" s="334">
        <f t="shared" si="38"/>
        <v>0</v>
      </c>
      <c r="Z82" s="334">
        <f t="shared" si="38"/>
        <v>-1615371.4300000002</v>
      </c>
      <c r="AA82" s="334">
        <f t="shared" si="38"/>
        <v>0</v>
      </c>
      <c r="AB82" s="334">
        <f t="shared" si="38"/>
        <v>0</v>
      </c>
      <c r="AC82" s="334">
        <f t="shared" si="38"/>
        <v>-11018406.688827798</v>
      </c>
      <c r="AD82" s="334">
        <f t="shared" si="38"/>
        <v>0</v>
      </c>
      <c r="AE82" s="334">
        <f t="shared" si="38"/>
        <v>0</v>
      </c>
      <c r="AF82" s="334"/>
      <c r="AG82" s="334"/>
      <c r="AH82" s="334"/>
      <c r="AI82" s="334">
        <f t="shared" ref="AI82:BM82" si="39">AI48</f>
        <v>155397419.34509224</v>
      </c>
      <c r="AJ82" s="334">
        <f t="shared" si="39"/>
        <v>5364175925.6500835</v>
      </c>
      <c r="AK82" s="334">
        <f t="shared" si="39"/>
        <v>0</v>
      </c>
      <c r="AL82" s="334">
        <f t="shared" si="39"/>
        <v>0</v>
      </c>
      <c r="AM82" s="334">
        <f t="shared" si="39"/>
        <v>0</v>
      </c>
      <c r="AN82" s="334">
        <f t="shared" si="39"/>
        <v>0</v>
      </c>
      <c r="AO82" s="334">
        <f t="shared" si="39"/>
        <v>0</v>
      </c>
      <c r="AP82" s="334">
        <f t="shared" si="39"/>
        <v>0</v>
      </c>
      <c r="AQ82" s="334">
        <f t="shared" si="39"/>
        <v>0</v>
      </c>
      <c r="AR82" s="334">
        <f t="shared" si="39"/>
        <v>0</v>
      </c>
      <c r="AS82" s="334">
        <f t="shared" si="39"/>
        <v>0</v>
      </c>
      <c r="AT82" s="334">
        <f t="shared" si="39"/>
        <v>0</v>
      </c>
      <c r="AU82" s="334">
        <f t="shared" si="39"/>
        <v>0</v>
      </c>
      <c r="AV82" s="334">
        <f t="shared" si="39"/>
        <v>28244978.592898086</v>
      </c>
      <c r="AW82" s="334">
        <f t="shared" si="39"/>
        <v>0</v>
      </c>
      <c r="AX82" s="334">
        <f t="shared" si="39"/>
        <v>11359234.266798822</v>
      </c>
      <c r="AY82" s="334">
        <f t="shared" si="39"/>
        <v>0</v>
      </c>
      <c r="AZ82" s="334">
        <f t="shared" si="39"/>
        <v>4503186.1200000085</v>
      </c>
      <c r="BA82" s="334">
        <f t="shared" si="39"/>
        <v>0</v>
      </c>
      <c r="BB82" s="334">
        <f t="shared" si="39"/>
        <v>0</v>
      </c>
      <c r="BC82" s="334">
        <f t="shared" si="39"/>
        <v>0</v>
      </c>
      <c r="BD82" s="334">
        <f t="shared" si="39"/>
        <v>0</v>
      </c>
      <c r="BE82" s="334">
        <f t="shared" si="39"/>
        <v>0</v>
      </c>
      <c r="BF82" s="334">
        <f t="shared" si="39"/>
        <v>0</v>
      </c>
      <c r="BG82" s="334">
        <f t="shared" si="39"/>
        <v>-23391891.903797138</v>
      </c>
      <c r="BH82" s="334">
        <f t="shared" si="39"/>
        <v>-3321469.9169705859</v>
      </c>
      <c r="BI82" s="334">
        <f t="shared" si="39"/>
        <v>0</v>
      </c>
      <c r="BJ82" s="334">
        <f t="shared" si="39"/>
        <v>4644660.6473233327</v>
      </c>
      <c r="BK82" s="334"/>
      <c r="BL82" s="334">
        <f t="shared" si="39"/>
        <v>0</v>
      </c>
      <c r="BM82" s="334">
        <f t="shared" si="39"/>
        <v>0</v>
      </c>
      <c r="BN82" s="334"/>
      <c r="BO82" s="334">
        <f>BO48</f>
        <v>21488542.596252523</v>
      </c>
      <c r="BP82" s="334">
        <f>BP48</f>
        <v>5385664468.246336</v>
      </c>
      <c r="BQ82" s="333" t="s">
        <v>200</v>
      </c>
      <c r="BR82" s="286" t="s">
        <v>203</v>
      </c>
    </row>
    <row r="83" spans="1:70">
      <c r="B83" s="325" t="s">
        <v>201</v>
      </c>
      <c r="C83" s="326"/>
      <c r="D83" s="326"/>
      <c r="E83" s="327"/>
      <c r="F83" s="327"/>
      <c r="G83" s="326"/>
      <c r="H83" s="327"/>
      <c r="I83" s="327"/>
      <c r="J83" s="326"/>
      <c r="K83" s="327"/>
      <c r="L83" s="327"/>
      <c r="M83" s="326"/>
      <c r="N83" s="327"/>
      <c r="O83" s="327"/>
      <c r="P83" s="326"/>
      <c r="Q83" s="326"/>
      <c r="R83" s="326"/>
      <c r="S83" s="326"/>
      <c r="T83" s="326"/>
      <c r="U83" s="327"/>
      <c r="V83" s="327"/>
      <c r="W83" s="327"/>
      <c r="X83" s="327"/>
      <c r="Y83" s="326"/>
      <c r="Z83" s="326"/>
      <c r="AA83" s="327"/>
      <c r="AB83" s="327"/>
      <c r="AC83" s="327"/>
      <c r="AD83" s="327"/>
      <c r="AE83" s="327"/>
      <c r="AF83" s="327"/>
      <c r="AG83" s="327"/>
      <c r="AH83" s="327"/>
      <c r="AI83" s="327"/>
      <c r="AJ83" s="326"/>
      <c r="AK83" s="327"/>
      <c r="AL83" s="327"/>
      <c r="AM83" s="327"/>
      <c r="AN83" s="327"/>
      <c r="AO83" s="327"/>
      <c r="AP83" s="327"/>
      <c r="AQ83" s="327"/>
      <c r="AR83" s="327"/>
      <c r="AS83" s="327"/>
      <c r="AT83" s="327"/>
      <c r="AU83" s="327"/>
      <c r="AV83" s="327"/>
      <c r="AW83" s="327"/>
      <c r="AX83" s="327"/>
      <c r="AY83" s="327"/>
      <c r="AZ83" s="327"/>
      <c r="BA83" s="327"/>
      <c r="BB83" s="327"/>
      <c r="BC83" s="327"/>
      <c r="BD83" s="327"/>
      <c r="BE83" s="327"/>
      <c r="BF83" s="327"/>
      <c r="BG83" s="327"/>
      <c r="BH83" s="327"/>
      <c r="BI83" s="327"/>
      <c r="BJ83" s="327"/>
      <c r="BK83" s="327"/>
      <c r="BL83" s="327"/>
      <c r="BM83" s="327"/>
      <c r="BN83" s="327"/>
      <c r="BO83" s="326"/>
      <c r="BP83" s="327"/>
      <c r="BQ83" s="325" t="s">
        <v>201</v>
      </c>
      <c r="BR83" s="286" t="s">
        <v>203</v>
      </c>
    </row>
    <row r="84" spans="1:70" ht="15" customHeight="1">
      <c r="B84" s="335" t="s">
        <v>194</v>
      </c>
      <c r="C84" s="425">
        <f t="shared" ref="C84:AK84" si="40">C81-C78</f>
        <v>0</v>
      </c>
      <c r="D84" s="425">
        <f t="shared" si="40"/>
        <v>0</v>
      </c>
      <c r="E84" s="425">
        <f t="shared" si="40"/>
        <v>957755.86564185051</v>
      </c>
      <c r="F84" s="425">
        <f t="shared" si="40"/>
        <v>0</v>
      </c>
      <c r="G84" s="425">
        <f t="shared" si="40"/>
        <v>13075.969188798219</v>
      </c>
      <c r="H84" s="425">
        <f t="shared" si="40"/>
        <v>0</v>
      </c>
      <c r="I84" s="425">
        <f t="shared" si="40"/>
        <v>0</v>
      </c>
      <c r="J84" s="425">
        <f t="shared" si="40"/>
        <v>0</v>
      </c>
      <c r="K84" s="425">
        <f t="shared" si="40"/>
        <v>0</v>
      </c>
      <c r="L84" s="425">
        <f t="shared" si="40"/>
        <v>0</v>
      </c>
      <c r="M84" s="425">
        <f t="shared" si="40"/>
        <v>0</v>
      </c>
      <c r="N84" s="425">
        <f t="shared" si="40"/>
        <v>0</v>
      </c>
      <c r="O84" s="425">
        <f t="shared" si="40"/>
        <v>0</v>
      </c>
      <c r="P84" s="425">
        <f t="shared" si="40"/>
        <v>0</v>
      </c>
      <c r="Q84" s="425">
        <f t="shared" si="40"/>
        <v>5.4200237398035824</v>
      </c>
      <c r="R84" s="425">
        <f t="shared" si="40"/>
        <v>0</v>
      </c>
      <c r="S84" s="425">
        <f t="shared" si="40"/>
        <v>0</v>
      </c>
      <c r="T84" s="425">
        <f t="shared" si="40"/>
        <v>0</v>
      </c>
      <c r="U84" s="425">
        <f t="shared" si="40"/>
        <v>0</v>
      </c>
      <c r="V84" s="425">
        <f t="shared" si="40"/>
        <v>0</v>
      </c>
      <c r="W84" s="425">
        <f t="shared" si="40"/>
        <v>0</v>
      </c>
      <c r="X84" s="425">
        <f t="shared" si="40"/>
        <v>-458322.91161388997</v>
      </c>
      <c r="Y84" s="425">
        <f t="shared" si="40"/>
        <v>0</v>
      </c>
      <c r="Z84" s="425">
        <f t="shared" si="40"/>
        <v>0</v>
      </c>
      <c r="AA84" s="425">
        <f t="shared" si="40"/>
        <v>0</v>
      </c>
      <c r="AB84" s="426">
        <f t="shared" si="40"/>
        <v>0</v>
      </c>
      <c r="AC84" s="425">
        <f t="shared" si="40"/>
        <v>0</v>
      </c>
      <c r="AD84" s="425">
        <f t="shared" si="40"/>
        <v>0</v>
      </c>
      <c r="AE84" s="425">
        <f t="shared" si="40"/>
        <v>0</v>
      </c>
      <c r="AF84" s="425"/>
      <c r="AG84" s="425"/>
      <c r="AH84" s="425"/>
      <c r="AI84" s="425">
        <f t="shared" si="40"/>
        <v>944339.02387872338</v>
      </c>
      <c r="AJ84" s="425">
        <f t="shared" si="40"/>
        <v>944339.02387857437</v>
      </c>
      <c r="AK84" s="425">
        <f t="shared" si="40"/>
        <v>8884.3271703980863</v>
      </c>
      <c r="AL84" s="425">
        <f t="shared" ref="AL84:BP84" si="41">AL81-AL78</f>
        <v>1725726.453429129</v>
      </c>
      <c r="AM84" s="631">
        <f>AM81-AM78</f>
        <v>-271776.58040487801</v>
      </c>
      <c r="AN84" s="425">
        <f t="shared" si="41"/>
        <v>0</v>
      </c>
      <c r="AO84" s="425">
        <f t="shared" si="41"/>
        <v>0</v>
      </c>
      <c r="AP84" s="425">
        <f t="shared" si="41"/>
        <v>0.79297600709833205</v>
      </c>
      <c r="AQ84" s="425">
        <f t="shared" si="41"/>
        <v>0</v>
      </c>
      <c r="AR84" s="425">
        <f t="shared" si="41"/>
        <v>0</v>
      </c>
      <c r="AS84" s="425">
        <f t="shared" si="41"/>
        <v>0</v>
      </c>
      <c r="AT84" s="425">
        <f t="shared" si="41"/>
        <v>3201869.9999999995</v>
      </c>
      <c r="AU84" s="425">
        <f t="shared" si="41"/>
        <v>0</v>
      </c>
      <c r="AV84" s="425">
        <f t="shared" si="41"/>
        <v>0</v>
      </c>
      <c r="AW84" s="425">
        <f t="shared" si="41"/>
        <v>0</v>
      </c>
      <c r="AX84" s="425">
        <f t="shared" si="41"/>
        <v>4446183.5695084138</v>
      </c>
      <c r="AY84" s="425">
        <f t="shared" si="41"/>
        <v>0</v>
      </c>
      <c r="AZ84" s="425">
        <f t="shared" si="41"/>
        <v>0</v>
      </c>
      <c r="BA84" s="425">
        <f t="shared" si="41"/>
        <v>296261.05729127157</v>
      </c>
      <c r="BB84" s="425">
        <f t="shared" si="41"/>
        <v>0</v>
      </c>
      <c r="BC84" s="425">
        <f t="shared" si="41"/>
        <v>538588.03</v>
      </c>
      <c r="BD84" s="425">
        <f t="shared" si="41"/>
        <v>8464431.1655692458</v>
      </c>
      <c r="BE84" s="425">
        <f t="shared" si="41"/>
        <v>31750.788265689509</v>
      </c>
      <c r="BF84" s="426">
        <f t="shared" si="41"/>
        <v>0</v>
      </c>
      <c r="BG84" s="425">
        <f t="shared" si="41"/>
        <v>0</v>
      </c>
      <c r="BH84" s="425">
        <f t="shared" si="41"/>
        <v>0</v>
      </c>
      <c r="BI84" s="425">
        <f t="shared" si="41"/>
        <v>292768.03540266951</v>
      </c>
      <c r="BJ84" s="425">
        <f t="shared" si="41"/>
        <v>0</v>
      </c>
      <c r="BK84" s="425"/>
      <c r="BL84" s="425">
        <f t="shared" si="41"/>
        <v>0</v>
      </c>
      <c r="BM84" s="425">
        <f t="shared" si="41"/>
        <v>0</v>
      </c>
      <c r="BN84" s="425"/>
      <c r="BO84" s="425">
        <f t="shared" si="41"/>
        <v>18779717.639207989</v>
      </c>
      <c r="BP84" s="425">
        <f t="shared" si="41"/>
        <v>19724056.663086653</v>
      </c>
      <c r="BQ84" s="335" t="s">
        <v>194</v>
      </c>
      <c r="BR84" s="336" t="s">
        <v>203</v>
      </c>
    </row>
    <row r="85" spans="1:70" ht="15.75" customHeight="1">
      <c r="B85" s="330" t="s">
        <v>196</v>
      </c>
      <c r="C85" s="337">
        <f t="shared" ref="C85:AK85" si="42">C82-C79</f>
        <v>-9.1905593872070313E-3</v>
      </c>
      <c r="D85" s="337">
        <f t="shared" si="42"/>
        <v>0</v>
      </c>
      <c r="E85" s="337">
        <f t="shared" si="42"/>
        <v>0</v>
      </c>
      <c r="F85" s="337">
        <f t="shared" si="42"/>
        <v>0</v>
      </c>
      <c r="G85" s="337">
        <f t="shared" si="42"/>
        <v>0</v>
      </c>
      <c r="H85" s="337">
        <f t="shared" si="42"/>
        <v>0</v>
      </c>
      <c r="I85" s="337">
        <f t="shared" si="42"/>
        <v>0</v>
      </c>
      <c r="J85" s="337">
        <f t="shared" si="42"/>
        <v>0</v>
      </c>
      <c r="K85" s="337">
        <f t="shared" si="42"/>
        <v>0</v>
      </c>
      <c r="L85" s="337">
        <f t="shared" si="42"/>
        <v>0</v>
      </c>
      <c r="M85" s="337">
        <f t="shared" si="42"/>
        <v>0</v>
      </c>
      <c r="N85" s="337">
        <f t="shared" si="42"/>
        <v>0</v>
      </c>
      <c r="O85" s="337">
        <f t="shared" si="42"/>
        <v>0</v>
      </c>
      <c r="P85" s="337">
        <f t="shared" si="42"/>
        <v>0</v>
      </c>
      <c r="Q85" s="337">
        <f t="shared" si="42"/>
        <v>0</v>
      </c>
      <c r="R85" s="337">
        <f t="shared" si="42"/>
        <v>0</v>
      </c>
      <c r="S85" s="337">
        <f t="shared" si="42"/>
        <v>0</v>
      </c>
      <c r="T85" s="337">
        <f t="shared" si="42"/>
        <v>0</v>
      </c>
      <c r="U85" s="337">
        <f t="shared" si="42"/>
        <v>7927989.0608124137</v>
      </c>
      <c r="V85" s="337">
        <f t="shared" si="42"/>
        <v>0</v>
      </c>
      <c r="W85" s="337">
        <f t="shared" si="42"/>
        <v>0</v>
      </c>
      <c r="X85" s="337">
        <f t="shared" si="42"/>
        <v>0</v>
      </c>
      <c r="Y85" s="337">
        <f t="shared" si="42"/>
        <v>0</v>
      </c>
      <c r="Z85" s="337">
        <f t="shared" si="42"/>
        <v>0</v>
      </c>
      <c r="AA85" s="337">
        <f t="shared" si="42"/>
        <v>0</v>
      </c>
      <c r="AB85" s="337">
        <f t="shared" si="42"/>
        <v>0</v>
      </c>
      <c r="AC85" s="337">
        <f t="shared" si="42"/>
        <v>0</v>
      </c>
      <c r="AD85" s="337">
        <f t="shared" si="42"/>
        <v>0</v>
      </c>
      <c r="AE85" s="337">
        <f t="shared" si="42"/>
        <v>0</v>
      </c>
      <c r="AF85" s="337"/>
      <c r="AG85" s="337"/>
      <c r="AH85" s="337"/>
      <c r="AI85" s="337">
        <f t="shared" si="42"/>
        <v>2117908.850913465</v>
      </c>
      <c r="AJ85" s="337">
        <f t="shared" si="42"/>
        <v>2117908.8417224884</v>
      </c>
      <c r="AK85" s="337">
        <f t="shared" si="42"/>
        <v>0</v>
      </c>
      <c r="AL85" s="337">
        <f t="shared" ref="AL85:BP85" si="43">AL82-AL79</f>
        <v>0</v>
      </c>
      <c r="AM85" s="337">
        <f t="shared" si="43"/>
        <v>0</v>
      </c>
      <c r="AN85" s="337">
        <f t="shared" si="43"/>
        <v>0</v>
      </c>
      <c r="AO85" s="337">
        <f t="shared" si="43"/>
        <v>0</v>
      </c>
      <c r="AP85" s="337">
        <f t="shared" si="43"/>
        <v>0</v>
      </c>
      <c r="AQ85" s="337">
        <f t="shared" si="43"/>
        <v>0</v>
      </c>
      <c r="AR85" s="337">
        <f t="shared" si="43"/>
        <v>0</v>
      </c>
      <c r="AS85" s="337">
        <f t="shared" si="43"/>
        <v>0</v>
      </c>
      <c r="AT85" s="337">
        <f t="shared" si="43"/>
        <v>0</v>
      </c>
      <c r="AU85" s="337">
        <f t="shared" si="43"/>
        <v>0</v>
      </c>
      <c r="AV85" s="337">
        <f t="shared" si="43"/>
        <v>0</v>
      </c>
      <c r="AW85" s="337">
        <f t="shared" si="43"/>
        <v>0</v>
      </c>
      <c r="AX85" s="337">
        <f t="shared" si="43"/>
        <v>-14518371.297685964</v>
      </c>
      <c r="AY85" s="337">
        <f t="shared" si="43"/>
        <v>0</v>
      </c>
      <c r="AZ85" s="337">
        <f t="shared" si="43"/>
        <v>0</v>
      </c>
      <c r="BA85" s="337">
        <f t="shared" si="43"/>
        <v>-12855303.339327645</v>
      </c>
      <c r="BB85" s="337">
        <f t="shared" si="43"/>
        <v>0</v>
      </c>
      <c r="BC85" s="337">
        <f t="shared" si="43"/>
        <v>-5481049.5432116631</v>
      </c>
      <c r="BD85" s="337">
        <f t="shared" si="43"/>
        <v>0</v>
      </c>
      <c r="BE85" s="337">
        <f t="shared" si="43"/>
        <v>0</v>
      </c>
      <c r="BF85" s="337">
        <f t="shared" si="43"/>
        <v>0</v>
      </c>
      <c r="BG85" s="337">
        <f t="shared" si="43"/>
        <v>0</v>
      </c>
      <c r="BH85" s="337">
        <f t="shared" si="43"/>
        <v>0</v>
      </c>
      <c r="BI85" s="337">
        <f t="shared" si="43"/>
        <v>-11899759.55273651</v>
      </c>
      <c r="BJ85" s="337">
        <f t="shared" si="43"/>
        <v>263117.82048999984</v>
      </c>
      <c r="BK85" s="337"/>
      <c r="BL85" s="337">
        <f t="shared" si="43"/>
        <v>0</v>
      </c>
      <c r="BM85" s="337">
        <f t="shared" si="43"/>
        <v>0</v>
      </c>
      <c r="BN85" s="337"/>
      <c r="BO85" s="337">
        <f t="shared" si="43"/>
        <v>-45041521.122471787</v>
      </c>
      <c r="BP85" s="337">
        <f t="shared" si="43"/>
        <v>-42923612.280749321</v>
      </c>
      <c r="BQ85" s="330" t="s">
        <v>196</v>
      </c>
      <c r="BR85" s="336" t="s">
        <v>203</v>
      </c>
    </row>
    <row r="87" spans="1:70">
      <c r="BG87" s="338"/>
      <c r="BH87" s="338"/>
      <c r="BI87" s="338"/>
      <c r="BJ87" s="338"/>
      <c r="BK87" s="338"/>
      <c r="BL87" s="338"/>
      <c r="BM87" s="338"/>
      <c r="BN87" s="338"/>
    </row>
    <row r="88" spans="1:70">
      <c r="C88" s="338"/>
      <c r="U88" s="339"/>
      <c r="V88" s="338"/>
      <c r="Z88" s="338"/>
      <c r="AI88" s="338"/>
      <c r="AJ88" s="338"/>
      <c r="AV88" s="338"/>
      <c r="BA88" s="338"/>
      <c r="BI88" s="338"/>
      <c r="BO88" s="338"/>
      <c r="BP88" s="338"/>
    </row>
    <row r="89" spans="1:70" s="118" customFormat="1">
      <c r="A89" s="16"/>
      <c r="B89" s="70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286"/>
      <c r="AJ89" s="338"/>
      <c r="AK89" s="57"/>
      <c r="AL89" s="286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  <c r="BH89" s="57"/>
      <c r="BI89" s="57"/>
      <c r="BJ89" s="57"/>
      <c r="BK89" s="57"/>
      <c r="BL89" s="57"/>
      <c r="BM89" s="57"/>
      <c r="BN89" s="57"/>
      <c r="BO89" s="57"/>
      <c r="BP89" s="57"/>
      <c r="BQ89" s="340"/>
      <c r="BR89" s="340"/>
    </row>
    <row r="90" spans="1:70" s="118" customFormat="1">
      <c r="A90" s="16"/>
      <c r="B90" s="341"/>
      <c r="C90" s="342"/>
      <c r="D90" s="342"/>
      <c r="E90" s="342"/>
      <c r="F90" s="342"/>
      <c r="G90" s="342"/>
      <c r="H90" s="342"/>
      <c r="I90" s="342"/>
      <c r="J90" s="342"/>
      <c r="K90" s="342"/>
      <c r="L90" s="342"/>
      <c r="M90" s="342"/>
      <c r="N90" s="342"/>
      <c r="O90" s="342"/>
      <c r="P90" s="342"/>
      <c r="Q90" s="342"/>
      <c r="R90" s="342"/>
      <c r="S90" s="342"/>
      <c r="T90" s="342"/>
      <c r="U90" s="342"/>
      <c r="X90" s="342"/>
      <c r="Y90" s="342"/>
      <c r="Z90" s="342"/>
      <c r="AA90" s="342"/>
      <c r="AB90" s="342"/>
      <c r="AC90" s="342"/>
      <c r="AD90" s="342"/>
      <c r="AE90" s="342"/>
      <c r="AF90" s="342"/>
      <c r="AG90" s="342"/>
      <c r="AH90" s="342"/>
      <c r="AI90" s="286"/>
      <c r="AJ90" s="286"/>
      <c r="AK90" s="342"/>
      <c r="AL90" s="286"/>
      <c r="AM90" s="342"/>
      <c r="AN90" s="342"/>
      <c r="AO90" s="342"/>
      <c r="AP90" s="342"/>
      <c r="AQ90" s="342"/>
      <c r="AR90" s="342"/>
      <c r="AS90" s="342"/>
      <c r="AT90" s="342"/>
      <c r="AU90" s="342"/>
      <c r="AV90" s="342"/>
      <c r="AW90" s="342"/>
      <c r="AX90" s="342"/>
      <c r="AY90" s="342"/>
      <c r="AZ90" s="342"/>
      <c r="BA90" s="342"/>
      <c r="BB90" s="342"/>
      <c r="BC90" s="342"/>
      <c r="BD90" s="342"/>
      <c r="BE90" s="342"/>
      <c r="BF90" s="342"/>
      <c r="BG90" s="342"/>
      <c r="BH90" s="342"/>
      <c r="BI90" s="342"/>
      <c r="BJ90" s="342"/>
      <c r="BK90" s="342"/>
      <c r="BL90" s="342"/>
      <c r="BM90" s="342"/>
      <c r="BN90" s="342"/>
      <c r="BO90" s="342"/>
      <c r="BP90" s="342"/>
      <c r="BQ90" s="340"/>
      <c r="BR90" s="340"/>
    </row>
    <row r="91" spans="1:70" s="118" customFormat="1">
      <c r="A91" s="16"/>
      <c r="B91" s="341"/>
      <c r="C91" s="343"/>
      <c r="D91" s="343"/>
      <c r="E91" s="343"/>
      <c r="F91" s="343"/>
      <c r="G91" s="343"/>
      <c r="H91" s="343"/>
      <c r="I91" s="343"/>
      <c r="J91" s="343"/>
      <c r="K91" s="343"/>
      <c r="L91" s="343"/>
      <c r="M91" s="343"/>
      <c r="N91" s="343"/>
      <c r="O91" s="343"/>
      <c r="P91" s="343"/>
      <c r="Q91" s="343"/>
      <c r="R91" s="343"/>
      <c r="S91" s="343"/>
      <c r="T91" s="343"/>
      <c r="U91" s="343"/>
      <c r="V91" s="343"/>
      <c r="W91" s="343"/>
      <c r="X91" s="343"/>
      <c r="Y91" s="343"/>
      <c r="Z91" s="343"/>
      <c r="AA91" s="343"/>
      <c r="AB91" s="343"/>
      <c r="AC91" s="343"/>
      <c r="AD91" s="343"/>
      <c r="AE91" s="343"/>
      <c r="AF91" s="343"/>
      <c r="AG91" s="343"/>
      <c r="AH91" s="343"/>
      <c r="AI91" s="343"/>
      <c r="AJ91" s="343"/>
      <c r="AK91" s="343"/>
      <c r="AL91" s="343"/>
      <c r="AM91" s="343"/>
      <c r="AN91" s="343"/>
      <c r="AO91" s="343"/>
      <c r="AP91" s="343"/>
      <c r="AQ91" s="343"/>
      <c r="AR91" s="343"/>
      <c r="AS91" s="343"/>
      <c r="AT91" s="343"/>
      <c r="AU91" s="343"/>
      <c r="AV91" s="343"/>
      <c r="AW91" s="343"/>
      <c r="AX91" s="343"/>
      <c r="AY91" s="343"/>
      <c r="AZ91" s="343"/>
      <c r="BA91" s="343"/>
      <c r="BB91" s="343"/>
      <c r="BC91" s="343"/>
      <c r="BD91" s="343"/>
      <c r="BE91" s="343"/>
      <c r="BF91" s="343"/>
      <c r="BG91" s="343"/>
      <c r="BH91" s="343"/>
      <c r="BI91" s="343"/>
      <c r="BJ91" s="343"/>
      <c r="BK91" s="343"/>
      <c r="BL91" s="343"/>
      <c r="BM91" s="343"/>
      <c r="BN91" s="343"/>
      <c r="BO91" s="343"/>
      <c r="BP91" s="343"/>
      <c r="BQ91" s="340"/>
      <c r="BR91" s="340"/>
    </row>
    <row r="92" spans="1:70" s="118" customFormat="1">
      <c r="A92" s="16"/>
      <c r="B92" s="70"/>
      <c r="C92" s="343"/>
      <c r="D92" s="343"/>
      <c r="E92" s="343"/>
      <c r="F92" s="343"/>
      <c r="G92" s="343"/>
      <c r="H92" s="343"/>
      <c r="I92" s="343"/>
      <c r="J92" s="343"/>
      <c r="K92" s="343"/>
      <c r="L92" s="343"/>
      <c r="M92" s="343"/>
      <c r="N92" s="343"/>
      <c r="O92" s="343"/>
      <c r="P92" s="343"/>
      <c r="Q92" s="343"/>
      <c r="R92" s="343"/>
      <c r="S92" s="343"/>
      <c r="T92" s="343"/>
      <c r="U92" s="343"/>
      <c r="V92" s="343"/>
      <c r="W92" s="343"/>
      <c r="X92" s="343"/>
      <c r="Y92" s="343"/>
      <c r="Z92" s="343"/>
      <c r="AA92" s="343"/>
      <c r="AB92" s="343"/>
      <c r="AC92" s="343"/>
      <c r="AD92" s="343"/>
      <c r="AE92" s="343"/>
      <c r="AF92" s="343"/>
      <c r="AG92" s="343"/>
      <c r="AH92" s="343"/>
      <c r="AI92" s="343"/>
      <c r="AJ92" s="343"/>
      <c r="AK92" s="343"/>
      <c r="AL92" s="343"/>
      <c r="AM92" s="343"/>
      <c r="AN92" s="343"/>
      <c r="AO92" s="343"/>
      <c r="AP92" s="343"/>
      <c r="AQ92" s="343"/>
      <c r="AR92" s="343"/>
      <c r="AS92" s="343"/>
      <c r="AT92" s="343"/>
      <c r="AU92" s="343"/>
      <c r="AV92" s="343"/>
      <c r="AW92" s="343"/>
      <c r="AX92" s="343"/>
      <c r="AY92" s="343"/>
      <c r="AZ92" s="343"/>
      <c r="BA92" s="343"/>
      <c r="BB92" s="343"/>
      <c r="BC92" s="343"/>
      <c r="BD92" s="343"/>
      <c r="BE92" s="343"/>
      <c r="BF92" s="343"/>
      <c r="BG92" s="343"/>
      <c r="BH92" s="343"/>
      <c r="BI92" s="343"/>
      <c r="BJ92" s="343"/>
      <c r="BK92" s="343"/>
      <c r="BL92" s="343"/>
      <c r="BM92" s="343"/>
      <c r="BN92" s="343"/>
      <c r="BO92" s="343"/>
      <c r="BP92" s="343"/>
      <c r="BQ92" s="340"/>
      <c r="BR92" s="340"/>
    </row>
    <row r="93" spans="1:70" s="118" customFormat="1">
      <c r="A93" s="16"/>
      <c r="B93" s="70"/>
      <c r="C93" s="343"/>
      <c r="D93" s="343"/>
      <c r="E93" s="343"/>
      <c r="F93" s="343"/>
      <c r="G93" s="343"/>
      <c r="H93" s="343"/>
      <c r="I93" s="343"/>
      <c r="J93" s="343"/>
      <c r="K93" s="343"/>
      <c r="L93" s="343"/>
      <c r="M93" s="343"/>
      <c r="N93" s="343"/>
      <c r="O93" s="343"/>
      <c r="P93" s="343"/>
      <c r="Q93" s="343"/>
      <c r="R93" s="343"/>
      <c r="S93" s="343"/>
      <c r="T93" s="343"/>
      <c r="U93" s="343"/>
      <c r="V93" s="343"/>
      <c r="W93" s="343"/>
      <c r="X93" s="343"/>
      <c r="Y93" s="343"/>
      <c r="Z93" s="343"/>
      <c r="AA93" s="343"/>
      <c r="AB93" s="343"/>
      <c r="AC93" s="343"/>
      <c r="AD93" s="343"/>
      <c r="AE93" s="343"/>
      <c r="AF93" s="343"/>
      <c r="AG93" s="343"/>
      <c r="AH93" s="343"/>
      <c r="AI93" s="286"/>
      <c r="AJ93" s="286"/>
      <c r="AK93" s="57"/>
      <c r="AL93" s="286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342"/>
      <c r="BB93" s="57"/>
      <c r="BC93" s="57"/>
      <c r="BD93" s="57"/>
      <c r="BE93" s="57"/>
      <c r="BF93" s="57"/>
      <c r="BG93" s="57"/>
      <c r="BH93" s="57"/>
      <c r="BI93" s="57"/>
      <c r="BJ93" s="57"/>
      <c r="BK93" s="57"/>
      <c r="BL93" s="57"/>
      <c r="BM93" s="57"/>
      <c r="BN93" s="57"/>
      <c r="BO93" s="57"/>
      <c r="BP93" s="57"/>
      <c r="BQ93" s="340"/>
      <c r="BR93" s="340"/>
    </row>
    <row r="94" spans="1:70" s="118" customFormat="1">
      <c r="A94" s="16"/>
      <c r="B94" s="70"/>
      <c r="C94" s="343"/>
      <c r="D94" s="343"/>
      <c r="E94" s="343"/>
      <c r="F94" s="343"/>
      <c r="G94" s="343"/>
      <c r="H94" s="343"/>
      <c r="I94" s="343"/>
      <c r="J94" s="343"/>
      <c r="K94" s="343"/>
      <c r="L94" s="343"/>
      <c r="M94" s="343"/>
      <c r="N94" s="343"/>
      <c r="O94" s="343"/>
      <c r="P94" s="343"/>
      <c r="Q94" s="343"/>
      <c r="R94" s="343"/>
      <c r="S94" s="343"/>
      <c r="T94" s="343"/>
      <c r="U94" s="343"/>
      <c r="V94" s="343"/>
      <c r="W94" s="343"/>
      <c r="X94" s="343"/>
      <c r="Y94" s="343"/>
      <c r="Z94" s="343"/>
      <c r="AA94" s="343"/>
      <c r="AB94" s="343"/>
      <c r="AC94" s="343"/>
      <c r="AD94" s="343"/>
      <c r="AE94" s="343"/>
      <c r="AF94" s="343"/>
      <c r="AG94" s="343"/>
      <c r="AH94" s="343"/>
      <c r="AI94" s="286"/>
      <c r="AJ94" s="286"/>
      <c r="AK94" s="57"/>
      <c r="AL94" s="286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57"/>
      <c r="BM94" s="57"/>
      <c r="BN94" s="57"/>
      <c r="BO94" s="57"/>
      <c r="BP94" s="57"/>
      <c r="BQ94" s="340"/>
      <c r="BR94" s="340"/>
    </row>
    <row r="95" spans="1:70" s="118" customFormat="1">
      <c r="A95" s="16"/>
      <c r="B95" s="70"/>
      <c r="C95" s="343"/>
      <c r="D95" s="343"/>
      <c r="E95" s="343"/>
      <c r="F95" s="343"/>
      <c r="G95" s="343"/>
      <c r="H95" s="343"/>
      <c r="I95" s="343"/>
      <c r="J95" s="343"/>
      <c r="K95" s="343"/>
      <c r="L95" s="343"/>
      <c r="M95" s="343"/>
      <c r="N95" s="343"/>
      <c r="O95" s="343"/>
      <c r="P95" s="343"/>
      <c r="Q95" s="343"/>
      <c r="R95" s="343"/>
      <c r="S95" s="343"/>
      <c r="T95" s="343"/>
      <c r="U95" s="343"/>
      <c r="V95" s="343"/>
      <c r="W95" s="343"/>
      <c r="X95" s="343"/>
      <c r="Y95" s="343"/>
      <c r="Z95" s="343"/>
      <c r="AA95" s="343"/>
      <c r="AB95" s="343"/>
      <c r="AC95" s="343"/>
      <c r="AD95" s="343"/>
      <c r="AE95" s="343"/>
      <c r="AF95" s="343"/>
      <c r="AG95" s="343"/>
      <c r="AH95" s="343"/>
      <c r="AI95" s="286"/>
      <c r="AJ95" s="286"/>
      <c r="AK95" s="57"/>
      <c r="AL95" s="286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  <c r="BP95" s="57"/>
      <c r="BQ95" s="340"/>
      <c r="BR95" s="340"/>
    </row>
    <row r="96" spans="1:70" s="118" customFormat="1">
      <c r="A96" s="16"/>
      <c r="B96" s="70"/>
      <c r="C96" s="342"/>
      <c r="D96" s="342"/>
      <c r="E96" s="342"/>
      <c r="F96" s="342"/>
      <c r="G96" s="342"/>
      <c r="H96" s="342"/>
      <c r="I96" s="342"/>
      <c r="J96" s="342"/>
      <c r="K96" s="342"/>
      <c r="L96" s="342"/>
      <c r="M96" s="342"/>
      <c r="N96" s="342"/>
      <c r="O96" s="342"/>
      <c r="P96" s="342"/>
      <c r="Q96" s="342"/>
      <c r="R96" s="342"/>
      <c r="S96" s="342"/>
      <c r="T96" s="342"/>
      <c r="U96" s="342"/>
      <c r="V96" s="342"/>
      <c r="W96" s="342"/>
      <c r="X96" s="342"/>
      <c r="Y96" s="342"/>
      <c r="Z96" s="342"/>
      <c r="AA96" s="342"/>
      <c r="AB96" s="342"/>
      <c r="AC96" s="342"/>
      <c r="AD96" s="342"/>
      <c r="AE96" s="342"/>
      <c r="AF96" s="342"/>
      <c r="AG96" s="342"/>
      <c r="AH96" s="342"/>
      <c r="AI96" s="286"/>
      <c r="AJ96" s="286"/>
      <c r="AK96" s="342"/>
      <c r="AL96" s="286"/>
      <c r="AM96" s="342"/>
      <c r="AN96" s="342"/>
      <c r="AO96" s="342"/>
      <c r="AP96" s="342"/>
      <c r="AQ96" s="342"/>
      <c r="AR96" s="342"/>
      <c r="AS96" s="342"/>
      <c r="AT96" s="342"/>
      <c r="AU96" s="342"/>
      <c r="AV96" s="342"/>
      <c r="AW96" s="342"/>
      <c r="AX96" s="342"/>
      <c r="AY96" s="342"/>
      <c r="AZ96" s="342"/>
      <c r="BA96" s="342"/>
      <c r="BB96" s="342"/>
      <c r="BC96" s="342"/>
      <c r="BD96" s="342"/>
      <c r="BE96" s="342"/>
      <c r="BF96" s="342"/>
      <c r="BG96" s="342"/>
      <c r="BH96" s="342"/>
      <c r="BI96" s="342"/>
      <c r="BJ96" s="342"/>
      <c r="BK96" s="342"/>
      <c r="BL96" s="342"/>
      <c r="BM96" s="342"/>
      <c r="BN96" s="342"/>
      <c r="BO96" s="342"/>
      <c r="BP96" s="342"/>
      <c r="BQ96" s="340"/>
      <c r="BR96" s="340"/>
    </row>
    <row r="97" spans="1:70" s="118" customFormat="1">
      <c r="AI97" s="286"/>
      <c r="AJ97" s="286"/>
      <c r="AL97" s="286"/>
      <c r="BO97" s="340"/>
      <c r="BP97" s="340"/>
      <c r="BQ97" s="340"/>
      <c r="BR97" s="340"/>
    </row>
    <row r="98" spans="1:70" s="118" customFormat="1">
      <c r="AI98" s="286"/>
      <c r="AJ98" s="286"/>
      <c r="AL98" s="286"/>
      <c r="BO98" s="340"/>
      <c r="BP98" s="340"/>
      <c r="BQ98" s="340"/>
      <c r="BR98" s="340"/>
    </row>
    <row r="99" spans="1:70" s="118" customFormat="1">
      <c r="A99" s="16"/>
      <c r="B99" s="70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286"/>
      <c r="AJ99" s="286"/>
      <c r="AK99" s="57"/>
      <c r="AL99" s="286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7"/>
      <c r="BM99" s="57"/>
      <c r="BN99" s="57"/>
      <c r="BO99" s="57"/>
      <c r="BP99" s="57"/>
      <c r="BQ99" s="340"/>
      <c r="BR99" s="340"/>
    </row>
    <row r="100" spans="1:70" s="118" customFormat="1">
      <c r="A100" s="16"/>
      <c r="B100" s="341"/>
      <c r="C100" s="342"/>
      <c r="D100" s="342"/>
      <c r="E100" s="342"/>
      <c r="F100" s="342"/>
      <c r="G100" s="342"/>
      <c r="H100" s="342"/>
      <c r="I100" s="342"/>
      <c r="J100" s="342"/>
      <c r="K100" s="342"/>
      <c r="L100" s="342"/>
      <c r="M100" s="342"/>
      <c r="N100" s="342"/>
      <c r="O100" s="342"/>
      <c r="P100" s="342"/>
      <c r="Q100" s="342"/>
      <c r="R100" s="342"/>
      <c r="S100" s="342"/>
      <c r="T100" s="342"/>
      <c r="U100" s="342"/>
      <c r="X100" s="342"/>
      <c r="Y100" s="342"/>
      <c r="Z100" s="342"/>
      <c r="AA100" s="342"/>
      <c r="AB100" s="342"/>
      <c r="AC100" s="342"/>
      <c r="AD100" s="342"/>
      <c r="AE100" s="342"/>
      <c r="AF100" s="342"/>
      <c r="AG100" s="342"/>
      <c r="AH100" s="342"/>
      <c r="AI100" s="286"/>
      <c r="AJ100" s="286"/>
      <c r="AK100" s="342"/>
      <c r="AL100" s="286"/>
      <c r="AM100" s="342"/>
      <c r="AN100" s="342"/>
      <c r="AO100" s="342"/>
      <c r="AP100" s="342"/>
      <c r="AQ100" s="342"/>
      <c r="AR100" s="342"/>
      <c r="AS100" s="342"/>
      <c r="AT100" s="342"/>
      <c r="AU100" s="342"/>
      <c r="AV100" s="342"/>
      <c r="AW100" s="342"/>
      <c r="AX100" s="342"/>
      <c r="AY100" s="342"/>
      <c r="AZ100" s="342"/>
      <c r="BA100" s="342"/>
      <c r="BB100" s="342"/>
      <c r="BC100" s="342"/>
      <c r="BD100" s="342"/>
      <c r="BE100" s="342"/>
      <c r="BF100" s="342"/>
      <c r="BG100" s="342"/>
      <c r="BH100" s="342"/>
      <c r="BI100" s="342"/>
      <c r="BJ100" s="342"/>
      <c r="BK100" s="342"/>
      <c r="BL100" s="342"/>
      <c r="BM100" s="342"/>
      <c r="BN100" s="342"/>
      <c r="BO100" s="342"/>
      <c r="BP100" s="342"/>
      <c r="BQ100" s="340"/>
      <c r="BR100" s="340"/>
    </row>
    <row r="101" spans="1:70" s="118" customFormat="1">
      <c r="A101" s="16"/>
      <c r="B101" s="341"/>
      <c r="C101" s="343"/>
      <c r="D101" s="343"/>
      <c r="E101" s="343"/>
      <c r="F101" s="343"/>
      <c r="G101" s="343"/>
      <c r="H101" s="343"/>
      <c r="I101" s="343"/>
      <c r="J101" s="343"/>
      <c r="K101" s="343"/>
      <c r="L101" s="343"/>
      <c r="M101" s="343"/>
      <c r="N101" s="343"/>
      <c r="O101" s="343"/>
      <c r="P101" s="343"/>
      <c r="Q101" s="343"/>
      <c r="R101" s="343"/>
      <c r="S101" s="343"/>
      <c r="T101" s="343"/>
      <c r="U101" s="343"/>
      <c r="V101" s="343"/>
      <c r="W101" s="343"/>
      <c r="X101" s="343"/>
      <c r="Y101" s="343"/>
      <c r="Z101" s="343"/>
      <c r="AA101" s="343"/>
      <c r="AB101" s="343"/>
      <c r="AC101" s="343"/>
      <c r="AD101" s="343"/>
      <c r="AE101" s="343"/>
      <c r="AF101" s="343"/>
      <c r="AG101" s="343"/>
      <c r="AH101" s="343"/>
      <c r="AI101" s="286"/>
      <c r="AJ101" s="286"/>
      <c r="AK101" s="57"/>
      <c r="AL101" s="286"/>
      <c r="AM101" s="57"/>
      <c r="AN101" s="57"/>
      <c r="AO101" s="57"/>
      <c r="AP101" s="57"/>
      <c r="AQ101" s="57"/>
      <c r="AR101" s="57"/>
      <c r="AS101" s="57"/>
      <c r="AT101" s="57"/>
      <c r="AU101" s="57"/>
      <c r="AV101" s="57"/>
      <c r="AW101" s="57"/>
      <c r="AX101" s="57"/>
      <c r="AY101" s="57"/>
      <c r="AZ101" s="57"/>
      <c r="BA101" s="342"/>
      <c r="BB101" s="57"/>
      <c r="BC101" s="57"/>
      <c r="BD101" s="57"/>
      <c r="BE101" s="57"/>
      <c r="BF101" s="57"/>
      <c r="BG101" s="57"/>
      <c r="BH101" s="57"/>
      <c r="BI101" s="57"/>
      <c r="BJ101" s="57"/>
      <c r="BK101" s="57"/>
      <c r="BL101" s="57"/>
      <c r="BM101" s="57"/>
      <c r="BN101" s="57"/>
      <c r="BO101" s="57"/>
      <c r="BP101" s="57"/>
      <c r="BQ101" s="340"/>
      <c r="BR101" s="340"/>
    </row>
    <row r="102" spans="1:70" s="118" customFormat="1">
      <c r="A102" s="16"/>
      <c r="B102" s="70"/>
      <c r="C102" s="343"/>
      <c r="D102" s="343"/>
      <c r="E102" s="343"/>
      <c r="F102" s="343"/>
      <c r="G102" s="343"/>
      <c r="H102" s="343"/>
      <c r="I102" s="343"/>
      <c r="J102" s="343"/>
      <c r="K102" s="343"/>
      <c r="L102" s="343"/>
      <c r="M102" s="343"/>
      <c r="N102" s="343"/>
      <c r="O102" s="343"/>
      <c r="P102" s="343"/>
      <c r="Q102" s="343"/>
      <c r="R102" s="343"/>
      <c r="S102" s="343"/>
      <c r="T102" s="343"/>
      <c r="U102" s="343"/>
      <c r="V102" s="343"/>
      <c r="W102" s="343"/>
      <c r="X102" s="343"/>
      <c r="Y102" s="343"/>
      <c r="Z102" s="343"/>
      <c r="AA102" s="343"/>
      <c r="AB102" s="343"/>
      <c r="AC102" s="343"/>
      <c r="AD102" s="343"/>
      <c r="AE102" s="343"/>
      <c r="AF102" s="343"/>
      <c r="AG102" s="343"/>
      <c r="AH102" s="343"/>
      <c r="AI102" s="286"/>
      <c r="AJ102" s="286"/>
      <c r="AK102" s="57"/>
      <c r="AL102" s="286"/>
      <c r="AM102" s="57"/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57"/>
      <c r="AZ102" s="57"/>
      <c r="BA102" s="342"/>
      <c r="BB102" s="57"/>
      <c r="BC102" s="57"/>
      <c r="BD102" s="57"/>
      <c r="BE102" s="57"/>
      <c r="BF102" s="57"/>
      <c r="BG102" s="57"/>
      <c r="BH102" s="57"/>
      <c r="BI102" s="57"/>
      <c r="BJ102" s="57"/>
      <c r="BK102" s="57"/>
      <c r="BL102" s="57"/>
      <c r="BM102" s="57"/>
      <c r="BN102" s="57"/>
      <c r="BO102" s="57"/>
      <c r="BP102" s="57"/>
      <c r="BQ102" s="340"/>
      <c r="BR102" s="340"/>
    </row>
    <row r="103" spans="1:70" s="118" customFormat="1">
      <c r="A103" s="16"/>
      <c r="B103" s="70"/>
      <c r="C103" s="343"/>
      <c r="D103" s="343"/>
      <c r="E103" s="343"/>
      <c r="F103" s="343"/>
      <c r="G103" s="343"/>
      <c r="H103" s="343"/>
      <c r="I103" s="343"/>
      <c r="J103" s="343"/>
      <c r="K103" s="343"/>
      <c r="L103" s="343"/>
      <c r="M103" s="343"/>
      <c r="N103" s="343"/>
      <c r="O103" s="343"/>
      <c r="P103" s="343"/>
      <c r="Q103" s="343"/>
      <c r="R103" s="343"/>
      <c r="S103" s="343"/>
      <c r="T103" s="343"/>
      <c r="U103" s="343"/>
      <c r="V103" s="343"/>
      <c r="W103" s="343"/>
      <c r="X103" s="343"/>
      <c r="Y103" s="343"/>
      <c r="Z103" s="343"/>
      <c r="AA103" s="343"/>
      <c r="AB103" s="343"/>
      <c r="AC103" s="343"/>
      <c r="AD103" s="343"/>
      <c r="AE103" s="343"/>
      <c r="AF103" s="343"/>
      <c r="AG103" s="343"/>
      <c r="AH103" s="343"/>
      <c r="AI103" s="286"/>
      <c r="AJ103" s="286"/>
      <c r="AK103" s="57"/>
      <c r="AL103" s="286"/>
      <c r="AM103" s="57"/>
      <c r="AN103" s="57"/>
      <c r="AO103" s="57"/>
      <c r="AP103" s="57"/>
      <c r="AQ103" s="57"/>
      <c r="AR103" s="57"/>
      <c r="AS103" s="57"/>
      <c r="AT103" s="57"/>
      <c r="AU103" s="57"/>
      <c r="AV103" s="57"/>
      <c r="AW103" s="57"/>
      <c r="AX103" s="57"/>
      <c r="AY103" s="57"/>
      <c r="AZ103" s="57"/>
      <c r="BA103" s="342"/>
      <c r="BB103" s="57"/>
      <c r="BC103" s="57"/>
      <c r="BD103" s="57"/>
      <c r="BE103" s="57"/>
      <c r="BF103" s="57"/>
      <c r="BG103" s="57"/>
      <c r="BH103" s="57"/>
      <c r="BI103" s="57"/>
      <c r="BJ103" s="57"/>
      <c r="BK103" s="57"/>
      <c r="BL103" s="57"/>
      <c r="BM103" s="57"/>
      <c r="BN103" s="57"/>
      <c r="BO103" s="57"/>
      <c r="BP103" s="57"/>
      <c r="BQ103" s="340"/>
      <c r="BR103" s="340"/>
    </row>
    <row r="104" spans="1:70" s="118" customFormat="1">
      <c r="A104" s="16"/>
      <c r="B104" s="70"/>
      <c r="C104" s="343"/>
      <c r="D104" s="343"/>
      <c r="E104" s="343"/>
      <c r="F104" s="343"/>
      <c r="G104" s="343"/>
      <c r="H104" s="343"/>
      <c r="I104" s="343"/>
      <c r="J104" s="343"/>
      <c r="K104" s="343"/>
      <c r="L104" s="343"/>
      <c r="M104" s="343"/>
      <c r="N104" s="343"/>
      <c r="O104" s="343"/>
      <c r="P104" s="343"/>
      <c r="Q104" s="343"/>
      <c r="R104" s="343"/>
      <c r="S104" s="343"/>
      <c r="T104" s="343"/>
      <c r="U104" s="343"/>
      <c r="V104" s="343"/>
      <c r="W104" s="343"/>
      <c r="X104" s="343"/>
      <c r="Y104" s="343"/>
      <c r="Z104" s="343"/>
      <c r="AA104" s="343"/>
      <c r="AB104" s="343"/>
      <c r="AC104" s="343"/>
      <c r="AD104" s="343"/>
      <c r="AE104" s="343"/>
      <c r="AF104" s="343"/>
      <c r="AG104" s="343"/>
      <c r="AH104" s="343"/>
      <c r="AI104" s="286"/>
      <c r="AJ104" s="286"/>
      <c r="AK104" s="57"/>
      <c r="AL104" s="286"/>
      <c r="AM104" s="57"/>
      <c r="AN104" s="57"/>
      <c r="AO104" s="57"/>
      <c r="AP104" s="57"/>
      <c r="AQ104" s="57"/>
      <c r="AR104" s="57"/>
      <c r="AS104" s="57"/>
      <c r="AT104" s="57"/>
      <c r="AU104" s="57"/>
      <c r="AV104" s="57"/>
      <c r="AW104" s="57"/>
      <c r="AX104" s="57"/>
      <c r="AY104" s="57"/>
      <c r="AZ104" s="57"/>
      <c r="BA104" s="57"/>
      <c r="BB104" s="57"/>
      <c r="BC104" s="57"/>
      <c r="BD104" s="57"/>
      <c r="BE104" s="57"/>
      <c r="BF104" s="57"/>
      <c r="BG104" s="57"/>
      <c r="BH104" s="57"/>
      <c r="BI104" s="57"/>
      <c r="BJ104" s="57"/>
      <c r="BK104" s="57"/>
      <c r="BL104" s="57"/>
      <c r="BM104" s="57"/>
      <c r="BN104" s="57"/>
      <c r="BO104" s="57"/>
      <c r="BP104" s="57"/>
      <c r="BQ104" s="340"/>
      <c r="BR104" s="340"/>
    </row>
    <row r="105" spans="1:70" s="118" customFormat="1">
      <c r="A105" s="16"/>
      <c r="B105" s="70"/>
      <c r="C105" s="343"/>
      <c r="D105" s="343"/>
      <c r="E105" s="343"/>
      <c r="F105" s="343"/>
      <c r="G105" s="343"/>
      <c r="H105" s="343"/>
      <c r="I105" s="343"/>
      <c r="J105" s="343"/>
      <c r="K105" s="343"/>
      <c r="L105" s="343"/>
      <c r="M105" s="343"/>
      <c r="N105" s="343"/>
      <c r="O105" s="343"/>
      <c r="P105" s="343"/>
      <c r="Q105" s="343"/>
      <c r="R105" s="343"/>
      <c r="S105" s="343"/>
      <c r="T105" s="343"/>
      <c r="U105" s="343"/>
      <c r="V105" s="343"/>
      <c r="W105" s="343"/>
      <c r="X105" s="343"/>
      <c r="Y105" s="343"/>
      <c r="Z105" s="343"/>
      <c r="AA105" s="343"/>
      <c r="AB105" s="343"/>
      <c r="AC105" s="343"/>
      <c r="AD105" s="343"/>
      <c r="AE105" s="343"/>
      <c r="AF105" s="343"/>
      <c r="AG105" s="343"/>
      <c r="AH105" s="343"/>
      <c r="AI105" s="286"/>
      <c r="AJ105" s="286"/>
      <c r="AK105" s="57"/>
      <c r="AL105" s="286"/>
      <c r="AM105" s="57"/>
      <c r="AN105" s="57"/>
      <c r="AO105" s="57"/>
      <c r="AP105" s="57"/>
      <c r="AQ105" s="57"/>
      <c r="AR105" s="57"/>
      <c r="AS105" s="57"/>
      <c r="AT105" s="57"/>
      <c r="AU105" s="57"/>
      <c r="AV105" s="57"/>
      <c r="AW105" s="57"/>
      <c r="AX105" s="57"/>
      <c r="AY105" s="57"/>
      <c r="AZ105" s="57"/>
      <c r="BA105" s="57"/>
      <c r="BB105" s="57"/>
      <c r="BC105" s="57"/>
      <c r="BD105" s="57"/>
      <c r="BE105" s="57"/>
      <c r="BF105" s="57"/>
      <c r="BG105" s="57"/>
      <c r="BH105" s="57"/>
      <c r="BI105" s="57"/>
      <c r="BJ105" s="57"/>
      <c r="BK105" s="57"/>
      <c r="BL105" s="57"/>
      <c r="BM105" s="57"/>
      <c r="BN105" s="57"/>
      <c r="BO105" s="57"/>
      <c r="BP105" s="57"/>
      <c r="BQ105" s="340"/>
      <c r="BR105" s="340"/>
    </row>
    <row r="106" spans="1:70" s="118" customFormat="1">
      <c r="A106" s="16"/>
      <c r="B106" s="70"/>
      <c r="C106" s="342"/>
      <c r="D106" s="342"/>
      <c r="E106" s="342"/>
      <c r="F106" s="342"/>
      <c r="G106" s="342"/>
      <c r="H106" s="342"/>
      <c r="I106" s="342"/>
      <c r="J106" s="342"/>
      <c r="K106" s="342"/>
      <c r="L106" s="342"/>
      <c r="M106" s="342"/>
      <c r="N106" s="342"/>
      <c r="O106" s="342"/>
      <c r="P106" s="342"/>
      <c r="Q106" s="342"/>
      <c r="R106" s="342"/>
      <c r="S106" s="342"/>
      <c r="T106" s="342"/>
      <c r="U106" s="342"/>
      <c r="V106" s="342"/>
      <c r="W106" s="342"/>
      <c r="X106" s="342"/>
      <c r="Y106" s="342"/>
      <c r="Z106" s="342"/>
      <c r="AA106" s="342"/>
      <c r="AB106" s="342"/>
      <c r="AC106" s="342"/>
      <c r="AD106" s="342"/>
      <c r="AE106" s="342"/>
      <c r="AF106" s="342"/>
      <c r="AG106" s="342"/>
      <c r="AH106" s="342"/>
      <c r="AI106" s="286"/>
      <c r="AJ106" s="286"/>
      <c r="AK106" s="342"/>
      <c r="AL106" s="286"/>
      <c r="AM106" s="342"/>
      <c r="AN106" s="342"/>
      <c r="AO106" s="342"/>
      <c r="AP106" s="342"/>
      <c r="AQ106" s="342"/>
      <c r="AR106" s="342"/>
      <c r="AS106" s="342"/>
      <c r="AT106" s="342"/>
      <c r="AU106" s="342"/>
      <c r="AV106" s="342"/>
      <c r="AW106" s="342"/>
      <c r="AX106" s="342"/>
      <c r="AY106" s="342"/>
      <c r="AZ106" s="342"/>
      <c r="BA106" s="342"/>
      <c r="BB106" s="342"/>
      <c r="BC106" s="342"/>
      <c r="BD106" s="342"/>
      <c r="BE106" s="342"/>
      <c r="BF106" s="342"/>
      <c r="BG106" s="342"/>
      <c r="BH106" s="342"/>
      <c r="BI106" s="342"/>
      <c r="BJ106" s="342"/>
      <c r="BK106" s="342"/>
      <c r="BL106" s="342"/>
      <c r="BM106" s="342"/>
      <c r="BN106" s="342"/>
      <c r="BO106" s="342"/>
      <c r="BP106" s="342"/>
      <c r="BQ106" s="340"/>
      <c r="BR106" s="340"/>
    </row>
    <row r="107" spans="1:70">
      <c r="BO107" s="287"/>
      <c r="BP107" s="287"/>
      <c r="BQ107" s="287"/>
      <c r="BR107" s="287"/>
    </row>
    <row r="108" spans="1:70">
      <c r="BO108" s="287"/>
      <c r="BP108" s="287"/>
      <c r="BQ108" s="287"/>
      <c r="BR108" s="287"/>
    </row>
    <row r="109" spans="1:70">
      <c r="BO109" s="287"/>
      <c r="BP109" s="287"/>
      <c r="BQ109" s="287"/>
      <c r="BR109" s="287"/>
    </row>
    <row r="110" spans="1:70">
      <c r="BO110" s="287"/>
      <c r="BP110" s="287"/>
      <c r="BQ110" s="287"/>
      <c r="BR110" s="287"/>
    </row>
    <row r="111" spans="1:70">
      <c r="BO111" s="287"/>
      <c r="BP111" s="287"/>
      <c r="BQ111" s="287"/>
      <c r="BR111" s="287"/>
    </row>
  </sheetData>
  <pageMargins left="0.6" right="0.63" top="1.1200000000000001" bottom="0.75" header="0.3" footer="0.3"/>
  <pageSetup scale="65" fitToWidth="0" orientation="portrait" r:id="rId1"/>
  <headerFooter>
    <oddHeader xml:space="preserve">&amp;R&amp;"Times New Roman,Regular"&amp;9Exh. JL-2r
Dockets UE 190529 / UG-190530 and 
UE-190274 / UG-190275 (consol.)
Page &amp;P of &amp;N&amp;11 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31"/>
  <sheetViews>
    <sheetView view="pageLayout" topLeftCell="B1" zoomScaleNormal="100" workbookViewId="0">
      <selection activeCell="I2" sqref="I2"/>
    </sheetView>
  </sheetViews>
  <sheetFormatPr defaultColWidth="9.140625" defaultRowHeight="14.25"/>
  <cols>
    <col min="1" max="1" width="7.42578125" style="738" customWidth="1"/>
    <col min="2" max="2" width="43" style="738" customWidth="1"/>
    <col min="3" max="3" width="16.85546875" style="738" bestFit="1" customWidth="1"/>
    <col min="4" max="4" width="13.28515625" style="738" bestFit="1" customWidth="1"/>
    <col min="5" max="5" width="5" style="738" bestFit="1" customWidth="1"/>
    <col min="6" max="6" width="15.7109375" style="738" bestFit="1" customWidth="1"/>
    <col min="7" max="7" width="14.140625" style="738" bestFit="1" customWidth="1"/>
    <col min="8" max="8" width="5.5703125" style="738" customWidth="1"/>
    <col min="9" max="9" width="5.42578125" style="738" customWidth="1"/>
    <col min="10" max="10" width="32.28515625" style="742" customWidth="1"/>
    <col min="11" max="11" width="16.85546875" style="742" bestFit="1" customWidth="1"/>
    <col min="12" max="12" width="16.42578125" style="743" bestFit="1" customWidth="1"/>
    <col min="13" max="13" width="11.5703125" style="743" bestFit="1" customWidth="1"/>
    <col min="14" max="14" width="15.140625" style="738" bestFit="1" customWidth="1"/>
    <col min="15" max="15" width="16.85546875" style="744" bestFit="1" customWidth="1"/>
    <col min="16" max="16" width="14.5703125" style="744" bestFit="1" customWidth="1"/>
    <col min="17" max="16384" width="9.140625" style="738"/>
  </cols>
  <sheetData>
    <row r="1" spans="1:16" ht="20.25">
      <c r="A1" s="737" t="s">
        <v>840</v>
      </c>
      <c r="E1" s="739" t="s">
        <v>841</v>
      </c>
      <c r="F1" s="740"/>
      <c r="G1" s="741"/>
    </row>
    <row r="2" spans="1:16" ht="20.25">
      <c r="A2" s="737" t="s">
        <v>625</v>
      </c>
      <c r="F2" s="751"/>
    </row>
    <row r="3" spans="1:16" ht="13.9" customHeight="1">
      <c r="A3" s="745"/>
    </row>
    <row r="4" spans="1:16">
      <c r="A4" s="746"/>
    </row>
    <row r="5" spans="1:16" ht="15">
      <c r="A5" s="746" t="s">
        <v>689</v>
      </c>
      <c r="C5" s="747" t="s">
        <v>842</v>
      </c>
    </row>
    <row r="6" spans="1:16">
      <c r="A6" s="748">
        <v>3</v>
      </c>
      <c r="B6" s="738" t="s">
        <v>843</v>
      </c>
      <c r="C6" s="749">
        <f>+'Electric Adj'!$AU$31+'[1]Unprotected DFIT Lead'!G9</f>
        <v>150405447.91445902</v>
      </c>
    </row>
    <row r="7" spans="1:16">
      <c r="A7" s="748">
        <v>4</v>
      </c>
      <c r="B7" s="738" t="s">
        <v>686</v>
      </c>
      <c r="C7" s="750">
        <f>+'[1]Trans 12-2018'!G66</f>
        <v>79202112.316321075</v>
      </c>
    </row>
    <row r="8" spans="1:16" ht="15" thickBot="1">
      <c r="A8" s="748">
        <v>5</v>
      </c>
      <c r="B8" s="738" t="s">
        <v>685</v>
      </c>
      <c r="C8" s="940">
        <f>'[1]Rate Base Summarized'!G21</f>
        <v>1691161667.0428028</v>
      </c>
      <c r="D8" s="751"/>
    </row>
    <row r="9" spans="1:16" ht="15">
      <c r="A9" s="748">
        <f>+A8+1</f>
        <v>6</v>
      </c>
      <c r="C9" s="752">
        <f>SUM(C6:C8)</f>
        <v>1920769227.2735829</v>
      </c>
      <c r="J9" s="753" t="s">
        <v>844</v>
      </c>
      <c r="K9" s="754"/>
      <c r="L9" s="755"/>
      <c r="M9" s="756"/>
    </row>
    <row r="10" spans="1:16" ht="15">
      <c r="A10" s="748">
        <f>+A9+1</f>
        <v>7</v>
      </c>
      <c r="B10" s="757" t="s">
        <v>845</v>
      </c>
      <c r="C10" s="758">
        <f>'COC, Def, ConvF'!$H$18</f>
        <v>6.7299999999999999E-2</v>
      </c>
      <c r="D10" s="759"/>
      <c r="E10" s="759"/>
      <c r="F10" s="760" t="s">
        <v>846</v>
      </c>
      <c r="G10" s="760" t="s">
        <v>632</v>
      </c>
      <c r="J10" s="761"/>
      <c r="K10" s="762"/>
      <c r="L10" s="763"/>
      <c r="M10" s="764"/>
    </row>
    <row r="11" spans="1:16" ht="15">
      <c r="A11" s="748">
        <f>+A10+1</f>
        <v>8</v>
      </c>
      <c r="B11" s="757"/>
      <c r="C11" s="765"/>
      <c r="D11" s="766" t="s">
        <v>680</v>
      </c>
      <c r="E11" s="766"/>
      <c r="F11" s="760" t="s">
        <v>847</v>
      </c>
      <c r="G11" s="760" t="s">
        <v>847</v>
      </c>
      <c r="J11" s="761" t="s">
        <v>848</v>
      </c>
      <c r="K11" s="763"/>
      <c r="L11" s="763"/>
      <c r="M11" s="764"/>
    </row>
    <row r="12" spans="1:16" ht="15">
      <c r="A12" s="748">
        <f>+A11+1</f>
        <v>9</v>
      </c>
      <c r="B12" s="767"/>
      <c r="C12" s="765"/>
      <c r="D12" s="768" t="s">
        <v>678</v>
      </c>
      <c r="E12" s="768"/>
      <c r="F12" s="769" t="s">
        <v>676</v>
      </c>
      <c r="G12" s="769" t="s">
        <v>849</v>
      </c>
      <c r="J12" s="761" t="s">
        <v>850</v>
      </c>
      <c r="K12" s="770" t="s">
        <v>851</v>
      </c>
      <c r="L12" s="770" t="s">
        <v>852</v>
      </c>
      <c r="M12" s="771" t="s">
        <v>853</v>
      </c>
    </row>
    <row r="13" spans="1:16">
      <c r="A13" s="748" t="s">
        <v>674</v>
      </c>
      <c r="B13" s="757"/>
      <c r="C13" s="766" t="s">
        <v>673</v>
      </c>
      <c r="D13" s="772" t="s">
        <v>672</v>
      </c>
      <c r="E13" s="772" t="s">
        <v>671</v>
      </c>
      <c r="F13" s="772" t="s">
        <v>670</v>
      </c>
      <c r="G13" s="772" t="s">
        <v>669</v>
      </c>
      <c r="J13" s="773" t="s">
        <v>854</v>
      </c>
      <c r="K13" s="774">
        <f>SUM(C15,C18:C20,C25:C27,C30)</f>
        <v>727049697.80253685</v>
      </c>
      <c r="L13" s="775">
        <f>Summary!$I$27-Summary!$I$16</f>
        <v>727049697.80253673</v>
      </c>
      <c r="M13" s="776">
        <f>+K13-L13</f>
        <v>0</v>
      </c>
    </row>
    <row r="14" spans="1:16">
      <c r="A14" s="777">
        <v>10</v>
      </c>
      <c r="B14" s="778" t="s">
        <v>668</v>
      </c>
      <c r="C14" s="779">
        <f>(C6*C$10/0.79)</f>
        <v>12813021.069168471</v>
      </c>
      <c r="D14" s="780">
        <f t="shared" ref="D14:D35" si="0">C14/$C$39</f>
        <v>0.62394445003037058</v>
      </c>
      <c r="E14" s="781" t="s">
        <v>639</v>
      </c>
      <c r="F14" s="779">
        <f>+C14</f>
        <v>12813021.069168471</v>
      </c>
      <c r="G14" s="779"/>
      <c r="J14" s="782"/>
      <c r="K14" s="762"/>
      <c r="L14" s="763"/>
      <c r="M14" s="764"/>
      <c r="O14" s="783" t="s">
        <v>828</v>
      </c>
      <c r="P14" s="744" t="s">
        <v>855</v>
      </c>
    </row>
    <row r="15" spans="1:16" ht="15">
      <c r="A15" s="777" t="s">
        <v>667</v>
      </c>
      <c r="B15" s="778" t="s">
        <v>666</v>
      </c>
      <c r="C15" s="784">
        <f>'Power Cost Bridge to A-1'!$K$27</f>
        <v>3913458.436219302</v>
      </c>
      <c r="D15" s="780">
        <f t="shared" si="0"/>
        <v>0.19057025337912997</v>
      </c>
      <c r="E15" s="781" t="s">
        <v>644</v>
      </c>
      <c r="F15" s="784"/>
      <c r="G15" s="784">
        <f>+C15</f>
        <v>3913458.436219302</v>
      </c>
      <c r="J15" s="785" t="s">
        <v>856</v>
      </c>
      <c r="K15" s="786" t="s">
        <v>857</v>
      </c>
      <c r="L15" s="770" t="s">
        <v>852</v>
      </c>
      <c r="M15" s="787"/>
      <c r="N15" s="788"/>
      <c r="O15" s="789"/>
      <c r="P15" s="790"/>
    </row>
    <row r="16" spans="1:16">
      <c r="A16" s="777">
        <v>11</v>
      </c>
      <c r="B16" s="791" t="s">
        <v>665</v>
      </c>
      <c r="C16" s="784">
        <f>(C7*$C$10/0.79)</f>
        <v>6747217.9226435544</v>
      </c>
      <c r="D16" s="780">
        <f t="shared" si="0"/>
        <v>0.32856335389231528</v>
      </c>
      <c r="E16" s="781" t="s">
        <v>639</v>
      </c>
      <c r="F16" s="784">
        <f>+C16</f>
        <v>6747217.9226435544</v>
      </c>
      <c r="G16" s="784"/>
      <c r="J16" s="792" t="s">
        <v>858</v>
      </c>
      <c r="K16" s="793">
        <f>SUM('Power Cost Bridge to A-1'!$K$15:$K$17)+'Power Cost Bridge to A-1'!$K$27</f>
        <v>433629896.58371568</v>
      </c>
      <c r="L16" s="763"/>
      <c r="M16" s="764"/>
      <c r="N16" s="794"/>
      <c r="O16" s="795">
        <v>446440196.55959803</v>
      </c>
      <c r="P16" s="789">
        <f>+K16-O16</f>
        <v>-12810299.975882351</v>
      </c>
    </row>
    <row r="17" spans="1:16">
      <c r="A17" s="777">
        <v>12</v>
      </c>
      <c r="B17" s="791" t="s">
        <v>664</v>
      </c>
      <c r="C17" s="784">
        <f>(C8*$C$10/0.79)</f>
        <v>144069848.34427926</v>
      </c>
      <c r="D17" s="780">
        <f t="shared" si="0"/>
        <v>7.0156430560653034</v>
      </c>
      <c r="E17" s="781" t="s">
        <v>639</v>
      </c>
      <c r="F17" s="784">
        <f>+C17</f>
        <v>144069848.34427926</v>
      </c>
      <c r="G17" s="784"/>
      <c r="J17" s="792" t="s">
        <v>859</v>
      </c>
      <c r="K17" s="793">
        <f>SUM('Power Cost Bridge to A-1'!$K$13:$K$14)</f>
        <v>187623223.61174464</v>
      </c>
      <c r="L17" s="763"/>
      <c r="M17" s="764"/>
      <c r="O17" s="795">
        <v>180672605.83404738</v>
      </c>
      <c r="P17" s="789">
        <f t="shared" ref="P17:P54" si="1">+K17-O17</f>
        <v>6950617.7776972651</v>
      </c>
    </row>
    <row r="18" spans="1:16">
      <c r="A18" s="777">
        <v>13</v>
      </c>
      <c r="B18" s="791" t="s">
        <v>860</v>
      </c>
      <c r="C18" s="784">
        <f>+'Power Cost Bridge to A-1'!$K$13</f>
        <v>35863917.55959221</v>
      </c>
      <c r="D18" s="780">
        <f t="shared" si="0"/>
        <v>1.7464337408684618</v>
      </c>
      <c r="E18" s="781" t="s">
        <v>644</v>
      </c>
      <c r="F18" s="784"/>
      <c r="G18" s="784">
        <f>+C18</f>
        <v>35863917.55959221</v>
      </c>
      <c r="J18" s="792" t="s">
        <v>861</v>
      </c>
      <c r="K18" s="793">
        <f>'Power Cost Bridge to A-1'!$K$18</f>
        <v>112542721.33945595</v>
      </c>
      <c r="L18" s="763"/>
      <c r="M18" s="764"/>
      <c r="O18" s="795">
        <v>112334321.32462588</v>
      </c>
      <c r="P18" s="789">
        <f t="shared" si="1"/>
        <v>208400.01483006775</v>
      </c>
    </row>
    <row r="19" spans="1:16">
      <c r="A19" s="777">
        <v>14</v>
      </c>
      <c r="B19" s="791" t="s">
        <v>862</v>
      </c>
      <c r="C19" s="784">
        <f>'Power Cost Bridge to A-1'!$K$15</f>
        <v>421456718.2799986</v>
      </c>
      <c r="D19" s="780">
        <f t="shared" si="0"/>
        <v>20.523308194004574</v>
      </c>
      <c r="E19" s="781" t="s">
        <v>644</v>
      </c>
      <c r="F19" s="784"/>
      <c r="G19" s="784">
        <f>+C19</f>
        <v>421456718.2799986</v>
      </c>
      <c r="J19" s="792" t="s">
        <v>863</v>
      </c>
      <c r="K19" s="796">
        <f>'Power Cost Bridge to A-1'!$K$19</f>
        <v>-6985506.0856509283</v>
      </c>
      <c r="L19" s="763"/>
      <c r="M19" s="764"/>
      <c r="O19" s="795">
        <v>-5469488.0226492053</v>
      </c>
      <c r="P19" s="789">
        <f t="shared" si="1"/>
        <v>-1516018.063001723</v>
      </c>
    </row>
    <row r="20" spans="1:16">
      <c r="A20" s="777">
        <v>15</v>
      </c>
      <c r="B20" s="791" t="s">
        <v>661</v>
      </c>
      <c r="C20" s="784">
        <f>'Power Cost Bridge to A-1'!$K$16+'[1]For Prod Adj Expense'!H9</f>
        <v>8072158.7332714284</v>
      </c>
      <c r="D20" s="780">
        <f t="shared" si="0"/>
        <v>0.39308283457897675</v>
      </c>
      <c r="E20" s="781" t="s">
        <v>639</v>
      </c>
      <c r="F20" s="784">
        <f>+C20</f>
        <v>8072158.7332714284</v>
      </c>
      <c r="G20" s="784"/>
      <c r="J20" s="792" t="s">
        <v>864</v>
      </c>
      <c r="K20" s="796">
        <f>'Power Cost Bridge to A-1'!$K$20</f>
        <v>-22108578.086590096</v>
      </c>
      <c r="L20" s="763"/>
      <c r="M20" s="764"/>
      <c r="O20" s="795">
        <v>-21415123.754653782</v>
      </c>
      <c r="P20" s="789">
        <f t="shared" si="1"/>
        <v>-693454.3319363147</v>
      </c>
    </row>
    <row r="21" spans="1:16">
      <c r="A21" s="777" t="s">
        <v>660</v>
      </c>
      <c r="B21" s="797" t="s">
        <v>865</v>
      </c>
      <c r="C21" s="784">
        <f>'[1]For Prod Adj Expense'!H14</f>
        <v>8840460.579817621</v>
      </c>
      <c r="D21" s="780">
        <f t="shared" si="0"/>
        <v>0.4304961558021887</v>
      </c>
      <c r="E21" s="781" t="s">
        <v>639</v>
      </c>
      <c r="F21" s="784">
        <f>+C21</f>
        <v>8840460.579817621</v>
      </c>
      <c r="G21" s="784"/>
      <c r="J21" s="792" t="s">
        <v>647</v>
      </c>
      <c r="K21" s="796">
        <f>'Power Cost Bridge to A-1'!$K$24</f>
        <v>106246572.81113668</v>
      </c>
      <c r="L21" s="763"/>
      <c r="M21" s="764"/>
      <c r="O21" s="795">
        <v>108520132.47835678</v>
      </c>
      <c r="P21" s="789">
        <f t="shared" si="1"/>
        <v>-2273559.6672201008</v>
      </c>
    </row>
    <row r="22" spans="1:16">
      <c r="A22" s="777" t="s">
        <v>658</v>
      </c>
      <c r="B22" s="797" t="s">
        <v>657</v>
      </c>
      <c r="C22" s="784">
        <f>'[1]For Prod Adj Expense'!H19</f>
        <v>3895439.2738404199</v>
      </c>
      <c r="D22" s="780">
        <f t="shared" si="0"/>
        <v>0.18969279003150832</v>
      </c>
      <c r="E22" s="781" t="s">
        <v>639</v>
      </c>
      <c r="F22" s="784">
        <f>+C22</f>
        <v>3895439.2738404199</v>
      </c>
      <c r="G22" s="784"/>
      <c r="J22" s="792" t="s">
        <v>643</v>
      </c>
      <c r="K22" s="796">
        <f>'Power Cost Bridge to A-1'!$K$25</f>
        <v>876514.03</v>
      </c>
      <c r="L22" s="763"/>
      <c r="M22" s="764"/>
      <c r="O22" s="795">
        <v>876514.03</v>
      </c>
      <c r="P22" s="789">
        <f t="shared" si="1"/>
        <v>0</v>
      </c>
    </row>
    <row r="23" spans="1:16">
      <c r="A23" s="777" t="s">
        <v>656</v>
      </c>
      <c r="B23" s="797" t="s">
        <v>655</v>
      </c>
      <c r="C23" s="784">
        <f>'Electric Adj'!$O$19</f>
        <v>737444.79406107357</v>
      </c>
      <c r="D23" s="780">
        <f t="shared" si="0"/>
        <v>3.5910702399871819E-2</v>
      </c>
      <c r="E23" s="781" t="s">
        <v>644</v>
      </c>
      <c r="F23" s="784"/>
      <c r="G23" s="784">
        <f>+C23</f>
        <v>737444.79406107357</v>
      </c>
      <c r="J23" s="792" t="s">
        <v>866</v>
      </c>
      <c r="K23" s="796">
        <f>'Power Cost Bridge to A-1'!$K$26</f>
        <v>-8666881.7085096519</v>
      </c>
      <c r="L23" s="763"/>
      <c r="M23" s="771" t="s">
        <v>853</v>
      </c>
      <c r="O23" s="795">
        <v>-8666881.7085096519</v>
      </c>
      <c r="P23" s="789">
        <f t="shared" si="1"/>
        <v>0</v>
      </c>
    </row>
    <row r="24" spans="1:16">
      <c r="A24" s="777" t="s">
        <v>654</v>
      </c>
      <c r="B24" s="797" t="s">
        <v>653</v>
      </c>
      <c r="C24" s="784">
        <f>'[1]For Prod Adj Expense'!H18</f>
        <v>1989467.6013443223</v>
      </c>
      <c r="D24" s="780">
        <f t="shared" si="0"/>
        <v>9.6879359026495512E-2</v>
      </c>
      <c r="E24" s="781" t="s">
        <v>639</v>
      </c>
      <c r="F24" s="784">
        <f>+C24</f>
        <v>1989467.6013443223</v>
      </c>
      <c r="G24" s="784"/>
      <c r="J24" s="792" t="s">
        <v>867</v>
      </c>
      <c r="K24" s="798">
        <f>SUM(K16:K23)</f>
        <v>803157962.49530232</v>
      </c>
      <c r="L24" s="798">
        <f>'[7]Power Cost Bridge to A-1'!$K$28</f>
        <v>803157962.49530232</v>
      </c>
      <c r="M24" s="776">
        <f>+K24-L24</f>
        <v>0</v>
      </c>
      <c r="O24" s="799">
        <v>813292276.7408154</v>
      </c>
      <c r="P24" s="789">
        <f t="shared" si="1"/>
        <v>-10134314.245513082</v>
      </c>
    </row>
    <row r="25" spans="1:16">
      <c r="A25" s="777" t="s">
        <v>652</v>
      </c>
      <c r="B25" s="797" t="s">
        <v>868</v>
      </c>
      <c r="C25" s="784">
        <f>'Power Cost Bridge to A-1'!$K$17</f>
        <v>426923.48749781423</v>
      </c>
      <c r="D25" s="780">
        <f t="shared" si="0"/>
        <v>2.0789518660266949E-2</v>
      </c>
      <c r="E25" s="781" t="s">
        <v>644</v>
      </c>
      <c r="F25" s="784"/>
      <c r="G25" s="784">
        <f>+C25</f>
        <v>426923.48749781423</v>
      </c>
      <c r="J25" s="792" t="s">
        <v>869</v>
      </c>
      <c r="K25" s="796">
        <f>-K20</f>
        <v>22108578.086590096</v>
      </c>
      <c r="L25" s="763"/>
      <c r="M25" s="764"/>
      <c r="O25" s="795">
        <v>21415123.754653782</v>
      </c>
      <c r="P25" s="789">
        <f t="shared" si="1"/>
        <v>693454.3319363147</v>
      </c>
    </row>
    <row r="26" spans="1:16">
      <c r="A26" s="777">
        <v>16</v>
      </c>
      <c r="B26" s="791" t="s">
        <v>870</v>
      </c>
      <c r="C26" s="784">
        <f>'Power Cost Bridge to A-1'!$K$14</f>
        <v>151759306.05215243</v>
      </c>
      <c r="D26" s="780">
        <f t="shared" si="0"/>
        <v>7.39008983443793</v>
      </c>
      <c r="E26" s="781" t="s">
        <v>644</v>
      </c>
      <c r="F26" s="784"/>
      <c r="G26" s="784">
        <f>+C26</f>
        <v>151759306.05215243</v>
      </c>
      <c r="J26" s="792" t="s">
        <v>871</v>
      </c>
      <c r="K26" s="796">
        <f>-K21</f>
        <v>-106246572.81113668</v>
      </c>
      <c r="L26" s="796"/>
      <c r="M26" s="764"/>
      <c r="O26" s="795">
        <v>-108520132.47835678</v>
      </c>
      <c r="P26" s="789">
        <f t="shared" si="1"/>
        <v>2273559.6672201008</v>
      </c>
    </row>
    <row r="27" spans="1:16">
      <c r="A27" s="777">
        <v>17</v>
      </c>
      <c r="B27" s="791" t="s">
        <v>872</v>
      </c>
      <c r="C27" s="784">
        <f>'Power Cost Bridge to A-1'!$K$18</f>
        <v>112542721.33945595</v>
      </c>
      <c r="D27" s="780">
        <f t="shared" si="0"/>
        <v>5.4803942014921851</v>
      </c>
      <c r="E27" s="781" t="s">
        <v>644</v>
      </c>
      <c r="F27" s="784"/>
      <c r="G27" s="784">
        <f>+C27</f>
        <v>112542721.33945595</v>
      </c>
      <c r="J27" s="792" t="s">
        <v>873</v>
      </c>
      <c r="K27" s="796">
        <f>-K22</f>
        <v>-876514.03</v>
      </c>
      <c r="L27" s="796"/>
      <c r="M27" s="764"/>
      <c r="O27" s="795">
        <v>-876514.03</v>
      </c>
      <c r="P27" s="789">
        <f t="shared" si="1"/>
        <v>0</v>
      </c>
    </row>
    <row r="28" spans="1:16">
      <c r="A28" s="777">
        <v>18</v>
      </c>
      <c r="B28" s="791" t="s">
        <v>874</v>
      </c>
      <c r="C28" s="784">
        <f>'Power Cost Bridge to A-1'!$K$26</f>
        <v>-8666881.7085096519</v>
      </c>
      <c r="D28" s="780">
        <f t="shared" si="0"/>
        <v>-0.42204353773417114</v>
      </c>
      <c r="E28" s="781" t="s">
        <v>639</v>
      </c>
      <c r="F28" s="784">
        <f>+C28</f>
        <v>-8666881.7085096519</v>
      </c>
      <c r="G28" s="784"/>
      <c r="J28" s="792" t="s">
        <v>875</v>
      </c>
      <c r="K28" s="796">
        <f>-K23</f>
        <v>8666881.7085096519</v>
      </c>
      <c r="L28" s="763"/>
      <c r="M28" s="764"/>
      <c r="O28" s="795">
        <v>8666881.7085096519</v>
      </c>
      <c r="P28" s="789">
        <f t="shared" si="1"/>
        <v>0</v>
      </c>
    </row>
    <row r="29" spans="1:16">
      <c r="A29" s="777">
        <v>19</v>
      </c>
      <c r="B29" s="791" t="s">
        <v>647</v>
      </c>
      <c r="C29" s="784">
        <f>Summary!$G$29</f>
        <v>106902232.50090739</v>
      </c>
      <c r="D29" s="780">
        <f t="shared" si="0"/>
        <v>5.2057242632104854</v>
      </c>
      <c r="E29" s="781" t="s">
        <v>639</v>
      </c>
      <c r="F29" s="784">
        <f>+C29</f>
        <v>106902232.50090739</v>
      </c>
      <c r="G29" s="784"/>
      <c r="J29" s="792" t="s">
        <v>876</v>
      </c>
      <c r="K29" s="796">
        <f>'Detailed Summary'!$K$24+'Detailed Summary'!$R$24+'Detailed Summary'!$AQ$24</f>
        <v>239362.3532714289</v>
      </c>
      <c r="L29" s="796"/>
      <c r="M29" s="771" t="s">
        <v>853</v>
      </c>
      <c r="O29" s="795">
        <v>239362.3532714289</v>
      </c>
      <c r="P29" s="789">
        <f t="shared" si="1"/>
        <v>0</v>
      </c>
    </row>
    <row r="30" spans="1:16">
      <c r="A30" s="777">
        <v>20</v>
      </c>
      <c r="B30" s="791" t="s">
        <v>646</v>
      </c>
      <c r="C30" s="784">
        <f>-Summary!$G$16</f>
        <v>-6985506.0856509209</v>
      </c>
      <c r="D30" s="780">
        <f t="shared" si="0"/>
        <v>-0.34016706358839455</v>
      </c>
      <c r="E30" s="781" t="s">
        <v>644</v>
      </c>
      <c r="F30" s="784"/>
      <c r="G30" s="784">
        <f>+C30</f>
        <v>-6985506.0856509209</v>
      </c>
      <c r="J30" s="782"/>
      <c r="K30" s="774">
        <f>SUM(K24:K29)</f>
        <v>727049697.80253685</v>
      </c>
      <c r="L30" s="800">
        <f>+L13</f>
        <v>727049697.80253673</v>
      </c>
      <c r="M30" s="776">
        <f>+K30-L30</f>
        <v>0</v>
      </c>
      <c r="O30" s="801">
        <v>734216998.04889369</v>
      </c>
      <c r="P30" s="789">
        <f t="shared" si="1"/>
        <v>-7167300.2463568449</v>
      </c>
    </row>
    <row r="31" spans="1:16">
      <c r="A31" s="777">
        <v>21</v>
      </c>
      <c r="B31" s="802" t="s">
        <v>645</v>
      </c>
      <c r="C31" s="784">
        <f>'Power Cost Bridge to A-1'!$K$20</f>
        <v>-22108578.086590096</v>
      </c>
      <c r="D31" s="780">
        <f t="shared" si="0"/>
        <v>-1.0766020379365679</v>
      </c>
      <c r="E31" s="781" t="s">
        <v>644</v>
      </c>
      <c r="F31" s="784"/>
      <c r="G31" s="784">
        <f>+C31</f>
        <v>-22108578.086590096</v>
      </c>
      <c r="J31" s="782"/>
      <c r="K31" s="762"/>
      <c r="L31" s="763"/>
      <c r="M31" s="764"/>
      <c r="O31" s="803"/>
      <c r="P31" s="789">
        <f t="shared" si="1"/>
        <v>0</v>
      </c>
    </row>
    <row r="32" spans="1:16" ht="15">
      <c r="A32" s="777">
        <v>22</v>
      </c>
      <c r="B32" s="791" t="s">
        <v>643</v>
      </c>
      <c r="C32" s="784">
        <f>'Power Cost Bridge to A-1'!$K$25</f>
        <v>876514.03</v>
      </c>
      <c r="D32" s="780">
        <f t="shared" si="0"/>
        <v>4.2682835019153355E-2</v>
      </c>
      <c r="E32" s="781" t="s">
        <v>639</v>
      </c>
      <c r="F32" s="784">
        <f>+C32</f>
        <v>876514.03</v>
      </c>
      <c r="G32" s="784"/>
      <c r="J32" s="761" t="s">
        <v>877</v>
      </c>
      <c r="K32" s="762"/>
      <c r="L32" s="796"/>
      <c r="M32" s="764"/>
      <c r="O32" s="803"/>
      <c r="P32" s="789">
        <f t="shared" si="1"/>
        <v>0</v>
      </c>
    </row>
    <row r="33" spans="1:16">
      <c r="A33" s="777">
        <v>23</v>
      </c>
      <c r="B33" s="804" t="s">
        <v>642</v>
      </c>
      <c r="C33" s="784">
        <f>'[1]For Prod Adj Expense'!C43</f>
        <v>169567639.20922089</v>
      </c>
      <c r="D33" s="780">
        <f t="shared" si="0"/>
        <v>8.2572866163414336</v>
      </c>
      <c r="E33" s="781" t="s">
        <v>639</v>
      </c>
      <c r="F33" s="784">
        <f>+C33</f>
        <v>169567639.20922089</v>
      </c>
      <c r="G33" s="784"/>
      <c r="J33" s="792" t="s">
        <v>878</v>
      </c>
      <c r="K33" s="796">
        <f>+K21</f>
        <v>106246572.81113668</v>
      </c>
      <c r="L33" s="796"/>
      <c r="M33" s="764"/>
      <c r="O33" s="795">
        <v>108520132.47835678</v>
      </c>
      <c r="P33" s="789">
        <f t="shared" si="1"/>
        <v>-2273559.6672201008</v>
      </c>
    </row>
    <row r="34" spans="1:16">
      <c r="A34" s="777">
        <v>24</v>
      </c>
      <c r="B34" s="804" t="s">
        <v>641</v>
      </c>
      <c r="C34" s="784">
        <f>+'[1]Trans 12-2018'!I66</f>
        <v>3531950.8300239993</v>
      </c>
      <c r="D34" s="780">
        <f t="shared" si="0"/>
        <v>0.17199231206108145</v>
      </c>
      <c r="E34" s="781" t="s">
        <v>639</v>
      </c>
      <c r="F34" s="784">
        <f>+C34</f>
        <v>3531950.8300239993</v>
      </c>
      <c r="G34" s="784"/>
      <c r="J34" s="792" t="s">
        <v>879</v>
      </c>
      <c r="K34" s="796">
        <f>'Detailed Summary'!$K$29+'Detailed Summary'!$R$29+'Detailed Summary'!$AQ$29</f>
        <v>655659.68977071228</v>
      </c>
      <c r="L34" s="796"/>
      <c r="M34" s="771" t="s">
        <v>853</v>
      </c>
      <c r="O34" s="795">
        <v>655659.68977071228</v>
      </c>
      <c r="P34" s="789">
        <f t="shared" si="1"/>
        <v>0</v>
      </c>
    </row>
    <row r="35" spans="1:16">
      <c r="A35" s="777">
        <v>25</v>
      </c>
      <c r="B35" s="804" t="s">
        <v>880</v>
      </c>
      <c r="C35" s="784">
        <f>D54+'[1]Unprotected DFIT Lead'!G13</f>
        <v>5068352.99318753</v>
      </c>
      <c r="D35" s="780">
        <f t="shared" si="0"/>
        <v>0.24680914078130092</v>
      </c>
      <c r="E35" s="781" t="s">
        <v>639</v>
      </c>
      <c r="F35" s="784">
        <f>+C35</f>
        <v>5068352.99318753</v>
      </c>
      <c r="G35" s="784"/>
      <c r="H35" s="743"/>
      <c r="J35" s="792"/>
      <c r="K35" s="774">
        <f>SUM(K33:K34)</f>
        <v>106902232.50090739</v>
      </c>
      <c r="L35" s="774">
        <f>'Detailed Summary'!$BP$29</f>
        <v>106902232.50090739</v>
      </c>
      <c r="M35" s="776">
        <f>+K35-L35</f>
        <v>0</v>
      </c>
      <c r="O35" s="801">
        <v>109175792.16812749</v>
      </c>
      <c r="P35" s="789">
        <f t="shared" si="1"/>
        <v>-2273559.6672201008</v>
      </c>
    </row>
    <row r="36" spans="1:16" ht="15" thickBot="1">
      <c r="A36" s="777">
        <v>27</v>
      </c>
      <c r="B36" s="805" t="s">
        <v>637</v>
      </c>
      <c r="C36" s="806">
        <f>SUM(C14:C35)</f>
        <v>1161313827.1559317</v>
      </c>
      <c r="D36" s="807">
        <f>SUM(D14:D35)</f>
        <v>56.551480972823889</v>
      </c>
      <c r="E36" s="808"/>
      <c r="F36" s="809">
        <f>SUM(F14:F35)</f>
        <v>463707421.37919521</v>
      </c>
      <c r="G36" s="809">
        <f>SUM(G14:G35)</f>
        <v>697606405.77673638</v>
      </c>
      <c r="H36" s="810">
        <f>SUM(F36:G36)-C36</f>
        <v>0</v>
      </c>
      <c r="I36" s="811"/>
      <c r="J36" s="792"/>
      <c r="K36" s="762"/>
      <c r="L36" s="796"/>
      <c r="M36" s="764"/>
      <c r="O36" s="803"/>
      <c r="P36" s="789">
        <f t="shared" si="1"/>
        <v>0</v>
      </c>
    </row>
    <row r="37" spans="1:16" ht="15">
      <c r="A37" s="777">
        <v>28</v>
      </c>
      <c r="B37" s="791" t="s">
        <v>621</v>
      </c>
      <c r="C37" s="812">
        <f>'COC, Def, ConvF'!M18</f>
        <v>0.95111500000000004</v>
      </c>
      <c r="D37" s="813"/>
      <c r="E37" s="813"/>
      <c r="F37" s="814">
        <f>+C37</f>
        <v>0.95111500000000004</v>
      </c>
      <c r="G37" s="814">
        <f>+C37</f>
        <v>0.95111500000000004</v>
      </c>
      <c r="H37" s="743"/>
      <c r="J37" s="761" t="s">
        <v>881</v>
      </c>
      <c r="K37" s="762"/>
      <c r="L37" s="763"/>
      <c r="M37" s="764"/>
      <c r="O37" s="803"/>
      <c r="P37" s="789">
        <f t="shared" si="1"/>
        <v>0</v>
      </c>
    </row>
    <row r="38" spans="1:16">
      <c r="A38" s="777">
        <v>29</v>
      </c>
      <c r="B38" s="791" t="s">
        <v>636</v>
      </c>
      <c r="C38" s="815">
        <f>+C36/C37</f>
        <v>1221002536.1348855</v>
      </c>
      <c r="D38" s="784"/>
      <c r="E38" s="784"/>
      <c r="F38" s="815">
        <f>+F36/F37</f>
        <v>487540856.13116729</v>
      </c>
      <c r="G38" s="815">
        <f>+G36/G37</f>
        <v>733461680.00371814</v>
      </c>
      <c r="H38" s="810">
        <f>SUM(F38:G38)-C38</f>
        <v>0</v>
      </c>
      <c r="I38" s="811"/>
      <c r="J38" s="782" t="s">
        <v>882</v>
      </c>
      <c r="K38" s="796">
        <f>+C35</f>
        <v>5068352.99318753</v>
      </c>
      <c r="L38" s="763"/>
      <c r="M38" s="764"/>
      <c r="O38" s="795">
        <v>5068352.99318753</v>
      </c>
      <c r="P38" s="789">
        <f t="shared" si="1"/>
        <v>0</v>
      </c>
    </row>
    <row r="39" spans="1:16">
      <c r="A39" s="777">
        <v>30</v>
      </c>
      <c r="B39" s="791" t="s">
        <v>883</v>
      </c>
      <c r="C39" s="904">
        <f>'[7]Production Factor'!$D$42/1000</f>
        <v>20535515.731480256</v>
      </c>
      <c r="D39" s="784"/>
      <c r="E39" s="784"/>
      <c r="F39" s="791"/>
      <c r="G39" s="791"/>
      <c r="H39" s="743"/>
      <c r="J39" s="782" t="s">
        <v>884</v>
      </c>
      <c r="K39" s="796">
        <f>+C21</f>
        <v>8840460.579817621</v>
      </c>
      <c r="L39" s="763"/>
      <c r="M39" s="764"/>
      <c r="O39" s="795">
        <v>8840460.579817621</v>
      </c>
      <c r="P39" s="789">
        <f t="shared" si="1"/>
        <v>0</v>
      </c>
    </row>
    <row r="40" spans="1:16">
      <c r="A40" s="777">
        <v>31</v>
      </c>
      <c r="B40" s="791"/>
      <c r="C40" s="791"/>
      <c r="D40" s="816"/>
      <c r="E40" s="816"/>
      <c r="F40" s="791"/>
      <c r="G40" s="817"/>
      <c r="H40" s="743"/>
      <c r="J40" s="782" t="s">
        <v>657</v>
      </c>
      <c r="K40" s="796">
        <f>+C22</f>
        <v>3895439.2738404199</v>
      </c>
      <c r="L40" s="763"/>
      <c r="M40" s="764"/>
      <c r="O40" s="795">
        <v>3895439.2738404199</v>
      </c>
      <c r="P40" s="789">
        <f t="shared" si="1"/>
        <v>0</v>
      </c>
    </row>
    <row r="41" spans="1:16">
      <c r="A41" s="777">
        <v>32</v>
      </c>
      <c r="B41" s="791"/>
      <c r="C41" s="818" t="s">
        <v>885</v>
      </c>
      <c r="D41" s="818" t="s">
        <v>886</v>
      </c>
      <c r="E41" s="818"/>
      <c r="F41" s="819"/>
      <c r="G41" s="820"/>
      <c r="H41" s="743"/>
      <c r="J41" s="782" t="s">
        <v>655</v>
      </c>
      <c r="K41" s="796">
        <f>+C23</f>
        <v>737444.79406107357</v>
      </c>
      <c r="L41" s="763"/>
      <c r="M41" s="764"/>
      <c r="O41" s="795">
        <v>777635.66528346541</v>
      </c>
      <c r="P41" s="789">
        <f t="shared" si="1"/>
        <v>-40190.871222391841</v>
      </c>
    </row>
    <row r="42" spans="1:16">
      <c r="A42" s="777">
        <v>33</v>
      </c>
      <c r="B42" s="791"/>
      <c r="C42" s="821" t="s">
        <v>887</v>
      </c>
      <c r="D42" s="821" t="s">
        <v>887</v>
      </c>
      <c r="E42" s="821"/>
      <c r="F42" s="822"/>
      <c r="G42" s="823"/>
      <c r="H42" s="743"/>
      <c r="J42" s="782" t="s">
        <v>888</v>
      </c>
      <c r="K42" s="796">
        <f>+C24</f>
        <v>1989467.6013443223</v>
      </c>
      <c r="L42" s="763"/>
      <c r="M42" s="764"/>
      <c r="O42" s="795">
        <v>1989467.6013443223</v>
      </c>
      <c r="P42" s="789">
        <f t="shared" si="1"/>
        <v>0</v>
      </c>
    </row>
    <row r="43" spans="1:16">
      <c r="A43" s="777">
        <v>34</v>
      </c>
      <c r="B43" s="791"/>
      <c r="C43" s="824" t="s">
        <v>889</v>
      </c>
      <c r="D43" s="825"/>
      <c r="E43" s="825"/>
      <c r="F43" s="818"/>
      <c r="G43" s="818"/>
      <c r="H43" s="743"/>
      <c r="J43" s="782" t="s">
        <v>866</v>
      </c>
      <c r="K43" s="796">
        <f>+C28</f>
        <v>-8666881.7085096519</v>
      </c>
      <c r="L43" s="763"/>
      <c r="M43" s="764"/>
      <c r="O43" s="826">
        <v>-8666881.7085096519</v>
      </c>
      <c r="P43" s="789">
        <f t="shared" si="1"/>
        <v>0</v>
      </c>
    </row>
    <row r="44" spans="1:16">
      <c r="A44" s="777">
        <v>35</v>
      </c>
      <c r="B44" s="791" t="s">
        <v>890</v>
      </c>
      <c r="C44" s="780">
        <f>D36</f>
        <v>56.551480972823889</v>
      </c>
      <c r="D44" s="780">
        <f>C44/$C$37</f>
        <v>59.458089687181769</v>
      </c>
      <c r="E44" s="780"/>
      <c r="F44" s="780"/>
      <c r="G44" s="827"/>
      <c r="J44" s="782" t="s">
        <v>643</v>
      </c>
      <c r="K44" s="796">
        <f>+C32</f>
        <v>876514.03</v>
      </c>
      <c r="L44" s="763"/>
      <c r="M44" s="764"/>
      <c r="O44" s="826">
        <v>876514.03</v>
      </c>
      <c r="P44" s="789">
        <f t="shared" si="1"/>
        <v>0</v>
      </c>
    </row>
    <row r="45" spans="1:16">
      <c r="A45" s="777">
        <v>36</v>
      </c>
      <c r="B45" s="791" t="s">
        <v>891</v>
      </c>
      <c r="C45" s="780">
        <f>SUM(D14,D16:D17,D20:D22,D24,D28:D29,D32:D35)</f>
        <v>22.580753629106443</v>
      </c>
      <c r="D45" s="780">
        <f>C45/C$37</f>
        <v>23.741349499383819</v>
      </c>
      <c r="E45" s="780"/>
      <c r="F45" s="567"/>
      <c r="G45" s="791"/>
      <c r="J45" s="782" t="s">
        <v>892</v>
      </c>
      <c r="K45" s="796">
        <f>+C33</f>
        <v>169567639.20922089</v>
      </c>
      <c r="L45" s="763"/>
      <c r="M45" s="764"/>
      <c r="O45" s="826">
        <v>169567639.20922089</v>
      </c>
      <c r="P45" s="789">
        <f t="shared" si="1"/>
        <v>0</v>
      </c>
    </row>
    <row r="46" spans="1:16">
      <c r="A46" s="777">
        <v>37</v>
      </c>
      <c r="B46" s="791" t="s">
        <v>893</v>
      </c>
      <c r="C46" s="828">
        <f>SUM(D15,D18:D19,D23,D25:D27,D30:D31)</f>
        <v>33.970727343717456</v>
      </c>
      <c r="D46" s="828">
        <f>C46/C$37</f>
        <v>35.71674018779796</v>
      </c>
      <c r="E46" s="780"/>
      <c r="F46" s="567"/>
      <c r="G46" s="791"/>
      <c r="J46" s="782" t="s">
        <v>894</v>
      </c>
      <c r="K46" s="796">
        <f>+C34</f>
        <v>3531950.8300239993</v>
      </c>
      <c r="L46" s="763"/>
      <c r="M46" s="764"/>
      <c r="O46" s="826">
        <v>3531950.8300239993</v>
      </c>
      <c r="P46" s="789">
        <f t="shared" si="1"/>
        <v>0</v>
      </c>
    </row>
    <row r="47" spans="1:16">
      <c r="A47" s="777">
        <v>38</v>
      </c>
      <c r="B47" s="791" t="s">
        <v>890</v>
      </c>
      <c r="C47" s="780">
        <f>SUM(C45:C46)</f>
        <v>56.551480972823896</v>
      </c>
      <c r="D47" s="780">
        <f>SUM(D45:D46)</f>
        <v>59.458089687181783</v>
      </c>
      <c r="E47" s="780"/>
      <c r="F47" s="780"/>
      <c r="G47" s="827"/>
      <c r="J47" s="782" t="s">
        <v>895</v>
      </c>
      <c r="K47" s="796">
        <f>+C31</f>
        <v>-22108578.086590096</v>
      </c>
      <c r="L47" s="763"/>
      <c r="M47" s="764"/>
      <c r="O47" s="826">
        <v>-21415123.754653782</v>
      </c>
      <c r="P47" s="789">
        <f t="shared" si="1"/>
        <v>-693454.3319363147</v>
      </c>
    </row>
    <row r="48" spans="1:16">
      <c r="A48" s="746"/>
      <c r="J48" s="782" t="s">
        <v>419</v>
      </c>
      <c r="K48" s="774">
        <f>SUM(K38:K47)</f>
        <v>163731809.51639611</v>
      </c>
      <c r="L48" s="763"/>
      <c r="M48" s="764"/>
      <c r="O48" s="801">
        <v>164465454.71955481</v>
      </c>
      <c r="P48" s="789">
        <f t="shared" si="1"/>
        <v>-733645.20315870643</v>
      </c>
    </row>
    <row r="49" spans="1:17" ht="15.75" thickBot="1">
      <c r="A49" s="746"/>
      <c r="B49" s="829"/>
      <c r="C49" s="791"/>
      <c r="D49" s="830" t="s">
        <v>896</v>
      </c>
      <c r="E49"/>
      <c r="F49"/>
      <c r="G49"/>
      <c r="J49" s="782"/>
      <c r="K49" s="762"/>
      <c r="L49" s="763"/>
      <c r="M49" s="764"/>
      <c r="O49" s="803"/>
      <c r="P49" s="789">
        <f t="shared" si="1"/>
        <v>0</v>
      </c>
    </row>
    <row r="50" spans="1:17" ht="15">
      <c r="A50" s="746"/>
      <c r="B50" s="831" t="s">
        <v>897</v>
      </c>
      <c r="C50" s="832" t="s">
        <v>713</v>
      </c>
      <c r="D50" s="833" t="s">
        <v>898</v>
      </c>
      <c r="E50"/>
      <c r="F50"/>
      <c r="G50"/>
      <c r="J50" s="782" t="s">
        <v>899</v>
      </c>
      <c r="K50" s="796">
        <f>SUM(K30,K35,K48)</f>
        <v>997683739.81984043</v>
      </c>
      <c r="L50" s="763"/>
      <c r="M50" s="764"/>
      <c r="O50" s="834">
        <v>1007858244.936576</v>
      </c>
      <c r="P50" s="789">
        <f t="shared" si="1"/>
        <v>-10174505.116735578</v>
      </c>
    </row>
    <row r="51" spans="1:17" ht="15">
      <c r="A51" s="746"/>
      <c r="B51" s="835" t="s">
        <v>900</v>
      </c>
      <c r="C51" s="836">
        <v>407</v>
      </c>
      <c r="D51" s="837">
        <f>'Electric Adj'!AU47</f>
        <v>4459451.03318753</v>
      </c>
      <c r="E51"/>
      <c r="F51"/>
      <c r="G51"/>
      <c r="J51" s="782"/>
      <c r="K51" s="762"/>
      <c r="L51" s="763"/>
      <c r="M51" s="764"/>
      <c r="O51" s="803"/>
      <c r="P51" s="789">
        <f t="shared" si="1"/>
        <v>0</v>
      </c>
    </row>
    <row r="52" spans="1:17" ht="15">
      <c r="A52" s="746"/>
      <c r="B52" s="838" t="s">
        <v>901</v>
      </c>
      <c r="C52" s="830">
        <v>407.3</v>
      </c>
      <c r="D52" s="839">
        <f>'Electric Adj'!AU41</f>
        <v>687420</v>
      </c>
      <c r="E52"/>
      <c r="F52"/>
      <c r="G52"/>
      <c r="J52" s="782" t="s">
        <v>902</v>
      </c>
      <c r="K52" s="840">
        <f>SUM(C14,C16:C17)</f>
        <v>163630087.33609128</v>
      </c>
      <c r="L52" s="763"/>
      <c r="M52" s="764"/>
      <c r="O52" s="834">
        <v>170883366.49680138</v>
      </c>
      <c r="P52" s="789">
        <f t="shared" si="1"/>
        <v>-7253279.1607100964</v>
      </c>
    </row>
    <row r="53" spans="1:17" ht="15">
      <c r="A53" s="746"/>
      <c r="B53" s="838" t="s">
        <v>903</v>
      </c>
      <c r="C53" s="830">
        <v>407.3</v>
      </c>
      <c r="D53" s="839">
        <f>'Electric Adj'!AU37</f>
        <v>2885052</v>
      </c>
      <c r="E53"/>
      <c r="F53"/>
      <c r="G53"/>
      <c r="J53" s="782"/>
      <c r="K53" s="841"/>
      <c r="L53" s="763"/>
      <c r="M53" s="764"/>
      <c r="O53" s="842"/>
      <c r="P53" s="789">
        <f t="shared" si="1"/>
        <v>0</v>
      </c>
    </row>
    <row r="54" spans="1:17" ht="15.75" thickBot="1">
      <c r="A54" s="746"/>
      <c r="B54" s="838" t="s">
        <v>904</v>
      </c>
      <c r="C54" s="843"/>
      <c r="D54" s="844">
        <f>SUM(D51:D53)</f>
        <v>8031923.03318753</v>
      </c>
      <c r="E54"/>
      <c r="F54"/>
      <c r="G54"/>
      <c r="J54" s="782" t="s">
        <v>905</v>
      </c>
      <c r="K54" s="845">
        <f>SUM(K50,K52)</f>
        <v>1161313827.1559317</v>
      </c>
      <c r="L54" s="763"/>
      <c r="M54" s="764"/>
      <c r="O54" s="846">
        <v>1178741611.4333773</v>
      </c>
      <c r="P54" s="789">
        <f t="shared" si="1"/>
        <v>-17427784.277445555</v>
      </c>
    </row>
    <row r="55" spans="1:17" ht="16.5" thickTop="1" thickBot="1">
      <c r="A55" s="746"/>
      <c r="B55" s="847"/>
      <c r="C55" s="848" t="s">
        <v>906</v>
      </c>
      <c r="D55" s="849">
        <f>+'Electric Adj'!AU49-D54</f>
        <v>0</v>
      </c>
      <c r="E55"/>
      <c r="F55"/>
      <c r="G55"/>
      <c r="J55" s="850" t="s">
        <v>907</v>
      </c>
      <c r="K55" s="851">
        <f>+C36-K54</f>
        <v>0</v>
      </c>
      <c r="L55" s="763"/>
      <c r="M55" s="764"/>
    </row>
    <row r="56" spans="1:17" ht="15">
      <c r="A56" s="746"/>
      <c r="E56"/>
      <c r="F56"/>
      <c r="G56"/>
      <c r="J56" s="782"/>
      <c r="K56" s="762"/>
      <c r="L56" s="763"/>
      <c r="M56" s="764"/>
    </row>
    <row r="57" spans="1:17" ht="15">
      <c r="A57" s="746"/>
      <c r="B57"/>
      <c r="C57"/>
      <c r="D57"/>
      <c r="E57"/>
      <c r="F57"/>
      <c r="G57"/>
      <c r="J57" s="761" t="s">
        <v>908</v>
      </c>
      <c r="K57" s="762"/>
      <c r="L57" s="763"/>
      <c r="M57" s="764"/>
      <c r="O57" s="744" t="s">
        <v>925</v>
      </c>
    </row>
    <row r="58" spans="1:17" ht="15">
      <c r="A58" s="746"/>
      <c r="B58"/>
      <c r="C58"/>
      <c r="D58"/>
      <c r="E58"/>
      <c r="F58"/>
      <c r="G58"/>
      <c r="J58" s="782" t="s">
        <v>909</v>
      </c>
      <c r="K58" s="852">
        <f>+C18</f>
        <v>35863917.55959221</v>
      </c>
      <c r="L58" s="763"/>
      <c r="M58" s="764"/>
      <c r="O58" s="862"/>
      <c r="P58" s="863" t="s">
        <v>885</v>
      </c>
      <c r="Q58" s="863" t="s">
        <v>886</v>
      </c>
    </row>
    <row r="59" spans="1:17" ht="15">
      <c r="A59" s="746"/>
      <c r="B59"/>
      <c r="C59"/>
      <c r="D59"/>
      <c r="J59" s="782" t="s">
        <v>910</v>
      </c>
      <c r="K59" s="852">
        <f>+C26</f>
        <v>151759306.05215243</v>
      </c>
      <c r="L59" s="763"/>
      <c r="M59" s="764"/>
      <c r="O59" s="862"/>
      <c r="P59" s="864" t="s">
        <v>887</v>
      </c>
      <c r="Q59" s="864" t="s">
        <v>887</v>
      </c>
    </row>
    <row r="60" spans="1:17" ht="15">
      <c r="A60" s="746"/>
      <c r="B60"/>
      <c r="C60"/>
      <c r="D60"/>
      <c r="J60" s="782" t="s">
        <v>911</v>
      </c>
      <c r="K60" s="853">
        <f>SUM(K58:K59)</f>
        <v>187623223.61174464</v>
      </c>
      <c r="L60" s="763"/>
      <c r="M60" s="764"/>
      <c r="O60" s="862"/>
      <c r="P60" s="865" t="s">
        <v>889</v>
      </c>
      <c r="Q60" s="866"/>
    </row>
    <row r="61" spans="1:17" ht="15">
      <c r="A61" s="746"/>
      <c r="B61"/>
      <c r="C61"/>
      <c r="D61"/>
      <c r="J61" s="782" t="s">
        <v>912</v>
      </c>
      <c r="K61" s="854">
        <f>Summary!$G$23</f>
        <v>187623223.61174458</v>
      </c>
      <c r="L61" s="763"/>
      <c r="M61" s="764"/>
      <c r="O61" s="862" t="s">
        <v>890</v>
      </c>
      <c r="P61" s="867">
        <v>57.490316087354387</v>
      </c>
      <c r="Q61" s="867">
        <v>60.445178645436549</v>
      </c>
    </row>
    <row r="62" spans="1:17" ht="15">
      <c r="A62" s="746"/>
      <c r="B62"/>
      <c r="C62"/>
      <c r="D62"/>
      <c r="J62" s="850" t="s">
        <v>907</v>
      </c>
      <c r="K62" s="855">
        <f>+K60-K61</f>
        <v>0</v>
      </c>
      <c r="L62" s="763"/>
      <c r="M62" s="764"/>
      <c r="O62" s="862" t="s">
        <v>891</v>
      </c>
      <c r="P62" s="867">
        <v>23.080874501061651</v>
      </c>
      <c r="Q62" s="867">
        <v>24.267175368973941</v>
      </c>
    </row>
    <row r="63" spans="1:17" ht="15">
      <c r="A63" s="746"/>
      <c r="B63"/>
      <c r="C63"/>
      <c r="D63"/>
      <c r="J63" s="782"/>
      <c r="K63" s="762"/>
      <c r="L63" s="763"/>
      <c r="M63" s="764"/>
      <c r="O63" s="862" t="s">
        <v>893</v>
      </c>
      <c r="P63" s="868">
        <v>34.409441586292736</v>
      </c>
      <c r="Q63" s="868">
        <v>36.178003276462611</v>
      </c>
    </row>
    <row r="64" spans="1:17" ht="15">
      <c r="A64" s="746"/>
      <c r="B64"/>
      <c r="C64"/>
      <c r="D64"/>
      <c r="J64" s="782" t="s">
        <v>913</v>
      </c>
      <c r="K64" s="852">
        <f>+C19</f>
        <v>421456718.2799986</v>
      </c>
      <c r="L64" s="763"/>
      <c r="M64" s="764"/>
      <c r="O64" s="862" t="s">
        <v>890</v>
      </c>
      <c r="P64" s="867">
        <v>57.490316087354387</v>
      </c>
      <c r="Q64" s="867">
        <v>60.445178645436556</v>
      </c>
    </row>
    <row r="65" spans="1:13" ht="15">
      <c r="A65" s="746"/>
      <c r="B65"/>
      <c r="C65"/>
      <c r="D65"/>
      <c r="J65" s="782" t="s">
        <v>914</v>
      </c>
      <c r="K65" s="852">
        <f>+C20</f>
        <v>8072158.7332714284</v>
      </c>
      <c r="L65" s="763"/>
      <c r="M65" s="764"/>
    </row>
    <row r="66" spans="1:13" ht="15">
      <c r="A66" s="746"/>
      <c r="B66"/>
      <c r="C66"/>
      <c r="D66"/>
      <c r="J66" s="782" t="s">
        <v>915</v>
      </c>
      <c r="K66" s="852">
        <f>+C25</f>
        <v>426923.48749781423</v>
      </c>
      <c r="L66" s="763"/>
      <c r="M66" s="764"/>
    </row>
    <row r="67" spans="1:13" ht="15">
      <c r="A67" s="746"/>
      <c r="B67"/>
      <c r="C67"/>
      <c r="D67"/>
      <c r="J67" s="782" t="s">
        <v>916</v>
      </c>
      <c r="K67" s="852">
        <f>+C15</f>
        <v>3913458.436219302</v>
      </c>
      <c r="L67" s="763"/>
      <c r="M67" s="764"/>
    </row>
    <row r="68" spans="1:13" ht="15">
      <c r="A68" s="746"/>
      <c r="B68"/>
      <c r="C68"/>
      <c r="D68"/>
      <c r="J68" s="782" t="s">
        <v>917</v>
      </c>
      <c r="K68" s="853">
        <f>SUM(K64:K67)</f>
        <v>433869258.9369871</v>
      </c>
      <c r="L68" s="763"/>
      <c r="M68" s="764"/>
    </row>
    <row r="69" spans="1:13" ht="15">
      <c r="A69" s="746"/>
      <c r="B69"/>
      <c r="C69"/>
      <c r="D69"/>
      <c r="J69" s="782" t="s">
        <v>918</v>
      </c>
      <c r="K69" s="856">
        <f>Summary!$G$24</f>
        <v>433869258.9369871</v>
      </c>
      <c r="L69" s="763"/>
      <c r="M69" s="764"/>
    </row>
    <row r="70" spans="1:13" ht="15">
      <c r="A70" s="746"/>
      <c r="B70"/>
      <c r="C70"/>
      <c r="D70"/>
      <c r="J70" s="850" t="s">
        <v>907</v>
      </c>
      <c r="K70" s="855">
        <f>+K68-K69</f>
        <v>0</v>
      </c>
      <c r="L70" s="763"/>
      <c r="M70" s="764"/>
    </row>
    <row r="71" spans="1:13" ht="15">
      <c r="A71" s="746"/>
      <c r="B71"/>
      <c r="C71"/>
      <c r="D71"/>
      <c r="J71" s="782"/>
      <c r="K71" s="762"/>
      <c r="L71" s="763"/>
      <c r="M71" s="764"/>
    </row>
    <row r="72" spans="1:13" ht="15">
      <c r="A72" s="746"/>
      <c r="B72"/>
      <c r="C72"/>
      <c r="D72"/>
      <c r="J72" s="782" t="s">
        <v>919</v>
      </c>
      <c r="K72" s="852">
        <f>+C27</f>
        <v>112542721.33945595</v>
      </c>
      <c r="L72" s="763"/>
      <c r="M72" s="764"/>
    </row>
    <row r="73" spans="1:13" ht="15">
      <c r="A73" s="746"/>
      <c r="B73"/>
      <c r="C73"/>
      <c r="D73"/>
      <c r="J73" s="782" t="s">
        <v>920</v>
      </c>
      <c r="K73" s="856">
        <f>Summary!$G$25</f>
        <v>112542721.33945595</v>
      </c>
      <c r="L73" s="763"/>
      <c r="M73" s="764"/>
    </row>
    <row r="74" spans="1:13" ht="15">
      <c r="A74" s="746"/>
      <c r="B74"/>
      <c r="C74"/>
      <c r="D74"/>
      <c r="J74" s="850" t="s">
        <v>907</v>
      </c>
      <c r="K74" s="855">
        <f>+K72-K73</f>
        <v>0</v>
      </c>
      <c r="L74" s="763"/>
      <c r="M74" s="764"/>
    </row>
    <row r="75" spans="1:13" ht="15">
      <c r="A75" s="746"/>
      <c r="B75"/>
      <c r="C75"/>
      <c r="D75"/>
      <c r="J75" s="782"/>
      <c r="K75" s="762"/>
      <c r="L75" s="763"/>
      <c r="M75" s="764"/>
    </row>
    <row r="76" spans="1:13" ht="15">
      <c r="A76" s="746"/>
      <c r="B76"/>
      <c r="C76"/>
      <c r="D76"/>
      <c r="J76" s="782" t="s">
        <v>921</v>
      </c>
      <c r="K76" s="852">
        <f>+C29</f>
        <v>106902232.50090739</v>
      </c>
      <c r="L76" s="763"/>
      <c r="M76" s="764"/>
    </row>
    <row r="77" spans="1:13" ht="15">
      <c r="A77" s="746"/>
      <c r="B77"/>
      <c r="C77"/>
      <c r="D77"/>
      <c r="J77" s="782" t="s">
        <v>922</v>
      </c>
      <c r="K77" s="854">
        <f>Summary!$G$29</f>
        <v>106902232.50090739</v>
      </c>
      <c r="L77" s="763"/>
      <c r="M77" s="764"/>
    </row>
    <row r="78" spans="1:13" ht="15">
      <c r="A78" s="746"/>
      <c r="B78"/>
      <c r="C78"/>
      <c r="D78"/>
      <c r="J78" s="850" t="s">
        <v>907</v>
      </c>
      <c r="K78" s="855">
        <f>+K76-K77</f>
        <v>0</v>
      </c>
      <c r="L78" s="763"/>
      <c r="M78" s="764"/>
    </row>
    <row r="79" spans="1:13" ht="15">
      <c r="A79" s="746"/>
      <c r="B79"/>
      <c r="C79"/>
      <c r="D79"/>
      <c r="J79" s="782"/>
      <c r="K79" s="762"/>
      <c r="L79" s="763"/>
      <c r="M79" s="764"/>
    </row>
    <row r="80" spans="1:13" ht="15">
      <c r="A80" s="746"/>
      <c r="B80"/>
      <c r="C80"/>
      <c r="D80"/>
      <c r="J80" s="782" t="s">
        <v>923</v>
      </c>
      <c r="K80" s="852">
        <f>+C30</f>
        <v>-6985506.0856509209</v>
      </c>
      <c r="L80" s="763"/>
      <c r="M80" s="764"/>
    </row>
    <row r="81" spans="1:13" ht="15">
      <c r="A81" s="746"/>
      <c r="B81"/>
      <c r="C81"/>
      <c r="D81"/>
      <c r="J81" s="782" t="s">
        <v>924</v>
      </c>
      <c r="K81" s="856">
        <f>-Summary!$G$16</f>
        <v>-6985506.0856509209</v>
      </c>
      <c r="L81" s="763"/>
      <c r="M81" s="764"/>
    </row>
    <row r="82" spans="1:13" ht="15">
      <c r="A82" s="746"/>
      <c r="B82"/>
      <c r="C82"/>
      <c r="D82"/>
      <c r="J82" s="850" t="s">
        <v>907</v>
      </c>
      <c r="K82" s="855">
        <f>+K80-K81</f>
        <v>0</v>
      </c>
      <c r="L82" s="763"/>
      <c r="M82" s="764"/>
    </row>
    <row r="83" spans="1:13" ht="15" thickBot="1">
      <c r="A83" s="746"/>
      <c r="C83" s="857"/>
      <c r="D83" s="857"/>
      <c r="J83" s="858"/>
      <c r="K83" s="859"/>
      <c r="L83" s="860"/>
      <c r="M83" s="861"/>
    </row>
    <row r="84" spans="1:13">
      <c r="A84" s="746"/>
      <c r="C84" s="857"/>
      <c r="D84" s="857"/>
    </row>
    <row r="85" spans="1:13">
      <c r="A85" s="746"/>
      <c r="C85" s="857"/>
      <c r="D85" s="857"/>
    </row>
    <row r="86" spans="1:13">
      <c r="A86" s="746"/>
      <c r="C86" s="857"/>
      <c r="D86" s="857"/>
    </row>
    <row r="87" spans="1:13">
      <c r="A87" s="746"/>
      <c r="C87" s="857"/>
      <c r="D87" s="857"/>
    </row>
    <row r="88" spans="1:13">
      <c r="A88" s="746"/>
      <c r="C88" s="857"/>
      <c r="D88" s="857"/>
    </row>
    <row r="89" spans="1:13">
      <c r="A89" s="746"/>
      <c r="C89" s="857"/>
      <c r="D89" s="857"/>
    </row>
    <row r="90" spans="1:13">
      <c r="A90" s="746"/>
    </row>
    <row r="91" spans="1:13">
      <c r="A91" s="746"/>
    </row>
    <row r="92" spans="1:13">
      <c r="A92" s="746"/>
    </row>
    <row r="93" spans="1:13">
      <c r="A93" s="746"/>
    </row>
    <row r="94" spans="1:13">
      <c r="A94" s="746"/>
    </row>
    <row r="95" spans="1:13">
      <c r="A95" s="746"/>
    </row>
    <row r="96" spans="1:13">
      <c r="A96" s="746"/>
    </row>
    <row r="97" spans="1:1">
      <c r="A97" s="746"/>
    </row>
    <row r="98" spans="1:1">
      <c r="A98" s="746"/>
    </row>
    <row r="99" spans="1:1">
      <c r="A99" s="746"/>
    </row>
    <row r="100" spans="1:1">
      <c r="A100" s="746"/>
    </row>
    <row r="101" spans="1:1">
      <c r="A101" s="746"/>
    </row>
    <row r="102" spans="1:1">
      <c r="A102" s="746"/>
    </row>
    <row r="103" spans="1:1">
      <c r="A103" s="746"/>
    </row>
    <row r="104" spans="1:1">
      <c r="A104" s="746"/>
    </row>
    <row r="105" spans="1:1">
      <c r="A105" s="746"/>
    </row>
    <row r="106" spans="1:1">
      <c r="A106" s="746"/>
    </row>
    <row r="107" spans="1:1">
      <c r="A107" s="746"/>
    </row>
    <row r="108" spans="1:1">
      <c r="A108" s="746"/>
    </row>
    <row r="109" spans="1:1">
      <c r="A109" s="746"/>
    </row>
    <row r="110" spans="1:1">
      <c r="A110" s="746"/>
    </row>
    <row r="111" spans="1:1">
      <c r="A111" s="746"/>
    </row>
    <row r="112" spans="1:1">
      <c r="A112" s="746"/>
    </row>
    <row r="113" spans="1:1">
      <c r="A113" s="746"/>
    </row>
    <row r="114" spans="1:1">
      <c r="A114" s="746"/>
    </row>
    <row r="115" spans="1:1">
      <c r="A115" s="746"/>
    </row>
    <row r="116" spans="1:1">
      <c r="A116" s="746"/>
    </row>
    <row r="117" spans="1:1">
      <c r="A117" s="746"/>
    </row>
    <row r="118" spans="1:1">
      <c r="A118" s="746"/>
    </row>
    <row r="119" spans="1:1">
      <c r="A119" s="746"/>
    </row>
    <row r="120" spans="1:1">
      <c r="A120" s="746"/>
    </row>
    <row r="121" spans="1:1">
      <c r="A121" s="746"/>
    </row>
    <row r="122" spans="1:1">
      <c r="A122" s="746"/>
    </row>
    <row r="123" spans="1:1">
      <c r="A123" s="746"/>
    </row>
    <row r="124" spans="1:1">
      <c r="A124" s="746"/>
    </row>
    <row r="125" spans="1:1">
      <c r="A125" s="746"/>
    </row>
    <row r="126" spans="1:1">
      <c r="A126" s="746"/>
    </row>
    <row r="127" spans="1:1">
      <c r="A127" s="746"/>
    </row>
    <row r="128" spans="1:1">
      <c r="A128" s="746"/>
    </row>
    <row r="129" spans="1:1">
      <c r="A129" s="746"/>
    </row>
    <row r="130" spans="1:1">
      <c r="A130" s="746"/>
    </row>
    <row r="131" spans="1:1">
      <c r="A131" s="746"/>
    </row>
  </sheetData>
  <pageMargins left="0.7" right="0.7" top="0.75" bottom="0.44" header="0.3" footer="0.3"/>
  <pageSetup scale="56" orientation="portrait" r:id="rId1"/>
  <headerFooter>
    <oddHeader xml:space="preserve">&amp;R&amp;"Times New Roman,Regular"&amp;9Exh. JL-2r
Dockets UE 190529 / UG-190530 and 
UE-190274 / UG-190275 (consol.)
Page &amp;P of &amp;N&amp;11 
</oddHeader>
  </headerFooter>
  <colBreaks count="2" manualBreakCount="2">
    <brk id="8" max="1048575" man="1"/>
    <brk id="17" max="8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X103"/>
  <sheetViews>
    <sheetView view="pageLayout" topLeftCell="B1" zoomScaleNormal="80" zoomScaleSheetLayoutView="40" workbookViewId="0">
      <selection activeCell="I2" sqref="I2"/>
    </sheetView>
  </sheetViews>
  <sheetFormatPr defaultColWidth="9.140625" defaultRowHeight="12.75"/>
  <cols>
    <col min="1" max="1" width="5.42578125" style="286" bestFit="1" customWidth="1"/>
    <col min="2" max="2" width="66.140625" style="286" bestFit="1" customWidth="1"/>
    <col min="3" max="3" width="10.85546875" style="286" customWidth="1"/>
    <col min="4" max="4" width="12.5703125" style="286" customWidth="1"/>
    <col min="5" max="5" width="13" style="286" customWidth="1"/>
    <col min="6" max="6" width="13.85546875" style="286" customWidth="1"/>
    <col min="7" max="7" width="14.140625" style="286" customWidth="1"/>
    <col min="8" max="8" width="13.85546875" style="286" customWidth="1"/>
    <col min="9" max="9" width="5.42578125" style="286" bestFit="1" customWidth="1"/>
    <col min="10" max="10" width="55.42578125" style="286" customWidth="1"/>
    <col min="11" max="11" width="10.7109375" style="286" bestFit="1" customWidth="1"/>
    <col min="12" max="13" width="16.28515625" style="286" bestFit="1" customWidth="1"/>
    <col min="14" max="14" width="14.140625" style="286" bestFit="1" customWidth="1"/>
    <col min="15" max="15" width="16.28515625" style="286" bestFit="1" customWidth="1"/>
    <col min="16" max="16" width="15.42578125" style="286" bestFit="1" customWidth="1"/>
    <col min="17" max="17" width="5.42578125" style="286" bestFit="1" customWidth="1"/>
    <col min="18" max="18" width="39.5703125" style="286" customWidth="1"/>
    <col min="19" max="19" width="4.5703125" style="286" bestFit="1" customWidth="1"/>
    <col min="20" max="22" width="17.5703125" style="286" customWidth="1"/>
    <col min="23" max="23" width="18.7109375" style="286" customWidth="1"/>
    <col min="24" max="24" width="16.28515625" style="286" customWidth="1"/>
    <col min="25" max="25" width="5.42578125" style="286" bestFit="1" customWidth="1"/>
    <col min="26" max="26" width="37.85546875" style="286" customWidth="1"/>
    <col min="27" max="27" width="4.7109375" style="286" bestFit="1" customWidth="1"/>
    <col min="28" max="32" width="18.5703125" style="286" customWidth="1"/>
    <col min="33" max="33" width="9.140625" style="286"/>
    <col min="34" max="34" width="66" style="286" customWidth="1"/>
    <col min="35" max="35" width="9" style="286" customWidth="1"/>
    <col min="36" max="36" width="12.85546875" style="286" bestFit="1" customWidth="1"/>
    <col min="37" max="37" width="13.28515625" style="286" customWidth="1"/>
    <col min="38" max="38" width="15.42578125" style="286" customWidth="1"/>
    <col min="39" max="39" width="14" style="286" customWidth="1"/>
    <col min="40" max="40" width="16.28515625" style="286" bestFit="1" customWidth="1"/>
    <col min="41" max="41" width="9.140625" style="286"/>
    <col min="42" max="42" width="62.140625" style="286" customWidth="1"/>
    <col min="43" max="43" width="4.5703125" style="286" bestFit="1" customWidth="1"/>
    <col min="44" max="45" width="16" style="286" customWidth="1"/>
    <col min="46" max="46" width="13.28515625" style="286" customWidth="1"/>
    <col min="47" max="47" width="12.140625" style="286" bestFit="1" customWidth="1"/>
    <col min="48" max="48" width="13.140625" style="286" bestFit="1" customWidth="1"/>
    <col min="49" max="49" width="5.42578125" style="286" bestFit="1" customWidth="1"/>
    <col min="50" max="50" width="66.140625" style="286" bestFit="1" customWidth="1"/>
    <col min="51" max="51" width="8.28515625" style="286" bestFit="1" customWidth="1"/>
    <col min="52" max="52" width="17.140625" style="286" customWidth="1"/>
    <col min="53" max="53" width="18.42578125" style="286" customWidth="1"/>
    <col min="54" max="54" width="16.5703125" style="286" bestFit="1" customWidth="1"/>
    <col min="55" max="55" width="16.85546875" style="286" customWidth="1"/>
    <col min="56" max="56" width="14.85546875" style="286" bestFit="1" customWidth="1"/>
    <col min="57" max="57" width="5.42578125" style="286" bestFit="1" customWidth="1"/>
    <col min="58" max="58" width="41.140625" style="286" bestFit="1" customWidth="1"/>
    <col min="59" max="59" width="4.28515625" style="286" customWidth="1"/>
    <col min="60" max="60" width="16.140625" style="286" customWidth="1"/>
    <col min="61" max="61" width="16.7109375" style="286" customWidth="1"/>
    <col min="62" max="62" width="17.7109375" style="286" customWidth="1"/>
    <col min="63" max="63" width="17.140625" style="286" customWidth="1"/>
    <col min="64" max="64" width="14.85546875" style="286" customWidth="1"/>
    <col min="65" max="65" width="9.140625" style="286"/>
    <col min="66" max="66" width="54.7109375" style="286" customWidth="1"/>
    <col min="67" max="67" width="7.140625" style="286" customWidth="1"/>
    <col min="68" max="72" width="16.42578125" style="286" customWidth="1"/>
    <col min="73" max="73" width="5.42578125" style="286" bestFit="1" customWidth="1"/>
    <col min="74" max="74" width="50.28515625" style="286" bestFit="1" customWidth="1"/>
    <col min="75" max="75" width="6" style="286" customWidth="1"/>
    <col min="76" max="80" width="17.5703125" style="286" customWidth="1"/>
    <col min="81" max="81" width="5.42578125" style="286" bestFit="1" customWidth="1"/>
    <col min="82" max="82" width="49.5703125" style="286" bestFit="1" customWidth="1"/>
    <col min="83" max="83" width="9.7109375" style="286" customWidth="1"/>
    <col min="84" max="84" width="16.42578125" style="286" customWidth="1"/>
    <col min="85" max="85" width="17.42578125" style="286" customWidth="1"/>
    <col min="86" max="86" width="16.42578125" style="286" customWidth="1"/>
    <col min="87" max="87" width="12.42578125" style="286" customWidth="1"/>
    <col min="88" max="88" width="14.85546875" style="286" customWidth="1"/>
    <col min="89" max="89" width="5.42578125" style="286" bestFit="1" customWidth="1"/>
    <col min="90" max="90" width="55.42578125" style="286" customWidth="1"/>
    <col min="91" max="91" width="6.85546875" style="286" customWidth="1"/>
    <col min="92" max="93" width="12" style="286" customWidth="1"/>
    <col min="94" max="94" width="16.5703125" style="286" bestFit="1" customWidth="1"/>
    <col min="95" max="96" width="12" style="286" customWidth="1"/>
    <col min="97" max="97" width="9.140625" style="286"/>
    <col min="98" max="98" width="46.28515625" style="286" bestFit="1" customWidth="1"/>
    <col min="99" max="99" width="12.140625" style="286" customWidth="1"/>
    <col min="100" max="100" width="17.140625" style="286" customWidth="1"/>
    <col min="101" max="101" width="16.85546875" style="286" customWidth="1"/>
    <col min="102" max="102" width="17.140625" style="286" customWidth="1"/>
    <col min="103" max="103" width="16.5703125" style="286" customWidth="1"/>
    <col min="104" max="104" width="14.5703125" style="286" customWidth="1"/>
    <col min="105" max="105" width="5.42578125" style="286" bestFit="1" customWidth="1"/>
    <col min="106" max="106" width="38.140625" style="286" customWidth="1"/>
    <col min="107" max="107" width="8.42578125" style="286" customWidth="1"/>
    <col min="108" max="108" width="17.28515625" style="286" customWidth="1"/>
    <col min="109" max="109" width="18.7109375" style="286" customWidth="1"/>
    <col min="110" max="110" width="18.42578125" style="286" customWidth="1"/>
    <col min="111" max="111" width="17" style="286" customWidth="1"/>
    <col min="112" max="112" width="18.7109375" style="286" customWidth="1"/>
    <col min="113" max="113" width="5" style="286" bestFit="1" customWidth="1"/>
    <col min="114" max="114" width="33.5703125" style="286" customWidth="1"/>
    <col min="115" max="115" width="9.85546875" style="286" customWidth="1"/>
    <col min="116" max="116" width="17.85546875" style="286" customWidth="1"/>
    <col min="117" max="117" width="18.7109375" style="286" customWidth="1"/>
    <col min="118" max="118" width="15.28515625" style="286" customWidth="1"/>
    <col min="119" max="119" width="14" style="286" bestFit="1" customWidth="1"/>
    <col min="120" max="120" width="18.28515625" style="286" customWidth="1"/>
    <col min="121" max="121" width="9.140625" style="286"/>
    <col min="122" max="122" width="42.28515625" style="286" customWidth="1"/>
    <col min="123" max="123" width="11.28515625" style="286" customWidth="1"/>
    <col min="124" max="124" width="13.140625" style="286" bestFit="1" customWidth="1"/>
    <col min="125" max="125" width="12.85546875" style="286" bestFit="1" customWidth="1"/>
    <col min="126" max="126" width="15" style="286" bestFit="1" customWidth="1"/>
    <col min="127" max="127" width="13.28515625" style="286" bestFit="1" customWidth="1"/>
    <col min="128" max="128" width="15" style="286" bestFit="1" customWidth="1"/>
    <col min="129" max="129" width="9.140625" style="286"/>
    <col min="130" max="130" width="48.42578125" style="286" customWidth="1"/>
    <col min="131" max="131" width="7.140625" style="286" customWidth="1"/>
    <col min="132" max="132" width="16" style="286" customWidth="1"/>
    <col min="133" max="133" width="13.85546875" style="286" customWidth="1"/>
    <col min="134" max="134" width="15.5703125" style="286" customWidth="1"/>
    <col min="135" max="135" width="13.28515625" style="286" customWidth="1"/>
    <col min="136" max="136" width="15.140625" style="286" customWidth="1"/>
    <col min="137" max="137" width="5.5703125" style="286" bestFit="1" customWidth="1"/>
    <col min="138" max="138" width="41.5703125" style="286" customWidth="1"/>
    <col min="139" max="139" width="4.28515625" style="286" customWidth="1"/>
    <col min="140" max="143" width="19.140625" style="286" customWidth="1"/>
    <col min="144" max="144" width="14.5703125" style="286" bestFit="1" customWidth="1"/>
    <col min="145" max="145" width="5.5703125" style="286" bestFit="1" customWidth="1"/>
    <col min="146" max="146" width="58.85546875" style="286" customWidth="1"/>
    <col min="147" max="147" width="6.5703125" style="286" customWidth="1"/>
    <col min="148" max="151" width="16.85546875" style="286" customWidth="1"/>
    <col min="152" max="152" width="13.42578125" style="286" bestFit="1" customWidth="1"/>
    <col min="153" max="153" width="9.140625" style="286"/>
    <col min="154" max="154" width="51.7109375" style="286" customWidth="1"/>
    <col min="155" max="155" width="4.5703125" style="286" bestFit="1" customWidth="1"/>
    <col min="156" max="157" width="16.140625" style="286" bestFit="1" customWidth="1"/>
    <col min="158" max="158" width="14.140625" style="286" customWidth="1"/>
    <col min="159" max="159" width="16.5703125" style="286" customWidth="1"/>
    <col min="160" max="160" width="25" style="286" bestFit="1" customWidth="1"/>
    <col min="161" max="161" width="8.85546875" style="286" customWidth="1"/>
    <col min="162" max="162" width="87.28515625" style="286" customWidth="1"/>
    <col min="163" max="163" width="7.7109375" style="286" customWidth="1"/>
    <col min="164" max="164" width="14.140625" style="286" bestFit="1" customWidth="1"/>
    <col min="165" max="165" width="12.85546875" style="286" bestFit="1" customWidth="1"/>
    <col min="166" max="166" width="14.140625" style="286" bestFit="1" customWidth="1"/>
    <col min="167" max="167" width="12.85546875" style="286" bestFit="1" customWidth="1"/>
    <col min="168" max="168" width="14.140625" style="286" customWidth="1"/>
    <col min="169" max="169" width="9.5703125" style="286" customWidth="1"/>
    <col min="170" max="170" width="65.42578125" style="286" customWidth="1"/>
    <col min="171" max="171" width="8" style="286" customWidth="1"/>
    <col min="172" max="173" width="13.7109375" style="286" bestFit="1" customWidth="1"/>
    <col min="174" max="175" width="14.140625" style="286" customWidth="1"/>
    <col min="176" max="176" width="30.85546875" style="286" bestFit="1" customWidth="1"/>
    <col min="177" max="177" width="8.140625" style="286" customWidth="1"/>
    <col min="178" max="178" width="51.7109375" style="286" bestFit="1" customWidth="1"/>
    <col min="179" max="179" width="6.7109375" style="286" customWidth="1"/>
    <col min="180" max="180" width="18.42578125" style="286" customWidth="1"/>
    <col min="181" max="181" width="17.28515625" style="286" customWidth="1"/>
    <col min="182" max="182" width="14.7109375" style="286" customWidth="1"/>
    <col min="183" max="183" width="17.85546875" style="286" customWidth="1"/>
    <col min="184" max="184" width="16" style="286" customWidth="1"/>
    <col min="185" max="185" width="5.42578125" style="286" bestFit="1" customWidth="1"/>
    <col min="186" max="186" width="52.42578125" style="286" bestFit="1" customWidth="1"/>
    <col min="187" max="187" width="7" style="286" bestFit="1" customWidth="1"/>
    <col min="188" max="192" width="16" style="286" customWidth="1"/>
    <col min="193" max="193" width="8.140625" style="286" customWidth="1"/>
    <col min="194" max="194" width="48.85546875" style="286" customWidth="1"/>
    <col min="195" max="195" width="5.28515625" style="286" customWidth="1"/>
    <col min="196" max="196" width="18.28515625" style="286" customWidth="1"/>
    <col min="197" max="197" width="18.42578125" style="286" customWidth="1"/>
    <col min="198" max="198" width="14.7109375" style="286" customWidth="1"/>
    <col min="199" max="199" width="19.85546875" style="286" customWidth="1"/>
    <col min="200" max="200" width="16" style="286" customWidth="1"/>
    <col min="201" max="201" width="5.42578125" style="286" bestFit="1" customWidth="1"/>
    <col min="202" max="202" width="43.140625" style="286" bestFit="1" customWidth="1"/>
    <col min="203" max="203" width="9.140625" style="286"/>
    <col min="204" max="204" width="17.5703125" style="286" customWidth="1"/>
    <col min="205" max="205" width="19.42578125" style="286" customWidth="1"/>
    <col min="206" max="206" width="14.140625" style="286" bestFit="1" customWidth="1"/>
    <col min="207" max="207" width="18.7109375" style="286" customWidth="1"/>
    <col min="208" max="208" width="17.140625" style="286" customWidth="1"/>
    <col min="209" max="209" width="5.42578125" style="286" bestFit="1" customWidth="1"/>
    <col min="210" max="210" width="41.42578125" style="286" bestFit="1" customWidth="1"/>
    <col min="211" max="211" width="4.5703125" style="286" bestFit="1" customWidth="1"/>
    <col min="212" max="212" width="14.28515625" style="286" bestFit="1" customWidth="1"/>
    <col min="213" max="213" width="12.85546875" style="286" bestFit="1" customWidth="1"/>
    <col min="214" max="214" width="15.28515625" style="286" customWidth="1"/>
    <col min="215" max="215" width="17.85546875" style="286" customWidth="1"/>
    <col min="216" max="216" width="17.140625" style="286" customWidth="1"/>
    <col min="217" max="217" width="5.42578125" style="286" bestFit="1" customWidth="1"/>
    <col min="218" max="218" width="37.7109375" style="286" customWidth="1"/>
    <col min="219" max="219" width="9.140625" style="286"/>
    <col min="220" max="221" width="12.85546875" style="286" bestFit="1" customWidth="1"/>
    <col min="222" max="222" width="14.140625" style="286" bestFit="1" customWidth="1"/>
    <col min="223" max="223" width="14.5703125" style="286" customWidth="1"/>
    <col min="224" max="224" width="16" style="286" customWidth="1"/>
    <col min="225" max="225" width="5.42578125" style="286" bestFit="1" customWidth="1"/>
    <col min="226" max="226" width="47.85546875" style="286" customWidth="1"/>
    <col min="227" max="227" width="9.140625" style="286"/>
    <col min="228" max="228" width="12.7109375" style="286" customWidth="1"/>
    <col min="229" max="229" width="12" style="286" customWidth="1"/>
    <col min="230" max="230" width="15.140625" style="286" customWidth="1"/>
    <col min="231" max="231" width="15.42578125" style="286" customWidth="1"/>
    <col min="232" max="232" width="22.28515625" style="286" customWidth="1"/>
    <col min="233" max="16384" width="9.140625" style="286"/>
  </cols>
  <sheetData>
    <row r="1" spans="1:232" s="287" customFormat="1" ht="13.5" thickBot="1">
      <c r="A1" s="311"/>
      <c r="B1" s="311"/>
      <c r="C1" s="311"/>
      <c r="D1" s="311"/>
      <c r="E1" s="311"/>
      <c r="F1" s="311">
        <f>'Detailed Summary'!D46-'Common Adj'!F50</f>
        <v>0</v>
      </c>
      <c r="G1" s="1008"/>
      <c r="H1" s="1008">
        <f>'Detailed Summary'!AK46-'Common Adj'!H50</f>
        <v>0</v>
      </c>
      <c r="I1" s="311"/>
      <c r="J1" s="311"/>
      <c r="K1" s="311"/>
      <c r="L1" s="311"/>
      <c r="M1" s="311"/>
      <c r="N1" s="311">
        <f>ROUND('Detailed Summary'!E46-N28,0)</f>
        <v>0</v>
      </c>
      <c r="O1" s="311"/>
      <c r="P1" s="311">
        <f>ROUND(+'Detailed Summary'!AL46-P28,0)</f>
        <v>0</v>
      </c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>
        <f>ROUND(+'Detailed Summary'!G46-AD22+AD24,0)</f>
        <v>0</v>
      </c>
      <c r="AE1" s="311"/>
      <c r="AF1" s="311">
        <f>ROUND(+'Detailed Summary'!AM46-AF22,0)</f>
        <v>0</v>
      </c>
      <c r="AG1" s="311"/>
      <c r="AH1" s="311"/>
      <c r="AI1" s="311"/>
      <c r="AJ1" s="311"/>
      <c r="AK1" s="311"/>
      <c r="AL1" s="311">
        <f>ROUND('Detailed Summary'!H46-'Common Adj'!AL51,0)</f>
        <v>0</v>
      </c>
      <c r="AM1" s="311"/>
      <c r="AN1" s="311"/>
      <c r="AO1" s="311"/>
      <c r="AP1" s="311"/>
      <c r="AQ1" s="311"/>
      <c r="AR1" s="311"/>
      <c r="AS1" s="311"/>
      <c r="AT1" s="311">
        <f>ROUND(+'Detailed Summary'!I46-AT21,0)</f>
        <v>0</v>
      </c>
      <c r="AU1" s="311"/>
      <c r="AV1" s="311"/>
      <c r="AW1" s="311"/>
      <c r="AX1" s="311"/>
      <c r="AY1" s="311"/>
      <c r="AZ1" s="311"/>
      <c r="BA1" s="311"/>
      <c r="BB1" s="311">
        <f>ROUND(+'Detailed Summary'!J46-BB19,0)</f>
        <v>0</v>
      </c>
      <c r="BC1" s="311"/>
      <c r="BD1" s="311"/>
      <c r="BE1" s="311"/>
      <c r="BF1" s="311"/>
      <c r="BG1" s="311"/>
      <c r="BH1" s="311"/>
      <c r="BI1" s="311"/>
      <c r="BJ1" s="311">
        <f>ROUND(+'Detailed Summary'!K46-BJ29,0)</f>
        <v>0</v>
      </c>
      <c r="BK1" s="311"/>
      <c r="BL1" s="311"/>
      <c r="BM1" s="311"/>
      <c r="BN1" s="311"/>
      <c r="BO1" s="311"/>
      <c r="BP1" s="311"/>
      <c r="BQ1" s="311"/>
      <c r="BR1" s="311">
        <f>ROUND(+'Detailed Summary'!L46-BR20,0)</f>
        <v>0</v>
      </c>
      <c r="BS1" s="311"/>
      <c r="BT1" s="311"/>
      <c r="BU1" s="311"/>
      <c r="BV1" s="311"/>
      <c r="BW1" s="311"/>
      <c r="BX1" s="311"/>
      <c r="BY1" s="311"/>
      <c r="BZ1" s="311">
        <f>ROUND(+'Detailed Summary'!M46-BZ21,0)</f>
        <v>0</v>
      </c>
      <c r="CA1" s="311"/>
      <c r="CB1" s="311">
        <f>ROUND(+'Detailed Summary'!AO46-CB21,0)</f>
        <v>0</v>
      </c>
      <c r="CC1" s="311"/>
      <c r="CD1" s="311"/>
      <c r="CE1" s="311"/>
      <c r="CF1" s="311"/>
      <c r="CG1" s="311"/>
      <c r="CH1" s="311">
        <f>ROUND(+'Detailed Summary'!N46-CH16,0)</f>
        <v>0</v>
      </c>
      <c r="CI1" s="311"/>
      <c r="CJ1" s="311"/>
      <c r="CK1" s="311"/>
      <c r="CL1" s="311"/>
      <c r="CM1" s="311"/>
      <c r="CN1" s="311"/>
      <c r="CO1" s="311"/>
      <c r="CP1" s="311">
        <f>ROUND(+'Detailed Summary'!O46-CP23,0)</f>
        <v>0</v>
      </c>
      <c r="CQ1" s="311"/>
      <c r="CR1" s="311"/>
      <c r="CS1" s="311"/>
      <c r="CT1" s="311"/>
      <c r="CU1" s="311"/>
      <c r="CV1" s="311"/>
      <c r="CW1" s="311"/>
      <c r="CX1" s="311">
        <f>ROUND(+'Detailed Summary'!P46-CX18,0)</f>
        <v>0</v>
      </c>
      <c r="CY1" s="311"/>
      <c r="CZ1" s="311"/>
      <c r="DA1" s="311"/>
      <c r="DB1" s="311"/>
      <c r="DC1" s="311"/>
      <c r="DD1" s="311"/>
      <c r="DE1" s="311"/>
      <c r="DF1" s="311">
        <f>ROUND(+'Detailed Summary'!AP46-DH19,0)</f>
        <v>0</v>
      </c>
      <c r="DG1" s="311"/>
      <c r="DH1" s="311"/>
      <c r="DI1" s="311"/>
      <c r="DJ1" s="311"/>
      <c r="DK1" s="311"/>
      <c r="DL1" s="311"/>
      <c r="DM1" s="311"/>
      <c r="DN1" s="311">
        <f>ROUND(+'Detailed Summary'!R46-DN30,0)</f>
        <v>0</v>
      </c>
      <c r="DO1" s="311"/>
      <c r="DP1" s="311">
        <f>ROUND(+'Detailed Summary'!AQ46-DP30,0)</f>
        <v>0</v>
      </c>
      <c r="DQ1" s="311"/>
      <c r="DR1" s="311"/>
      <c r="DS1" s="311"/>
      <c r="DT1" s="311"/>
      <c r="DU1" s="311"/>
      <c r="DV1" s="311">
        <f>ROUND(+'Detailed Summary'!S46-DV34,0)</f>
        <v>0</v>
      </c>
      <c r="DW1" s="311"/>
      <c r="DX1" s="311">
        <f>ROUND(+'Detailed Summary'!AR46-DX34,0)</f>
        <v>0</v>
      </c>
      <c r="DY1" s="311"/>
      <c r="DZ1" s="311"/>
      <c r="EA1" s="311"/>
      <c r="EB1" s="311"/>
      <c r="EC1" s="311"/>
      <c r="ED1" s="311">
        <f>ROUND('Detailed Summary'!T46-ED25,0)</f>
        <v>0</v>
      </c>
      <c r="EE1" s="311"/>
      <c r="EF1" s="311">
        <f>ROUND(+'Detailed Summary'!AS46-EF25,0)</f>
        <v>0</v>
      </c>
      <c r="EG1" s="311"/>
      <c r="EH1" s="311"/>
      <c r="EI1" s="311"/>
      <c r="EJ1" s="311"/>
      <c r="EK1" s="311"/>
      <c r="EL1" s="311">
        <f>ROUND(+'Detailed Summary'!U59-EL20,0)</f>
        <v>0</v>
      </c>
      <c r="EM1" s="311"/>
      <c r="EN1" s="311"/>
      <c r="EO1" s="311"/>
      <c r="EP1" s="311"/>
      <c r="EQ1" s="311"/>
      <c r="ER1" s="311"/>
      <c r="ES1" s="311"/>
      <c r="ET1" s="311">
        <f>ROUND(+'Detailed Summary'!V46-ET27,0)</f>
        <v>0</v>
      </c>
      <c r="EU1" s="311">
        <f>ROUND(+'Detailed Summary'!V59-ET32,0)</f>
        <v>0</v>
      </c>
      <c r="EV1" s="311"/>
      <c r="EW1" s="311"/>
      <c r="EX1" s="311"/>
      <c r="EY1" s="311"/>
      <c r="EZ1" s="311"/>
      <c r="FA1" s="311"/>
      <c r="FB1" s="311"/>
      <c r="FC1" s="311"/>
      <c r="FD1" s="311">
        <f>+'Detailed Summary'!AT46-FD20</f>
        <v>0</v>
      </c>
      <c r="FE1" s="311"/>
      <c r="FF1" s="311"/>
      <c r="FG1" s="311"/>
      <c r="FH1" s="311"/>
      <c r="FI1" s="311"/>
      <c r="FJ1" s="311"/>
      <c r="FK1" s="311"/>
      <c r="FL1" s="311">
        <f>ROUND(+'Detailed Summary'!AU46-FL19,0)</f>
        <v>0</v>
      </c>
      <c r="FM1" s="311"/>
      <c r="FN1" s="311"/>
      <c r="FO1" s="311"/>
      <c r="FP1" s="311"/>
      <c r="FQ1" s="311"/>
      <c r="FR1" s="311">
        <f>+'Detailed Summary'!AV48-FT26</f>
        <v>0</v>
      </c>
      <c r="FS1" s="311">
        <f>+'Detailed Summary'!AV59-FT26</f>
        <v>0</v>
      </c>
      <c r="FT1" s="311">
        <f>+'Detailed Summary'!AV46-FT38</f>
        <v>0</v>
      </c>
      <c r="FU1" s="311"/>
      <c r="FV1" s="311"/>
      <c r="FW1" s="311"/>
      <c r="FX1" s="311"/>
      <c r="FY1" s="311"/>
      <c r="FZ1" s="311">
        <f>'Detailed Summary'!AW48-GB33</f>
        <v>0</v>
      </c>
      <c r="GA1" s="311"/>
      <c r="GB1" s="311">
        <f>+'Detailed Summary'!AW46-GB32</f>
        <v>0</v>
      </c>
      <c r="GC1" s="311"/>
      <c r="GD1" s="311"/>
      <c r="GE1" s="311"/>
      <c r="GF1" s="311"/>
      <c r="GG1" s="311"/>
      <c r="GH1" s="311"/>
      <c r="GI1" s="311">
        <f>+'Detailed Summary'!AX59-GI27</f>
        <v>0</v>
      </c>
      <c r="GJ1" s="311">
        <f>+'Detailed Summary'!AX46-GJ38</f>
        <v>0</v>
      </c>
      <c r="GK1" s="311"/>
      <c r="GL1" s="311"/>
      <c r="GM1" s="311"/>
      <c r="GN1" s="311"/>
      <c r="GO1" s="311"/>
      <c r="GP1" s="311"/>
      <c r="GQ1" s="311"/>
      <c r="GR1" s="311">
        <f>+'Detailed Summary'!AY46-GR20</f>
        <v>0</v>
      </c>
      <c r="GS1" s="311"/>
      <c r="GT1" s="311"/>
      <c r="GU1" s="311"/>
      <c r="GV1" s="311"/>
      <c r="GW1" s="311"/>
      <c r="GX1" s="311"/>
      <c r="GY1" s="311">
        <f>'Detailed Summary'!AZ59-GZ16</f>
        <v>0</v>
      </c>
      <c r="GZ1" s="311">
        <f>+'Detailed Summary'!AZ46-GZ23</f>
        <v>0</v>
      </c>
      <c r="HA1" s="311"/>
      <c r="HB1" s="311"/>
      <c r="HC1" s="311"/>
      <c r="HD1" s="311"/>
      <c r="HE1" s="311"/>
      <c r="HF1" s="311"/>
      <c r="HG1" s="311">
        <f>+'Detailed Summary'!BA48-HG18</f>
        <v>-12855303.339327645</v>
      </c>
      <c r="HH1" s="311">
        <f>+'Detailed Summary'!BA46-HH27</f>
        <v>296261.05729127157</v>
      </c>
      <c r="HI1" s="311"/>
      <c r="HJ1" s="311"/>
      <c r="HK1" s="311"/>
      <c r="HL1" s="311"/>
      <c r="HM1" s="311"/>
      <c r="HN1" s="311"/>
      <c r="HO1" s="311"/>
      <c r="HP1" s="311">
        <f>+'Detailed Summary'!BB46-HP21</f>
        <v>0</v>
      </c>
      <c r="HQ1" s="311"/>
      <c r="HR1" s="311"/>
      <c r="HS1" s="311"/>
      <c r="HT1" s="311"/>
      <c r="HU1" s="311"/>
      <c r="HV1" s="311">
        <f>+'Detailed Summary'!BC59-HX19</f>
        <v>-5481049.5432116631</v>
      </c>
      <c r="HW1" s="311">
        <f>+'Detailed Summary'!BC48-HW21</f>
        <v>-5481049.5432116631</v>
      </c>
      <c r="HX1" s="311">
        <f>+'Detailed Summary'!BC46-HX30</f>
        <v>538588.03</v>
      </c>
    </row>
    <row r="2" spans="1:232">
      <c r="F2" s="287"/>
      <c r="G2" s="370"/>
      <c r="H2" s="371"/>
      <c r="O2" s="370"/>
      <c r="P2" s="371"/>
      <c r="W2" s="370"/>
      <c r="X2" s="371"/>
      <c r="AE2" s="370"/>
      <c r="AF2" s="371" t="str">
        <f>DOCKETNUMBER_E</f>
        <v>UE-__________</v>
      </c>
      <c r="AM2" s="370"/>
      <c r="AN2" s="371" t="str">
        <f>DOCKETNUMBER_E</f>
        <v>UE-__________</v>
      </c>
      <c r="AU2" s="370"/>
      <c r="AV2" s="371" t="str">
        <f>DOCKETNUMBER_E</f>
        <v>UE-__________</v>
      </c>
      <c r="BC2" s="370"/>
      <c r="BD2" s="371" t="str">
        <f>DOCKETNUMBER_E</f>
        <v>UE-__________</v>
      </c>
      <c r="BK2" s="370"/>
      <c r="BL2" s="371" t="str">
        <f>DOCKETNUMBER_E</f>
        <v>UE-__________</v>
      </c>
      <c r="BS2" s="370"/>
      <c r="BT2" s="371" t="str">
        <f>DOCKETNUMBER_E</f>
        <v>UE-__________</v>
      </c>
      <c r="CA2" s="370"/>
      <c r="CB2" s="371" t="str">
        <f>DOCKETNUMBER_E</f>
        <v>UE-__________</v>
      </c>
      <c r="CI2" s="370"/>
      <c r="CJ2" s="371" t="str">
        <f>DOCKETNUMBER_E</f>
        <v>UE-__________</v>
      </c>
      <c r="CQ2" s="370"/>
      <c r="CR2" s="371" t="str">
        <f>DOCKETNUMBER_E</f>
        <v>UE-__________</v>
      </c>
      <c r="CY2" s="370"/>
      <c r="CZ2" s="371" t="str">
        <f>DOCKETNUMBER_E</f>
        <v>UE-__________</v>
      </c>
      <c r="DG2" s="370"/>
      <c r="DH2" s="371" t="str">
        <f>DOCKETNUMBER_E</f>
        <v>UE-__________</v>
      </c>
      <c r="DO2" s="370"/>
      <c r="DP2" s="371" t="str">
        <f>DOCKETNUMBER_E</f>
        <v>UE-__________</v>
      </c>
      <c r="DW2" s="370"/>
      <c r="DX2" s="371" t="str">
        <f>DOCKETNUMBER_E</f>
        <v>UE-__________</v>
      </c>
      <c r="EE2" s="370"/>
      <c r="EF2" s="371" t="str">
        <f>DOCKETNUMBER_E</f>
        <v>UE-__________</v>
      </c>
      <c r="EM2" s="370"/>
      <c r="EN2" s="371" t="str">
        <f>DOCKETNUMBER_E</f>
        <v>UE-__________</v>
      </c>
      <c r="EU2" s="370"/>
      <c r="EV2" s="371" t="str">
        <f>DOCKETNUMBER_E</f>
        <v>UE-__________</v>
      </c>
      <c r="FC2" s="370"/>
      <c r="FD2" s="371" t="str">
        <f>DOCKETNUMBER_E</f>
        <v>UE-__________</v>
      </c>
      <c r="FK2" s="370"/>
      <c r="FL2" s="371" t="str">
        <f>DOCKETNUMBER_E</f>
        <v>UE-__________</v>
      </c>
      <c r="FS2" s="370"/>
      <c r="FT2" s="371" t="str">
        <f>DOCKETNUMBER_E</f>
        <v>UE-__________</v>
      </c>
      <c r="GA2" s="370"/>
      <c r="GB2" s="371" t="str">
        <f>DOCKETNUMBER_E</f>
        <v>UE-__________</v>
      </c>
      <c r="GI2" s="370"/>
      <c r="GJ2" s="371" t="str">
        <f>DOCKETNUMBER_E</f>
        <v>UE-__________</v>
      </c>
      <c r="GQ2" s="370"/>
      <c r="GR2" s="371" t="str">
        <f>DOCKETNUMBER_E</f>
        <v>UE-__________</v>
      </c>
      <c r="GY2" s="370"/>
      <c r="GZ2" s="371" t="str">
        <f>DOCKETNUMBER_E</f>
        <v>UE-__________</v>
      </c>
      <c r="HG2" s="370"/>
      <c r="HH2" s="371" t="str">
        <f>DOCKETNUMBER_E</f>
        <v>UE-__________</v>
      </c>
      <c r="HO2" s="370"/>
      <c r="HP2" s="371" t="str">
        <f>DOCKETNUMBER_E</f>
        <v>UE-__________</v>
      </c>
      <c r="HW2" s="370"/>
      <c r="HX2" s="371" t="str">
        <f>DOCKETNUMBER_E</f>
        <v>UE-__________</v>
      </c>
    </row>
    <row r="3" spans="1:232" ht="13.5" thickBot="1">
      <c r="F3" s="1019"/>
      <c r="G3" s="372" t="s">
        <v>959</v>
      </c>
      <c r="H3" s="369" t="s">
        <v>960</v>
      </c>
      <c r="N3" s="1009" t="s">
        <v>959</v>
      </c>
      <c r="O3" s="372"/>
      <c r="P3" s="369" t="s">
        <v>960</v>
      </c>
      <c r="V3" s="1009" t="s">
        <v>959</v>
      </c>
      <c r="W3" s="372"/>
      <c r="X3" s="369" t="s">
        <v>960</v>
      </c>
      <c r="AD3" s="1009" t="s">
        <v>959</v>
      </c>
      <c r="AE3" s="372"/>
      <c r="AF3" s="369" t="s">
        <v>960</v>
      </c>
      <c r="AH3" s="369"/>
      <c r="AK3" s="144"/>
      <c r="AL3" s="1009" t="s">
        <v>959</v>
      </c>
      <c r="AM3" s="372"/>
      <c r="AN3" s="369" t="s">
        <v>960</v>
      </c>
      <c r="AT3" s="1009" t="s">
        <v>959</v>
      </c>
      <c r="AU3" s="372"/>
      <c r="AV3" s="369" t="s">
        <v>960</v>
      </c>
      <c r="BB3" s="1009" t="s">
        <v>959</v>
      </c>
      <c r="BC3" s="372"/>
      <c r="BD3" s="369" t="s">
        <v>960</v>
      </c>
      <c r="BK3" s="372"/>
      <c r="BL3" s="369" t="s">
        <v>960</v>
      </c>
      <c r="BS3" s="372"/>
      <c r="BT3" s="369" t="s">
        <v>960</v>
      </c>
      <c r="CA3" s="372"/>
      <c r="CB3" s="369" t="s">
        <v>960</v>
      </c>
      <c r="CI3" s="372"/>
      <c r="CJ3" s="369" t="s">
        <v>960</v>
      </c>
      <c r="CQ3" s="372"/>
      <c r="CR3" s="369" t="s">
        <v>960</v>
      </c>
      <c r="CY3" s="372"/>
      <c r="CZ3" s="369" t="s">
        <v>960</v>
      </c>
      <c r="DG3" s="372"/>
      <c r="DH3" s="369" t="s">
        <v>960</v>
      </c>
      <c r="DN3" s="5"/>
      <c r="DO3" s="372"/>
      <c r="DP3" s="369" t="s">
        <v>960</v>
      </c>
      <c r="DV3" s="5"/>
      <c r="DW3" s="372"/>
      <c r="DX3" s="369" t="s">
        <v>960</v>
      </c>
      <c r="EE3" s="372"/>
      <c r="EF3" s="369" t="s">
        <v>960</v>
      </c>
      <c r="EM3" s="372"/>
      <c r="EN3" s="369" t="s">
        <v>960</v>
      </c>
      <c r="EU3" s="372"/>
      <c r="EV3" s="369" t="s">
        <v>960</v>
      </c>
      <c r="FC3" s="372"/>
      <c r="FD3" s="369" t="s">
        <v>961</v>
      </c>
      <c r="FK3" s="372"/>
      <c r="FL3" s="369" t="s">
        <v>960</v>
      </c>
      <c r="FS3" s="372"/>
      <c r="FT3" s="369" t="s">
        <v>960</v>
      </c>
      <c r="FW3" s="369" t="s">
        <v>960</v>
      </c>
      <c r="GA3" s="372"/>
      <c r="GB3" s="369" t="s">
        <v>960</v>
      </c>
      <c r="GI3" s="372"/>
      <c r="GJ3" s="369" t="s">
        <v>960</v>
      </c>
      <c r="GQ3" s="372"/>
      <c r="GR3" s="369" t="s">
        <v>960</v>
      </c>
      <c r="GY3" s="372"/>
      <c r="GZ3" s="369" t="s">
        <v>960</v>
      </c>
      <c r="HG3" s="372"/>
      <c r="HH3" s="369" t="s">
        <v>960</v>
      </c>
      <c r="HO3" s="372"/>
      <c r="HP3" s="369" t="s">
        <v>960</v>
      </c>
      <c r="HW3" s="372"/>
      <c r="HX3" s="369" t="s">
        <v>960</v>
      </c>
    </row>
    <row r="4" spans="1:232">
      <c r="A4" s="903"/>
      <c r="B4" s="903" t="s">
        <v>743</v>
      </c>
      <c r="C4" s="903"/>
      <c r="D4" s="903"/>
      <c r="E4" s="903"/>
      <c r="F4" s="1018"/>
      <c r="G4" s="962"/>
      <c r="H4" s="903"/>
      <c r="I4" s="903"/>
      <c r="J4" s="903" t="s">
        <v>743</v>
      </c>
      <c r="K4" s="903"/>
      <c r="L4" s="903"/>
      <c r="M4" s="903"/>
      <c r="N4" s="903"/>
      <c r="O4" s="962"/>
      <c r="P4" s="963"/>
      <c r="X4" s="373"/>
      <c r="Y4" s="903"/>
      <c r="Z4" s="903" t="s">
        <v>743</v>
      </c>
      <c r="AA4" s="903"/>
      <c r="AB4" s="903"/>
      <c r="AC4" s="903"/>
      <c r="AD4" s="903"/>
      <c r="AE4" s="962"/>
      <c r="AF4" s="903"/>
      <c r="AM4" s="373"/>
      <c r="AU4" s="373"/>
      <c r="BC4" s="373"/>
      <c r="BK4" s="373"/>
      <c r="BS4" s="373"/>
      <c r="CA4" s="373"/>
      <c r="CI4" s="373"/>
      <c r="CQ4" s="373"/>
      <c r="CY4" s="373"/>
      <c r="DG4" s="373"/>
      <c r="DO4" s="373"/>
      <c r="DV4" s="5"/>
      <c r="DW4" s="373"/>
      <c r="EE4" s="373"/>
      <c r="EG4" s="903"/>
      <c r="EH4" s="903" t="s">
        <v>743</v>
      </c>
      <c r="EI4" s="903"/>
      <c r="EJ4" s="903"/>
      <c r="EK4" s="903"/>
      <c r="EL4" s="903"/>
      <c r="EM4" s="962"/>
      <c r="EN4" s="903"/>
      <c r="EU4" s="373"/>
      <c r="EW4" s="1020"/>
      <c r="EX4" s="1020" t="s">
        <v>965</v>
      </c>
      <c r="EY4" s="1020"/>
      <c r="EZ4" s="1020"/>
      <c r="FA4" s="1020"/>
      <c r="FB4" s="1020"/>
      <c r="FC4" s="1021"/>
      <c r="FD4" s="1020"/>
      <c r="FK4" s="373"/>
      <c r="FN4" s="287"/>
      <c r="FO4" s="287"/>
      <c r="FP4" s="287"/>
      <c r="FQ4" s="287"/>
      <c r="FR4" s="287"/>
      <c r="FS4" s="373"/>
      <c r="FT4" s="884"/>
      <c r="GA4" s="373"/>
      <c r="GC4" s="903"/>
      <c r="GD4" s="903" t="s">
        <v>743</v>
      </c>
      <c r="GE4" s="903"/>
      <c r="GF4" s="903"/>
      <c r="GG4" s="903"/>
      <c r="GH4" s="903"/>
      <c r="GI4" s="962"/>
      <c r="GJ4" s="963"/>
      <c r="GQ4" s="373"/>
      <c r="GY4" s="373"/>
      <c r="HA4" s="903"/>
      <c r="HB4" s="968" t="s">
        <v>743</v>
      </c>
      <c r="HC4" s="969" t="s">
        <v>830</v>
      </c>
      <c r="HD4" s="903"/>
      <c r="HE4" s="903"/>
      <c r="HF4" s="903"/>
      <c r="HG4" s="962"/>
      <c r="HH4" s="963"/>
      <c r="HO4" s="373"/>
      <c r="HQ4" s="903"/>
      <c r="HR4" s="968" t="s">
        <v>743</v>
      </c>
      <c r="HS4" s="969" t="s">
        <v>830</v>
      </c>
      <c r="HT4" s="903"/>
      <c r="HU4" s="903"/>
      <c r="HV4" s="903"/>
      <c r="HW4" s="962"/>
      <c r="HX4" s="963"/>
    </row>
    <row r="5" spans="1:232" s="90" customFormat="1">
      <c r="A5" s="89" t="str">
        <f>Comp_E</f>
        <v>PUGET SOUND ENERGY - ELECTRIC</v>
      </c>
      <c r="B5" s="89"/>
      <c r="C5" s="89"/>
      <c r="D5" s="89"/>
      <c r="E5" s="89"/>
      <c r="F5" s="89"/>
      <c r="G5" s="89"/>
      <c r="H5" s="89"/>
      <c r="I5" s="89" t="str">
        <f>Comp_E</f>
        <v>PUGET SOUND ENERGY - ELECTRIC</v>
      </c>
      <c r="J5" s="89"/>
      <c r="K5" s="89"/>
      <c r="L5" s="89"/>
      <c r="M5" s="89"/>
      <c r="N5" s="89"/>
      <c r="O5" s="89"/>
      <c r="P5" s="89"/>
      <c r="Q5" s="89" t="str">
        <f>Comp_E</f>
        <v>PUGET SOUND ENERGY - ELECTRIC</v>
      </c>
      <c r="R5" s="89"/>
      <c r="S5" s="89"/>
      <c r="T5" s="89"/>
      <c r="U5" s="89"/>
      <c r="V5" s="89"/>
      <c r="W5" s="89"/>
      <c r="X5" s="89"/>
      <c r="Y5" s="89" t="str">
        <f>Comp_E</f>
        <v>PUGET SOUND ENERGY - ELECTRIC</v>
      </c>
      <c r="Z5" s="89"/>
      <c r="AA5" s="89"/>
      <c r="AB5" s="89"/>
      <c r="AC5" s="89"/>
      <c r="AD5" s="89"/>
      <c r="AE5" s="89"/>
      <c r="AF5" s="89"/>
      <c r="AG5" s="89" t="str">
        <f>Comp_E</f>
        <v>PUGET SOUND ENERGY - ELECTRIC</v>
      </c>
      <c r="AH5" s="89"/>
      <c r="AI5" s="89"/>
      <c r="AJ5" s="89"/>
      <c r="AK5" s="89"/>
      <c r="AL5" s="89"/>
      <c r="AM5" s="89"/>
      <c r="AN5" s="89"/>
      <c r="AO5" s="89" t="str">
        <f>Comp_E</f>
        <v>PUGET SOUND ENERGY - ELECTRIC</v>
      </c>
      <c r="AP5" s="89"/>
      <c r="AQ5" s="89"/>
      <c r="AR5" s="89"/>
      <c r="AS5" s="89"/>
      <c r="AT5" s="89"/>
      <c r="AU5" s="89"/>
      <c r="AV5" s="89"/>
      <c r="AW5" s="89" t="str">
        <f>Comp_E</f>
        <v>PUGET SOUND ENERGY - ELECTRIC</v>
      </c>
      <c r="AX5" s="89"/>
      <c r="AY5" s="89"/>
      <c r="AZ5" s="89"/>
      <c r="BA5" s="89"/>
      <c r="BB5" s="89"/>
      <c r="BC5" s="89"/>
      <c r="BD5" s="89"/>
      <c r="BE5" s="89" t="str">
        <f>Comp_E</f>
        <v>PUGET SOUND ENERGY - ELECTRIC</v>
      </c>
      <c r="BF5" s="89"/>
      <c r="BG5" s="89"/>
      <c r="BH5" s="89"/>
      <c r="BI5" s="89"/>
      <c r="BJ5" s="89"/>
      <c r="BK5" s="89"/>
      <c r="BL5" s="89"/>
      <c r="BM5" s="89" t="str">
        <f>Comp_E</f>
        <v>PUGET SOUND ENERGY - ELECTRIC</v>
      </c>
      <c r="BN5" s="89"/>
      <c r="BO5" s="89"/>
      <c r="BP5" s="89"/>
      <c r="BQ5" s="89"/>
      <c r="BR5" s="89"/>
      <c r="BS5" s="89"/>
      <c r="BT5" s="89"/>
      <c r="BU5" s="89" t="str">
        <f>Comp_E</f>
        <v>PUGET SOUND ENERGY - ELECTRIC</v>
      </c>
      <c r="BV5" s="89"/>
      <c r="BW5" s="89"/>
      <c r="BX5" s="89"/>
      <c r="BY5" s="89"/>
      <c r="BZ5" s="89"/>
      <c r="CA5" s="89"/>
      <c r="CB5" s="89"/>
      <c r="CC5" s="89" t="str">
        <f>Comp_E</f>
        <v>PUGET SOUND ENERGY - ELECTRIC</v>
      </c>
      <c r="CD5" s="89"/>
      <c r="CE5" s="89"/>
      <c r="CF5" s="89"/>
      <c r="CG5" s="89"/>
      <c r="CH5" s="89"/>
      <c r="CI5" s="89"/>
      <c r="CJ5" s="89"/>
      <c r="CK5" s="89" t="str">
        <f>Comp_E</f>
        <v>PUGET SOUND ENERGY - ELECTRIC</v>
      </c>
      <c r="CL5" s="89"/>
      <c r="CM5" s="89"/>
      <c r="CN5" s="89"/>
      <c r="CO5" s="89"/>
      <c r="CP5" s="89"/>
      <c r="CQ5" s="89"/>
      <c r="CR5" s="89"/>
      <c r="CS5" s="89" t="str">
        <f>Comp_E</f>
        <v>PUGET SOUND ENERGY - ELECTRIC</v>
      </c>
      <c r="CT5" s="89"/>
      <c r="CU5" s="89"/>
      <c r="CV5" s="89"/>
      <c r="CW5" s="89"/>
      <c r="CX5" s="89"/>
      <c r="CY5" s="89"/>
      <c r="CZ5" s="89"/>
      <c r="DA5" s="89" t="str">
        <f>Comp_E</f>
        <v>PUGET SOUND ENERGY - ELECTRIC</v>
      </c>
      <c r="DB5" s="89"/>
      <c r="DC5" s="89"/>
      <c r="DD5" s="89"/>
      <c r="DE5" s="89"/>
      <c r="DF5" s="89"/>
      <c r="DG5" s="89"/>
      <c r="DH5" s="89"/>
      <c r="DI5" s="89" t="str">
        <f>Comp_E</f>
        <v>PUGET SOUND ENERGY - ELECTRIC</v>
      </c>
      <c r="DJ5" s="89"/>
      <c r="DK5" s="89"/>
      <c r="DL5" s="89"/>
      <c r="DM5" s="89"/>
      <c r="DN5" s="89"/>
      <c r="DO5" s="89"/>
      <c r="DP5" s="89"/>
      <c r="DQ5" s="89" t="str">
        <f>Comp_E</f>
        <v>PUGET SOUND ENERGY - ELECTRIC</v>
      </c>
      <c r="DR5" s="89"/>
      <c r="DS5" s="89"/>
      <c r="DT5" s="89"/>
      <c r="DU5" s="89"/>
      <c r="DV5" s="89"/>
      <c r="DW5" s="89"/>
      <c r="DX5" s="89"/>
      <c r="DY5" s="89" t="str">
        <f>Comp_E</f>
        <v>PUGET SOUND ENERGY - ELECTRIC</v>
      </c>
      <c r="DZ5" s="89"/>
      <c r="EA5" s="89"/>
      <c r="EB5" s="89"/>
      <c r="EC5" s="89"/>
      <c r="ED5" s="89"/>
      <c r="EE5" s="89"/>
      <c r="EF5" s="89"/>
      <c r="EG5" s="89" t="str">
        <f>Comp_E</f>
        <v>PUGET SOUND ENERGY - ELECTRIC</v>
      </c>
      <c r="EH5" s="89"/>
      <c r="EI5" s="89"/>
      <c r="EJ5" s="89"/>
      <c r="EK5" s="89"/>
      <c r="EL5" s="89"/>
      <c r="EM5" s="89"/>
      <c r="EN5" s="89"/>
      <c r="EO5" s="89" t="str">
        <f>Comp_E</f>
        <v>PUGET SOUND ENERGY - ELECTRIC</v>
      </c>
      <c r="EP5" s="89"/>
      <c r="EQ5" s="89"/>
      <c r="ER5" s="89"/>
      <c r="ES5" s="89"/>
      <c r="ET5" s="89"/>
      <c r="EU5" s="89"/>
      <c r="EV5" s="89"/>
      <c r="EW5" s="89" t="str">
        <f>Comp_E</f>
        <v>PUGET SOUND ENERGY - ELECTRIC</v>
      </c>
      <c r="EX5" s="89"/>
      <c r="EY5" s="89"/>
      <c r="EZ5" s="89"/>
      <c r="FA5" s="89"/>
      <c r="FB5" s="89"/>
      <c r="FC5" s="89"/>
      <c r="FD5" s="89"/>
      <c r="FE5" s="89" t="str">
        <f>Comp_E</f>
        <v>PUGET SOUND ENERGY - ELECTRIC</v>
      </c>
      <c r="FF5" s="89"/>
      <c r="FG5" s="89"/>
      <c r="FH5" s="89"/>
      <c r="FI5" s="89"/>
      <c r="FJ5" s="89"/>
      <c r="FK5" s="89"/>
      <c r="FL5" s="89"/>
      <c r="FM5" s="89" t="str">
        <f>Comp_E</f>
        <v>PUGET SOUND ENERGY - ELECTRIC</v>
      </c>
      <c r="FN5" s="89"/>
      <c r="FO5" s="89"/>
      <c r="FP5" s="89"/>
      <c r="FQ5" s="89"/>
      <c r="FR5" s="89"/>
      <c r="FS5" s="89"/>
      <c r="FT5" s="89"/>
      <c r="FU5" s="89" t="str">
        <f>Comp_E</f>
        <v>PUGET SOUND ENERGY - ELECTRIC</v>
      </c>
      <c r="FV5" s="89"/>
      <c r="FW5" s="89"/>
      <c r="FX5" s="89"/>
      <c r="FY5" s="89"/>
      <c r="FZ5" s="89"/>
      <c r="GA5" s="89"/>
      <c r="GB5" s="89"/>
      <c r="GC5" s="89" t="str">
        <f>Comp_E</f>
        <v>PUGET SOUND ENERGY - ELECTRIC</v>
      </c>
      <c r="GD5" s="89"/>
      <c r="GE5" s="89"/>
      <c r="GF5" s="89"/>
      <c r="GG5" s="89"/>
      <c r="GH5" s="89"/>
      <c r="GI5" s="89"/>
      <c r="GJ5" s="89"/>
      <c r="GK5" s="89" t="str">
        <f>Comp_E</f>
        <v>PUGET SOUND ENERGY - ELECTRIC</v>
      </c>
      <c r="GL5" s="89"/>
      <c r="GM5" s="89"/>
      <c r="GN5" s="89"/>
      <c r="GO5" s="89"/>
      <c r="GP5" s="89"/>
      <c r="GQ5" s="89"/>
      <c r="GR5" s="89"/>
      <c r="GS5" s="89" t="str">
        <f>Comp_E</f>
        <v>PUGET SOUND ENERGY - ELECTRIC</v>
      </c>
      <c r="GT5" s="89"/>
      <c r="GU5" s="89"/>
      <c r="GV5" s="89"/>
      <c r="GW5" s="89"/>
      <c r="GX5" s="89"/>
      <c r="GY5" s="89"/>
      <c r="GZ5" s="89"/>
      <c r="HA5" s="89" t="str">
        <f>Comp_E</f>
        <v>PUGET SOUND ENERGY - ELECTRIC</v>
      </c>
      <c r="HB5" s="89"/>
      <c r="HC5" s="89"/>
      <c r="HD5" s="89"/>
      <c r="HE5" s="89"/>
      <c r="HF5" s="89"/>
      <c r="HG5" s="89"/>
      <c r="HH5" s="89"/>
      <c r="HI5" s="89" t="str">
        <f>Comp_E</f>
        <v>PUGET SOUND ENERGY - ELECTRIC</v>
      </c>
      <c r="HJ5" s="89"/>
      <c r="HK5" s="89"/>
      <c r="HL5" s="89"/>
      <c r="HM5" s="89"/>
      <c r="HN5" s="89"/>
      <c r="HO5" s="89"/>
      <c r="HP5" s="89"/>
      <c r="HQ5" s="89" t="str">
        <f>Comp_E</f>
        <v>PUGET SOUND ENERGY - ELECTRIC</v>
      </c>
      <c r="HR5" s="89"/>
      <c r="HS5" s="89"/>
      <c r="HT5" s="89"/>
      <c r="HU5" s="89"/>
      <c r="HV5" s="89"/>
      <c r="HW5" s="89"/>
      <c r="HX5" s="89"/>
    </row>
    <row r="6" spans="1:232" s="88" customFormat="1">
      <c r="A6" s="84" t="s">
        <v>129</v>
      </c>
      <c r="B6" s="84"/>
      <c r="C6" s="84"/>
      <c r="D6" s="84"/>
      <c r="E6" s="84"/>
      <c r="F6" s="84"/>
      <c r="G6" s="84"/>
      <c r="H6" s="84"/>
      <c r="I6" s="84" t="s">
        <v>501</v>
      </c>
      <c r="J6" s="84"/>
      <c r="K6" s="84"/>
      <c r="L6" s="84"/>
      <c r="M6" s="84"/>
      <c r="N6" s="84"/>
      <c r="O6" s="84"/>
      <c r="P6" s="84"/>
      <c r="Q6" s="84" t="s">
        <v>145</v>
      </c>
      <c r="R6" s="84"/>
      <c r="S6" s="84"/>
      <c r="T6" s="84"/>
      <c r="U6" s="84"/>
      <c r="V6" s="84"/>
      <c r="W6" s="84"/>
      <c r="X6" s="84"/>
      <c r="Y6" s="84" t="s">
        <v>149</v>
      </c>
      <c r="Z6" s="84"/>
      <c r="AA6" s="84"/>
      <c r="AB6" s="84"/>
      <c r="AC6" s="84"/>
      <c r="AD6" s="84"/>
      <c r="AE6" s="84"/>
      <c r="AF6" s="84"/>
      <c r="AG6" s="85" t="s">
        <v>144</v>
      </c>
      <c r="AH6" s="84"/>
      <c r="AI6" s="84"/>
      <c r="AJ6" s="84"/>
      <c r="AK6" s="84"/>
      <c r="AL6" s="84"/>
      <c r="AM6" s="84"/>
      <c r="AN6" s="84"/>
      <c r="AO6" s="84" t="s">
        <v>156</v>
      </c>
      <c r="AP6" s="84"/>
      <c r="AQ6" s="84"/>
      <c r="AR6" s="84"/>
      <c r="AS6" s="84"/>
      <c r="AT6" s="84"/>
      <c r="AU6" s="84"/>
      <c r="AV6" s="84"/>
      <c r="AW6" s="84" t="s">
        <v>82</v>
      </c>
      <c r="AX6" s="84"/>
      <c r="AY6" s="84"/>
      <c r="AZ6" s="84"/>
      <c r="BA6" s="84"/>
      <c r="BB6" s="84"/>
      <c r="BC6" s="84"/>
      <c r="BD6" s="84"/>
      <c r="BE6" s="86" t="s">
        <v>161</v>
      </c>
      <c r="BF6" s="84"/>
      <c r="BG6" s="84"/>
      <c r="BH6" s="84"/>
      <c r="BI6" s="84"/>
      <c r="BJ6" s="84"/>
      <c r="BK6" s="84"/>
      <c r="BL6" s="84"/>
      <c r="BM6" s="84" t="s">
        <v>168</v>
      </c>
      <c r="BN6" s="84"/>
      <c r="BO6" s="84"/>
      <c r="BP6" s="84"/>
      <c r="BQ6" s="84"/>
      <c r="BR6" s="84"/>
      <c r="BS6" s="84"/>
      <c r="BT6" s="84"/>
      <c r="BU6" s="86" t="s">
        <v>170</v>
      </c>
      <c r="BV6" s="84"/>
      <c r="BW6" s="84"/>
      <c r="BX6" s="84"/>
      <c r="BY6" s="84"/>
      <c r="BZ6" s="84"/>
      <c r="CA6" s="84"/>
      <c r="CB6" s="84"/>
      <c r="CC6" s="85" t="s">
        <v>171</v>
      </c>
      <c r="CD6" s="84"/>
      <c r="CE6" s="84"/>
      <c r="CF6" s="84"/>
      <c r="CG6" s="84"/>
      <c r="CH6" s="84"/>
      <c r="CI6" s="84"/>
      <c r="CJ6" s="84"/>
      <c r="CK6" s="85" t="s">
        <v>173</v>
      </c>
      <c r="CL6" s="84"/>
      <c r="CM6" s="84"/>
      <c r="CN6" s="84"/>
      <c r="CO6" s="84"/>
      <c r="CP6" s="84"/>
      <c r="CQ6" s="84"/>
      <c r="CR6" s="84"/>
      <c r="CS6" s="85" t="s">
        <v>179</v>
      </c>
      <c r="CT6" s="84"/>
      <c r="CU6" s="84"/>
      <c r="CV6" s="84"/>
      <c r="CW6" s="84"/>
      <c r="CX6" s="84"/>
      <c r="CY6" s="85"/>
      <c r="CZ6" s="84"/>
      <c r="DA6" s="85" t="s">
        <v>175</v>
      </c>
      <c r="DB6" s="84"/>
      <c r="DC6" s="84"/>
      <c r="DD6" s="84"/>
      <c r="DE6" s="84"/>
      <c r="DF6" s="84"/>
      <c r="DG6" s="85"/>
      <c r="DH6" s="84"/>
      <c r="DI6" s="86" t="s">
        <v>181</v>
      </c>
      <c r="DJ6" s="84"/>
      <c r="DK6" s="84"/>
      <c r="DL6" s="84"/>
      <c r="DM6" s="84"/>
      <c r="DN6" s="84"/>
      <c r="DO6" s="85"/>
      <c r="DP6" s="84"/>
      <c r="DQ6" s="86" t="s">
        <v>185</v>
      </c>
      <c r="DR6" s="84"/>
      <c r="DS6" s="84"/>
      <c r="DT6" s="84"/>
      <c r="DU6" s="84"/>
      <c r="DV6" s="84"/>
      <c r="DW6" s="85"/>
      <c r="DX6" s="84"/>
      <c r="DY6" s="86" t="s">
        <v>202</v>
      </c>
      <c r="DZ6" s="84"/>
      <c r="EA6" s="84"/>
      <c r="EB6" s="84"/>
      <c r="EC6" s="84"/>
      <c r="ED6" s="84"/>
      <c r="EE6" s="85"/>
      <c r="EF6" s="84"/>
      <c r="EG6" s="85" t="s">
        <v>357</v>
      </c>
      <c r="EH6" s="85"/>
      <c r="EI6" s="85"/>
      <c r="EJ6" s="85"/>
      <c r="EK6" s="85"/>
      <c r="EL6" s="84"/>
      <c r="EM6" s="84"/>
      <c r="EN6" s="85"/>
      <c r="EO6" s="85" t="s">
        <v>493</v>
      </c>
      <c r="EP6" s="85"/>
      <c r="EQ6" s="85"/>
      <c r="ER6" s="85"/>
      <c r="ES6" s="85"/>
      <c r="ET6" s="85"/>
      <c r="EU6" s="85"/>
      <c r="EV6" s="85"/>
      <c r="EW6" s="85" t="s">
        <v>176</v>
      </c>
      <c r="EX6" s="85"/>
      <c r="EY6" s="85"/>
      <c r="EZ6" s="85"/>
      <c r="FA6" s="85"/>
      <c r="FB6" s="84"/>
      <c r="FC6" s="84"/>
      <c r="FD6" s="85"/>
      <c r="FE6" s="86" t="s">
        <v>210</v>
      </c>
      <c r="FF6" s="84"/>
      <c r="FG6" s="84"/>
      <c r="FH6" s="84"/>
      <c r="FI6" s="84"/>
      <c r="FJ6" s="84"/>
      <c r="FK6" s="84"/>
      <c r="FL6" s="84"/>
      <c r="FM6" s="85" t="s">
        <v>259</v>
      </c>
      <c r="FN6" s="84"/>
      <c r="FO6" s="84"/>
      <c r="FP6" s="84"/>
      <c r="FQ6" s="84"/>
      <c r="FR6" s="84"/>
      <c r="FS6" s="84"/>
      <c r="FT6" s="84"/>
      <c r="FU6" s="85" t="s">
        <v>414</v>
      </c>
      <c r="FV6" s="85"/>
      <c r="FW6" s="85"/>
      <c r="FX6" s="85"/>
      <c r="FY6" s="85"/>
      <c r="FZ6" s="85"/>
      <c r="GA6" s="85"/>
      <c r="GB6" s="85"/>
      <c r="GC6" s="85" t="s">
        <v>486</v>
      </c>
      <c r="GD6" s="85"/>
      <c r="GE6" s="85"/>
      <c r="GF6" s="85"/>
      <c r="GG6" s="85"/>
      <c r="GH6" s="85"/>
      <c r="GI6" s="85"/>
      <c r="GJ6" s="85"/>
      <c r="GK6" s="85" t="s">
        <v>494</v>
      </c>
      <c r="GL6" s="85"/>
      <c r="GM6" s="85"/>
      <c r="GN6" s="85"/>
      <c r="GO6" s="85"/>
      <c r="GP6" s="85"/>
      <c r="GQ6" s="85"/>
      <c r="GR6" s="85"/>
      <c r="GS6" s="84" t="s">
        <v>577</v>
      </c>
      <c r="GT6" s="85"/>
      <c r="GU6" s="85"/>
      <c r="GV6" s="85"/>
      <c r="GW6" s="85"/>
      <c r="GX6" s="85"/>
      <c r="GY6" s="85"/>
      <c r="GZ6" s="85"/>
      <c r="HA6" s="85" t="s">
        <v>423</v>
      </c>
      <c r="HB6" s="85"/>
      <c r="HC6" s="85"/>
      <c r="HD6" s="85"/>
      <c r="HE6" s="85"/>
      <c r="HF6" s="85"/>
      <c r="HG6" s="85"/>
      <c r="HH6" s="85"/>
      <c r="HI6" s="85" t="s">
        <v>458</v>
      </c>
      <c r="HJ6" s="85"/>
      <c r="HK6" s="85"/>
      <c r="HL6" s="85"/>
      <c r="HM6" s="85"/>
      <c r="HN6" s="85"/>
      <c r="HO6" s="85"/>
      <c r="HP6" s="85"/>
      <c r="HQ6" s="85" t="s">
        <v>489</v>
      </c>
      <c r="HR6" s="85"/>
      <c r="HS6" s="85"/>
      <c r="HT6" s="85"/>
      <c r="HU6" s="85"/>
      <c r="HV6" s="85"/>
      <c r="HW6" s="85"/>
      <c r="HX6" s="85"/>
    </row>
    <row r="7" spans="1:232" s="90" customFormat="1">
      <c r="A7" s="89" t="str">
        <f>TESTYEAR_E</f>
        <v>12 MONTHS ENDED DECEMBER 31, 2018</v>
      </c>
      <c r="B7" s="89"/>
      <c r="C7" s="89"/>
      <c r="D7" s="89"/>
      <c r="E7" s="89"/>
      <c r="F7" s="89"/>
      <c r="G7" s="89"/>
      <c r="H7" s="89"/>
      <c r="I7" s="89" t="str">
        <f>TESTYEAR_E</f>
        <v>12 MONTHS ENDED DECEMBER 31, 2018</v>
      </c>
      <c r="J7" s="89"/>
      <c r="K7" s="89"/>
      <c r="L7" s="89"/>
      <c r="M7" s="89"/>
      <c r="N7" s="89"/>
      <c r="O7" s="89"/>
      <c r="P7" s="89"/>
      <c r="Q7" s="89" t="str">
        <f>TESTYEAR_E</f>
        <v>12 MONTHS ENDED DECEMBER 31, 2018</v>
      </c>
      <c r="R7" s="89"/>
      <c r="S7" s="89"/>
      <c r="T7" s="89"/>
      <c r="U7" s="89"/>
      <c r="V7" s="89"/>
      <c r="W7" s="89"/>
      <c r="X7" s="89"/>
      <c r="Y7" s="89" t="str">
        <f>TESTYEAR_E</f>
        <v>12 MONTHS ENDED DECEMBER 31, 2018</v>
      </c>
      <c r="Z7" s="89"/>
      <c r="AA7" s="89"/>
      <c r="AB7" s="89"/>
      <c r="AC7" s="89"/>
      <c r="AD7" s="89"/>
      <c r="AE7" s="89"/>
      <c r="AF7" s="89"/>
      <c r="AG7" s="89" t="str">
        <f>TESTYEAR_E</f>
        <v>12 MONTHS ENDED DECEMBER 31, 2018</v>
      </c>
      <c r="AH7" s="89"/>
      <c r="AI7" s="89"/>
      <c r="AJ7" s="89"/>
      <c r="AK7" s="89"/>
      <c r="AL7" s="89"/>
      <c r="AM7" s="89"/>
      <c r="AN7" s="89"/>
      <c r="AO7" s="89" t="str">
        <f>TESTYEAR_E</f>
        <v>12 MONTHS ENDED DECEMBER 31, 2018</v>
      </c>
      <c r="AP7" s="89"/>
      <c r="AQ7" s="89"/>
      <c r="AR7" s="89"/>
      <c r="AS7" s="89"/>
      <c r="AT7" s="89"/>
      <c r="AU7" s="89"/>
      <c r="AV7" s="89"/>
      <c r="AW7" s="89" t="str">
        <f>TESTYEAR_E</f>
        <v>12 MONTHS ENDED DECEMBER 31, 2018</v>
      </c>
      <c r="AX7" s="89"/>
      <c r="AY7" s="89"/>
      <c r="AZ7" s="89"/>
      <c r="BA7" s="89"/>
      <c r="BB7" s="89"/>
      <c r="BC7" s="89"/>
      <c r="BD7" s="89"/>
      <c r="BE7" s="89" t="str">
        <f>TESTYEAR_E</f>
        <v>12 MONTHS ENDED DECEMBER 31, 2018</v>
      </c>
      <c r="BF7" s="89"/>
      <c r="BG7" s="89"/>
      <c r="BH7" s="89"/>
      <c r="BI7" s="89"/>
      <c r="BJ7" s="89"/>
      <c r="BK7" s="89"/>
      <c r="BL7" s="89"/>
      <c r="BM7" s="89" t="str">
        <f>TESTYEAR_E</f>
        <v>12 MONTHS ENDED DECEMBER 31, 2018</v>
      </c>
      <c r="BN7" s="89"/>
      <c r="BO7" s="89"/>
      <c r="BP7" s="89"/>
      <c r="BQ7" s="89"/>
      <c r="BR7" s="89"/>
      <c r="BS7" s="89"/>
      <c r="BT7" s="89"/>
      <c r="BU7" s="89" t="str">
        <f>TESTYEAR_E</f>
        <v>12 MONTHS ENDED DECEMBER 31, 2018</v>
      </c>
      <c r="BV7" s="89"/>
      <c r="BW7" s="89"/>
      <c r="BX7" s="89"/>
      <c r="BY7" s="89"/>
      <c r="BZ7" s="89"/>
      <c r="CA7" s="89"/>
      <c r="CB7" s="89"/>
      <c r="CC7" s="89" t="str">
        <f>TESTYEAR_E</f>
        <v>12 MONTHS ENDED DECEMBER 31, 2018</v>
      </c>
      <c r="CD7" s="89"/>
      <c r="CE7" s="89"/>
      <c r="CF7" s="89"/>
      <c r="CG7" s="89"/>
      <c r="CH7" s="89"/>
      <c r="CI7" s="89"/>
      <c r="CJ7" s="89"/>
      <c r="CK7" s="89" t="str">
        <f>TESTYEAR_E</f>
        <v>12 MONTHS ENDED DECEMBER 31, 2018</v>
      </c>
      <c r="CL7" s="89"/>
      <c r="CM7" s="89"/>
      <c r="CN7" s="89"/>
      <c r="CO7" s="89"/>
      <c r="CP7" s="89"/>
      <c r="CQ7" s="89"/>
      <c r="CR7" s="89"/>
      <c r="CS7" s="89" t="str">
        <f>TESTYEAR_E</f>
        <v>12 MONTHS ENDED DECEMBER 31, 2018</v>
      </c>
      <c r="CT7" s="89"/>
      <c r="CU7" s="89"/>
      <c r="CV7" s="89"/>
      <c r="CW7" s="89"/>
      <c r="CX7" s="89"/>
      <c r="CY7" s="89"/>
      <c r="CZ7" s="89"/>
      <c r="DA7" s="89" t="str">
        <f>TESTYEAR_E</f>
        <v>12 MONTHS ENDED DECEMBER 31, 2018</v>
      </c>
      <c r="DB7" s="89"/>
      <c r="DC7" s="89"/>
      <c r="DD7" s="89"/>
      <c r="DE7" s="89"/>
      <c r="DF7" s="89"/>
      <c r="DG7" s="89"/>
      <c r="DH7" s="89"/>
      <c r="DI7" s="89" t="str">
        <f>TESTYEAR_E</f>
        <v>12 MONTHS ENDED DECEMBER 31, 2018</v>
      </c>
      <c r="DJ7" s="89"/>
      <c r="DK7" s="89"/>
      <c r="DL7" s="89"/>
      <c r="DM7" s="89"/>
      <c r="DN7" s="89"/>
      <c r="DO7" s="89"/>
      <c r="DP7" s="89"/>
      <c r="DQ7" s="89" t="str">
        <f>TESTYEAR_E</f>
        <v>12 MONTHS ENDED DECEMBER 31, 2018</v>
      </c>
      <c r="DR7" s="89"/>
      <c r="DS7" s="89"/>
      <c r="DT7" s="89"/>
      <c r="DU7" s="89"/>
      <c r="DV7" s="89"/>
      <c r="DW7" s="89"/>
      <c r="DX7" s="89"/>
      <c r="DY7" s="89" t="str">
        <f>TESTYEAR_E</f>
        <v>12 MONTHS ENDED DECEMBER 31, 2018</v>
      </c>
      <c r="DZ7" s="89"/>
      <c r="EA7" s="89"/>
      <c r="EB7" s="89"/>
      <c r="EC7" s="89"/>
      <c r="ED7" s="89"/>
      <c r="EE7" s="89"/>
      <c r="EF7" s="89"/>
      <c r="EG7" s="89" t="str">
        <f>TESTYEAR_E</f>
        <v>12 MONTHS ENDED DECEMBER 31, 2018</v>
      </c>
      <c r="EH7" s="89"/>
      <c r="EI7" s="89"/>
      <c r="EJ7" s="89"/>
      <c r="EK7" s="89"/>
      <c r="EL7" s="89"/>
      <c r="EM7" s="89"/>
      <c r="EN7" s="89"/>
      <c r="EO7" s="89" t="str">
        <f>TESTYEAR_E</f>
        <v>12 MONTHS ENDED DECEMBER 31, 2018</v>
      </c>
      <c r="EP7" s="89"/>
      <c r="EQ7" s="89"/>
      <c r="ER7" s="89"/>
      <c r="ES7" s="89"/>
      <c r="ET7" s="89"/>
      <c r="EU7" s="89"/>
      <c r="EV7" s="89"/>
      <c r="EW7" s="89" t="str">
        <f>TESTYEAR_E</f>
        <v>12 MONTHS ENDED DECEMBER 31, 2018</v>
      </c>
      <c r="EX7" s="89"/>
      <c r="EY7" s="89"/>
      <c r="EZ7" s="89"/>
      <c r="FA7" s="89"/>
      <c r="FB7" s="89"/>
      <c r="FC7" s="89"/>
      <c r="FD7" s="89"/>
      <c r="FE7" s="89" t="str">
        <f>TESTYEAR_E</f>
        <v>12 MONTHS ENDED DECEMBER 31, 2018</v>
      </c>
      <c r="FF7" s="89"/>
      <c r="FG7" s="89"/>
      <c r="FH7" s="89"/>
      <c r="FI7" s="89"/>
      <c r="FJ7" s="89"/>
      <c r="FK7" s="89"/>
      <c r="FL7" s="89"/>
      <c r="FM7" s="89" t="str">
        <f>TESTYEAR_E</f>
        <v>12 MONTHS ENDED DECEMBER 31, 2018</v>
      </c>
      <c r="FN7" s="89"/>
      <c r="FO7" s="89"/>
      <c r="FP7" s="89"/>
      <c r="FQ7" s="89"/>
      <c r="FR7" s="89"/>
      <c r="FS7" s="89"/>
      <c r="FT7" s="89"/>
      <c r="FU7" s="89" t="s">
        <v>273</v>
      </c>
      <c r="FV7" s="89"/>
      <c r="FW7" s="89"/>
      <c r="FX7" s="89"/>
      <c r="FY7" s="89"/>
      <c r="FZ7" s="89"/>
      <c r="GA7" s="89"/>
      <c r="GB7" s="89"/>
      <c r="GC7" s="89" t="s">
        <v>273</v>
      </c>
      <c r="GD7" s="89"/>
      <c r="GE7" s="89"/>
      <c r="GF7" s="89"/>
      <c r="GG7" s="89"/>
      <c r="GH7" s="89"/>
      <c r="GI7" s="89"/>
      <c r="GJ7" s="89"/>
      <c r="GK7" s="89" t="s">
        <v>273</v>
      </c>
      <c r="GL7" s="89"/>
      <c r="GM7" s="89"/>
      <c r="GN7" s="89"/>
      <c r="GO7" s="89"/>
      <c r="GP7" s="89"/>
      <c r="GQ7" s="89"/>
      <c r="GR7" s="89"/>
      <c r="GS7" s="89" t="s">
        <v>273</v>
      </c>
      <c r="GT7" s="89"/>
      <c r="GU7" s="89"/>
      <c r="GV7" s="89"/>
      <c r="GW7" s="89"/>
      <c r="GX7" s="89"/>
      <c r="GY7" s="89"/>
      <c r="GZ7" s="89"/>
      <c r="HA7" s="89" t="s">
        <v>273</v>
      </c>
      <c r="HB7" s="89"/>
      <c r="HC7" s="89"/>
      <c r="HD7" s="89"/>
      <c r="HE7" s="89"/>
      <c r="HF7" s="89"/>
      <c r="HG7" s="89"/>
      <c r="HH7" s="89"/>
      <c r="HI7" s="89" t="s">
        <v>273</v>
      </c>
      <c r="HJ7" s="89"/>
      <c r="HK7" s="89"/>
      <c r="HL7" s="89"/>
      <c r="HM7" s="89"/>
      <c r="HN7" s="89"/>
      <c r="HO7" s="89"/>
      <c r="HP7" s="89"/>
      <c r="HQ7" s="89" t="s">
        <v>273</v>
      </c>
      <c r="HR7" s="89"/>
      <c r="HS7" s="89"/>
      <c r="HT7" s="89"/>
      <c r="HU7" s="89"/>
      <c r="HV7" s="89"/>
      <c r="HW7" s="89"/>
      <c r="HX7" s="89"/>
    </row>
    <row r="8" spans="1:232" s="90" customFormat="1" ht="13.5" thickBot="1">
      <c r="A8" s="89" t="str">
        <f>CASE_E</f>
        <v>2019 GENERAL RATE CASE</v>
      </c>
      <c r="B8" s="89"/>
      <c r="C8" s="89"/>
      <c r="D8" s="89"/>
      <c r="E8" s="89"/>
      <c r="F8" s="89"/>
      <c r="G8" s="89"/>
      <c r="H8" s="89"/>
      <c r="I8" s="89" t="str">
        <f>CASE_E</f>
        <v>2019 GENERAL RATE CASE</v>
      </c>
      <c r="J8" s="89"/>
      <c r="K8" s="89"/>
      <c r="L8" s="89"/>
      <c r="M8" s="89"/>
      <c r="N8" s="89"/>
      <c r="O8" s="89"/>
      <c r="P8" s="89"/>
      <c r="Q8" s="89" t="str">
        <f>CASE_E</f>
        <v>2019 GENERAL RATE CASE</v>
      </c>
      <c r="R8" s="89"/>
      <c r="S8" s="89"/>
      <c r="T8" s="89"/>
      <c r="U8" s="89"/>
      <c r="V8" s="89"/>
      <c r="W8" s="89"/>
      <c r="X8" s="89"/>
      <c r="Y8" s="89" t="str">
        <f>CASE_E</f>
        <v>2019 GENERAL RATE CASE</v>
      </c>
      <c r="Z8" s="89"/>
      <c r="AA8" s="89"/>
      <c r="AB8" s="89"/>
      <c r="AC8" s="89"/>
      <c r="AD8" s="89"/>
      <c r="AE8" s="89"/>
      <c r="AF8" s="89"/>
      <c r="AG8" s="89" t="str">
        <f>CASE_E</f>
        <v>2019 GENERAL RATE CASE</v>
      </c>
      <c r="AH8" s="89"/>
      <c r="AI8" s="89"/>
      <c r="AJ8" s="89"/>
      <c r="AK8" s="89"/>
      <c r="AL8" s="89"/>
      <c r="AM8" s="89"/>
      <c r="AN8" s="89"/>
      <c r="AO8" s="89" t="str">
        <f>CASE_E</f>
        <v>2019 GENERAL RATE CASE</v>
      </c>
      <c r="AP8" s="89"/>
      <c r="AQ8" s="89"/>
      <c r="AR8" s="89"/>
      <c r="AS8" s="89"/>
      <c r="AT8" s="89"/>
      <c r="AU8" s="89"/>
      <c r="AV8" s="89"/>
      <c r="AW8" s="89" t="str">
        <f>CASE_E</f>
        <v>2019 GENERAL RATE CASE</v>
      </c>
      <c r="AX8" s="89"/>
      <c r="AY8" s="89"/>
      <c r="AZ8" s="89"/>
      <c r="BA8" s="89"/>
      <c r="BB8" s="89"/>
      <c r="BC8" s="89"/>
      <c r="BD8" s="89"/>
      <c r="BE8" s="89" t="str">
        <f>CASE_E</f>
        <v>2019 GENERAL RATE CASE</v>
      </c>
      <c r="BF8" s="89"/>
      <c r="BG8" s="89"/>
      <c r="BH8" s="89"/>
      <c r="BI8" s="89"/>
      <c r="BJ8" s="89"/>
      <c r="BK8" s="89"/>
      <c r="BL8" s="89"/>
      <c r="BM8" s="89" t="str">
        <f>CASE_E</f>
        <v>2019 GENERAL RATE CASE</v>
      </c>
      <c r="BN8" s="89"/>
      <c r="BO8" s="89"/>
      <c r="BP8" s="89"/>
      <c r="BQ8" s="89"/>
      <c r="BR8" s="89"/>
      <c r="BS8" s="89"/>
      <c r="BT8" s="89"/>
      <c r="BU8" s="89" t="str">
        <f>CASE_E</f>
        <v>2019 GENERAL RATE CASE</v>
      </c>
      <c r="BV8" s="89"/>
      <c r="BW8" s="89"/>
      <c r="BX8" s="89"/>
      <c r="BY8" s="89"/>
      <c r="BZ8" s="89"/>
      <c r="CA8" s="89"/>
      <c r="CB8" s="89"/>
      <c r="CC8" s="89" t="str">
        <f>CASE_E</f>
        <v>2019 GENERAL RATE CASE</v>
      </c>
      <c r="CD8" s="89"/>
      <c r="CE8" s="89"/>
      <c r="CF8" s="89"/>
      <c r="CG8" s="89"/>
      <c r="CH8" s="89"/>
      <c r="CI8" s="89"/>
      <c r="CJ8" s="89"/>
      <c r="CK8" s="89" t="str">
        <f>CASE_E</f>
        <v>2019 GENERAL RATE CASE</v>
      </c>
      <c r="CL8" s="89"/>
      <c r="CM8" s="89"/>
      <c r="CN8" s="89"/>
      <c r="CO8" s="89"/>
      <c r="CP8" s="89"/>
      <c r="CQ8" s="89"/>
      <c r="CR8" s="89"/>
      <c r="CS8" s="89" t="str">
        <f>CASE_E</f>
        <v>2019 GENERAL RATE CASE</v>
      </c>
      <c r="CT8" s="89"/>
      <c r="CU8" s="89"/>
      <c r="CV8" s="89"/>
      <c r="CW8" s="89"/>
      <c r="CX8" s="89"/>
      <c r="CY8" s="89"/>
      <c r="CZ8" s="89"/>
      <c r="DA8" s="89" t="str">
        <f>CASE_E</f>
        <v>2019 GENERAL RATE CASE</v>
      </c>
      <c r="DB8" s="89"/>
      <c r="DC8" s="89"/>
      <c r="DD8" s="89"/>
      <c r="DE8" s="89"/>
      <c r="DF8" s="89"/>
      <c r="DG8" s="89"/>
      <c r="DH8" s="89"/>
      <c r="DI8" s="89" t="str">
        <f>CASE_E</f>
        <v>2019 GENERAL RATE CASE</v>
      </c>
      <c r="DJ8" s="89"/>
      <c r="DK8" s="89"/>
      <c r="DL8" s="89"/>
      <c r="DM8" s="89"/>
      <c r="DN8" s="89"/>
      <c r="DO8" s="89"/>
      <c r="DP8" s="89"/>
      <c r="DQ8" s="89" t="str">
        <f>CASE_E</f>
        <v>2019 GENERAL RATE CASE</v>
      </c>
      <c r="DR8" s="89"/>
      <c r="DS8" s="89"/>
      <c r="DT8" s="89"/>
      <c r="DU8" s="89"/>
      <c r="DV8" s="89"/>
      <c r="DW8" s="89"/>
      <c r="DX8" s="89"/>
      <c r="DY8" s="89" t="str">
        <f>CASE_E</f>
        <v>2019 GENERAL RATE CASE</v>
      </c>
      <c r="DZ8" s="89"/>
      <c r="EA8" s="89"/>
      <c r="EB8" s="89"/>
      <c r="EC8" s="89"/>
      <c r="ED8" s="89"/>
      <c r="EE8" s="89"/>
      <c r="EF8" s="89"/>
      <c r="EG8" s="89" t="str">
        <f>CASE_E</f>
        <v>2019 GENERAL RATE CASE</v>
      </c>
      <c r="EH8" s="89"/>
      <c r="EI8" s="89"/>
      <c r="EJ8" s="89"/>
      <c r="EK8" s="89"/>
      <c r="EL8" s="89"/>
      <c r="EM8" s="89"/>
      <c r="EN8" s="89"/>
      <c r="EO8" s="89" t="str">
        <f>CASE_E</f>
        <v>2019 GENERAL RATE CASE</v>
      </c>
      <c r="EP8" s="89"/>
      <c r="EQ8" s="89"/>
      <c r="ER8" s="89"/>
      <c r="ES8" s="89"/>
      <c r="ET8" s="89"/>
      <c r="EU8" s="89"/>
      <c r="EV8" s="89"/>
      <c r="EW8" s="89" t="str">
        <f>CASE_E</f>
        <v>2019 GENERAL RATE CASE</v>
      </c>
      <c r="EX8" s="89"/>
      <c r="EY8" s="89"/>
      <c r="EZ8" s="89"/>
      <c r="FA8" s="89"/>
      <c r="FB8" s="89"/>
      <c r="FC8" s="89"/>
      <c r="FD8" s="89"/>
      <c r="FE8" s="89" t="str">
        <f>CASE_E</f>
        <v>2019 GENERAL RATE CASE</v>
      </c>
      <c r="FF8" s="89"/>
      <c r="FG8" s="89"/>
      <c r="FH8" s="89"/>
      <c r="FI8" s="89"/>
      <c r="FJ8" s="89"/>
      <c r="FK8" s="89"/>
      <c r="FL8" s="89"/>
      <c r="FM8" s="89" t="str">
        <f>CASE_E</f>
        <v>2019 GENERAL RATE CASE</v>
      </c>
      <c r="FN8" s="89"/>
      <c r="FO8" s="89"/>
      <c r="FP8" s="89"/>
      <c r="FQ8" s="89"/>
      <c r="FR8" s="89"/>
      <c r="FS8" s="89"/>
      <c r="FT8" s="89"/>
      <c r="FU8" s="89" t="s">
        <v>208</v>
      </c>
      <c r="FV8" s="89"/>
      <c r="FW8" s="89"/>
      <c r="FX8" s="89"/>
      <c r="FY8" s="89"/>
      <c r="FZ8" s="89"/>
      <c r="GA8" s="89"/>
      <c r="GB8" s="89"/>
      <c r="GC8" s="89" t="s">
        <v>208</v>
      </c>
      <c r="GD8" s="89"/>
      <c r="GE8" s="89"/>
      <c r="GF8" s="89"/>
      <c r="GG8" s="89"/>
      <c r="GH8" s="89"/>
      <c r="GI8" s="89"/>
      <c r="GJ8" s="89"/>
      <c r="GK8" s="89" t="s">
        <v>208</v>
      </c>
      <c r="GL8" s="89"/>
      <c r="GM8" s="89"/>
      <c r="GN8" s="89"/>
      <c r="GO8" s="89"/>
      <c r="GP8" s="89"/>
      <c r="GQ8" s="89"/>
      <c r="GR8" s="89"/>
      <c r="GS8" s="89" t="s">
        <v>208</v>
      </c>
      <c r="GT8" s="89"/>
      <c r="GU8" s="89"/>
      <c r="GV8" s="89"/>
      <c r="GW8" s="89"/>
      <c r="GX8" s="89"/>
      <c r="GY8" s="89"/>
      <c r="GZ8" s="89"/>
      <c r="HA8" s="89" t="s">
        <v>208</v>
      </c>
      <c r="HB8" s="89"/>
      <c r="HC8" s="89"/>
      <c r="HD8" s="89"/>
      <c r="HE8" s="89"/>
      <c r="HF8" s="89"/>
      <c r="HG8" s="89"/>
      <c r="HH8" s="89"/>
      <c r="HI8" s="89" t="s">
        <v>208</v>
      </c>
      <c r="HJ8" s="89"/>
      <c r="HK8" s="89"/>
      <c r="HL8" s="89"/>
      <c r="HM8" s="89"/>
      <c r="HN8" s="89"/>
      <c r="HO8" s="89"/>
      <c r="HP8" s="89"/>
      <c r="HQ8" s="89" t="s">
        <v>208</v>
      </c>
      <c r="HR8" s="89"/>
      <c r="HS8" s="89"/>
      <c r="HT8" s="89"/>
      <c r="HU8" s="89"/>
      <c r="HV8" s="89"/>
      <c r="HW8" s="89"/>
      <c r="HX8" s="89"/>
    </row>
    <row r="9" spans="1:232" ht="26.25" thickBot="1">
      <c r="A9" s="28"/>
      <c r="B9" s="28"/>
      <c r="C9" s="28"/>
      <c r="D9" s="28"/>
      <c r="E9" s="28"/>
      <c r="F9" s="374">
        <f>+'Detailed Summary'!D9</f>
        <v>6.01</v>
      </c>
      <c r="G9" s="28"/>
      <c r="H9" s="375">
        <f>'Detailed Summary'!AK9</f>
        <v>6.01</v>
      </c>
      <c r="I9" s="28"/>
      <c r="J9" s="28"/>
      <c r="K9" s="28"/>
      <c r="L9" s="28"/>
      <c r="M9" s="28"/>
      <c r="N9" s="374">
        <f>+'Detailed Summary'!E9</f>
        <v>6.02</v>
      </c>
      <c r="O9" s="28"/>
      <c r="P9" s="375">
        <f>'Detailed Summary'!AL9</f>
        <v>6.02</v>
      </c>
      <c r="Q9" s="28"/>
      <c r="R9" s="28"/>
      <c r="S9" s="28"/>
      <c r="T9" s="28"/>
      <c r="U9" s="28"/>
      <c r="V9" s="374">
        <f>+'Detailed Summary'!F9</f>
        <v>6.0299999999999994</v>
      </c>
      <c r="W9" s="28"/>
      <c r="X9" s="375" t="s">
        <v>471</v>
      </c>
      <c r="Y9" s="28"/>
      <c r="Z9" s="28"/>
      <c r="AA9" s="28"/>
      <c r="AB9" s="28"/>
      <c r="AC9" s="28"/>
      <c r="AD9" s="374">
        <f>+'Detailed Summary'!G9</f>
        <v>6.0399999999999991</v>
      </c>
      <c r="AE9" s="28"/>
      <c r="AF9" s="375">
        <f>'Detailed Summary'!AM9</f>
        <v>6.0399999999999991</v>
      </c>
      <c r="AG9" s="28"/>
      <c r="AH9" s="28"/>
      <c r="AI9" s="28"/>
      <c r="AJ9" s="28"/>
      <c r="AK9" s="28"/>
      <c r="AL9" s="374">
        <f>+'Detailed Summary'!H9</f>
        <v>6.0499999999999989</v>
      </c>
      <c r="AM9" s="28"/>
      <c r="AN9" s="374" t="s">
        <v>471</v>
      </c>
      <c r="AO9" s="28"/>
      <c r="AP9" s="28"/>
      <c r="AQ9" s="28"/>
      <c r="AR9" s="28"/>
      <c r="AS9" s="28"/>
      <c r="AT9" s="374">
        <f>+'Detailed Summary'!I9</f>
        <v>6.0599999999999987</v>
      </c>
      <c r="AU9" s="28"/>
      <c r="AV9" s="375" t="s">
        <v>471</v>
      </c>
      <c r="AW9" s="28"/>
      <c r="AX9" s="28"/>
      <c r="AY9" s="28"/>
      <c r="AZ9" s="28"/>
      <c r="BA9" s="28"/>
      <c r="BB9" s="374">
        <f>+'Detailed Summary'!J9</f>
        <v>6.0699999999999985</v>
      </c>
      <c r="BC9" s="28"/>
      <c r="BD9" s="375" t="s">
        <v>471</v>
      </c>
      <c r="BE9" s="28"/>
      <c r="BF9" s="28"/>
      <c r="BG9" s="28"/>
      <c r="BH9" s="28"/>
      <c r="BI9" s="28"/>
      <c r="BJ9" s="374">
        <f>+'Detailed Summary'!K9</f>
        <v>6.0799999999999983</v>
      </c>
      <c r="BK9" s="28"/>
      <c r="BL9" s="375" t="s">
        <v>471</v>
      </c>
      <c r="BM9" s="28"/>
      <c r="BN9" s="28"/>
      <c r="BO9" s="28"/>
      <c r="BP9" s="28"/>
      <c r="BQ9" s="28"/>
      <c r="BR9" s="374">
        <f>+'Detailed Summary'!L9</f>
        <v>6.0899999999999981</v>
      </c>
      <c r="BS9" s="28"/>
      <c r="BT9" s="375">
        <f>'Detailed Summary'!AN9</f>
        <v>6.0899999999999981</v>
      </c>
      <c r="BU9" s="28"/>
      <c r="BV9" s="28"/>
      <c r="BW9" s="28"/>
      <c r="BX9" s="28"/>
      <c r="BY9" s="28"/>
      <c r="BZ9" s="374">
        <f>+'Detailed Summary'!M9</f>
        <v>6.0999999999999979</v>
      </c>
      <c r="CA9" s="28"/>
      <c r="CB9" s="375">
        <f>'Detailed Summary'!AO9</f>
        <v>6.0999999999999979</v>
      </c>
      <c r="CC9" s="28"/>
      <c r="CD9" s="28"/>
      <c r="CE9" s="28"/>
      <c r="CF9" s="28"/>
      <c r="CG9" s="28"/>
      <c r="CH9" s="374">
        <f>+'Detailed Summary'!N9</f>
        <v>6.1099999999999977</v>
      </c>
      <c r="CI9" s="28"/>
      <c r="CJ9" s="375" t="s">
        <v>471</v>
      </c>
      <c r="CK9" s="28"/>
      <c r="CL9" s="28"/>
      <c r="CM9" s="28"/>
      <c r="CN9" s="28"/>
      <c r="CO9" s="28"/>
      <c r="CP9" s="374">
        <f>+'Detailed Summary'!O9</f>
        <v>6.1199999999999974</v>
      </c>
      <c r="CQ9" s="28"/>
      <c r="CR9" s="375" t="s">
        <v>471</v>
      </c>
      <c r="CS9" s="28"/>
      <c r="CT9" s="28"/>
      <c r="CU9" s="28"/>
      <c r="CV9" s="28"/>
      <c r="CW9" s="28"/>
      <c r="CX9" s="374">
        <f>+'Detailed Summary'!P9</f>
        <v>6.1299999999999972</v>
      </c>
      <c r="CY9" s="28"/>
      <c r="CZ9" s="375" t="s">
        <v>471</v>
      </c>
      <c r="DA9" s="28"/>
      <c r="DB9" s="28"/>
      <c r="DC9" s="28"/>
      <c r="DD9" s="28"/>
      <c r="DE9" s="28"/>
      <c r="DF9" s="374">
        <f>+'Detailed Summary'!Q9</f>
        <v>6.14</v>
      </c>
      <c r="DG9" s="28"/>
      <c r="DH9" s="375">
        <f>'Detailed Summary'!AP9</f>
        <v>6.14</v>
      </c>
      <c r="DI9" s="28"/>
      <c r="DJ9" s="28"/>
      <c r="DK9" s="28"/>
      <c r="DL9" s="28"/>
      <c r="DM9" s="28"/>
      <c r="DN9" s="374">
        <f>'Detailed Summary'!R9</f>
        <v>6.15</v>
      </c>
      <c r="DO9" s="28"/>
      <c r="DP9" s="375">
        <f>'Detailed Summary'!AQ9</f>
        <v>6.15</v>
      </c>
      <c r="DQ9" s="28"/>
      <c r="DR9" s="28"/>
      <c r="DS9" s="28"/>
      <c r="DT9" s="28"/>
      <c r="DU9" s="28"/>
      <c r="DV9" s="374">
        <f>'Detailed Summary'!S9</f>
        <v>6.16</v>
      </c>
      <c r="DW9" s="28"/>
      <c r="DX9" s="375">
        <f>'Detailed Summary'!AR9</f>
        <v>6.16</v>
      </c>
      <c r="DY9" s="28"/>
      <c r="DZ9" s="28"/>
      <c r="EA9" s="28"/>
      <c r="EB9" s="28"/>
      <c r="EC9" s="28"/>
      <c r="ED9" s="374">
        <f>'Detailed Summary'!T9</f>
        <v>6.17</v>
      </c>
      <c r="EE9" s="28"/>
      <c r="EF9" s="375">
        <f>'Detailed Summary'!AS9</f>
        <v>6.17</v>
      </c>
      <c r="EJ9" s="28"/>
      <c r="EK9" s="28"/>
      <c r="EL9" s="374">
        <f>'Detailed Summary'!U9</f>
        <v>6.18</v>
      </c>
      <c r="EM9" s="28"/>
      <c r="EN9" s="375" t="s">
        <v>471</v>
      </c>
      <c r="ER9" s="28"/>
      <c r="ES9" s="28"/>
      <c r="ET9" s="374">
        <f>'Detailed Summary'!V9</f>
        <v>6.1899999999999995</v>
      </c>
      <c r="EU9" s="28"/>
      <c r="EV9" s="375" t="s">
        <v>471</v>
      </c>
      <c r="EW9" s="28"/>
      <c r="EX9" s="28"/>
      <c r="EY9" s="28"/>
      <c r="EZ9" s="28"/>
      <c r="FA9" s="28"/>
      <c r="FB9" s="374" t="s">
        <v>471</v>
      </c>
      <c r="FC9" s="645" t="s">
        <v>814</v>
      </c>
      <c r="FD9" s="375">
        <f>'Detailed Summary'!AT9</f>
        <v>6.2</v>
      </c>
      <c r="FE9" s="28"/>
      <c r="FF9" s="28"/>
      <c r="FG9" s="28"/>
      <c r="FH9" s="28"/>
      <c r="FI9" s="28"/>
      <c r="FJ9" s="374" t="s">
        <v>471</v>
      </c>
      <c r="FK9" s="28"/>
      <c r="FL9" s="375">
        <f>'Detailed Summary'!AU9</f>
        <v>6.21</v>
      </c>
      <c r="FM9" s="28"/>
      <c r="FN9" s="28"/>
      <c r="FO9" s="28"/>
      <c r="FP9" s="28"/>
      <c r="FQ9" s="28"/>
      <c r="FR9" s="374" t="s">
        <v>471</v>
      </c>
      <c r="FS9" s="28"/>
      <c r="FT9" s="375">
        <f>'Detailed Summary'!AV9</f>
        <v>6.22</v>
      </c>
      <c r="FZ9" s="374">
        <f>'Detailed Summary'!W9</f>
        <v>6.23</v>
      </c>
      <c r="GA9" s="28"/>
      <c r="GB9" s="375">
        <f>'Detailed Summary'!AW9</f>
        <v>6.2299999999999995</v>
      </c>
      <c r="GH9" s="374" t="s">
        <v>471</v>
      </c>
      <c r="GI9" s="28"/>
      <c r="GJ9" s="375">
        <f>'Detailed Summary'!AX9</f>
        <v>6.2399999999999993</v>
      </c>
      <c r="GP9" s="374" t="s">
        <v>471</v>
      </c>
      <c r="GR9" s="375">
        <f>'Detailed Summary'!AY9</f>
        <v>6.2499999999999991</v>
      </c>
      <c r="GX9" s="374" t="s">
        <v>471</v>
      </c>
      <c r="GZ9" s="375">
        <f>'Detailed Summary'!AZ9</f>
        <v>6.2599999999999989</v>
      </c>
      <c r="HF9" s="374" t="s">
        <v>471</v>
      </c>
      <c r="HH9" s="375">
        <f>'Detailed Summary'!BA9</f>
        <v>6.2699999999999987</v>
      </c>
      <c r="HN9" s="374" t="s">
        <v>471</v>
      </c>
      <c r="HP9" s="375">
        <f>'Detailed Summary'!BB9</f>
        <v>6.2799999999999985</v>
      </c>
      <c r="HV9" s="374" t="s">
        <v>471</v>
      </c>
      <c r="HX9" s="375">
        <f>'Detailed Summary'!BC9</f>
        <v>6.2899999999999983</v>
      </c>
    </row>
    <row r="10" spans="1:232">
      <c r="C10" s="216"/>
      <c r="D10" s="217" t="s">
        <v>263</v>
      </c>
      <c r="E10" s="218"/>
      <c r="F10" s="396" t="s">
        <v>105</v>
      </c>
      <c r="G10" s="218"/>
      <c r="H10" s="396" t="s">
        <v>93</v>
      </c>
      <c r="I10" s="6"/>
      <c r="J10" s="216"/>
      <c r="K10" s="216"/>
      <c r="L10" s="217" t="s">
        <v>263</v>
      </c>
      <c r="M10" s="218"/>
      <c r="N10" s="396" t="s">
        <v>105</v>
      </c>
      <c r="O10" s="218"/>
      <c r="P10" s="396" t="s">
        <v>93</v>
      </c>
      <c r="S10" s="216"/>
      <c r="T10" s="217" t="s">
        <v>263</v>
      </c>
      <c r="U10" s="218"/>
      <c r="V10" s="396" t="s">
        <v>105</v>
      </c>
      <c r="W10" s="218"/>
      <c r="X10" s="396" t="s">
        <v>93</v>
      </c>
      <c r="Y10" s="6"/>
      <c r="Z10" s="216"/>
      <c r="AA10" s="216"/>
      <c r="AB10" s="217" t="s">
        <v>263</v>
      </c>
      <c r="AC10" s="218"/>
      <c r="AD10" s="396" t="s">
        <v>105</v>
      </c>
      <c r="AE10" s="218"/>
      <c r="AF10" s="396" t="s">
        <v>93</v>
      </c>
      <c r="AI10" s="216"/>
      <c r="AJ10" s="217" t="s">
        <v>263</v>
      </c>
      <c r="AK10" s="218"/>
      <c r="AL10" s="396" t="s">
        <v>105</v>
      </c>
      <c r="AM10" s="218"/>
      <c r="AN10" s="396" t="s">
        <v>93</v>
      </c>
      <c r="AO10" s="6"/>
      <c r="AP10" s="216"/>
      <c r="AQ10" s="216"/>
      <c r="AR10" s="217" t="s">
        <v>263</v>
      </c>
      <c r="AS10" s="218"/>
      <c r="AT10" s="396" t="s">
        <v>105</v>
      </c>
      <c r="AU10" s="218"/>
      <c r="AV10" s="396" t="s">
        <v>93</v>
      </c>
      <c r="AX10" s="219"/>
      <c r="AY10" s="216"/>
      <c r="AZ10" s="217" t="s">
        <v>263</v>
      </c>
      <c r="BA10" s="218"/>
      <c r="BB10" s="396" t="s">
        <v>105</v>
      </c>
      <c r="BC10" s="218"/>
      <c r="BD10" s="396" t="s">
        <v>93</v>
      </c>
      <c r="BG10" s="178"/>
      <c r="BH10" s="217" t="s">
        <v>263</v>
      </c>
      <c r="BI10" s="218"/>
      <c r="BJ10" s="396" t="s">
        <v>105</v>
      </c>
      <c r="BK10" s="218"/>
      <c r="BL10" s="396" t="s">
        <v>93</v>
      </c>
      <c r="BM10" s="180"/>
      <c r="BN10" s="178"/>
      <c r="BO10" s="178"/>
      <c r="BP10" s="217" t="s">
        <v>263</v>
      </c>
      <c r="BQ10" s="218"/>
      <c r="BR10" s="396" t="s">
        <v>105</v>
      </c>
      <c r="BS10" s="218"/>
      <c r="BT10" s="396" t="s">
        <v>93</v>
      </c>
      <c r="BW10" s="178"/>
      <c r="BX10" s="217" t="s">
        <v>263</v>
      </c>
      <c r="BY10" s="218"/>
      <c r="BZ10" s="396" t="s">
        <v>105</v>
      </c>
      <c r="CA10" s="218"/>
      <c r="CB10" s="396" t="s">
        <v>93</v>
      </c>
      <c r="CE10" s="178"/>
      <c r="CF10" s="217" t="s">
        <v>263</v>
      </c>
      <c r="CG10" s="218"/>
      <c r="CH10" s="396" t="s">
        <v>105</v>
      </c>
      <c r="CI10" s="218"/>
      <c r="CJ10" s="396" t="s">
        <v>93</v>
      </c>
      <c r="CM10" s="178"/>
      <c r="CN10" s="217" t="s">
        <v>263</v>
      </c>
      <c r="CO10" s="218"/>
      <c r="CP10" s="396" t="s">
        <v>105</v>
      </c>
      <c r="CQ10" s="218"/>
      <c r="CR10" s="396" t="s">
        <v>93</v>
      </c>
      <c r="CU10" s="178"/>
      <c r="CV10" s="217" t="s">
        <v>263</v>
      </c>
      <c r="CW10" s="218"/>
      <c r="CX10" s="396" t="s">
        <v>105</v>
      </c>
      <c r="CY10" s="218"/>
      <c r="CZ10" s="396" t="s">
        <v>93</v>
      </c>
      <c r="DC10" s="178"/>
      <c r="DD10" s="217" t="s">
        <v>263</v>
      </c>
      <c r="DE10" s="218"/>
      <c r="DF10" s="396" t="s">
        <v>105</v>
      </c>
      <c r="DG10" s="218"/>
      <c r="DH10" s="396" t="s">
        <v>93</v>
      </c>
      <c r="DI10" s="176"/>
      <c r="DJ10" s="177"/>
      <c r="DK10" s="178"/>
      <c r="DL10" s="217" t="s">
        <v>263</v>
      </c>
      <c r="DM10" s="218"/>
      <c r="DN10" s="396" t="s">
        <v>105</v>
      </c>
      <c r="DO10" s="218"/>
      <c r="DP10" s="396" t="s">
        <v>93</v>
      </c>
      <c r="DQ10" s="176"/>
      <c r="DR10" s="177"/>
      <c r="DS10" s="178"/>
      <c r="DT10" s="217" t="s">
        <v>263</v>
      </c>
      <c r="DU10" s="218"/>
      <c r="DV10" s="396" t="s">
        <v>105</v>
      </c>
      <c r="DW10" s="218"/>
      <c r="DX10" s="396" t="s">
        <v>93</v>
      </c>
      <c r="EB10" s="217" t="s">
        <v>263</v>
      </c>
      <c r="EC10" s="218"/>
      <c r="ED10" s="396" t="s">
        <v>105</v>
      </c>
      <c r="EE10" s="218"/>
      <c r="EF10" s="396" t="s">
        <v>93</v>
      </c>
      <c r="EG10" s="118"/>
      <c r="EJ10" s="217" t="s">
        <v>263</v>
      </c>
      <c r="EK10" s="218"/>
      <c r="EL10" s="396" t="s">
        <v>105</v>
      </c>
      <c r="EM10" s="218"/>
      <c r="EN10" s="396" t="s">
        <v>93</v>
      </c>
      <c r="ER10" s="217" t="s">
        <v>263</v>
      </c>
      <c r="ES10" s="218"/>
      <c r="ET10" s="396" t="s">
        <v>105</v>
      </c>
      <c r="EU10" s="218"/>
      <c r="EV10" s="396" t="s">
        <v>93</v>
      </c>
      <c r="EY10" s="178"/>
      <c r="EZ10" s="217" t="s">
        <v>263</v>
      </c>
      <c r="FA10" s="218"/>
      <c r="FB10" s="396" t="s">
        <v>105</v>
      </c>
      <c r="FC10" s="218"/>
      <c r="FD10" s="396" t="s">
        <v>93</v>
      </c>
      <c r="FE10" s="118"/>
      <c r="FF10" s="118"/>
      <c r="FH10" s="217" t="s">
        <v>263</v>
      </c>
      <c r="FI10" s="218"/>
      <c r="FJ10" s="396" t="s">
        <v>105</v>
      </c>
      <c r="FK10" s="218"/>
      <c r="FL10" s="396" t="s">
        <v>93</v>
      </c>
      <c r="FO10" s="178"/>
      <c r="FP10" s="217" t="s">
        <v>263</v>
      </c>
      <c r="FQ10" s="218"/>
      <c r="FR10" s="396" t="s">
        <v>105</v>
      </c>
      <c r="FS10" s="218"/>
      <c r="FT10" s="396" t="s">
        <v>93</v>
      </c>
      <c r="FW10" s="178"/>
      <c r="FX10" s="217" t="s">
        <v>263</v>
      </c>
      <c r="FY10" s="218"/>
      <c r="FZ10" s="396" t="s">
        <v>105</v>
      </c>
      <c r="GA10" s="218"/>
      <c r="GB10" s="396" t="s">
        <v>93</v>
      </c>
      <c r="GE10" s="178"/>
      <c r="GF10" s="217" t="s">
        <v>263</v>
      </c>
      <c r="GG10" s="218"/>
      <c r="GH10" s="396" t="s">
        <v>105</v>
      </c>
      <c r="GI10" s="218"/>
      <c r="GJ10" s="396" t="s">
        <v>93</v>
      </c>
      <c r="GM10" s="178"/>
      <c r="GN10" s="217" t="s">
        <v>263</v>
      </c>
      <c r="GO10" s="218"/>
      <c r="GP10" s="396" t="s">
        <v>105</v>
      </c>
      <c r="GQ10" s="218"/>
      <c r="GR10" s="396" t="s">
        <v>93</v>
      </c>
      <c r="GU10" s="178"/>
      <c r="GV10" s="217" t="s">
        <v>263</v>
      </c>
      <c r="GW10" s="218"/>
      <c r="GX10" s="396" t="s">
        <v>105</v>
      </c>
      <c r="GY10" s="218"/>
      <c r="GZ10" s="396" t="s">
        <v>93</v>
      </c>
      <c r="HC10" s="178"/>
      <c r="HD10" s="217" t="s">
        <v>263</v>
      </c>
      <c r="HE10" s="218"/>
      <c r="HF10" s="396" t="s">
        <v>105</v>
      </c>
      <c r="HG10" s="218"/>
      <c r="HH10" s="396" t="s">
        <v>93</v>
      </c>
      <c r="HK10" s="178"/>
      <c r="HL10" s="217" t="s">
        <v>263</v>
      </c>
      <c r="HM10" s="218"/>
      <c r="HN10" s="396" t="s">
        <v>105</v>
      </c>
      <c r="HO10" s="218"/>
      <c r="HP10" s="396" t="s">
        <v>93</v>
      </c>
      <c r="HS10" s="178"/>
      <c r="HT10" s="217" t="s">
        <v>263</v>
      </c>
      <c r="HU10" s="218"/>
      <c r="HV10" s="396" t="s">
        <v>105</v>
      </c>
      <c r="HW10" s="218"/>
      <c r="HX10" s="396" t="s">
        <v>93</v>
      </c>
    </row>
    <row r="11" spans="1:232">
      <c r="A11" s="68" t="s">
        <v>43</v>
      </c>
      <c r="C11" s="219"/>
      <c r="D11" s="396" t="s">
        <v>40</v>
      </c>
      <c r="E11" s="396" t="s">
        <v>105</v>
      </c>
      <c r="F11" s="396" t="s">
        <v>52</v>
      </c>
      <c r="G11" s="396" t="s">
        <v>93</v>
      </c>
      <c r="H11" s="396" t="s">
        <v>52</v>
      </c>
      <c r="I11" s="68" t="s">
        <v>43</v>
      </c>
      <c r="J11" s="219"/>
      <c r="K11" s="219"/>
      <c r="L11" s="396" t="s">
        <v>40</v>
      </c>
      <c r="M11" s="396" t="s">
        <v>105</v>
      </c>
      <c r="N11" s="396" t="s">
        <v>52</v>
      </c>
      <c r="O11" s="396" t="s">
        <v>93</v>
      </c>
      <c r="P11" s="396" t="s">
        <v>52</v>
      </c>
      <c r="Q11" s="68" t="s">
        <v>43</v>
      </c>
      <c r="S11" s="219"/>
      <c r="T11" s="396" t="s">
        <v>40</v>
      </c>
      <c r="U11" s="396" t="s">
        <v>105</v>
      </c>
      <c r="V11" s="396" t="s">
        <v>52</v>
      </c>
      <c r="W11" s="396" t="s">
        <v>93</v>
      </c>
      <c r="X11" s="396" t="s">
        <v>52</v>
      </c>
      <c r="Y11" s="68" t="s">
        <v>43</v>
      </c>
      <c r="Z11" s="219"/>
      <c r="AA11" s="219"/>
      <c r="AB11" s="396" t="s">
        <v>40</v>
      </c>
      <c r="AC11" s="396" t="s">
        <v>105</v>
      </c>
      <c r="AD11" s="396" t="s">
        <v>52</v>
      </c>
      <c r="AE11" s="396" t="s">
        <v>93</v>
      </c>
      <c r="AF11" s="396" t="s">
        <v>52</v>
      </c>
      <c r="AG11" s="68" t="s">
        <v>43</v>
      </c>
      <c r="AI11" s="219"/>
      <c r="AJ11" s="396" t="s">
        <v>40</v>
      </c>
      <c r="AK11" s="396" t="s">
        <v>105</v>
      </c>
      <c r="AL11" s="396" t="s">
        <v>52</v>
      </c>
      <c r="AM11" s="396" t="s">
        <v>93</v>
      </c>
      <c r="AN11" s="396" t="s">
        <v>52</v>
      </c>
      <c r="AO11" s="68" t="s">
        <v>43</v>
      </c>
      <c r="AP11" s="219"/>
      <c r="AQ11" s="219"/>
      <c r="AR11" s="396" t="s">
        <v>40</v>
      </c>
      <c r="AS11" s="396" t="s">
        <v>105</v>
      </c>
      <c r="AT11" s="396" t="s">
        <v>52</v>
      </c>
      <c r="AU11" s="396" t="s">
        <v>93</v>
      </c>
      <c r="AV11" s="396" t="s">
        <v>52</v>
      </c>
      <c r="AW11" s="179" t="s">
        <v>43</v>
      </c>
      <c r="AX11" s="179"/>
      <c r="AY11" s="219"/>
      <c r="AZ11" s="396" t="s">
        <v>40</v>
      </c>
      <c r="BA11" s="396" t="s">
        <v>105</v>
      </c>
      <c r="BB11" s="396" t="s">
        <v>52</v>
      </c>
      <c r="BC11" s="396" t="s">
        <v>93</v>
      </c>
      <c r="BD11" s="396" t="s">
        <v>52</v>
      </c>
      <c r="BE11" s="179" t="s">
        <v>43</v>
      </c>
      <c r="BF11" s="179"/>
      <c r="BG11" s="180"/>
      <c r="BH11" s="396" t="s">
        <v>40</v>
      </c>
      <c r="BI11" s="396" t="s">
        <v>105</v>
      </c>
      <c r="BJ11" s="396" t="s">
        <v>52</v>
      </c>
      <c r="BK11" s="396" t="s">
        <v>93</v>
      </c>
      <c r="BL11" s="396" t="s">
        <v>52</v>
      </c>
      <c r="BM11" s="94" t="s">
        <v>43</v>
      </c>
      <c r="BN11" s="180"/>
      <c r="BO11" s="180"/>
      <c r="BP11" s="396" t="s">
        <v>40</v>
      </c>
      <c r="BQ11" s="396" t="s">
        <v>105</v>
      </c>
      <c r="BR11" s="396" t="s">
        <v>52</v>
      </c>
      <c r="BS11" s="396" t="s">
        <v>93</v>
      </c>
      <c r="BT11" s="396" t="s">
        <v>52</v>
      </c>
      <c r="BU11" s="68" t="s">
        <v>43</v>
      </c>
      <c r="BW11" s="180"/>
      <c r="BX11" s="396" t="s">
        <v>40</v>
      </c>
      <c r="BY11" s="396" t="s">
        <v>105</v>
      </c>
      <c r="BZ11" s="396" t="s">
        <v>52</v>
      </c>
      <c r="CA11" s="396" t="s">
        <v>93</v>
      </c>
      <c r="CB11" s="396" t="s">
        <v>52</v>
      </c>
      <c r="CC11" s="68" t="s">
        <v>43</v>
      </c>
      <c r="CD11" s="14"/>
      <c r="CE11" s="180"/>
      <c r="CF11" s="396" t="s">
        <v>40</v>
      </c>
      <c r="CG11" s="396" t="s">
        <v>105</v>
      </c>
      <c r="CH11" s="396" t="s">
        <v>52</v>
      </c>
      <c r="CI11" s="396" t="s">
        <v>93</v>
      </c>
      <c r="CJ11" s="396" t="s">
        <v>52</v>
      </c>
      <c r="CK11" s="68" t="s">
        <v>43</v>
      </c>
      <c r="CL11" s="219"/>
      <c r="CM11" s="180"/>
      <c r="CN11" s="396" t="s">
        <v>40</v>
      </c>
      <c r="CO11" s="396" t="s">
        <v>105</v>
      </c>
      <c r="CP11" s="396" t="s">
        <v>52</v>
      </c>
      <c r="CQ11" s="396" t="s">
        <v>93</v>
      </c>
      <c r="CR11" s="396" t="s">
        <v>52</v>
      </c>
      <c r="CS11" s="68" t="s">
        <v>43</v>
      </c>
      <c r="CT11" s="219"/>
      <c r="CU11" s="180"/>
      <c r="CV11" s="396" t="s">
        <v>40</v>
      </c>
      <c r="CW11" s="396" t="s">
        <v>105</v>
      </c>
      <c r="CX11" s="396" t="s">
        <v>52</v>
      </c>
      <c r="CY11" s="396" t="s">
        <v>93</v>
      </c>
      <c r="CZ11" s="396" t="s">
        <v>52</v>
      </c>
      <c r="DA11" s="79" t="s">
        <v>43</v>
      </c>
      <c r="DB11" s="80"/>
      <c r="DC11" s="180"/>
      <c r="DD11" s="396" t="s">
        <v>40</v>
      </c>
      <c r="DE11" s="396" t="s">
        <v>105</v>
      </c>
      <c r="DF11" s="396" t="s">
        <v>52</v>
      </c>
      <c r="DG11" s="396" t="s">
        <v>93</v>
      </c>
      <c r="DH11" s="396" t="s">
        <v>52</v>
      </c>
      <c r="DI11" s="179" t="s">
        <v>43</v>
      </c>
      <c r="DJ11" s="176"/>
      <c r="DK11" s="180"/>
      <c r="DL11" s="396" t="s">
        <v>40</v>
      </c>
      <c r="DM11" s="396" t="s">
        <v>105</v>
      </c>
      <c r="DN11" s="396" t="s">
        <v>52</v>
      </c>
      <c r="DO11" s="396" t="s">
        <v>93</v>
      </c>
      <c r="DP11" s="396" t="s">
        <v>52</v>
      </c>
      <c r="DQ11" s="179" t="s">
        <v>43</v>
      </c>
      <c r="DR11" s="176"/>
      <c r="DS11" s="180"/>
      <c r="DT11" s="396" t="s">
        <v>40</v>
      </c>
      <c r="DU11" s="396" t="s">
        <v>105</v>
      </c>
      <c r="DV11" s="396" t="s">
        <v>52</v>
      </c>
      <c r="DW11" s="396" t="s">
        <v>93</v>
      </c>
      <c r="DX11" s="396" t="s">
        <v>52</v>
      </c>
      <c r="DY11" s="3" t="s">
        <v>43</v>
      </c>
      <c r="DZ11" s="219"/>
      <c r="EA11" s="219"/>
      <c r="EB11" s="396" t="s">
        <v>40</v>
      </c>
      <c r="EC11" s="396" t="s">
        <v>105</v>
      </c>
      <c r="ED11" s="396" t="s">
        <v>52</v>
      </c>
      <c r="EE11" s="396" t="s">
        <v>93</v>
      </c>
      <c r="EF11" s="396" t="s">
        <v>52</v>
      </c>
      <c r="EG11" s="396" t="s">
        <v>43</v>
      </c>
      <c r="EH11" s="80"/>
      <c r="EI11" s="80"/>
      <c r="EJ11" s="396" t="s">
        <v>40</v>
      </c>
      <c r="EK11" s="396" t="s">
        <v>105</v>
      </c>
      <c r="EL11" s="396" t="s">
        <v>52</v>
      </c>
      <c r="EM11" s="396" t="s">
        <v>93</v>
      </c>
      <c r="EN11" s="396" t="s">
        <v>52</v>
      </c>
      <c r="EO11" s="396" t="s">
        <v>43</v>
      </c>
      <c r="EQ11" s="80"/>
      <c r="ER11" s="396" t="s">
        <v>40</v>
      </c>
      <c r="ES11" s="396" t="s">
        <v>105</v>
      </c>
      <c r="ET11" s="396" t="s">
        <v>52</v>
      </c>
      <c r="EU11" s="396" t="s">
        <v>93</v>
      </c>
      <c r="EV11" s="396" t="s">
        <v>52</v>
      </c>
      <c r="EW11" s="68" t="s">
        <v>43</v>
      </c>
      <c r="EX11" s="219"/>
      <c r="EY11" s="180"/>
      <c r="EZ11" s="396" t="s">
        <v>40</v>
      </c>
      <c r="FA11" s="396" t="s">
        <v>105</v>
      </c>
      <c r="FB11" s="396" t="s">
        <v>52</v>
      </c>
      <c r="FC11" s="396" t="s">
        <v>93</v>
      </c>
      <c r="FD11" s="396" t="s">
        <v>52</v>
      </c>
      <c r="FE11" s="396" t="s">
        <v>43</v>
      </c>
      <c r="FF11" s="36"/>
      <c r="FG11" s="219"/>
      <c r="FH11" s="396" t="s">
        <v>40</v>
      </c>
      <c r="FI11" s="396" t="s">
        <v>105</v>
      </c>
      <c r="FJ11" s="396" t="s">
        <v>52</v>
      </c>
      <c r="FK11" s="396" t="s">
        <v>93</v>
      </c>
      <c r="FL11" s="396" t="s">
        <v>52</v>
      </c>
      <c r="FM11" s="68" t="s">
        <v>43</v>
      </c>
      <c r="FN11" s="219"/>
      <c r="FO11" s="180"/>
      <c r="FP11" s="396" t="s">
        <v>40</v>
      </c>
      <c r="FQ11" s="396" t="s">
        <v>105</v>
      </c>
      <c r="FR11" s="396" t="s">
        <v>52</v>
      </c>
      <c r="FS11" s="396" t="s">
        <v>93</v>
      </c>
      <c r="FT11" s="396" t="s">
        <v>52</v>
      </c>
      <c r="FU11" s="68" t="s">
        <v>43</v>
      </c>
      <c r="FV11" s="219"/>
      <c r="FW11" s="180"/>
      <c r="FX11" s="396" t="s">
        <v>40</v>
      </c>
      <c r="FY11" s="396" t="s">
        <v>105</v>
      </c>
      <c r="FZ11" s="396" t="s">
        <v>52</v>
      </c>
      <c r="GA11" s="396" t="s">
        <v>93</v>
      </c>
      <c r="GB11" s="396" t="s">
        <v>52</v>
      </c>
      <c r="GC11" s="68" t="s">
        <v>43</v>
      </c>
      <c r="GD11" s="219"/>
      <c r="GE11" s="180"/>
      <c r="GF11" s="396" t="s">
        <v>40</v>
      </c>
      <c r="GG11" s="396" t="s">
        <v>105</v>
      </c>
      <c r="GH11" s="396" t="s">
        <v>52</v>
      </c>
      <c r="GI11" s="396" t="s">
        <v>93</v>
      </c>
      <c r="GJ11" s="396" t="s">
        <v>52</v>
      </c>
      <c r="GK11" s="68" t="s">
        <v>43</v>
      </c>
      <c r="GL11" s="219"/>
      <c r="GM11" s="180"/>
      <c r="GN11" s="396" t="s">
        <v>40</v>
      </c>
      <c r="GO11" s="396" t="s">
        <v>105</v>
      </c>
      <c r="GP11" s="396" t="s">
        <v>52</v>
      </c>
      <c r="GQ11" s="396" t="s">
        <v>93</v>
      </c>
      <c r="GR11" s="396" t="s">
        <v>52</v>
      </c>
      <c r="GS11" s="68" t="s">
        <v>43</v>
      </c>
      <c r="GT11" s="219"/>
      <c r="GU11" s="180"/>
      <c r="GV11" s="396" t="s">
        <v>40</v>
      </c>
      <c r="GW11" s="396" t="s">
        <v>105</v>
      </c>
      <c r="GX11" s="396" t="s">
        <v>52</v>
      </c>
      <c r="GY11" s="396" t="s">
        <v>93</v>
      </c>
      <c r="GZ11" s="396" t="s">
        <v>52</v>
      </c>
      <c r="HA11" s="68" t="s">
        <v>43</v>
      </c>
      <c r="HB11" s="219"/>
      <c r="HC11" s="180"/>
      <c r="HD11" s="396" t="s">
        <v>40</v>
      </c>
      <c r="HE11" s="396" t="s">
        <v>105</v>
      </c>
      <c r="HF11" s="396" t="s">
        <v>52</v>
      </c>
      <c r="HG11" s="396" t="s">
        <v>93</v>
      </c>
      <c r="HH11" s="396" t="s">
        <v>52</v>
      </c>
      <c r="HI11" s="68" t="s">
        <v>43</v>
      </c>
      <c r="HJ11" s="219"/>
      <c r="HK11" s="180"/>
      <c r="HL11" s="396" t="s">
        <v>40</v>
      </c>
      <c r="HM11" s="396" t="s">
        <v>105</v>
      </c>
      <c r="HN11" s="396" t="s">
        <v>52</v>
      </c>
      <c r="HO11" s="396" t="s">
        <v>93</v>
      </c>
      <c r="HP11" s="396" t="s">
        <v>52</v>
      </c>
      <c r="HQ11" s="68" t="s">
        <v>43</v>
      </c>
      <c r="HR11" s="219"/>
      <c r="HS11" s="180"/>
      <c r="HT11" s="396" t="s">
        <v>40</v>
      </c>
      <c r="HU11" s="396" t="s">
        <v>105</v>
      </c>
      <c r="HV11" s="396" t="s">
        <v>52</v>
      </c>
      <c r="HW11" s="396" t="s">
        <v>93</v>
      </c>
      <c r="HX11" s="396" t="s">
        <v>52</v>
      </c>
    </row>
    <row r="12" spans="1:232" ht="14.25">
      <c r="A12" s="427" t="s">
        <v>44</v>
      </c>
      <c r="B12" s="428" t="s">
        <v>73</v>
      </c>
      <c r="C12" s="429" t="s">
        <v>261</v>
      </c>
      <c r="D12" s="430" t="s">
        <v>264</v>
      </c>
      <c r="E12" s="427" t="s">
        <v>265</v>
      </c>
      <c r="F12" s="430" t="s">
        <v>266</v>
      </c>
      <c r="G12" s="427" t="s">
        <v>267</v>
      </c>
      <c r="H12" s="430" t="s">
        <v>268</v>
      </c>
      <c r="I12" s="406" t="s">
        <v>44</v>
      </c>
      <c r="J12" s="428" t="s">
        <v>73</v>
      </c>
      <c r="K12" s="429" t="s">
        <v>261</v>
      </c>
      <c r="L12" s="409" t="s">
        <v>264</v>
      </c>
      <c r="M12" s="427" t="s">
        <v>265</v>
      </c>
      <c r="N12" s="409" t="s">
        <v>266</v>
      </c>
      <c r="O12" s="427" t="s">
        <v>267</v>
      </c>
      <c r="P12" s="409" t="s">
        <v>268</v>
      </c>
      <c r="Q12" s="427" t="s">
        <v>44</v>
      </c>
      <c r="R12" s="428" t="s">
        <v>73</v>
      </c>
      <c r="S12" s="429" t="s">
        <v>261</v>
      </c>
      <c r="T12" s="409" t="s">
        <v>264</v>
      </c>
      <c r="U12" s="427" t="s">
        <v>265</v>
      </c>
      <c r="V12" s="409" t="s">
        <v>266</v>
      </c>
      <c r="W12" s="427" t="s">
        <v>267</v>
      </c>
      <c r="X12" s="409" t="s">
        <v>268</v>
      </c>
      <c r="Y12" s="406" t="s">
        <v>44</v>
      </c>
      <c r="Z12" s="428" t="s">
        <v>73</v>
      </c>
      <c r="AA12" s="429" t="s">
        <v>261</v>
      </c>
      <c r="AB12" s="409" t="s">
        <v>264</v>
      </c>
      <c r="AC12" s="427" t="s">
        <v>265</v>
      </c>
      <c r="AD12" s="409" t="s">
        <v>266</v>
      </c>
      <c r="AE12" s="427" t="s">
        <v>267</v>
      </c>
      <c r="AF12" s="409" t="s">
        <v>268</v>
      </c>
      <c r="AG12" s="427" t="s">
        <v>44</v>
      </c>
      <c r="AH12" s="431" t="s">
        <v>73</v>
      </c>
      <c r="AI12" s="429" t="s">
        <v>261</v>
      </c>
      <c r="AJ12" s="409" t="s">
        <v>264</v>
      </c>
      <c r="AK12" s="427" t="s">
        <v>265</v>
      </c>
      <c r="AL12" s="409" t="s">
        <v>266</v>
      </c>
      <c r="AM12" s="427" t="s">
        <v>267</v>
      </c>
      <c r="AN12" s="409" t="s">
        <v>268</v>
      </c>
      <c r="AO12" s="406" t="s">
        <v>44</v>
      </c>
      <c r="AP12" s="432" t="s">
        <v>73</v>
      </c>
      <c r="AQ12" s="429" t="s">
        <v>261</v>
      </c>
      <c r="AR12" s="409" t="s">
        <v>264</v>
      </c>
      <c r="AS12" s="427" t="s">
        <v>265</v>
      </c>
      <c r="AT12" s="409" t="s">
        <v>266</v>
      </c>
      <c r="AU12" s="427" t="s">
        <v>267</v>
      </c>
      <c r="AV12" s="409" t="s">
        <v>268</v>
      </c>
      <c r="AW12" s="428" t="s">
        <v>44</v>
      </c>
      <c r="AX12" s="428" t="s">
        <v>73</v>
      </c>
      <c r="AY12" s="429" t="s">
        <v>261</v>
      </c>
      <c r="AZ12" s="409" t="s">
        <v>264</v>
      </c>
      <c r="BA12" s="427" t="s">
        <v>265</v>
      </c>
      <c r="BB12" s="409" t="s">
        <v>266</v>
      </c>
      <c r="BC12" s="427" t="s">
        <v>267</v>
      </c>
      <c r="BD12" s="409" t="s">
        <v>268</v>
      </c>
      <c r="BE12" s="428" t="s">
        <v>44</v>
      </c>
      <c r="BF12" s="428" t="s">
        <v>73</v>
      </c>
      <c r="BG12" s="433" t="s">
        <v>261</v>
      </c>
      <c r="BH12" s="409" t="s">
        <v>264</v>
      </c>
      <c r="BI12" s="427" t="s">
        <v>265</v>
      </c>
      <c r="BJ12" s="409" t="s">
        <v>266</v>
      </c>
      <c r="BK12" s="427" t="s">
        <v>267</v>
      </c>
      <c r="BL12" s="409" t="s">
        <v>268</v>
      </c>
      <c r="BM12" s="428" t="s">
        <v>44</v>
      </c>
      <c r="BN12" s="434" t="s">
        <v>73</v>
      </c>
      <c r="BO12" s="433" t="s">
        <v>261</v>
      </c>
      <c r="BP12" s="409" t="s">
        <v>264</v>
      </c>
      <c r="BQ12" s="427" t="s">
        <v>265</v>
      </c>
      <c r="BR12" s="409" t="s">
        <v>266</v>
      </c>
      <c r="BS12" s="427" t="s">
        <v>267</v>
      </c>
      <c r="BT12" s="409" t="s">
        <v>268</v>
      </c>
      <c r="BU12" s="406" t="s">
        <v>44</v>
      </c>
      <c r="BV12" s="435" t="s">
        <v>73</v>
      </c>
      <c r="BW12" s="433" t="s">
        <v>261</v>
      </c>
      <c r="BX12" s="409" t="s">
        <v>264</v>
      </c>
      <c r="BY12" s="427" t="s">
        <v>265</v>
      </c>
      <c r="BZ12" s="409" t="s">
        <v>266</v>
      </c>
      <c r="CA12" s="427" t="s">
        <v>267</v>
      </c>
      <c r="CB12" s="409" t="s">
        <v>268</v>
      </c>
      <c r="CC12" s="427" t="s">
        <v>44</v>
      </c>
      <c r="CD12" s="436" t="s">
        <v>73</v>
      </c>
      <c r="CE12" s="433" t="s">
        <v>261</v>
      </c>
      <c r="CF12" s="430" t="s">
        <v>264</v>
      </c>
      <c r="CG12" s="427" t="s">
        <v>265</v>
      </c>
      <c r="CH12" s="430" t="s">
        <v>266</v>
      </c>
      <c r="CI12" s="427" t="s">
        <v>267</v>
      </c>
      <c r="CJ12" s="430" t="s">
        <v>268</v>
      </c>
      <c r="CK12" s="406" t="s">
        <v>44</v>
      </c>
      <c r="CL12" s="436" t="s">
        <v>73</v>
      </c>
      <c r="CM12" s="433" t="s">
        <v>261</v>
      </c>
      <c r="CN12" s="409" t="s">
        <v>264</v>
      </c>
      <c r="CO12" s="427" t="s">
        <v>265</v>
      </c>
      <c r="CP12" s="409" t="s">
        <v>266</v>
      </c>
      <c r="CQ12" s="427" t="s">
        <v>267</v>
      </c>
      <c r="CR12" s="409" t="s">
        <v>268</v>
      </c>
      <c r="CS12" s="406" t="s">
        <v>44</v>
      </c>
      <c r="CT12" s="428" t="s">
        <v>73</v>
      </c>
      <c r="CU12" s="433" t="s">
        <v>261</v>
      </c>
      <c r="CV12" s="409" t="s">
        <v>264</v>
      </c>
      <c r="CW12" s="427" t="s">
        <v>265</v>
      </c>
      <c r="CX12" s="409" t="s">
        <v>266</v>
      </c>
      <c r="CY12" s="427" t="s">
        <v>267</v>
      </c>
      <c r="CZ12" s="409" t="s">
        <v>268</v>
      </c>
      <c r="DA12" s="428" t="s">
        <v>44</v>
      </c>
      <c r="DB12" s="428" t="s">
        <v>73</v>
      </c>
      <c r="DC12" s="433" t="s">
        <v>261</v>
      </c>
      <c r="DD12" s="409" t="s">
        <v>264</v>
      </c>
      <c r="DE12" s="427" t="s">
        <v>265</v>
      </c>
      <c r="DF12" s="409" t="s">
        <v>266</v>
      </c>
      <c r="DG12" s="427" t="s">
        <v>267</v>
      </c>
      <c r="DH12" s="409" t="s">
        <v>268</v>
      </c>
      <c r="DI12" s="428" t="s">
        <v>44</v>
      </c>
      <c r="DJ12" s="437" t="s">
        <v>73</v>
      </c>
      <c r="DK12" s="433" t="s">
        <v>261</v>
      </c>
      <c r="DL12" s="409" t="s">
        <v>264</v>
      </c>
      <c r="DM12" s="427" t="s">
        <v>265</v>
      </c>
      <c r="DN12" s="409" t="s">
        <v>266</v>
      </c>
      <c r="DO12" s="427" t="s">
        <v>267</v>
      </c>
      <c r="DP12" s="409" t="s">
        <v>268</v>
      </c>
      <c r="DQ12" s="428" t="s">
        <v>44</v>
      </c>
      <c r="DR12" s="437" t="s">
        <v>73</v>
      </c>
      <c r="DS12" s="433" t="s">
        <v>261</v>
      </c>
      <c r="DT12" s="409" t="s">
        <v>264</v>
      </c>
      <c r="DU12" s="427" t="s">
        <v>265</v>
      </c>
      <c r="DV12" s="409" t="s">
        <v>266</v>
      </c>
      <c r="DW12" s="427" t="s">
        <v>267</v>
      </c>
      <c r="DX12" s="409" t="s">
        <v>268</v>
      </c>
      <c r="DY12" s="406" t="s">
        <v>44</v>
      </c>
      <c r="DZ12" s="428" t="s">
        <v>73</v>
      </c>
      <c r="EA12" s="428"/>
      <c r="EB12" s="409" t="s">
        <v>264</v>
      </c>
      <c r="EC12" s="427" t="s">
        <v>265</v>
      </c>
      <c r="ED12" s="409" t="s">
        <v>266</v>
      </c>
      <c r="EE12" s="427" t="s">
        <v>267</v>
      </c>
      <c r="EF12" s="409" t="s">
        <v>268</v>
      </c>
      <c r="EG12" s="427" t="s">
        <v>44</v>
      </c>
      <c r="EH12" s="428" t="s">
        <v>73</v>
      </c>
      <c r="EI12" s="437"/>
      <c r="EJ12" s="409" t="s">
        <v>264</v>
      </c>
      <c r="EK12" s="427" t="s">
        <v>265</v>
      </c>
      <c r="EL12" s="409" t="s">
        <v>266</v>
      </c>
      <c r="EM12" s="427" t="s">
        <v>267</v>
      </c>
      <c r="EN12" s="409" t="s">
        <v>268</v>
      </c>
      <c r="EO12" s="427" t="s">
        <v>44</v>
      </c>
      <c r="EP12" s="428" t="s">
        <v>73</v>
      </c>
      <c r="EQ12" s="264"/>
      <c r="ER12" s="409" t="s">
        <v>264</v>
      </c>
      <c r="ES12" s="427" t="s">
        <v>265</v>
      </c>
      <c r="ET12" s="409" t="s">
        <v>266</v>
      </c>
      <c r="EU12" s="427" t="s">
        <v>267</v>
      </c>
      <c r="EV12" s="409" t="s">
        <v>268</v>
      </c>
      <c r="EW12" s="406" t="s">
        <v>44</v>
      </c>
      <c r="EX12" s="428" t="s">
        <v>73</v>
      </c>
      <c r="EY12" s="433" t="s">
        <v>261</v>
      </c>
      <c r="EZ12" s="409" t="s">
        <v>264</v>
      </c>
      <c r="FA12" s="427" t="s">
        <v>265</v>
      </c>
      <c r="FB12" s="409" t="s">
        <v>266</v>
      </c>
      <c r="FC12" s="427" t="s">
        <v>267</v>
      </c>
      <c r="FD12" s="409" t="s">
        <v>268</v>
      </c>
      <c r="FE12" s="427" t="s">
        <v>44</v>
      </c>
      <c r="FF12" s="406" t="s">
        <v>73</v>
      </c>
      <c r="FG12" s="428"/>
      <c r="FH12" s="409" t="s">
        <v>264</v>
      </c>
      <c r="FI12" s="427" t="s">
        <v>265</v>
      </c>
      <c r="FJ12" s="409" t="s">
        <v>266</v>
      </c>
      <c r="FK12" s="427" t="s">
        <v>267</v>
      </c>
      <c r="FL12" s="409" t="s">
        <v>268</v>
      </c>
      <c r="FM12" s="406" t="s">
        <v>44</v>
      </c>
      <c r="FN12" s="436" t="s">
        <v>73</v>
      </c>
      <c r="FO12" s="433" t="s">
        <v>261</v>
      </c>
      <c r="FP12" s="409" t="s">
        <v>264</v>
      </c>
      <c r="FQ12" s="427" t="s">
        <v>265</v>
      </c>
      <c r="FR12" s="409" t="s">
        <v>266</v>
      </c>
      <c r="FS12" s="427" t="s">
        <v>267</v>
      </c>
      <c r="FT12" s="409" t="s">
        <v>268</v>
      </c>
      <c r="FU12" s="406" t="s">
        <v>44</v>
      </c>
      <c r="FV12" s="436" t="s">
        <v>73</v>
      </c>
      <c r="FW12" s="433" t="s">
        <v>261</v>
      </c>
      <c r="FX12" s="409" t="s">
        <v>264</v>
      </c>
      <c r="FY12" s="427" t="s">
        <v>265</v>
      </c>
      <c r="FZ12" s="409" t="s">
        <v>266</v>
      </c>
      <c r="GA12" s="427" t="s">
        <v>267</v>
      </c>
      <c r="GB12" s="409" t="s">
        <v>268</v>
      </c>
      <c r="GC12" s="406" t="s">
        <v>44</v>
      </c>
      <c r="GD12" s="436" t="s">
        <v>73</v>
      </c>
      <c r="GE12" s="433" t="s">
        <v>261</v>
      </c>
      <c r="GF12" s="409" t="s">
        <v>264</v>
      </c>
      <c r="GG12" s="427" t="s">
        <v>265</v>
      </c>
      <c r="GH12" s="409" t="s">
        <v>266</v>
      </c>
      <c r="GI12" s="427" t="s">
        <v>267</v>
      </c>
      <c r="GJ12" s="409" t="s">
        <v>268</v>
      </c>
      <c r="GK12" s="406" t="s">
        <v>44</v>
      </c>
      <c r="GL12" s="436" t="s">
        <v>73</v>
      </c>
      <c r="GM12" s="433" t="s">
        <v>261</v>
      </c>
      <c r="GN12" s="409" t="s">
        <v>264</v>
      </c>
      <c r="GO12" s="427" t="s">
        <v>265</v>
      </c>
      <c r="GP12" s="409" t="s">
        <v>266</v>
      </c>
      <c r="GQ12" s="427" t="s">
        <v>267</v>
      </c>
      <c r="GR12" s="409" t="s">
        <v>268</v>
      </c>
      <c r="GS12" s="406" t="s">
        <v>44</v>
      </c>
      <c r="GT12" s="436" t="s">
        <v>73</v>
      </c>
      <c r="GU12" s="433" t="s">
        <v>261</v>
      </c>
      <c r="GV12" s="409" t="s">
        <v>264</v>
      </c>
      <c r="GW12" s="427" t="s">
        <v>265</v>
      </c>
      <c r="GX12" s="409" t="s">
        <v>266</v>
      </c>
      <c r="GY12" s="427" t="s">
        <v>267</v>
      </c>
      <c r="GZ12" s="409" t="s">
        <v>268</v>
      </c>
      <c r="HA12" s="406" t="s">
        <v>44</v>
      </c>
      <c r="HB12" s="436" t="s">
        <v>73</v>
      </c>
      <c r="HC12" s="433" t="s">
        <v>261</v>
      </c>
      <c r="HD12" s="409" t="s">
        <v>264</v>
      </c>
      <c r="HE12" s="427" t="s">
        <v>265</v>
      </c>
      <c r="HF12" s="409" t="s">
        <v>266</v>
      </c>
      <c r="HG12" s="427" t="s">
        <v>267</v>
      </c>
      <c r="HH12" s="409" t="s">
        <v>268</v>
      </c>
      <c r="HI12" s="406" t="s">
        <v>44</v>
      </c>
      <c r="HJ12" s="436" t="s">
        <v>73</v>
      </c>
      <c r="HK12" s="433" t="s">
        <v>261</v>
      </c>
      <c r="HL12" s="409" t="s">
        <v>264</v>
      </c>
      <c r="HM12" s="427" t="s">
        <v>265</v>
      </c>
      <c r="HN12" s="409" t="s">
        <v>266</v>
      </c>
      <c r="HO12" s="427" t="s">
        <v>267</v>
      </c>
      <c r="HP12" s="409" t="s">
        <v>268</v>
      </c>
      <c r="HQ12" s="406" t="s">
        <v>44</v>
      </c>
      <c r="HR12" s="436" t="s">
        <v>73</v>
      </c>
      <c r="HS12" s="433" t="s">
        <v>261</v>
      </c>
      <c r="HT12" s="409" t="s">
        <v>264</v>
      </c>
      <c r="HU12" s="427" t="s">
        <v>265</v>
      </c>
      <c r="HV12" s="409" t="s">
        <v>266</v>
      </c>
      <c r="HW12" s="427" t="s">
        <v>267</v>
      </c>
      <c r="HX12" s="409" t="s">
        <v>268</v>
      </c>
    </row>
    <row r="13" spans="1:232" ht="14.25">
      <c r="A13" s="280">
        <v>1</v>
      </c>
      <c r="B13" s="220" t="s">
        <v>1</v>
      </c>
      <c r="I13" s="82">
        <v>1</v>
      </c>
      <c r="Y13" s="24"/>
      <c r="Z13" s="25"/>
      <c r="AB13" s="287"/>
      <c r="AC13" s="287"/>
      <c r="AD13" s="287"/>
      <c r="AE13" s="287"/>
      <c r="AF13" s="287"/>
      <c r="AO13" s="217"/>
      <c r="AP13" s="281"/>
      <c r="AQ13" s="281"/>
      <c r="AW13" s="94"/>
      <c r="AX13" s="94"/>
      <c r="AY13" s="94"/>
      <c r="BE13" s="94"/>
      <c r="BF13" s="94"/>
      <c r="BG13" s="94"/>
      <c r="BM13" s="107"/>
      <c r="BN13" s="107"/>
      <c r="BO13" s="107"/>
      <c r="CK13" s="94"/>
      <c r="CL13" s="94"/>
      <c r="CM13" s="94"/>
      <c r="CN13" s="94"/>
      <c r="CO13" s="94"/>
      <c r="CP13" s="94"/>
      <c r="CQ13" s="94"/>
      <c r="CR13" s="94"/>
      <c r="CS13" s="154"/>
      <c r="CT13" s="154"/>
      <c r="CU13" s="154"/>
      <c r="DA13" s="10"/>
      <c r="DB13" s="10"/>
      <c r="DC13" s="154"/>
      <c r="DQ13" s="181"/>
      <c r="DR13" s="181"/>
      <c r="DS13" s="181"/>
      <c r="DT13" s="182"/>
      <c r="DU13" s="182"/>
      <c r="DV13" s="182"/>
      <c r="DW13" s="182"/>
      <c r="DX13" s="182"/>
      <c r="DY13" s="154"/>
      <c r="DZ13" s="154"/>
      <c r="EA13" s="154"/>
      <c r="EB13" s="154"/>
      <c r="EC13" s="154"/>
      <c r="EG13" s="154"/>
      <c r="EH13" s="91" t="s">
        <v>32</v>
      </c>
      <c r="EO13" s="154"/>
      <c r="FC13" s="287"/>
      <c r="FE13" s="154"/>
      <c r="FF13" s="154"/>
      <c r="FG13" s="154"/>
      <c r="FH13" s="154"/>
      <c r="FI13" s="154"/>
      <c r="FJ13" s="154"/>
      <c r="FK13" s="154"/>
      <c r="FL13" s="154"/>
    </row>
    <row r="14" spans="1:232" ht="15">
      <c r="A14" s="15">
        <v>2</v>
      </c>
      <c r="B14" s="9" t="s">
        <v>366</v>
      </c>
      <c r="C14" s="154"/>
      <c r="D14" s="1083" t="s">
        <v>522</v>
      </c>
      <c r="E14" s="1083"/>
      <c r="F14" s="381">
        <f>'[8]Lead Electric'!E13</f>
        <v>5983138.4299999997</v>
      </c>
      <c r="G14" s="1085" t="s">
        <v>522</v>
      </c>
      <c r="H14" s="137">
        <v>0</v>
      </c>
      <c r="I14" s="280">
        <f t="shared" ref="I14:I32" si="0">I13+1</f>
        <v>2</v>
      </c>
      <c r="J14" s="141" t="s">
        <v>382</v>
      </c>
      <c r="K14" s="280"/>
      <c r="L14" s="142">
        <f>[9]Lead!$D$9</f>
        <v>20655081094.767998</v>
      </c>
      <c r="M14" s="966">
        <f>[9]Lead!$E$9</f>
        <v>20822537329.978706</v>
      </c>
      <c r="N14" s="966">
        <f>[9]Lead!$F$9</f>
        <v>167456235.2107088</v>
      </c>
      <c r="O14" s="966">
        <f>[9]Lead!$G$9</f>
        <v>20822537329.978706</v>
      </c>
      <c r="P14" s="142">
        <f>[9]Lead!$H$9</f>
        <v>0</v>
      </c>
      <c r="Q14" s="280">
        <v>1</v>
      </c>
      <c r="R14" s="245" t="s">
        <v>146</v>
      </c>
      <c r="S14" s="245"/>
      <c r="T14" s="143">
        <f>+'[10]Lead E'!$C$23</f>
        <v>22841555.030000001</v>
      </c>
      <c r="U14" s="143">
        <f>+'[10]Lead E'!$C$14</f>
        <v>119744801.76152284</v>
      </c>
      <c r="V14" s="143">
        <f>U14-T14</f>
        <v>96903246.731522843</v>
      </c>
      <c r="W14" s="143">
        <f>U14</f>
        <v>119744801.76152284</v>
      </c>
      <c r="X14" s="143">
        <f>W14-U14</f>
        <v>0</v>
      </c>
      <c r="Y14" s="280">
        <v>1</v>
      </c>
      <c r="Z14" s="25" t="s">
        <v>30</v>
      </c>
      <c r="AB14" s="143">
        <v>0</v>
      </c>
      <c r="AC14" s="143">
        <f>+Summary!E59</f>
        <v>5364175925.6500835</v>
      </c>
      <c r="AD14" s="143">
        <f>+Summary!E59</f>
        <v>5364175925.6500835</v>
      </c>
      <c r="AE14" s="143">
        <f>+Summary!G59</f>
        <v>5385664468.246336</v>
      </c>
      <c r="AF14" s="143">
        <f>+AE14-AC14</f>
        <v>21488542.596252441</v>
      </c>
      <c r="AG14" s="15">
        <f t="shared" ref="AG14:AG51" si="1">+AG13+1</f>
        <v>1</v>
      </c>
      <c r="AH14" s="18" t="s">
        <v>130</v>
      </c>
      <c r="AO14" s="280">
        <v>1</v>
      </c>
      <c r="AP14" s="283" t="s">
        <v>157</v>
      </c>
      <c r="AQ14" s="283"/>
      <c r="AR14" s="72">
        <f>+'[11]Lead E'!D13</f>
        <v>510000</v>
      </c>
      <c r="AS14" s="72">
        <f>+'[11]Lead E'!E13</f>
        <v>220833.33333333334</v>
      </c>
      <c r="AT14" s="72">
        <f>AS14-AR14</f>
        <v>-289166.66666666663</v>
      </c>
      <c r="AU14" s="144">
        <f>+AS14</f>
        <v>220833.33333333334</v>
      </c>
      <c r="AV14" s="72">
        <f>+AU14-AS14</f>
        <v>0</v>
      </c>
      <c r="AW14" s="95">
        <v>1</v>
      </c>
      <c r="AX14" s="95"/>
      <c r="AY14" s="95"/>
      <c r="AZ14" s="256"/>
      <c r="BA14" s="283"/>
      <c r="BB14" s="283"/>
      <c r="BC14" s="283"/>
      <c r="BD14" s="283"/>
      <c r="BE14" s="95">
        <v>1</v>
      </c>
      <c r="BF14" s="208" t="s">
        <v>420</v>
      </c>
      <c r="BM14" s="117">
        <v>1</v>
      </c>
      <c r="BN14" s="51" t="s">
        <v>227</v>
      </c>
      <c r="BO14" s="51"/>
      <c r="BP14" s="210">
        <f>'[12]Lead E'!D12</f>
        <v>84579618.501786992</v>
      </c>
      <c r="BQ14" s="210">
        <f>'[12]Lead E'!E12</f>
        <v>84593680.499568984</v>
      </c>
      <c r="BR14" s="210">
        <f>BQ14-BP14</f>
        <v>14061.997781991959</v>
      </c>
      <c r="BS14" s="210">
        <f>'[12]Lead E'!G12</f>
        <v>84579618.501786992</v>
      </c>
      <c r="BT14" s="210">
        <f>BS14-BQ14</f>
        <v>-14061.997781991959</v>
      </c>
      <c r="BU14" s="134">
        <v>1</v>
      </c>
      <c r="BV14" s="181" t="s">
        <v>169</v>
      </c>
      <c r="BW14" s="27"/>
      <c r="BX14" s="135">
        <f>+'[13]Lead E'!$D$12</f>
        <v>84154.734218343758</v>
      </c>
      <c r="BY14" s="135">
        <f>+'[13]Lead E'!$E$12</f>
        <v>77444.18431150305</v>
      </c>
      <c r="BZ14" s="184">
        <f>+BY14-BX14</f>
        <v>-6710.549906840708</v>
      </c>
      <c r="CA14" s="144">
        <f>+BX14</f>
        <v>84154.734218343758</v>
      </c>
      <c r="CB14" s="184">
        <f>+CA14-BY14</f>
        <v>6710.549906840708</v>
      </c>
      <c r="CC14" s="16">
        <v>1</v>
      </c>
      <c r="CD14" s="70" t="s">
        <v>172</v>
      </c>
      <c r="CE14" s="70"/>
      <c r="CF14" s="144">
        <v>0</v>
      </c>
      <c r="CG14" s="144">
        <f>'[14]Lead E'!$E$11</f>
        <v>803909.33835699933</v>
      </c>
      <c r="CH14" s="144">
        <f>CG14-CF14</f>
        <v>803909.33835699933</v>
      </c>
      <c r="CI14" s="144">
        <f>CG14</f>
        <v>803909.33835699933</v>
      </c>
      <c r="CJ14" s="144">
        <f>CI14-CG14</f>
        <v>0</v>
      </c>
      <c r="CK14" s="95">
        <v>1</v>
      </c>
      <c r="CL14" s="166" t="s">
        <v>174</v>
      </c>
      <c r="CM14" s="166"/>
      <c r="CN14" s="256"/>
      <c r="CO14" s="283"/>
      <c r="CP14" s="283"/>
      <c r="CQ14" s="283"/>
      <c r="CR14" s="283"/>
      <c r="CS14" s="280">
        <v>1</v>
      </c>
      <c r="CT14" s="73" t="s">
        <v>180</v>
      </c>
      <c r="CU14" s="73"/>
      <c r="CV14" s="144">
        <f>+'[15]Lead E'!D15</f>
        <v>4555764.4439206887</v>
      </c>
      <c r="CW14" s="144">
        <f>+'[15]Lead E'!E15</f>
        <v>6740763.446346282</v>
      </c>
      <c r="CX14" s="144">
        <f>CW14-CV14</f>
        <v>2184999.0024255933</v>
      </c>
      <c r="CY14" s="144">
        <f>CW14</f>
        <v>6740763.446346282</v>
      </c>
      <c r="CZ14" s="144">
        <f>CY14-CW14</f>
        <v>0</v>
      </c>
      <c r="DA14" s="16">
        <v>1</v>
      </c>
      <c r="DB14" s="154" t="s">
        <v>177</v>
      </c>
      <c r="DC14" s="29"/>
      <c r="DD14" s="29">
        <f>'[16]Lead E'!$D$10</f>
        <v>3672711.9291196666</v>
      </c>
      <c r="DE14" s="29">
        <f>'[16]Lead E'!$E$10</f>
        <v>3488881.3959241672</v>
      </c>
      <c r="DF14" s="29">
        <f>DE14-DD14</f>
        <v>-183830.53319549933</v>
      </c>
      <c r="DG14" s="29">
        <f>'[16]Lead E'!$G$10</f>
        <v>4009178.2935778066</v>
      </c>
      <c r="DH14" s="29">
        <f>DG14-DE14</f>
        <v>520296.89765363932</v>
      </c>
      <c r="DI14" s="95">
        <v>1</v>
      </c>
      <c r="DJ14" s="169" t="s">
        <v>182</v>
      </c>
      <c r="DK14" s="181"/>
      <c r="DL14" s="183"/>
      <c r="DM14" s="183"/>
      <c r="DN14" s="184"/>
      <c r="DO14" s="183"/>
      <c r="DP14" s="183"/>
      <c r="DQ14" s="95">
        <v>1</v>
      </c>
      <c r="DR14" s="201" t="s">
        <v>408</v>
      </c>
      <c r="DS14" s="48"/>
      <c r="DT14" s="183"/>
      <c r="DU14" s="183"/>
      <c r="DV14" s="184"/>
      <c r="DW14" s="183"/>
      <c r="DX14" s="183"/>
      <c r="DY14" s="280">
        <v>1</v>
      </c>
      <c r="DZ14" s="158" t="s">
        <v>191</v>
      </c>
      <c r="EA14" s="13"/>
      <c r="EB14" s="13"/>
      <c r="EC14" s="13"/>
      <c r="EG14" s="280">
        <v>1</v>
      </c>
      <c r="EH14" s="92" t="s">
        <v>33</v>
      </c>
      <c r="EJ14" s="184">
        <f>'[5]Lead E'!C10</f>
        <v>10572466950.394854</v>
      </c>
      <c r="EK14" s="1010">
        <f>'[17]Lead E'!D10</f>
        <v>10898545827.153294</v>
      </c>
      <c r="EL14" s="184">
        <f t="shared" ref="EL14:EL19" si="2">EK14-EJ14</f>
        <v>326078876.75844002</v>
      </c>
      <c r="EM14" s="184">
        <f t="shared" ref="EM14:EM19" si="3">EK14</f>
        <v>10898545827.153294</v>
      </c>
      <c r="EN14" s="184">
        <f t="shared" ref="EN14:EN19" si="4">EM14-EK14</f>
        <v>0</v>
      </c>
      <c r="EO14" s="280">
        <v>1</v>
      </c>
      <c r="EP14" s="92" t="s">
        <v>389</v>
      </c>
      <c r="ER14" s="29">
        <f>'[18]Lead Electric'!D13</f>
        <v>316437620.50999957</v>
      </c>
      <c r="ES14" s="29">
        <f>'[18]Lead Electric'!E13</f>
        <v>320871178.06530237</v>
      </c>
      <c r="ET14" s="29">
        <f>ES14-ER14</f>
        <v>4433557.5553027987</v>
      </c>
      <c r="EU14" s="29">
        <f>ES14</f>
        <v>320871178.06530237</v>
      </c>
      <c r="EV14" s="29">
        <f>EU14-ES14</f>
        <v>0</v>
      </c>
      <c r="EW14" s="82">
        <v>1</v>
      </c>
      <c r="EX14" s="286" t="s">
        <v>562</v>
      </c>
      <c r="EZ14" s="144"/>
      <c r="FA14" s="144"/>
      <c r="FB14" s="144"/>
      <c r="FC14" s="311"/>
      <c r="FD14" s="144"/>
      <c r="FE14" s="280">
        <v>1</v>
      </c>
      <c r="FF14" s="194"/>
      <c r="FG14" s="37"/>
      <c r="FH14" s="37"/>
      <c r="FI14" s="37"/>
      <c r="FJ14" s="38"/>
      <c r="FK14" s="39"/>
      <c r="FL14" s="39"/>
      <c r="FM14" s="280">
        <v>1</v>
      </c>
      <c r="FN14" s="8" t="s">
        <v>448</v>
      </c>
      <c r="FO14" s="8"/>
      <c r="FP14" s="237"/>
      <c r="FQ14" s="237"/>
      <c r="FR14" s="237"/>
      <c r="FS14" s="237"/>
      <c r="FT14" s="237"/>
      <c r="FU14" s="95">
        <v>1</v>
      </c>
      <c r="FV14" s="166"/>
      <c r="FW14" s="166"/>
      <c r="FX14" s="256"/>
      <c r="FY14" s="273"/>
      <c r="FZ14" s="273"/>
      <c r="GA14" s="273"/>
      <c r="GB14" s="273"/>
      <c r="GC14" s="165">
        <v>1</v>
      </c>
      <c r="GD14" s="8" t="s">
        <v>448</v>
      </c>
      <c r="GE14" s="8"/>
      <c r="GF14" s="237"/>
      <c r="GG14" s="237"/>
      <c r="GH14" s="237"/>
      <c r="GI14" s="237"/>
      <c r="GJ14" s="237"/>
      <c r="GK14" s="165">
        <v>1</v>
      </c>
      <c r="GL14" s="286" t="s">
        <v>354</v>
      </c>
      <c r="GS14" s="165">
        <v>1</v>
      </c>
      <c r="GT14" s="90" t="s">
        <v>467</v>
      </c>
      <c r="HA14" s="95">
        <v>1</v>
      </c>
      <c r="HB14" s="250" t="s">
        <v>270</v>
      </c>
      <c r="HC14" s="48"/>
      <c r="HD14" s="48"/>
      <c r="HE14" s="48"/>
      <c r="HF14" s="48"/>
      <c r="HG14" s="283"/>
      <c r="HH14" s="48"/>
      <c r="HI14" s="165">
        <v>1</v>
      </c>
      <c r="HJ14" s="245" t="s">
        <v>14</v>
      </c>
      <c r="HK14" s="144"/>
      <c r="HL14" s="144">
        <f>'[19]Lead E'!D11</f>
        <v>5059842.29</v>
      </c>
      <c r="HM14" s="144">
        <f>'[19]Lead E'!E11</f>
        <v>5059842.29</v>
      </c>
      <c r="HN14" s="144">
        <f>HM14-HL14</f>
        <v>0</v>
      </c>
      <c r="HO14" s="144">
        <f>'[19]Lead E'!G11</f>
        <v>5219050.7699999996</v>
      </c>
      <c r="HP14" s="144">
        <f>HO14-HM14</f>
        <v>159208.47999999952</v>
      </c>
      <c r="HQ14" s="165">
        <v>1</v>
      </c>
      <c r="HR14" s="154" t="s">
        <v>448</v>
      </c>
      <c r="HT14" s="1033"/>
      <c r="HU14" s="1033"/>
      <c r="HV14" s="1033"/>
      <c r="HW14" s="1033"/>
      <c r="HX14" s="1033"/>
    </row>
    <row r="15" spans="1:232" ht="15">
      <c r="A15" s="15">
        <f t="shared" ref="A15:A53" si="5">A14+1</f>
        <v>3</v>
      </c>
      <c r="B15" s="9" t="s">
        <v>367</v>
      </c>
      <c r="C15" s="154"/>
      <c r="D15" s="1083"/>
      <c r="E15" s="1083"/>
      <c r="F15" s="57">
        <f>'[8]Lead Electric'!E14</f>
        <v>41885179.539999999</v>
      </c>
      <c r="G15" s="1085"/>
      <c r="H15" s="57">
        <v>0</v>
      </c>
      <c r="I15" s="280">
        <f t="shared" si="0"/>
        <v>3</v>
      </c>
      <c r="J15" s="140"/>
      <c r="K15" s="41"/>
      <c r="L15" s="41"/>
      <c r="M15" s="41"/>
      <c r="N15" s="41"/>
      <c r="O15" s="41"/>
      <c r="P15" s="41"/>
      <c r="Q15" s="280">
        <f>Q14+1</f>
        <v>2</v>
      </c>
      <c r="R15" s="245" t="s">
        <v>147</v>
      </c>
      <c r="S15" s="245"/>
      <c r="T15" s="58">
        <f>+'[10]Lead E'!$C$24++'[10]Lead E'!$C$25</f>
        <v>38907707.560000002</v>
      </c>
      <c r="U15" s="57">
        <f>+'[10]Lead E'!$C$17</f>
        <v>-43059885.72469534</v>
      </c>
      <c r="V15" s="58">
        <f>U15-T15</f>
        <v>-81967593.284695342</v>
      </c>
      <c r="W15" s="404">
        <f>U15</f>
        <v>-43059885.72469534</v>
      </c>
      <c r="X15" s="96">
        <f>W15-U15</f>
        <v>0</v>
      </c>
      <c r="Y15" s="280">
        <f t="shared" ref="Y15:Y22" si="6">Y14+1</f>
        <v>2</v>
      </c>
      <c r="Z15" s="25" t="s">
        <v>150</v>
      </c>
      <c r="AB15" s="357"/>
      <c r="AC15" s="357"/>
      <c r="AD15" s="357"/>
      <c r="AE15" s="357"/>
      <c r="AF15" s="357"/>
      <c r="AG15" s="15">
        <f t="shared" si="1"/>
        <v>2</v>
      </c>
      <c r="AH15" s="19" t="s">
        <v>131</v>
      </c>
      <c r="AJ15" s="42">
        <f>+'[20]Lead Sheet E'!D12</f>
        <v>101866388.838</v>
      </c>
      <c r="AK15" s="42">
        <f>'[20]Lead Sheet E'!E12</f>
        <v>0</v>
      </c>
      <c r="AL15" s="42">
        <f t="shared" ref="AL15:AL27" si="7">AK15-AJ15</f>
        <v>-101866388.838</v>
      </c>
      <c r="AM15" s="42">
        <f t="shared" ref="AM15:AM27" si="8">+AK15</f>
        <v>0</v>
      </c>
      <c r="AN15" s="42">
        <f>+AM15-AK15</f>
        <v>0</v>
      </c>
      <c r="AO15" s="280">
        <f t="shared" ref="AO15:AO21" si="9">AO14+1</f>
        <v>2</v>
      </c>
      <c r="AP15" s="283" t="s">
        <v>158</v>
      </c>
      <c r="AQ15" s="283"/>
      <c r="AR15" s="438">
        <f>+'[11]Lead E'!D14</f>
        <v>740336.86596767348</v>
      </c>
      <c r="AS15" s="438">
        <f>+'[11]Lead E'!E14</f>
        <v>945203.0581214655</v>
      </c>
      <c r="AT15" s="438">
        <f>AS15-AR15</f>
        <v>204866.19215379201</v>
      </c>
      <c r="AU15" s="96">
        <f>+AS15</f>
        <v>945203.0581214655</v>
      </c>
      <c r="AV15" s="439">
        <f>+AU15-AS15</f>
        <v>0</v>
      </c>
      <c r="AW15" s="95">
        <f>AW14+1</f>
        <v>2</v>
      </c>
      <c r="AX15" s="97" t="s">
        <v>262</v>
      </c>
      <c r="AY15" s="402">
        <f>[21]Summary!$I$18</f>
        <v>8.4790000000000004E-3</v>
      </c>
      <c r="AZ15" s="102">
        <f>+'[21]Lead E'!$D$12</f>
        <v>18742755.935488999</v>
      </c>
      <c r="BA15" s="102">
        <f>+'[21]Lead E'!$E$12</f>
        <v>18359017</v>
      </c>
      <c r="BB15" s="102">
        <f>BA15-AZ15</f>
        <v>-383738.93548899889</v>
      </c>
      <c r="BC15" s="283">
        <f>BA15</f>
        <v>18359017</v>
      </c>
      <c r="BD15" s="283">
        <f>BC15-BA15</f>
        <v>0</v>
      </c>
      <c r="BE15" s="95">
        <f t="shared" ref="BE15:BE29" si="10">BE14+1</f>
        <v>2</v>
      </c>
      <c r="BF15" s="209" t="s">
        <v>117</v>
      </c>
      <c r="BH15" s="210">
        <f>'[22] Electric'!D14</f>
        <v>527768.06156201533</v>
      </c>
      <c r="BI15" s="210">
        <f>'[22] Electric'!E14</f>
        <v>514838.73941173131</v>
      </c>
      <c r="BJ15" s="210">
        <f>'[22] Electric'!F14</f>
        <v>-12929.322150284017</v>
      </c>
      <c r="BK15" s="210">
        <f>'[22] Electric'!G14</f>
        <v>514838.73941173131</v>
      </c>
      <c r="BL15" s="210">
        <f>'[22] Electric'!H14</f>
        <v>0</v>
      </c>
      <c r="BM15" s="117">
        <v>2</v>
      </c>
      <c r="BN15" s="51" t="s">
        <v>228</v>
      </c>
      <c r="BO15" s="51"/>
      <c r="BP15" s="61">
        <f>'[12]Lead E'!D13</f>
        <v>4669751.78</v>
      </c>
      <c r="BQ15" s="61">
        <f>'[12]Lead E'!E13</f>
        <v>4564759.7001399994</v>
      </c>
      <c r="BR15" s="98">
        <f>BQ15-BP15</f>
        <v>-104992.07986000087</v>
      </c>
      <c r="BS15" s="61">
        <f>'[12]Lead E'!G13</f>
        <v>4669751.78</v>
      </c>
      <c r="BT15" s="440">
        <f>BS15-BQ15</f>
        <v>104992.07986000087</v>
      </c>
      <c r="BU15" s="134">
        <f t="shared" ref="BU15:BU21" si="11">BU14+1</f>
        <v>2</v>
      </c>
      <c r="BV15" s="181"/>
      <c r="BW15" s="27"/>
      <c r="BX15" s="226"/>
      <c r="BY15" s="226"/>
      <c r="BZ15" s="227"/>
      <c r="CA15" s="228"/>
      <c r="CB15" s="227"/>
      <c r="CC15" s="16">
        <f>CC14+1</f>
        <v>2</v>
      </c>
      <c r="CD15" s="154"/>
      <c r="CE15" s="154"/>
      <c r="CF15" s="154"/>
      <c r="CG15" s="154"/>
      <c r="CH15" s="154"/>
      <c r="CK15" s="95">
        <f t="shared" ref="CK15:CK23" si="12">+CK14+1</f>
        <v>2</v>
      </c>
      <c r="CL15" s="44" t="s">
        <v>220</v>
      </c>
      <c r="CM15" s="44"/>
      <c r="CN15" s="98"/>
      <c r="CO15" s="98"/>
      <c r="CP15" s="98"/>
      <c r="CQ15" s="98"/>
      <c r="CR15" s="98"/>
      <c r="CS15" s="280">
        <f>CS14+1</f>
        <v>2</v>
      </c>
      <c r="CT15" s="245" t="s">
        <v>120</v>
      </c>
      <c r="CU15" s="245"/>
      <c r="CV15" s="441">
        <f>SUM(CV14:CV14)</f>
        <v>4555764.4439206887</v>
      </c>
      <c r="CW15" s="441">
        <f>SUM(CW14:CW14)</f>
        <v>6740763.446346282</v>
      </c>
      <c r="CX15" s="441">
        <f>SUM(CX14:CX14)</f>
        <v>2184999.0024255933</v>
      </c>
      <c r="CY15" s="441">
        <f>SUM(CY14)</f>
        <v>6740763.446346282</v>
      </c>
      <c r="CZ15" s="441">
        <f>SUM(CZ14)</f>
        <v>0</v>
      </c>
      <c r="DA15" s="16">
        <f>DA14+1</f>
        <v>2</v>
      </c>
      <c r="DB15" s="154" t="s">
        <v>178</v>
      </c>
      <c r="DC15" s="56"/>
      <c r="DD15" s="56">
        <f>'[16]Lead E'!$D$11</f>
        <v>2115323.8108910434</v>
      </c>
      <c r="DE15" s="56">
        <f>'[16]Lead E'!$E$11</f>
        <v>1894152.5850881652</v>
      </c>
      <c r="DF15" s="81">
        <f>DE15-DD15</f>
        <v>-221171.22580287815</v>
      </c>
      <c r="DG15" s="56">
        <f>'[16]Lead E'!$G$11</f>
        <v>1934093.6637685676</v>
      </c>
      <c r="DH15" s="29">
        <f>DG15-DE15</f>
        <v>39941.078680402366</v>
      </c>
      <c r="DI15" s="95">
        <f t="shared" ref="DI15:DI30" si="13">+DI14+1</f>
        <v>2</v>
      </c>
      <c r="DJ15" s="170" t="s">
        <v>117</v>
      </c>
      <c r="DK15" s="181"/>
      <c r="DL15" s="183">
        <f>+'[23]Electric RS + RP'!D13</f>
        <v>6435874.2777891876</v>
      </c>
      <c r="DM15" s="183">
        <f>+'[23]Electric RS + RP'!E13</f>
        <v>6442215.4155860059</v>
      </c>
      <c r="DN15" s="184">
        <f t="shared" ref="DN15:DN23" si="14">+DM15-DL15</f>
        <v>6341.1377968182787</v>
      </c>
      <c r="DO15" s="183">
        <f>+'[23]Electric RS + RP'!G13</f>
        <v>6688165.9532109005</v>
      </c>
      <c r="DP15" s="183">
        <f t="shared" ref="DP15:DP23" si="15">+DO15-DM15</f>
        <v>245950.53762489464</v>
      </c>
      <c r="DQ15" s="95">
        <f t="shared" ref="DQ15:DQ34" si="16">DQ14+1</f>
        <v>2</v>
      </c>
      <c r="DR15" s="111" t="s">
        <v>186</v>
      </c>
      <c r="DS15" s="95"/>
      <c r="DT15" s="184">
        <f>+[24]Electric!D14</f>
        <v>9540504.8394000009</v>
      </c>
      <c r="DU15" s="184">
        <f>+[24]Electric!E14</f>
        <v>9550045.3442394007</v>
      </c>
      <c r="DV15" s="184">
        <f>+DU15-DT15</f>
        <v>9540.5048393998295</v>
      </c>
      <c r="DW15" s="184">
        <f>+[24]Electric!G14</f>
        <v>9915812.0809237696</v>
      </c>
      <c r="DX15" s="184">
        <f>+DW15-DU15</f>
        <v>365766.73668436892</v>
      </c>
      <c r="DY15" s="280">
        <v>2</v>
      </c>
      <c r="DZ15" s="97" t="s">
        <v>403</v>
      </c>
      <c r="EA15" s="245"/>
      <c r="EB15" s="184">
        <f>'[25]Lead Elec'!D14</f>
        <v>19841150.083478596</v>
      </c>
      <c r="EC15" s="184">
        <f>'[25]Lead Elec'!E14</f>
        <v>19806192.590422798</v>
      </c>
      <c r="ED15" s="184">
        <f>EC15-EB15</f>
        <v>-34957.493055798113</v>
      </c>
      <c r="EE15" s="184">
        <f>'[25]Lead Elec'!G14</f>
        <v>20948313.3479256</v>
      </c>
      <c r="EF15" s="184">
        <f>EE15-EC15</f>
        <v>1142120.7575028017</v>
      </c>
      <c r="EG15" s="280">
        <f t="shared" ref="EG15:EG20" si="17">EG14+1</f>
        <v>2</v>
      </c>
      <c r="EH15" s="92" t="s">
        <v>34</v>
      </c>
      <c r="EJ15" s="96">
        <f>'[5]Lead E'!C11</f>
        <v>-4244925258.0010071</v>
      </c>
      <c r="EK15" s="99">
        <f>'[5]Lead E'!D11</f>
        <v>-4388667535.5324507</v>
      </c>
      <c r="EL15" s="96">
        <f t="shared" si="2"/>
        <v>-143742277.5314436</v>
      </c>
      <c r="EM15" s="99">
        <f t="shared" si="3"/>
        <v>-4388667535.5324507</v>
      </c>
      <c r="EN15" s="96">
        <f t="shared" si="4"/>
        <v>0</v>
      </c>
      <c r="EO15" s="280">
        <f t="shared" ref="EO15:EO32" si="18">EO14+1</f>
        <v>2</v>
      </c>
      <c r="EP15" s="92" t="s">
        <v>390</v>
      </c>
      <c r="ER15" s="99">
        <f>'[18]Lead Electric'!D14</f>
        <v>17479184.218140036</v>
      </c>
      <c r="ES15" s="99">
        <f>'[18]Lead Electric'!E14</f>
        <v>18643869.746868491</v>
      </c>
      <c r="ET15" s="99">
        <f>ES15-ER15</f>
        <v>1164685.5287284553</v>
      </c>
      <c r="EU15" s="99">
        <f>ES15</f>
        <v>18643869.746868491</v>
      </c>
      <c r="EV15" s="99">
        <f>EU15-ES15</f>
        <v>0</v>
      </c>
      <c r="EW15" s="82">
        <f>EW14+1</f>
        <v>2</v>
      </c>
      <c r="EX15" s="286" t="s">
        <v>355</v>
      </c>
      <c r="EZ15" s="144">
        <f>'[26]Lead E '!$D$16</f>
        <v>-763743.36</v>
      </c>
      <c r="FA15" s="144">
        <f>'[26]Lead E '!$E$16</f>
        <v>-763743.36</v>
      </c>
      <c r="FB15" s="144">
        <f>FA15-EZ15</f>
        <v>0</v>
      </c>
      <c r="FC15" s="646">
        <v>-4297707.3533333326</v>
      </c>
      <c r="FD15" s="144">
        <f>FC15-FA15</f>
        <v>-3533963.9933333327</v>
      </c>
      <c r="FE15" s="280">
        <f>FE14+1</f>
        <v>2</v>
      </c>
      <c r="FF15" s="195" t="s">
        <v>597</v>
      </c>
      <c r="FG15" s="40"/>
      <c r="FH15" s="144">
        <f>'[27]Lead E'!$D$15</f>
        <v>1423784.9999999995</v>
      </c>
      <c r="FI15" s="144">
        <f>'[27]Lead E'!$E$15</f>
        <v>1423784.9999999995</v>
      </c>
      <c r="FJ15" s="144">
        <f>FI15-FH15</f>
        <v>0</v>
      </c>
      <c r="FK15" s="144">
        <f>'[27]Lead E'!$G$15</f>
        <v>1575832.6603212098</v>
      </c>
      <c r="FL15" s="144">
        <f>FK15-FI15</f>
        <v>152047.66032121028</v>
      </c>
      <c r="FM15" s="280">
        <f t="shared" ref="FM15:FM42" si="19">FM14+1</f>
        <v>2</v>
      </c>
      <c r="FN15" s="8" t="s">
        <v>473</v>
      </c>
      <c r="FO15" s="8"/>
      <c r="FP15" s="237"/>
      <c r="FQ15" s="237"/>
      <c r="FR15" s="237"/>
      <c r="FS15" s="237"/>
      <c r="FT15" s="237"/>
      <c r="FU15" s="95">
        <v>2</v>
      </c>
      <c r="FV15" s="1" t="s">
        <v>444</v>
      </c>
      <c r="FW15" s="232"/>
      <c r="FX15" s="105">
        <f>+'[28]Lead E'!D11</f>
        <v>1029462.7966205003</v>
      </c>
      <c r="FY15" s="105">
        <f>+'[28]Lead E'!E11</f>
        <v>0</v>
      </c>
      <c r="FZ15" s="105">
        <f t="shared" ref="FZ15:FZ22" si="20">FY15-FX15</f>
        <v>-1029462.7966205003</v>
      </c>
      <c r="GA15" s="105">
        <f>+'[28]Lead E'!$G11</f>
        <v>0</v>
      </c>
      <c r="GB15" s="105">
        <f t="shared" ref="GB15:GB22" si="21">GA15-FY15</f>
        <v>0</v>
      </c>
      <c r="GC15" s="165">
        <f t="shared" ref="GC15:GC38" si="22">+GC14+1</f>
        <v>2</v>
      </c>
      <c r="GD15" s="8" t="s">
        <v>473</v>
      </c>
      <c r="GE15" s="8"/>
      <c r="GF15" s="237"/>
      <c r="GG15" s="237"/>
      <c r="GH15" s="237"/>
      <c r="GI15" s="237"/>
      <c r="GJ15" s="237"/>
      <c r="GK15" s="165">
        <f t="shared" ref="GK15:GK20" si="23">GK14+1</f>
        <v>2</v>
      </c>
      <c r="GL15" s="286" t="s">
        <v>355</v>
      </c>
      <c r="GN15" s="144">
        <f>'[29]Lead E '!$D$16</f>
        <v>828672</v>
      </c>
      <c r="GO15" s="144">
        <f>'[29]Lead E '!$E$16</f>
        <v>828672</v>
      </c>
      <c r="GP15" s="144">
        <f>GO15-GN15</f>
        <v>0</v>
      </c>
      <c r="GQ15" s="144">
        <f>'[29]Lead E '!$G$16</f>
        <v>224455.831275</v>
      </c>
      <c r="GR15" s="144">
        <f>GQ15-GO15</f>
        <v>-604216.168725</v>
      </c>
      <c r="GS15" s="165">
        <f t="shared" ref="GS15:GS23" si="24">+GS14+1</f>
        <v>2</v>
      </c>
      <c r="GT15" s="286" t="s">
        <v>468</v>
      </c>
      <c r="GU15" s="8"/>
      <c r="GV15" s="156">
        <f>'[30]Lead E'!D14</f>
        <v>-36025489.107016005</v>
      </c>
      <c r="GW15" s="156">
        <f>GV15</f>
        <v>-36025489.107016005</v>
      </c>
      <c r="GX15" s="156">
        <f>GW15-GV15</f>
        <v>0</v>
      </c>
      <c r="GY15" s="156">
        <f>'[30]Lead E'!$G$14</f>
        <v>-31522302.987015996</v>
      </c>
      <c r="GZ15" s="156">
        <f>GY15-GW15</f>
        <v>4503186.1200000085</v>
      </c>
      <c r="HA15" s="95">
        <v>2</v>
      </c>
      <c r="HB15" s="212" t="s">
        <v>99</v>
      </c>
      <c r="HC15" s="48"/>
      <c r="HD15" s="1022">
        <v>0</v>
      </c>
      <c r="HE15" s="1022">
        <f>+HD15</f>
        <v>0</v>
      </c>
      <c r="HF15" s="1022">
        <f>HE15-HD15</f>
        <v>0</v>
      </c>
      <c r="HG15" s="1022">
        <f>+'[31]Lead E'!G14</f>
        <v>13639436.15</v>
      </c>
      <c r="HH15" s="1022">
        <f>HG15-HF15</f>
        <v>13639436.15</v>
      </c>
      <c r="HI15" s="165">
        <f t="shared" ref="HI15:HI21" si="25">+HI14+1</f>
        <v>2</v>
      </c>
      <c r="HJ15" s="245" t="s">
        <v>15</v>
      </c>
      <c r="HK15" s="96"/>
      <c r="HL15" s="96">
        <f>'[19]Lead E'!D12</f>
        <v>47610895.020000003</v>
      </c>
      <c r="HM15" s="96">
        <f>'[19]Lead E'!E12</f>
        <v>47610895.020000003</v>
      </c>
      <c r="HN15" s="96">
        <f>HM15-HL15</f>
        <v>0</v>
      </c>
      <c r="HO15" s="96">
        <f>'[19]Lead E'!G12</f>
        <v>48988849.240000002</v>
      </c>
      <c r="HP15" s="96">
        <f>HO15-HM15</f>
        <v>1377954.2199999988</v>
      </c>
      <c r="HQ15" s="165">
        <f t="shared" ref="HQ15:HQ30" si="26">+HQ14+1</f>
        <v>2</v>
      </c>
      <c r="HR15" s="154" t="s">
        <v>489</v>
      </c>
      <c r="HT15" s="1033"/>
      <c r="HU15" s="1033"/>
      <c r="HV15" s="1033"/>
      <c r="HW15" s="1033"/>
      <c r="HX15" s="1033"/>
    </row>
    <row r="16" spans="1:232" ht="15.75" thickBot="1">
      <c r="A16" s="15">
        <f t="shared" si="5"/>
        <v>4</v>
      </c>
      <c r="B16" s="9" t="s">
        <v>368</v>
      </c>
      <c r="C16" s="154"/>
      <c r="D16" s="1083"/>
      <c r="E16" s="1083"/>
      <c r="F16" s="138">
        <v>0</v>
      </c>
      <c r="G16" s="1085"/>
      <c r="H16" s="138">
        <f>'[8]Lead Electric'!G15</f>
        <v>1895876.7300000002</v>
      </c>
      <c r="I16" s="280">
        <f t="shared" si="0"/>
        <v>4</v>
      </c>
      <c r="J16" s="141" t="s">
        <v>383</v>
      </c>
      <c r="K16" s="17"/>
      <c r="L16" s="145">
        <f>N16</f>
        <v>3.9125572074135653E-2</v>
      </c>
      <c r="M16" s="145">
        <f>N16</f>
        <v>3.9125572074135653E-2</v>
      </c>
      <c r="N16" s="145">
        <f>N18/N14</f>
        <v>3.9125572074135653E-2</v>
      </c>
      <c r="O16" s="145">
        <f>O18/O14</f>
        <v>3.9673328854169326E-2</v>
      </c>
      <c r="P16" s="145">
        <f>O16-M16</f>
        <v>5.4775678003367301E-4</v>
      </c>
      <c r="Q16" s="280">
        <f>Q15+1</f>
        <v>3</v>
      </c>
      <c r="R16" s="245" t="s">
        <v>148</v>
      </c>
      <c r="S16" s="245"/>
      <c r="T16" s="59">
        <f>SUM(T14:T15)</f>
        <v>61749262.590000004</v>
      </c>
      <c r="U16" s="59">
        <f>SUM(U14:U15)</f>
        <v>76684916.036827505</v>
      </c>
      <c r="V16" s="59">
        <f>-SUM(V14:V15)</f>
        <v>-14935653.446827501</v>
      </c>
      <c r="W16" s="59">
        <f>SUM(W14:W15)</f>
        <v>76684916.036827505</v>
      </c>
      <c r="X16" s="59">
        <f>SUM(X14:X15)</f>
        <v>0</v>
      </c>
      <c r="Y16" s="280">
        <f t="shared" si="6"/>
        <v>3</v>
      </c>
      <c r="Z16" s="10" t="s">
        <v>151</v>
      </c>
      <c r="AB16" s="105"/>
      <c r="AC16" s="105"/>
      <c r="AD16" s="105"/>
      <c r="AE16" s="105"/>
      <c r="AF16" s="357"/>
      <c r="AG16" s="15">
        <f t="shared" si="1"/>
        <v>3</v>
      </c>
      <c r="AH16" s="19" t="s">
        <v>212</v>
      </c>
      <c r="AJ16" s="260">
        <f>+'[20]Lead Sheet E'!D13</f>
        <v>62179769</v>
      </c>
      <c r="AK16" s="260">
        <f>'[20]Lead Sheet E'!E13</f>
        <v>0</v>
      </c>
      <c r="AL16" s="260">
        <f t="shared" si="7"/>
        <v>-62179769</v>
      </c>
      <c r="AM16" s="260">
        <f t="shared" si="8"/>
        <v>0</v>
      </c>
      <c r="AN16" s="260">
        <f t="shared" ref="AN16:AN27" si="27">AM16-AK16</f>
        <v>0</v>
      </c>
      <c r="AO16" s="280">
        <f t="shared" si="9"/>
        <v>3</v>
      </c>
      <c r="AP16" s="283" t="s">
        <v>159</v>
      </c>
      <c r="AQ16" s="283"/>
      <c r="AR16" s="443">
        <f>SUM(AR14:AR15)</f>
        <v>1250336.8659676735</v>
      </c>
      <c r="AS16" s="443">
        <f>SUM(AS14:AS15)</f>
        <v>1166036.3914547989</v>
      </c>
      <c r="AT16" s="443">
        <f>SUM(AT14:AT15)</f>
        <v>-84300.474512874614</v>
      </c>
      <c r="AU16" s="443">
        <f>SUM(AU14:AU15)</f>
        <v>1166036.3914547989</v>
      </c>
      <c r="AV16" s="443">
        <f>SUM(AV14:AV15)</f>
        <v>0</v>
      </c>
      <c r="AW16" s="95">
        <f>AW15+1</f>
        <v>3</v>
      </c>
      <c r="AX16" s="95"/>
      <c r="AY16" s="95"/>
      <c r="AZ16" s="444"/>
      <c r="BA16" s="445"/>
      <c r="BB16" s="445"/>
      <c r="BC16" s="445"/>
      <c r="BD16" s="445"/>
      <c r="BE16" s="95">
        <f t="shared" si="10"/>
        <v>3</v>
      </c>
      <c r="BF16" s="209" t="s">
        <v>118</v>
      </c>
      <c r="BH16" s="98">
        <f>'[22] Electric'!D15</f>
        <v>1722337.7348331909</v>
      </c>
      <c r="BI16" s="98">
        <f>'[22] Electric'!E15</f>
        <v>1679000.5734577938</v>
      </c>
      <c r="BJ16" s="98">
        <f>'[22] Electric'!F15</f>
        <v>-43337.161375397118</v>
      </c>
      <c r="BK16" s="98">
        <f>'[22] Electric'!G15</f>
        <v>1679000.5734577938</v>
      </c>
      <c r="BL16" s="61">
        <f>'[22] Electric'!H15</f>
        <v>0</v>
      </c>
      <c r="BM16" s="117">
        <v>3</v>
      </c>
      <c r="BN16" s="51" t="s">
        <v>229</v>
      </c>
      <c r="BO16" s="51"/>
      <c r="BP16" s="446">
        <f>BP14+BP15</f>
        <v>89249370.281786993</v>
      </c>
      <c r="BQ16" s="446">
        <f>BQ14+BQ15</f>
        <v>89158440.199708983</v>
      </c>
      <c r="BR16" s="446">
        <f>BR14+BR15</f>
        <v>-90930.082078008913</v>
      </c>
      <c r="BS16" s="446">
        <f>BS14+BS15</f>
        <v>89249370.281786993</v>
      </c>
      <c r="BT16" s="52">
        <f>BT14+BT15</f>
        <v>90930.082078008913</v>
      </c>
      <c r="BU16" s="134">
        <f t="shared" si="11"/>
        <v>3</v>
      </c>
      <c r="BV16" s="181" t="s">
        <v>107</v>
      </c>
      <c r="BW16" s="27"/>
      <c r="BX16" s="191">
        <f>SUM(BX14:BX15)</f>
        <v>84154.734218343758</v>
      </c>
      <c r="BY16" s="191">
        <f>SUM(BY14:BY15)</f>
        <v>77444.18431150305</v>
      </c>
      <c r="BZ16" s="191">
        <f>SUM(BZ14:BZ15)</f>
        <v>-6710.549906840708</v>
      </c>
      <c r="CA16" s="191">
        <f>SUM(CA14:CA15)</f>
        <v>84154.734218343758</v>
      </c>
      <c r="CB16" s="191">
        <f>SUM(CB14:CB15)</f>
        <v>6710.549906840708</v>
      </c>
      <c r="CC16" s="16">
        <f>CC15+1</f>
        <v>3</v>
      </c>
      <c r="CD16" s="154" t="s">
        <v>95</v>
      </c>
      <c r="CE16" s="154"/>
      <c r="CF16" s="54">
        <f>-SUM(CF14:CF15)</f>
        <v>0</v>
      </c>
      <c r="CG16" s="54">
        <f>-SUM(CG14:CG15)</f>
        <v>-803909.33835699933</v>
      </c>
      <c r="CH16" s="54">
        <f>-SUM(CH14:CH15)</f>
        <v>-803909.33835699933</v>
      </c>
      <c r="CI16" s="54">
        <f>-SUM(CI14:CI15)</f>
        <v>-803909.33835699933</v>
      </c>
      <c r="CJ16" s="54">
        <f>-SUM(CJ14:CJ15)</f>
        <v>0</v>
      </c>
      <c r="CK16" s="95">
        <f t="shared" si="12"/>
        <v>3</v>
      </c>
      <c r="CL16" s="245" t="s">
        <v>221</v>
      </c>
      <c r="CM16" s="245"/>
      <c r="CN16" s="144">
        <f>+'[32]Lead E'!$D$12</f>
        <v>-11803.907603</v>
      </c>
      <c r="CO16" s="144">
        <f>+'[32]Lead E'!$E$12</f>
        <v>548500</v>
      </c>
      <c r="CP16" s="144">
        <f>CO16-CN16</f>
        <v>560303.90760300006</v>
      </c>
      <c r="CQ16" s="144">
        <f>+CO16</f>
        <v>548500</v>
      </c>
      <c r="CR16" s="144">
        <f>CQ16-CO16</f>
        <v>0</v>
      </c>
      <c r="CS16" s="280">
        <f>CS15+1</f>
        <v>3</v>
      </c>
      <c r="CT16" s="245"/>
      <c r="CU16" s="245"/>
      <c r="CV16" s="70"/>
      <c r="CW16" s="70"/>
      <c r="CX16" s="70"/>
      <c r="CY16" s="70"/>
      <c r="CZ16" s="70"/>
      <c r="DA16" s="16">
        <f>DA15+1</f>
        <v>3</v>
      </c>
      <c r="DB16" s="245" t="s">
        <v>120</v>
      </c>
      <c r="DC16" s="447"/>
      <c r="DD16" s="448">
        <f>SUM(DD14:DD15)</f>
        <v>5788035.7400107104</v>
      </c>
      <c r="DE16" s="448">
        <f>SUM(DE14:DE15)</f>
        <v>5383033.9810123323</v>
      </c>
      <c r="DF16" s="448">
        <f>SUM(DF14:DF15)</f>
        <v>-405001.75899837748</v>
      </c>
      <c r="DG16" s="448">
        <f>SUM(DG14:DG15)</f>
        <v>5943271.9573463742</v>
      </c>
      <c r="DH16" s="448">
        <f>SUM(DH14:DH15)</f>
        <v>560237.97633404168</v>
      </c>
      <c r="DI16" s="95">
        <f t="shared" si="13"/>
        <v>3</v>
      </c>
      <c r="DJ16" s="170" t="s">
        <v>118</v>
      </c>
      <c r="DK16" s="181"/>
      <c r="DL16" s="190">
        <f>+'[23]Electric RS + RP'!D14</f>
        <v>21002062.650665939</v>
      </c>
      <c r="DM16" s="171">
        <f>+'[23]Electric RS + RP'!E14</f>
        <v>21009444.612224907</v>
      </c>
      <c r="DN16" s="172">
        <f t="shared" si="14"/>
        <v>7381.9615589678288</v>
      </c>
      <c r="DO16" s="172">
        <f>+'[23]Electric RS + RP'!G14</f>
        <v>21701059.501812048</v>
      </c>
      <c r="DP16" s="172">
        <f t="shared" si="15"/>
        <v>691614.88958714157</v>
      </c>
      <c r="DQ16" s="95">
        <f t="shared" si="16"/>
        <v>3</v>
      </c>
      <c r="DR16" s="46"/>
      <c r="DS16" s="33"/>
      <c r="DT16" s="183"/>
      <c r="DU16" s="183"/>
      <c r="DV16" s="184"/>
      <c r="DW16" s="183"/>
      <c r="DX16" s="183"/>
      <c r="DY16" s="280">
        <v>3</v>
      </c>
      <c r="DZ16" s="213" t="s">
        <v>192</v>
      </c>
      <c r="EA16" s="245"/>
      <c r="EB16" s="449">
        <f>'[25]Lead Elec'!D15</f>
        <v>10338996.0695654</v>
      </c>
      <c r="EC16" s="449">
        <f>'[25]Lead Elec'!E15</f>
        <v>10434337.410289202</v>
      </c>
      <c r="ED16" s="450">
        <f>EC16-EB16</f>
        <v>95341.340723801404</v>
      </c>
      <c r="EE16" s="449">
        <f>'[25]Lead Elec'!G15</f>
        <v>11042309.130098399</v>
      </c>
      <c r="EF16" s="451">
        <f>EE16-EC16</f>
        <v>607971.71980919689</v>
      </c>
      <c r="EG16" s="280">
        <f t="shared" si="17"/>
        <v>3</v>
      </c>
      <c r="EH16" s="154" t="s">
        <v>35</v>
      </c>
      <c r="EJ16" s="96">
        <f>'[5]Lead E'!C12</f>
        <v>285841342.02833331</v>
      </c>
      <c r="EK16" s="99">
        <f>'[5]Lead E'!D12</f>
        <v>273144103.32999998</v>
      </c>
      <c r="EL16" s="96">
        <f t="shared" si="2"/>
        <v>-12697238.698333323</v>
      </c>
      <c r="EM16" s="99">
        <f t="shared" si="3"/>
        <v>273144103.32999998</v>
      </c>
      <c r="EN16" s="96">
        <f t="shared" si="4"/>
        <v>0</v>
      </c>
      <c r="EO16" s="280">
        <f t="shared" si="18"/>
        <v>3</v>
      </c>
      <c r="EP16" s="92" t="s">
        <v>498</v>
      </c>
      <c r="ER16" s="99">
        <f>'[18]Lead Electric'!D15</f>
        <v>15706525.089999994</v>
      </c>
      <c r="ES16" s="99">
        <f>'[18]Lead Electric'!E15</f>
        <v>15702575.549999984</v>
      </c>
      <c r="ET16" s="99">
        <f>ES16-ER16</f>
        <v>-3949.5400000102818</v>
      </c>
      <c r="EU16" s="99">
        <f>ES16</f>
        <v>15702575.549999984</v>
      </c>
      <c r="EV16" s="99">
        <f>EU16-ES16</f>
        <v>0</v>
      </c>
      <c r="EW16" s="82">
        <f t="shared" ref="EW16:EW20" si="28">EW15+1</f>
        <v>3</v>
      </c>
      <c r="EZ16" s="228"/>
      <c r="FA16" s="228"/>
      <c r="FB16" s="228"/>
      <c r="FC16" s="315"/>
      <c r="FD16" s="228"/>
      <c r="FE16" s="280">
        <f>FE15+1</f>
        <v>3</v>
      </c>
      <c r="FF16" s="196" t="s">
        <v>209</v>
      </c>
      <c r="FG16" s="400"/>
      <c r="FH16" s="471">
        <f>FH15</f>
        <v>1423784.9999999995</v>
      </c>
      <c r="FI16" s="471">
        <f>FI15</f>
        <v>1423784.9999999995</v>
      </c>
      <c r="FJ16" s="471">
        <f>FJ15</f>
        <v>0</v>
      </c>
      <c r="FK16" s="471">
        <f>FK15</f>
        <v>1575832.6603212098</v>
      </c>
      <c r="FL16" s="471">
        <f>FL15</f>
        <v>152047.66032121028</v>
      </c>
      <c r="FM16" s="280">
        <f t="shared" si="19"/>
        <v>3</v>
      </c>
      <c r="FN16" s="233" t="s">
        <v>449</v>
      </c>
      <c r="FO16" s="233"/>
      <c r="FP16" s="105">
        <v>0</v>
      </c>
      <c r="FQ16" s="105">
        <v>0</v>
      </c>
      <c r="FR16" s="105">
        <f>+'[33]Lead E'!F16</f>
        <v>0</v>
      </c>
      <c r="FS16" s="105">
        <f>+'[33]Lead E'!G16</f>
        <v>24644867.610000003</v>
      </c>
      <c r="FT16" s="105">
        <f>+FS16-FR16</f>
        <v>24644867.610000003</v>
      </c>
      <c r="FU16" s="95">
        <v>3</v>
      </c>
      <c r="FV16" s="1" t="s">
        <v>563</v>
      </c>
      <c r="FW16" s="232"/>
      <c r="FX16" s="478">
        <f>+'[28]Lead E'!D12</f>
        <v>260613.38712720003</v>
      </c>
      <c r="FY16" s="478">
        <f>+'[28]Lead E'!E12</f>
        <v>0</v>
      </c>
      <c r="FZ16" s="478">
        <f t="shared" si="20"/>
        <v>-260613.38712720003</v>
      </c>
      <c r="GA16" s="478">
        <f>+'[28]Lead E'!$G12</f>
        <v>0</v>
      </c>
      <c r="GB16" s="478">
        <f t="shared" si="21"/>
        <v>0</v>
      </c>
      <c r="GC16" s="165">
        <f t="shared" si="22"/>
        <v>3</v>
      </c>
      <c r="GD16" s="233" t="s">
        <v>474</v>
      </c>
      <c r="GE16" s="233"/>
      <c r="GF16" s="105">
        <f>'[6]Elec Lead '!D16</f>
        <v>0</v>
      </c>
      <c r="GG16" s="105">
        <f>'[6]Elec Lead '!E16</f>
        <v>0</v>
      </c>
      <c r="GH16" s="105">
        <v>0</v>
      </c>
      <c r="GI16" s="964">
        <f>'[6]Elec Lead '!$G$16</f>
        <v>8630749.431925999</v>
      </c>
      <c r="GJ16" s="105">
        <f>+GI16-GH16</f>
        <v>8630749.431925999</v>
      </c>
      <c r="GK16" s="165">
        <f t="shared" si="23"/>
        <v>3</v>
      </c>
      <c r="GN16" s="264"/>
      <c r="GO16" s="264"/>
      <c r="GP16" s="264"/>
      <c r="GQ16" s="264"/>
      <c r="GR16" s="264"/>
      <c r="GS16" s="165">
        <f t="shared" si="24"/>
        <v>3</v>
      </c>
      <c r="GT16" s="286" t="s">
        <v>39</v>
      </c>
      <c r="GU16" s="8"/>
      <c r="GV16" s="482">
        <f>SUM(GV15)</f>
        <v>-36025489.107016005</v>
      </c>
      <c r="GW16" s="482">
        <f>SUM(GW15)</f>
        <v>-36025489.107016005</v>
      </c>
      <c r="GX16" s="482">
        <f>SUM(GX15)</f>
        <v>0</v>
      </c>
      <c r="GY16" s="482">
        <f>SUM(GY15)</f>
        <v>-31522302.987015996</v>
      </c>
      <c r="GZ16" s="482">
        <f>SUM(GZ15)</f>
        <v>4503186.1200000085</v>
      </c>
      <c r="HA16" s="95">
        <v>3</v>
      </c>
      <c r="HB16" s="212" t="s">
        <v>100</v>
      </c>
      <c r="HC16" s="48"/>
      <c r="HD16" s="1023">
        <v>0</v>
      </c>
      <c r="HE16" s="1023">
        <f>+HD16</f>
        <v>0</v>
      </c>
      <c r="HF16" s="1023">
        <f>HE16-HD16</f>
        <v>0</v>
      </c>
      <c r="HG16" s="1023">
        <f>+'[31]Lead E'!G15</f>
        <v>-671553.6085628313</v>
      </c>
      <c r="HH16" s="1024">
        <f>HG16-HF16</f>
        <v>-671553.6085628313</v>
      </c>
      <c r="HI16" s="165">
        <f t="shared" si="25"/>
        <v>3</v>
      </c>
      <c r="HJ16" s="245" t="s">
        <v>16</v>
      </c>
      <c r="HK16" s="96"/>
      <c r="HL16" s="96">
        <f>'[19]Lead E'!D13</f>
        <v>9867708.1199999992</v>
      </c>
      <c r="HM16" s="96">
        <f>'[19]Lead E'!E13</f>
        <v>9867708.1199999992</v>
      </c>
      <c r="HN16" s="96">
        <f>HM16-HL16</f>
        <v>0</v>
      </c>
      <c r="HO16" s="96">
        <f>'[19]Lead E'!G13</f>
        <v>10013750.199999999</v>
      </c>
      <c r="HP16" s="96">
        <f>HO16-HM16</f>
        <v>146042.08000000007</v>
      </c>
      <c r="HQ16" s="165">
        <f t="shared" si="26"/>
        <v>3</v>
      </c>
      <c r="HR16" s="154" t="s">
        <v>699</v>
      </c>
      <c r="HT16" s="1022">
        <f>'[34]Lead E'!$D$16</f>
        <v>0</v>
      </c>
      <c r="HU16" s="1022">
        <f>'[34]Lead E'!$E$16</f>
        <v>0</v>
      </c>
      <c r="HV16" s="1022">
        <f>HU16-HT16</f>
        <v>0</v>
      </c>
      <c r="HW16" s="1022">
        <f>'[34]Lead E'!$G$16</f>
        <v>6817570</v>
      </c>
      <c r="HX16" s="1022">
        <f>HW16-HU16</f>
        <v>6817570</v>
      </c>
    </row>
    <row r="17" spans="1:232" ht="15.75" thickTop="1">
      <c r="A17" s="15">
        <f t="shared" si="5"/>
        <v>5</v>
      </c>
      <c r="B17" s="9" t="s">
        <v>369</v>
      </c>
      <c r="C17" s="154"/>
      <c r="D17" s="1083"/>
      <c r="E17" s="1083"/>
      <c r="F17" s="138">
        <v>0</v>
      </c>
      <c r="G17" s="1085"/>
      <c r="H17" s="138">
        <f>'[8]Lead Electric'!G16</f>
        <v>-723802.14000000013</v>
      </c>
      <c r="I17" s="280">
        <f t="shared" si="0"/>
        <v>5</v>
      </c>
      <c r="J17" s="17"/>
      <c r="K17" s="17"/>
      <c r="L17" s="452"/>
      <c r="M17" s="452"/>
      <c r="N17" s="452"/>
      <c r="O17" s="452"/>
      <c r="P17" s="452"/>
      <c r="Q17" s="154"/>
      <c r="R17" s="154"/>
      <c r="S17" s="154"/>
      <c r="T17" s="154"/>
      <c r="U17" s="154"/>
      <c r="V17" s="154"/>
      <c r="W17" s="154"/>
      <c r="X17" s="154"/>
      <c r="Y17" s="280">
        <f t="shared" si="6"/>
        <v>4</v>
      </c>
      <c r="Z17" s="10"/>
      <c r="AB17" s="345"/>
      <c r="AC17" s="345"/>
      <c r="AD17" s="345"/>
      <c r="AE17" s="345"/>
      <c r="AF17" s="345"/>
      <c r="AG17" s="15">
        <f t="shared" si="1"/>
        <v>4</v>
      </c>
      <c r="AH17" s="19" t="s">
        <v>387</v>
      </c>
      <c r="AJ17" s="260">
        <f>+'[20]Lead Sheet E'!D14</f>
        <v>85339739.170000002</v>
      </c>
      <c r="AK17" s="260">
        <f>'[20]Lead Sheet E'!E14</f>
        <v>0</v>
      </c>
      <c r="AL17" s="260">
        <f t="shared" si="7"/>
        <v>-85339739.170000002</v>
      </c>
      <c r="AM17" s="260">
        <f t="shared" si="8"/>
        <v>0</v>
      </c>
      <c r="AN17" s="260">
        <f t="shared" si="27"/>
        <v>0</v>
      </c>
      <c r="AO17" s="280">
        <f t="shared" si="9"/>
        <v>4</v>
      </c>
      <c r="AP17" s="285"/>
      <c r="AQ17" s="285"/>
      <c r="AR17" s="288"/>
      <c r="AS17" s="288"/>
      <c r="AT17" s="288"/>
      <c r="AU17" s="288" t="s">
        <v>256</v>
      </c>
      <c r="AV17" s="26"/>
      <c r="AW17" s="95">
        <f>AW16+1</f>
        <v>4</v>
      </c>
      <c r="AX17" s="245" t="s">
        <v>384</v>
      </c>
      <c r="AY17" s="213"/>
      <c r="AZ17" s="76">
        <f>-AZ15</f>
        <v>-18742755.935488999</v>
      </c>
      <c r="BA17" s="76">
        <f>-BA15</f>
        <v>-18359017</v>
      </c>
      <c r="BB17" s="76">
        <f>-BB15</f>
        <v>383738.93548899889</v>
      </c>
      <c r="BC17" s="76">
        <f>-BC15</f>
        <v>-18359017</v>
      </c>
      <c r="BD17" s="76">
        <f>-BD15</f>
        <v>0</v>
      </c>
      <c r="BE17" s="95">
        <f t="shared" si="10"/>
        <v>4</v>
      </c>
      <c r="BF17" s="209" t="s">
        <v>162</v>
      </c>
      <c r="BH17" s="98">
        <f>'[22] Electric'!D16</f>
        <v>753556.00726197346</v>
      </c>
      <c r="BI17" s="98">
        <f>'[22] Electric'!E16</f>
        <v>734849.28831648605</v>
      </c>
      <c r="BJ17" s="98">
        <f>'[22] Electric'!F16</f>
        <v>-18706.718945487402</v>
      </c>
      <c r="BK17" s="98">
        <f>'[22] Electric'!G16</f>
        <v>734849.28831648605</v>
      </c>
      <c r="BL17" s="61">
        <f>'[22] Electric'!H16</f>
        <v>0</v>
      </c>
      <c r="BM17" s="117">
        <v>4</v>
      </c>
      <c r="BN17" s="51"/>
      <c r="BO17" s="51"/>
      <c r="BP17" s="61"/>
      <c r="BQ17" s="98"/>
      <c r="BR17" s="98"/>
      <c r="BS17" s="98"/>
      <c r="BU17" s="134">
        <f t="shared" si="11"/>
        <v>4</v>
      </c>
      <c r="BV17" s="181"/>
      <c r="BW17" s="27"/>
      <c r="BX17" s="229"/>
      <c r="BY17" s="229"/>
      <c r="BZ17" s="229"/>
      <c r="CA17" s="229"/>
      <c r="CB17" s="229"/>
      <c r="CC17" s="16"/>
      <c r="CK17" s="95">
        <f t="shared" si="12"/>
        <v>4</v>
      </c>
      <c r="CL17" s="245"/>
      <c r="CM17" s="245"/>
      <c r="CN17" s="98"/>
      <c r="CO17" s="98"/>
      <c r="CP17" s="98"/>
      <c r="CQ17" s="98"/>
      <c r="CR17" s="98"/>
      <c r="CS17" s="280">
        <f>CS16+1</f>
        <v>4</v>
      </c>
      <c r="CT17" s="245" t="s">
        <v>116</v>
      </c>
      <c r="CU17" s="155">
        <f>FIT_E</f>
        <v>0.21</v>
      </c>
      <c r="CV17" s="69">
        <f>-CV15*$CU$17</f>
        <v>-956710.5332233446</v>
      </c>
      <c r="CW17" s="69">
        <f>-CW15*$CU$17</f>
        <v>-1415560.3237327191</v>
      </c>
      <c r="CX17" s="56">
        <f>CW17-CV17</f>
        <v>-458849.79050937446</v>
      </c>
      <c r="CY17" s="56">
        <f>CW17</f>
        <v>-1415560.3237327191</v>
      </c>
      <c r="CZ17" s="56">
        <f>CY17-CW17</f>
        <v>0</v>
      </c>
      <c r="DA17" s="16">
        <f>DA16+1</f>
        <v>4</v>
      </c>
      <c r="DB17" s="245"/>
      <c r="DC17" s="154"/>
      <c r="DD17" s="154"/>
      <c r="DE17" s="154"/>
      <c r="DF17" s="154"/>
      <c r="DG17" s="154"/>
      <c r="DH17" s="65"/>
      <c r="DI17" s="95">
        <f t="shared" si="13"/>
        <v>4</v>
      </c>
      <c r="DJ17" s="170" t="s">
        <v>162</v>
      </c>
      <c r="DK17" s="181"/>
      <c r="DL17" s="190">
        <f>+'[23]Electric RS + RP'!D15</f>
        <v>9188775.2244181</v>
      </c>
      <c r="DM17" s="190">
        <f>+'[23]Electric RS + RP'!E15</f>
        <v>9195193.1657769624</v>
      </c>
      <c r="DN17" s="172">
        <f t="shared" si="14"/>
        <v>6417.9413588624448</v>
      </c>
      <c r="DO17" s="172">
        <f>+'[23]Electric RS + RP'!G15</f>
        <v>9524371.1429421082</v>
      </c>
      <c r="DP17" s="172">
        <f t="shared" si="15"/>
        <v>329177.9771651458</v>
      </c>
      <c r="DQ17" s="95">
        <f t="shared" si="16"/>
        <v>4</v>
      </c>
      <c r="DR17" s="201" t="s">
        <v>187</v>
      </c>
      <c r="DS17" s="31"/>
      <c r="DT17" s="186"/>
      <c r="DU17" s="186"/>
      <c r="DV17" s="186"/>
      <c r="DW17" s="186"/>
      <c r="DX17" s="186"/>
      <c r="DY17" s="280">
        <v>4</v>
      </c>
      <c r="DZ17" s="159" t="s">
        <v>404</v>
      </c>
      <c r="EA17" s="154"/>
      <c r="EB17" s="263">
        <f>SUM(EB15:EB16)</f>
        <v>30180146.153043997</v>
      </c>
      <c r="EC17" s="263">
        <f>SUM(EC15:EC16)</f>
        <v>30240530.000712</v>
      </c>
      <c r="ED17" s="263">
        <f>SUM(ED15:ED16)</f>
        <v>60383.847668003291</v>
      </c>
      <c r="EE17" s="263">
        <f>SUM(EE15:EE16)</f>
        <v>31990622.478023998</v>
      </c>
      <c r="EF17" s="108">
        <f>SUM(EF15:EF16)</f>
        <v>1750092.4773119986</v>
      </c>
      <c r="EG17" s="280">
        <f t="shared" si="17"/>
        <v>4</v>
      </c>
      <c r="EH17" s="154" t="s">
        <v>36</v>
      </c>
      <c r="EJ17" s="96">
        <f>'[5]Lead E'!C13</f>
        <v>-1443684469.5857882</v>
      </c>
      <c r="EK17" s="1011">
        <f>'[17]Lead E'!D13</f>
        <v>-1420710082.9970851</v>
      </c>
      <c r="EL17" s="96">
        <f t="shared" si="2"/>
        <v>22974386.588703156</v>
      </c>
      <c r="EM17" s="99">
        <f t="shared" si="3"/>
        <v>-1420710082.9970851</v>
      </c>
      <c r="EN17" s="96">
        <f t="shared" si="4"/>
        <v>0</v>
      </c>
      <c r="EO17" s="280">
        <f t="shared" si="18"/>
        <v>4</v>
      </c>
      <c r="EP17" s="92" t="s">
        <v>499</v>
      </c>
      <c r="ER17" s="99">
        <f>'[18]Lead Electric'!D16</f>
        <v>44372353.199617065</v>
      </c>
      <c r="ES17" s="99">
        <f>'[18]Lead Electric'!E16</f>
        <v>60095545.457455039</v>
      </c>
      <c r="ET17" s="99">
        <f>ES17-ER17</f>
        <v>15723192.257837974</v>
      </c>
      <c r="EU17" s="99">
        <f>ES17</f>
        <v>60095545.457455039</v>
      </c>
      <c r="EV17" s="99">
        <f>EU17-ES17</f>
        <v>0</v>
      </c>
      <c r="EW17" s="82">
        <f t="shared" si="28"/>
        <v>4</v>
      </c>
      <c r="EX17" s="159" t="s">
        <v>356</v>
      </c>
      <c r="EY17" s="159"/>
      <c r="EZ17" s="99">
        <f>SUM(EZ15:EZ15)</f>
        <v>-763743.36</v>
      </c>
      <c r="FA17" s="99">
        <f t="shared" ref="FA17:FD17" si="29">SUM(FA15:FA15)</f>
        <v>-763743.36</v>
      </c>
      <c r="FB17" s="99">
        <f t="shared" si="29"/>
        <v>0</v>
      </c>
      <c r="FC17" s="99">
        <f t="shared" si="29"/>
        <v>-4297707.3533333326</v>
      </c>
      <c r="FD17" s="99">
        <f t="shared" si="29"/>
        <v>-3533963.9933333327</v>
      </c>
      <c r="FE17" s="280">
        <f>FE16+1</f>
        <v>4</v>
      </c>
      <c r="FF17" s="376"/>
      <c r="FG17" s="10"/>
      <c r="FH17" s="10"/>
      <c r="FI17" s="10"/>
      <c r="FJ17" s="65"/>
      <c r="FK17" s="65"/>
      <c r="FL17" s="108"/>
      <c r="FM17" s="280">
        <f t="shared" si="19"/>
        <v>4</v>
      </c>
      <c r="FN17" s="234" t="s">
        <v>450</v>
      </c>
      <c r="FO17" s="234"/>
      <c r="FP17" s="108">
        <v>0</v>
      </c>
      <c r="FQ17" s="108">
        <v>0</v>
      </c>
      <c r="FR17" s="108">
        <f>+'[33]Lead E'!F17</f>
        <v>0</v>
      </c>
      <c r="FS17" s="108">
        <f>+'[33]Lead E'!G17</f>
        <v>-2140347.6892875</v>
      </c>
      <c r="FT17" s="108">
        <f>+FS17-FR17</f>
        <v>-2140347.6892875</v>
      </c>
      <c r="FU17" s="95">
        <v>3</v>
      </c>
      <c r="FV17" s="1" t="s">
        <v>564</v>
      </c>
      <c r="FW17" s="232"/>
      <c r="FX17" s="478">
        <f>+'[28]Lead E'!D13</f>
        <v>-690967.97</v>
      </c>
      <c r="FY17" s="478">
        <f>+'[28]Lead E'!E13</f>
        <v>0</v>
      </c>
      <c r="FZ17" s="478">
        <f t="shared" si="20"/>
        <v>690967.97</v>
      </c>
      <c r="GA17" s="478">
        <f>+'[28]Lead E'!$G13</f>
        <v>0</v>
      </c>
      <c r="GB17" s="478">
        <f t="shared" si="21"/>
        <v>0</v>
      </c>
      <c r="GC17" s="165">
        <f t="shared" si="22"/>
        <v>4</v>
      </c>
      <c r="GD17" s="234" t="s">
        <v>475</v>
      </c>
      <c r="GE17" s="234"/>
      <c r="GF17" s="108">
        <f>'[6]Elec Lead '!D17</f>
        <v>0</v>
      </c>
      <c r="GG17" s="108">
        <f>'[6]Elec Lead '!E17</f>
        <v>0</v>
      </c>
      <c r="GH17" s="108">
        <v>0</v>
      </c>
      <c r="GI17" s="965">
        <f>'[6]Elec Lead '!$G$17</f>
        <v>-4794860.7955144448</v>
      </c>
      <c r="GJ17" s="108">
        <f>+GI17-GH17</f>
        <v>-4794860.7955144448</v>
      </c>
      <c r="GK17" s="165">
        <f t="shared" si="23"/>
        <v>4</v>
      </c>
      <c r="GL17" s="286" t="s">
        <v>356</v>
      </c>
      <c r="GN17" s="144">
        <f>GN15</f>
        <v>828672</v>
      </c>
      <c r="GO17" s="144">
        <f>GO15</f>
        <v>828672</v>
      </c>
      <c r="GP17" s="144">
        <f>GP15</f>
        <v>0</v>
      </c>
      <c r="GQ17" s="144">
        <f>GQ15</f>
        <v>224455.831275</v>
      </c>
      <c r="GR17" s="144">
        <f>GR15</f>
        <v>-604216.168725</v>
      </c>
      <c r="GS17" s="165">
        <f t="shared" si="24"/>
        <v>4</v>
      </c>
      <c r="GU17" s="8"/>
      <c r="GV17" s="76"/>
      <c r="GW17" s="76"/>
      <c r="GX17" s="76"/>
      <c r="GY17" s="76"/>
      <c r="GZ17" s="76"/>
      <c r="HA17" s="95">
        <v>4</v>
      </c>
      <c r="HB17" s="9" t="s">
        <v>446</v>
      </c>
      <c r="HC17" s="48"/>
      <c r="HD17" s="1023">
        <v>0</v>
      </c>
      <c r="HE17" s="1023">
        <f>+HD17</f>
        <v>0</v>
      </c>
      <c r="HF17" s="1023">
        <f>HE17-HD17</f>
        <v>0</v>
      </c>
      <c r="HG17" s="1023">
        <f>+'[31]Lead E'!G16</f>
        <v>-112579.20210952556</v>
      </c>
      <c r="HH17" s="1024">
        <f>HG17-HF17</f>
        <v>-112579.20210952556</v>
      </c>
      <c r="HI17" s="165">
        <f t="shared" si="25"/>
        <v>4</v>
      </c>
      <c r="HJ17" s="245" t="s">
        <v>19</v>
      </c>
      <c r="HK17" s="99"/>
      <c r="HL17" s="247">
        <f>'[19]Lead E'!D14</f>
        <v>40650.018955000007</v>
      </c>
      <c r="HM17" s="247">
        <f>'[19]Lead E'!E14</f>
        <v>40650.018955000007</v>
      </c>
      <c r="HN17" s="247">
        <f>HM17-HL17</f>
        <v>0</v>
      </c>
      <c r="HO17" s="247">
        <f>'[19]Lead E'!G14</f>
        <v>41908.472322000001</v>
      </c>
      <c r="HP17" s="247">
        <f>HO17-HM17</f>
        <v>1258.4533669999946</v>
      </c>
      <c r="HQ17" s="165">
        <f t="shared" si="26"/>
        <v>4</v>
      </c>
      <c r="HR17" s="154" t="s">
        <v>599</v>
      </c>
      <c r="HT17" s="1034">
        <f>'[34]Lead E'!$D$17</f>
        <v>0</v>
      </c>
      <c r="HU17" s="1034">
        <f>'[34]Lead E'!$E$17</f>
        <v>0</v>
      </c>
      <c r="HV17" s="1034">
        <f>HU17-HT17</f>
        <v>0</v>
      </c>
      <c r="HW17" s="1034">
        <f>'[34]Lead E'!$G$17</f>
        <v>-965822.41666666651</v>
      </c>
      <c r="HX17" s="1022">
        <f>HW17-HU17</f>
        <v>-965822.41666666651</v>
      </c>
    </row>
    <row r="18" spans="1:232" ht="15.75" thickBot="1">
      <c r="A18" s="15">
        <f t="shared" si="5"/>
        <v>6</v>
      </c>
      <c r="B18" s="9" t="s">
        <v>517</v>
      </c>
      <c r="C18" s="154"/>
      <c r="D18" s="1083"/>
      <c r="E18" s="1083"/>
      <c r="F18" s="138">
        <f>'[8]Lead Electric'!E17</f>
        <v>-20725035.350196019</v>
      </c>
      <c r="G18" s="1085"/>
      <c r="H18" s="138">
        <v>0</v>
      </c>
      <c r="I18" s="280">
        <f t="shared" si="0"/>
        <v>6</v>
      </c>
      <c r="J18" s="141" t="s">
        <v>521</v>
      </c>
      <c r="K18" s="17"/>
      <c r="L18" s="144">
        <f>L14*L16</f>
        <v>808141864.07046211</v>
      </c>
      <c r="M18" s="144">
        <f>M14*M16</f>
        <v>814693685.07046199</v>
      </c>
      <c r="N18" s="967">
        <f>[9]Lead!$F$13</f>
        <v>6551821</v>
      </c>
      <c r="O18" s="967">
        <f>[9]Lead!$G$13</f>
        <v>826099371.07046211</v>
      </c>
      <c r="P18" s="143">
        <f>O18-M18</f>
        <v>11405686.000000119</v>
      </c>
      <c r="Q18" s="15"/>
      <c r="R18" s="245"/>
      <c r="S18" s="245"/>
      <c r="T18" s="245"/>
      <c r="U18" s="245"/>
      <c r="V18" s="245"/>
      <c r="W18" s="245"/>
      <c r="X18" s="245"/>
      <c r="Y18" s="280">
        <f t="shared" si="6"/>
        <v>5</v>
      </c>
      <c r="Z18" s="25" t="s">
        <v>152</v>
      </c>
      <c r="AB18" s="472"/>
      <c r="AC18" s="473">
        <f>+'COC-Restating'!E12</f>
        <v>2.9399999999999999E-2</v>
      </c>
      <c r="AD18" s="473"/>
      <c r="AE18" s="473">
        <f>+'COC, Def, ConvF'!H12</f>
        <v>2.87E-2</v>
      </c>
      <c r="AF18" s="473"/>
      <c r="AG18" s="15">
        <f t="shared" si="1"/>
        <v>5</v>
      </c>
      <c r="AH18" s="19" t="s">
        <v>388</v>
      </c>
      <c r="AJ18" s="260">
        <f>+'[20]Lead Sheet E'!D15</f>
        <v>16204.59</v>
      </c>
      <c r="AK18" s="260">
        <f>'[20]Lead Sheet E'!E15</f>
        <v>0</v>
      </c>
      <c r="AL18" s="260">
        <f t="shared" si="7"/>
        <v>-16204.59</v>
      </c>
      <c r="AM18" s="260">
        <f t="shared" si="8"/>
        <v>0</v>
      </c>
      <c r="AN18" s="260">
        <f t="shared" si="27"/>
        <v>0</v>
      </c>
      <c r="AO18" s="280">
        <f t="shared" si="9"/>
        <v>5</v>
      </c>
      <c r="AP18" s="283" t="s">
        <v>160</v>
      </c>
      <c r="AQ18" s="283"/>
      <c r="AR18" s="72">
        <f>+'[11]Lead E'!D17</f>
        <v>1250336.8659676735</v>
      </c>
      <c r="AS18" s="72">
        <f>+'[11]Lead E'!E17</f>
        <v>1166036.3914547989</v>
      </c>
      <c r="AT18" s="72">
        <f>AS18-AR18</f>
        <v>-84300.474512874614</v>
      </c>
      <c r="AU18" s="144">
        <f>+AS18</f>
        <v>1166036.3914547989</v>
      </c>
      <c r="AV18" s="72">
        <f>+AU18-AS18</f>
        <v>0</v>
      </c>
      <c r="AW18" s="95">
        <f>AW17+1</f>
        <v>5</v>
      </c>
      <c r="AX18" s="122" t="s">
        <v>116</v>
      </c>
      <c r="AY18" s="101">
        <f>FIT_E</f>
        <v>0.21</v>
      </c>
      <c r="AZ18" s="102">
        <f>+AZ17*$AY$18</f>
        <v>-3935978.7464526896</v>
      </c>
      <c r="BA18" s="102">
        <f>+BA17*$AY$18</f>
        <v>-3855393.57</v>
      </c>
      <c r="BB18" s="102">
        <f>BA18-AZ18</f>
        <v>80585.176452689804</v>
      </c>
      <c r="BC18" s="283">
        <f>BA18</f>
        <v>-3855393.57</v>
      </c>
      <c r="BD18" s="283">
        <f>BC18-BA18</f>
        <v>0</v>
      </c>
      <c r="BE18" s="95">
        <f t="shared" si="10"/>
        <v>5</v>
      </c>
      <c r="BF18" s="209" t="s">
        <v>163</v>
      </c>
      <c r="BH18" s="98">
        <f>'[22] Electric'!D17</f>
        <v>2248441.2377227461</v>
      </c>
      <c r="BI18" s="98">
        <f>'[22] Electric'!E17</f>
        <v>2191563.7455525394</v>
      </c>
      <c r="BJ18" s="98">
        <f>'[22] Electric'!F17</f>
        <v>-56877.492170206737</v>
      </c>
      <c r="BK18" s="98">
        <f>'[22] Electric'!G17</f>
        <v>2191563.7455525394</v>
      </c>
      <c r="BL18" s="61">
        <f>'[22] Electric'!H17</f>
        <v>0</v>
      </c>
      <c r="BM18" s="117">
        <v>5</v>
      </c>
      <c r="BN18" s="111" t="s">
        <v>230</v>
      </c>
      <c r="BO18" s="111"/>
      <c r="BP18" s="108">
        <f>BP16</f>
        <v>89249370.281786993</v>
      </c>
      <c r="BQ18" s="108">
        <f>BQ16</f>
        <v>89158440.199708983</v>
      </c>
      <c r="BR18" s="98">
        <f>BQ18-BP18</f>
        <v>-90930.082078009844</v>
      </c>
      <c r="BS18" s="108">
        <f>BS16</f>
        <v>89249370.281786993</v>
      </c>
      <c r="BT18" s="108">
        <f>BT16</f>
        <v>90930.082078008913</v>
      </c>
      <c r="BU18" s="134">
        <f t="shared" si="11"/>
        <v>5</v>
      </c>
      <c r="BV18" s="181" t="s">
        <v>231</v>
      </c>
      <c r="BW18" s="181"/>
      <c r="BX18" s="183">
        <f>+BX16</f>
        <v>84154.734218343758</v>
      </c>
      <c r="BY18" s="183">
        <f>+BY16</f>
        <v>77444.18431150305</v>
      </c>
      <c r="BZ18" s="183">
        <f>+BZ16</f>
        <v>-6710.549906840708</v>
      </c>
      <c r="CA18" s="183">
        <f>+CA16</f>
        <v>84154.734218343758</v>
      </c>
      <c r="CB18" s="183">
        <f>+CB16</f>
        <v>6710.549906840708</v>
      </c>
      <c r="CK18" s="95">
        <f t="shared" si="12"/>
        <v>5</v>
      </c>
      <c r="CL18" s="44" t="s">
        <v>222</v>
      </c>
      <c r="CM18" s="44"/>
      <c r="CN18" s="98"/>
      <c r="CO18" s="98"/>
      <c r="CP18" s="98"/>
      <c r="CQ18" s="98"/>
      <c r="CR18" s="98"/>
      <c r="CS18" s="280">
        <f>CS17+1</f>
        <v>5</v>
      </c>
      <c r="CT18" s="245" t="s">
        <v>95</v>
      </c>
      <c r="CU18" s="245"/>
      <c r="CV18" s="71">
        <f>-CV15-CV17</f>
        <v>-3599053.9106973442</v>
      </c>
      <c r="CW18" s="71">
        <f>-CW15-CW17</f>
        <v>-5325203.1226135632</v>
      </c>
      <c r="CX18" s="71">
        <f>-CX15-CX17</f>
        <v>-1726149.211916219</v>
      </c>
      <c r="CY18" s="71">
        <f>-CY15-CY17</f>
        <v>-5325203.1226135632</v>
      </c>
      <c r="CZ18" s="71">
        <f>-CZ15-CZ17</f>
        <v>0</v>
      </c>
      <c r="DA18" s="16">
        <f>DA17+1</f>
        <v>5</v>
      </c>
      <c r="DB18" s="245" t="s">
        <v>128</v>
      </c>
      <c r="DC18" s="155">
        <f>FIT_E</f>
        <v>0.21</v>
      </c>
      <c r="DD18" s="453">
        <f>-DD16*$DC$18</f>
        <v>-1215487.5054022491</v>
      </c>
      <c r="DE18" s="453">
        <f>-DE16*$DC$18</f>
        <v>-1130437.1360125898</v>
      </c>
      <c r="DF18" s="453">
        <f>DE18-DD18</f>
        <v>85050.369389659259</v>
      </c>
      <c r="DG18" s="453">
        <f>-DG16*DC18</f>
        <v>-1248087.1110427384</v>
      </c>
      <c r="DH18" s="453">
        <f>DG18-DE18</f>
        <v>-117649.97503014863</v>
      </c>
      <c r="DI18" s="95">
        <f t="shared" si="13"/>
        <v>5</v>
      </c>
      <c r="DJ18" s="170" t="s">
        <v>163</v>
      </c>
      <c r="DK18" s="181"/>
      <c r="DL18" s="190">
        <f>+'[23]Electric RS + RP'!D16</f>
        <v>27417316.113969147</v>
      </c>
      <c r="DM18" s="190">
        <f>+'[23]Electric RS + RP'!E16</f>
        <v>27423128.940563183</v>
      </c>
      <c r="DN18" s="172">
        <f t="shared" si="14"/>
        <v>5812.8265940360725</v>
      </c>
      <c r="DO18" s="172">
        <f>+'[23]Electric RS + RP'!G16</f>
        <v>28292537.446778752</v>
      </c>
      <c r="DP18" s="172">
        <f t="shared" si="15"/>
        <v>869408.50621556863</v>
      </c>
      <c r="DQ18" s="95">
        <f t="shared" si="16"/>
        <v>5</v>
      </c>
      <c r="DR18" s="111" t="s">
        <v>188</v>
      </c>
      <c r="DS18" s="95"/>
      <c r="DT18" s="185">
        <f>+[24]Electric!D17</f>
        <v>3276439.5071999999</v>
      </c>
      <c r="DU18" s="185">
        <f>+[24]Electric!E17</f>
        <v>3276439.5071999999</v>
      </c>
      <c r="DV18" s="185">
        <f>+DU18-DT18</f>
        <v>0</v>
      </c>
      <c r="DW18" s="185">
        <f>+[24]Electric!G17</f>
        <v>3374732.6924159997</v>
      </c>
      <c r="DX18" s="185">
        <f>+DW18-DU18</f>
        <v>98293.185215999838</v>
      </c>
      <c r="DY18" s="280">
        <v>5</v>
      </c>
      <c r="DZ18" s="213"/>
      <c r="EA18" s="154"/>
      <c r="EB18" s="154"/>
      <c r="EC18" s="154"/>
      <c r="EF18" s="65"/>
      <c r="EG18" s="280">
        <f t="shared" si="17"/>
        <v>5</v>
      </c>
      <c r="EH18" s="154" t="s">
        <v>37</v>
      </c>
      <c r="EJ18" s="96">
        <f>'[5]Lead E'!C14</f>
        <v>145303204.9988502</v>
      </c>
      <c r="EK18" s="885">
        <f>EJ18</f>
        <v>145303204.9988502</v>
      </c>
      <c r="EL18" s="886">
        <f t="shared" si="2"/>
        <v>0</v>
      </c>
      <c r="EM18" s="99">
        <f t="shared" si="3"/>
        <v>145303204.9988502</v>
      </c>
      <c r="EN18" s="96">
        <f t="shared" si="4"/>
        <v>0</v>
      </c>
      <c r="EO18" s="280">
        <f t="shared" si="18"/>
        <v>5</v>
      </c>
      <c r="EP18" s="92" t="s">
        <v>391</v>
      </c>
      <c r="ER18" s="276">
        <f>SUM(ER14:ER17)</f>
        <v>393995683.0177567</v>
      </c>
      <c r="ES18" s="276">
        <f>SUM(ES14:ES17)</f>
        <v>415313168.81962591</v>
      </c>
      <c r="ET18" s="276">
        <f>SUM(ET14:ET17)</f>
        <v>21317485.801869217</v>
      </c>
      <c r="EU18" s="276">
        <f>SUM(EU14:EU17)</f>
        <v>415313168.81962591</v>
      </c>
      <c r="EV18" s="276">
        <f>SUM(EV14:EV17)</f>
        <v>0</v>
      </c>
      <c r="EW18" s="82">
        <f t="shared" si="28"/>
        <v>5</v>
      </c>
      <c r="FC18" s="287"/>
      <c r="FE18" s="280">
        <f>FE17+1</f>
        <v>5</v>
      </c>
      <c r="FF18" s="196" t="s">
        <v>412</v>
      </c>
      <c r="FG18" s="155">
        <f>FIT_E</f>
        <v>0.21</v>
      </c>
      <c r="FH18" s="453">
        <f>-FH16*$FG$18</f>
        <v>-298994.84999999992</v>
      </c>
      <c r="FI18" s="453">
        <f>-FI16*$FG$18</f>
        <v>-298994.84999999992</v>
      </c>
      <c r="FJ18" s="453">
        <f>-FJ16*$FG$18</f>
        <v>0</v>
      </c>
      <c r="FK18" s="453">
        <f>-FK16*$FG$18</f>
        <v>-330924.85866745404</v>
      </c>
      <c r="FL18" s="453">
        <f>-FL16*$FG$18</f>
        <v>-31930.008667454156</v>
      </c>
      <c r="FM18" s="280">
        <f t="shared" si="19"/>
        <v>5</v>
      </c>
      <c r="FN18" s="234" t="s">
        <v>451</v>
      </c>
      <c r="FO18" s="234"/>
      <c r="FP18" s="108">
        <v>0</v>
      </c>
      <c r="FQ18" s="108">
        <v>0</v>
      </c>
      <c r="FR18" s="108">
        <f>+'[33]Lead E'!F18</f>
        <v>0</v>
      </c>
      <c r="FS18" s="108">
        <f>+'[33]Lead E'!G18</f>
        <v>-1701440.8697030814</v>
      </c>
      <c r="FT18" s="108">
        <f>+FS18-FR18</f>
        <v>-1701440.8697030814</v>
      </c>
      <c r="FU18" s="95">
        <v>4</v>
      </c>
      <c r="FV18" s="1" t="s">
        <v>445</v>
      </c>
      <c r="FW18" s="232"/>
      <c r="FX18" s="478">
        <f>+'[28]Lead E'!D14</f>
        <v>3068145.5511421002</v>
      </c>
      <c r="FY18" s="478">
        <f>+'[28]Lead E'!E14</f>
        <v>3068145.5511421002</v>
      </c>
      <c r="FZ18" s="478">
        <f t="shared" si="20"/>
        <v>0</v>
      </c>
      <c r="GA18" s="478">
        <f>+'[28]Lead E'!$G14</f>
        <v>2947101.0393960006</v>
      </c>
      <c r="GB18" s="478">
        <f t="shared" si="21"/>
        <v>-121044.51174609968</v>
      </c>
      <c r="GC18" s="165">
        <f t="shared" si="22"/>
        <v>5</v>
      </c>
      <c r="GD18" s="234" t="s">
        <v>101</v>
      </c>
      <c r="GE18" s="234"/>
      <c r="GF18" s="108">
        <f>'[6]Elec Lead '!D18</f>
        <v>0</v>
      </c>
      <c r="GG18" s="108">
        <f>'[6]Elec Lead '!E18</f>
        <v>0</v>
      </c>
      <c r="GH18" s="108">
        <v>0</v>
      </c>
      <c r="GI18" s="965">
        <f>'[6]Elec Lead '!$G$18</f>
        <v>251730.19176450834</v>
      </c>
      <c r="GJ18" s="108">
        <f>+GI18-GH18</f>
        <v>251730.19176450834</v>
      </c>
      <c r="GK18" s="165">
        <f t="shared" si="23"/>
        <v>5</v>
      </c>
      <c r="GS18" s="165">
        <f t="shared" si="24"/>
        <v>5</v>
      </c>
      <c r="GT18" s="90" t="s">
        <v>469</v>
      </c>
      <c r="GU18" s="8"/>
      <c r="GV18" s="76"/>
      <c r="GW18" s="76"/>
      <c r="GX18" s="76"/>
      <c r="GY18" s="76"/>
      <c r="GZ18" s="76"/>
      <c r="HA18" s="95">
        <v>5</v>
      </c>
      <c r="HB18" s="213" t="s">
        <v>447</v>
      </c>
      <c r="HC18" s="48"/>
      <c r="HD18" s="1025">
        <f>SUM(HD15:HD17)</f>
        <v>0</v>
      </c>
      <c r="HE18" s="1025"/>
      <c r="HF18" s="1025">
        <f>+HD18</f>
        <v>0</v>
      </c>
      <c r="HG18" s="1026">
        <f>SUM(HG15:HG17)</f>
        <v>12855303.339327645</v>
      </c>
      <c r="HH18" s="1026">
        <f>SUM(HH15:HH17)</f>
        <v>12855303.339327645</v>
      </c>
      <c r="HI18" s="165">
        <f t="shared" si="25"/>
        <v>5</v>
      </c>
      <c r="HJ18" s="245" t="s">
        <v>142</v>
      </c>
      <c r="HK18" s="96"/>
      <c r="HL18" s="96">
        <f>SUM(HL14:HL17)</f>
        <v>62579095.448954999</v>
      </c>
      <c r="HM18" s="96">
        <f>SUM(HM14:HM17)</f>
        <v>62579095.448954999</v>
      </c>
      <c r="HN18" s="96">
        <f>SUM(HN14:HN17)</f>
        <v>0</v>
      </c>
      <c r="HO18" s="96">
        <f>SUM(HO14:HO17)</f>
        <v>64263558.68232201</v>
      </c>
      <c r="HP18" s="96">
        <f>SUM(HP14:HP17)</f>
        <v>1684463.2333669984</v>
      </c>
      <c r="HQ18" s="165">
        <f t="shared" si="26"/>
        <v>5</v>
      </c>
      <c r="HR18" s="154" t="s">
        <v>600</v>
      </c>
      <c r="HS18" s="118"/>
      <c r="HT18" s="1034">
        <f>'[34]Lead E'!$D$17</f>
        <v>0</v>
      </c>
      <c r="HU18" s="1034">
        <f>'[34]Lead E'!$E$17</f>
        <v>0</v>
      </c>
      <c r="HV18" s="1034">
        <f>HU18-HT18</f>
        <v>0</v>
      </c>
      <c r="HW18" s="1034">
        <f>'[34]Lead E'!$G$18</f>
        <v>-370698.04012167035</v>
      </c>
      <c r="HX18" s="1022">
        <f>HW18-HU18</f>
        <v>-370698.04012167035</v>
      </c>
    </row>
    <row r="19" spans="1:232" ht="16.5" thickTop="1" thickBot="1">
      <c r="A19" s="15">
        <f t="shared" si="5"/>
        <v>7</v>
      </c>
      <c r="B19" s="9" t="s">
        <v>695</v>
      </c>
      <c r="C19" s="154"/>
      <c r="D19" s="1083"/>
      <c r="E19" s="1083"/>
      <c r="F19" s="138">
        <f>'[8]Lead Electric'!E18</f>
        <v>10345744.779999999</v>
      </c>
      <c r="G19" s="1085"/>
      <c r="H19" s="138">
        <v>0</v>
      </c>
      <c r="I19" s="280">
        <f t="shared" si="0"/>
        <v>7</v>
      </c>
      <c r="J19" s="17"/>
      <c r="K19" s="17"/>
      <c r="L19" s="452"/>
      <c r="M19" s="452"/>
      <c r="N19" s="452"/>
      <c r="O19" s="452"/>
      <c r="P19" s="452"/>
      <c r="R19" s="245"/>
      <c r="S19" s="245"/>
      <c r="T19" s="245"/>
      <c r="U19" s="245"/>
      <c r="V19" s="245"/>
      <c r="W19" s="245"/>
      <c r="X19" s="245"/>
      <c r="Y19" s="280">
        <f t="shared" si="6"/>
        <v>6</v>
      </c>
      <c r="Z19" s="25" t="s">
        <v>153</v>
      </c>
      <c r="AB19" s="418">
        <v>0</v>
      </c>
      <c r="AC19" s="418">
        <f>+AC14*AC18</f>
        <v>157706772.21411246</v>
      </c>
      <c r="AD19" s="418">
        <f>+AC19-AB19</f>
        <v>157706772.21411246</v>
      </c>
      <c r="AE19" s="474">
        <f>+AE14*AE18</f>
        <v>154568570.23866984</v>
      </c>
      <c r="AF19" s="475">
        <f>+AE19-AD19</f>
        <v>-3138201.9754426181</v>
      </c>
      <c r="AG19" s="15">
        <f t="shared" si="1"/>
        <v>6</v>
      </c>
      <c r="AH19" s="19" t="s">
        <v>133</v>
      </c>
      <c r="AJ19" s="260">
        <f>+'[20]Lead Sheet E'!D16</f>
        <v>17990501.364999998</v>
      </c>
      <c r="AK19" s="260">
        <f>'[20]Lead Sheet E'!E16</f>
        <v>0</v>
      </c>
      <c r="AL19" s="260">
        <f t="shared" si="7"/>
        <v>-17990501.364999998</v>
      </c>
      <c r="AM19" s="260">
        <f t="shared" si="8"/>
        <v>0</v>
      </c>
      <c r="AN19" s="260">
        <f t="shared" si="27"/>
        <v>0</v>
      </c>
      <c r="AO19" s="280">
        <f t="shared" si="9"/>
        <v>6</v>
      </c>
      <c r="AP19" s="73" t="s">
        <v>128</v>
      </c>
      <c r="AQ19" s="112">
        <f>+FIT_E</f>
        <v>0.21</v>
      </c>
      <c r="AR19" s="438">
        <f>+'[11]Lead E'!D18</f>
        <v>-262570.74185321142</v>
      </c>
      <c r="AS19" s="438">
        <f>+'[11]Lead E'!E18</f>
        <v>-244867.64220550776</v>
      </c>
      <c r="AT19" s="438">
        <f>AS19-AR19</f>
        <v>17703.099647703668</v>
      </c>
      <c r="AU19" s="96">
        <f>+AS19</f>
        <v>-244867.64220550776</v>
      </c>
      <c r="AV19" s="439">
        <f>+AU19-AS19</f>
        <v>0</v>
      </c>
      <c r="AW19" s="95">
        <f>AW18+1</f>
        <v>6</v>
      </c>
      <c r="AX19" s="122" t="s">
        <v>95</v>
      </c>
      <c r="AY19" s="122"/>
      <c r="AZ19" s="103">
        <f>AZ17-AZ18</f>
        <v>-14806777.18903631</v>
      </c>
      <c r="BA19" s="103">
        <f>BA17-BA18</f>
        <v>-14503623.43</v>
      </c>
      <c r="BB19" s="103">
        <f>BB17-BB18</f>
        <v>303153.75903630909</v>
      </c>
      <c r="BC19" s="103">
        <f>BC17-BC18</f>
        <v>-14503623.43</v>
      </c>
      <c r="BD19" s="103">
        <f>BD17-BD18</f>
        <v>0</v>
      </c>
      <c r="BE19" s="95">
        <f t="shared" si="10"/>
        <v>6</v>
      </c>
      <c r="BF19" s="209" t="s">
        <v>164</v>
      </c>
      <c r="BH19" s="98">
        <f>'[22] Electric'!D18</f>
        <v>874064.90702849126</v>
      </c>
      <c r="BI19" s="98">
        <f>'[22] Electric'!E18</f>
        <v>852024.27302863146</v>
      </c>
      <c r="BJ19" s="98">
        <f>'[22] Electric'!F18</f>
        <v>-22040.633999859798</v>
      </c>
      <c r="BK19" s="98">
        <f>'[22] Electric'!G18</f>
        <v>852024.27302863146</v>
      </c>
      <c r="BL19" s="61">
        <f>'[22] Electric'!H18</f>
        <v>0</v>
      </c>
      <c r="BM19" s="117">
        <v>6</v>
      </c>
      <c r="BN19" s="111" t="s">
        <v>155</v>
      </c>
      <c r="BO19" s="53">
        <f>+FIT_E</f>
        <v>0.21</v>
      </c>
      <c r="BP19" s="78">
        <f>-$BO$19*BP18</f>
        <v>-18742367.759175267</v>
      </c>
      <c r="BQ19" s="78">
        <f>-$BO$19*BQ18</f>
        <v>-18723272.441938885</v>
      </c>
      <c r="BR19" s="98">
        <f>BQ19-BP19</f>
        <v>19095.317236382514</v>
      </c>
      <c r="BS19" s="78">
        <f>-$BO$19*BS18</f>
        <v>-18742367.759175267</v>
      </c>
      <c r="BT19" s="57">
        <f>-BT18*BO19</f>
        <v>-19095.31723638187</v>
      </c>
      <c r="BU19" s="134">
        <f t="shared" si="11"/>
        <v>6</v>
      </c>
      <c r="BV19" s="181"/>
      <c r="BX19" s="186"/>
      <c r="BY19" s="186"/>
      <c r="BZ19" s="186"/>
      <c r="CA19" s="186"/>
      <c r="CB19" s="186"/>
      <c r="CK19" s="95">
        <f t="shared" si="12"/>
        <v>6</v>
      </c>
      <c r="CL19" s="245" t="s">
        <v>223</v>
      </c>
      <c r="CM19" s="245"/>
      <c r="CN19" s="98">
        <f>+'[32]Lead E'!$D$15</f>
        <v>0</v>
      </c>
      <c r="CO19" s="98">
        <f>+'[32]Lead E'!$E$15</f>
        <v>68250</v>
      </c>
      <c r="CP19" s="98">
        <f>CO19-CN19</f>
        <v>68250</v>
      </c>
      <c r="CQ19" s="98">
        <f>+CO19</f>
        <v>68250</v>
      </c>
      <c r="CR19" s="98">
        <f>CQ19-CO19</f>
        <v>0</v>
      </c>
      <c r="CS19" s="16"/>
      <c r="DA19" s="16">
        <f>DA18+1</f>
        <v>6</v>
      </c>
      <c r="DB19" s="245" t="s">
        <v>95</v>
      </c>
      <c r="DC19" s="154"/>
      <c r="DD19" s="161">
        <f>-DD16-DD18</f>
        <v>-4572548.2346084611</v>
      </c>
      <c r="DE19" s="161">
        <f>-DE16-DE18</f>
        <v>-4252596.8449997427</v>
      </c>
      <c r="DF19" s="161">
        <f>-DF16-DF18</f>
        <v>319951.38960871822</v>
      </c>
      <c r="DG19" s="161">
        <f>-DG16-DG18</f>
        <v>-4695184.8463036362</v>
      </c>
      <c r="DH19" s="161">
        <f>-DH16-DH18</f>
        <v>-442588.00130389305</v>
      </c>
      <c r="DI19" s="95">
        <f t="shared" si="13"/>
        <v>6</v>
      </c>
      <c r="DJ19" s="170" t="s">
        <v>164</v>
      </c>
      <c r="DK19" s="181"/>
      <c r="DL19" s="190">
        <f>+'[23]Electric RS + RP'!D17</f>
        <v>10657780.915169371</v>
      </c>
      <c r="DM19" s="190">
        <f>+'[23]Electric RS + RP'!E17</f>
        <v>10661461.996836899</v>
      </c>
      <c r="DN19" s="172">
        <f t="shared" si="14"/>
        <v>3681.0816675275564</v>
      </c>
      <c r="DO19" s="172">
        <f>+'[23]Electric RS + RP'!G17</f>
        <v>11005573.481128439</v>
      </c>
      <c r="DP19" s="172">
        <f t="shared" si="15"/>
        <v>344111.48429154046</v>
      </c>
      <c r="DQ19" s="95">
        <f t="shared" si="16"/>
        <v>6</v>
      </c>
      <c r="DR19" s="46"/>
      <c r="DS19" s="187"/>
      <c r="DT19" s="185"/>
      <c r="DU19" s="185"/>
      <c r="DV19" s="185"/>
      <c r="DW19" s="185"/>
      <c r="DX19" s="185"/>
      <c r="DY19" s="280">
        <v>6</v>
      </c>
      <c r="DZ19" s="34" t="s">
        <v>193</v>
      </c>
      <c r="EA19" s="155">
        <f>[35]Lead!$G$43</f>
        <v>0.49997132880489842</v>
      </c>
      <c r="EB19" s="69">
        <f>EB17*$EA$19</f>
        <v>15089207.77566345</v>
      </c>
      <c r="EC19" s="69">
        <f>EC17*$EA$19</f>
        <v>15119397.968220374</v>
      </c>
      <c r="ED19" s="260">
        <f>EC19-EB19</f>
        <v>30190.192556923255</v>
      </c>
      <c r="EE19" s="69">
        <f>EE17*$EA$19</f>
        <v>15994394.029633511</v>
      </c>
      <c r="EF19" s="65">
        <f>EE19-EC19</f>
        <v>874996.06141313724</v>
      </c>
      <c r="EG19" s="280">
        <f t="shared" si="17"/>
        <v>6</v>
      </c>
      <c r="EH19" s="154" t="s">
        <v>38</v>
      </c>
      <c r="EJ19" s="247">
        <f>'[5]Lead E'!C15</f>
        <v>-106223263.53024991</v>
      </c>
      <c r="EK19" s="247">
        <f>'[5]Lead E'!D15</f>
        <v>-108090779.49447501</v>
      </c>
      <c r="EL19" s="247">
        <f t="shared" si="2"/>
        <v>-1867515.9642250985</v>
      </c>
      <c r="EM19" s="247">
        <f t="shared" si="3"/>
        <v>-108090779.49447501</v>
      </c>
      <c r="EN19" s="247">
        <f t="shared" si="4"/>
        <v>0</v>
      </c>
      <c r="EO19" s="280">
        <f t="shared" si="18"/>
        <v>6</v>
      </c>
      <c r="EP19" s="92" t="s">
        <v>392</v>
      </c>
      <c r="ER19" s="96">
        <f>'[18]Lead Electric'!D18</f>
        <v>7708455.0157819996</v>
      </c>
      <c r="ES19" s="96">
        <f>'[18]Lead Electric'!E18</f>
        <v>7809629.5241939761</v>
      </c>
      <c r="ET19" s="96">
        <f>ES19-ER19</f>
        <v>101174.50841197651</v>
      </c>
      <c r="EU19" s="96">
        <f>ES19</f>
        <v>7809629.5241939761</v>
      </c>
      <c r="EV19" s="96">
        <f>EU19-ES19</f>
        <v>0</v>
      </c>
      <c r="EW19" s="82">
        <f t="shared" si="28"/>
        <v>6</v>
      </c>
      <c r="EX19" s="159" t="s">
        <v>116</v>
      </c>
      <c r="EY19" s="155">
        <v>0.21</v>
      </c>
      <c r="EZ19" s="224">
        <f>-$EY$19*EZ17</f>
        <v>160386.10559999998</v>
      </c>
      <c r="FA19" s="224">
        <f>-$EY$19*FA17</f>
        <v>160386.10559999998</v>
      </c>
      <c r="FB19" s="96">
        <f>-$EY$19*FB17</f>
        <v>0</v>
      </c>
      <c r="FC19" s="403">
        <f>-$EY$19*FC17</f>
        <v>902518.54419999977</v>
      </c>
      <c r="FD19" s="224">
        <f>-$EY$19*FD17</f>
        <v>742132.43859999988</v>
      </c>
      <c r="FE19" s="280">
        <f>FE18+1</f>
        <v>6</v>
      </c>
      <c r="FF19" s="197" t="s">
        <v>95</v>
      </c>
      <c r="FG19" s="37"/>
      <c r="FH19" s="289">
        <f>-FH16-FH18</f>
        <v>-1124790.1499999997</v>
      </c>
      <c r="FI19" s="289">
        <f>-FI16-FI18</f>
        <v>-1124790.1499999997</v>
      </c>
      <c r="FJ19" s="289">
        <f>-FJ16-FJ18</f>
        <v>0</v>
      </c>
      <c r="FK19" s="289">
        <f>-FK16-FK18</f>
        <v>-1244907.8016537558</v>
      </c>
      <c r="FL19" s="289">
        <f>-FL16-FL18</f>
        <v>-120117.65165375613</v>
      </c>
      <c r="FM19" s="280">
        <f t="shared" si="19"/>
        <v>6</v>
      </c>
      <c r="FN19" s="181" t="s">
        <v>476</v>
      </c>
      <c r="FO19" s="234"/>
      <c r="FP19" s="238">
        <f>SUM(FP16:FP18)</f>
        <v>0</v>
      </c>
      <c r="FQ19" s="238">
        <f>SUM(FQ16:FQ18)</f>
        <v>0</v>
      </c>
      <c r="FR19" s="238">
        <f>SUM(FR16:FR18)</f>
        <v>0</v>
      </c>
      <c r="FS19" s="238">
        <f>SUM(FS16:FS18)</f>
        <v>20803079.051009424</v>
      </c>
      <c r="FT19" s="238">
        <f>SUM(FT16:FT18)</f>
        <v>20803079.051009424</v>
      </c>
      <c r="FU19" s="95">
        <v>5</v>
      </c>
      <c r="FV19" s="1" t="s">
        <v>565</v>
      </c>
      <c r="FW19" s="232"/>
      <c r="FX19" s="478">
        <f>+'[28]Lead E'!D15</f>
        <v>881986.25952470012</v>
      </c>
      <c r="FY19" s="478">
        <f>+'[28]Lead E'!E15</f>
        <v>881986.25952470012</v>
      </c>
      <c r="FZ19" s="478">
        <f t="shared" si="20"/>
        <v>0</v>
      </c>
      <c r="GA19" s="478">
        <f>+'[28]Lead E'!$G15</f>
        <v>660496.44105000002</v>
      </c>
      <c r="GB19" s="478">
        <f t="shared" si="21"/>
        <v>-221489.81847470009</v>
      </c>
      <c r="GC19" s="165">
        <f t="shared" si="22"/>
        <v>6</v>
      </c>
      <c r="GD19" s="181" t="s">
        <v>476</v>
      </c>
      <c r="GE19" s="234"/>
      <c r="GF19" s="238">
        <f>SUM(GF16:GF18)</f>
        <v>0</v>
      </c>
      <c r="GG19" s="238">
        <f>SUM(GG16:GG18)</f>
        <v>0</v>
      </c>
      <c r="GH19" s="238">
        <f>SUM(GH16:GH18)</f>
        <v>0</v>
      </c>
      <c r="GI19" s="238">
        <f>SUM(GI16:GI18)</f>
        <v>4087618.8281760626</v>
      </c>
      <c r="GJ19" s="238">
        <f>SUM(GJ16:GJ18)</f>
        <v>4087618.8281760626</v>
      </c>
      <c r="GK19" s="165">
        <f t="shared" si="23"/>
        <v>6</v>
      </c>
      <c r="GL19" s="286" t="s">
        <v>116</v>
      </c>
      <c r="GM19" s="259">
        <v>0.21</v>
      </c>
      <c r="GN19" s="247">
        <f>-GN17*GM19</f>
        <v>-174021.12</v>
      </c>
      <c r="GO19" s="247">
        <f>-GO17*GM19</f>
        <v>-174021.12</v>
      </c>
      <c r="GP19" s="247">
        <f>GO19-GN19</f>
        <v>0</v>
      </c>
      <c r="GQ19" s="247">
        <f>-GQ17*GM19</f>
        <v>-47135.724567749996</v>
      </c>
      <c r="GR19" s="247">
        <f>GQ19-GO19</f>
        <v>126885.39543224999</v>
      </c>
      <c r="GS19" s="165">
        <f t="shared" si="24"/>
        <v>6</v>
      </c>
      <c r="GT19" s="286" t="s">
        <v>470</v>
      </c>
      <c r="GU19" s="233"/>
      <c r="GV19" s="156">
        <f>'[30]Lead E'!$D$18</f>
        <v>0</v>
      </c>
      <c r="GW19" s="156">
        <f>GV19</f>
        <v>0</v>
      </c>
      <c r="GX19" s="156">
        <f>GW19-GV19</f>
        <v>0</v>
      </c>
      <c r="GY19" s="156">
        <f>'[30]Lead E'!$G$18</f>
        <v>-9006372.2399999984</v>
      </c>
      <c r="GZ19" s="156">
        <f>GY19-GW19</f>
        <v>-9006372.2399999984</v>
      </c>
      <c r="HA19" s="95">
        <v>6</v>
      </c>
      <c r="HB19" s="1"/>
      <c r="HC19" s="1"/>
      <c r="HD19" s="1027"/>
      <c r="HE19" s="1027"/>
      <c r="HF19" s="1027"/>
      <c r="HG19" s="1027"/>
      <c r="HH19" s="1027"/>
      <c r="HI19" s="165">
        <f t="shared" si="25"/>
        <v>6</v>
      </c>
      <c r="HJ19" s="246"/>
      <c r="HQ19" s="165">
        <f t="shared" si="26"/>
        <v>6</v>
      </c>
      <c r="HR19" s="154" t="s">
        <v>476</v>
      </c>
      <c r="HS19" s="118"/>
      <c r="HT19" s="1035">
        <f>SUM(HT16:HT18)</f>
        <v>0</v>
      </c>
      <c r="HU19" s="1035">
        <f>SUM(HU16:HU18)</f>
        <v>0</v>
      </c>
      <c r="HV19" s="1035">
        <f>SUM(HV16:HV18)</f>
        <v>0</v>
      </c>
      <c r="HW19" s="1035">
        <f>SUM(HW16:HW18)</f>
        <v>5481049.5432116631</v>
      </c>
      <c r="HX19" s="1035">
        <f>SUM(HX16:HX18)</f>
        <v>5481049.5432116631</v>
      </c>
    </row>
    <row r="20" spans="1:232" ht="16.5" thickTop="1" thickBot="1">
      <c r="A20" s="15">
        <f t="shared" si="5"/>
        <v>8</v>
      </c>
      <c r="B20" s="9" t="s">
        <v>524</v>
      </c>
      <c r="C20" s="154"/>
      <c r="D20" s="1083"/>
      <c r="E20" s="1083"/>
      <c r="F20" s="138">
        <v>0</v>
      </c>
      <c r="G20" s="1085"/>
      <c r="H20" s="138">
        <f>'[8]Lead Electric'!G19</f>
        <v>-18966469.07</v>
      </c>
      <c r="I20" s="280">
        <f t="shared" si="0"/>
        <v>8</v>
      </c>
      <c r="J20" s="245" t="s">
        <v>125</v>
      </c>
      <c r="K20" s="146">
        <f>'COC, Def, ConvF'!M12</f>
        <v>8.4790000000000004E-3</v>
      </c>
      <c r="L20" s="147">
        <f>$L$18*$K20</f>
        <v>6852234.8654534481</v>
      </c>
      <c r="M20" s="147">
        <f>M$18*$K20</f>
        <v>6907787.7557124477</v>
      </c>
      <c r="N20" s="147">
        <f>$N$18*$K20</f>
        <v>55552.890259</v>
      </c>
      <c r="O20" s="147">
        <f>O$18*$K20</f>
        <v>7004496.5673064487</v>
      </c>
      <c r="P20" s="147">
        <f>O20-M20</f>
        <v>96708.811594001018</v>
      </c>
      <c r="R20" s="154"/>
      <c r="S20" s="154"/>
      <c r="T20" s="154"/>
      <c r="U20" s="154"/>
      <c r="V20" s="154"/>
      <c r="W20" s="154"/>
      <c r="X20" s="154"/>
      <c r="Y20" s="280">
        <f t="shared" si="6"/>
        <v>7</v>
      </c>
      <c r="Z20" s="25"/>
      <c r="AB20" s="345"/>
      <c r="AC20" s="345"/>
      <c r="AD20" s="345"/>
      <c r="AE20" s="345"/>
      <c r="AF20" s="345"/>
      <c r="AG20" s="15">
        <f t="shared" si="1"/>
        <v>7</v>
      </c>
      <c r="AH20" s="20" t="s">
        <v>134</v>
      </c>
      <c r="AJ20" s="260">
        <f>+'[20]Lead Sheet E'!D17</f>
        <v>-81156080.872999996</v>
      </c>
      <c r="AK20" s="260">
        <f>'[20]Lead Sheet E'!E17</f>
        <v>0</v>
      </c>
      <c r="AL20" s="260">
        <f t="shared" si="7"/>
        <v>81156080.872999996</v>
      </c>
      <c r="AM20" s="260">
        <f t="shared" si="8"/>
        <v>0</v>
      </c>
      <c r="AN20" s="260">
        <f t="shared" si="27"/>
        <v>0</v>
      </c>
      <c r="AO20" s="280">
        <f t="shared" si="9"/>
        <v>7</v>
      </c>
      <c r="AP20" s="154"/>
      <c r="AQ20" s="154"/>
      <c r="AR20" s="109"/>
      <c r="AS20" s="109"/>
      <c r="AT20" s="109"/>
      <c r="AU20" s="443">
        <f>SUM(AU18:AU19)</f>
        <v>921168.74924929114</v>
      </c>
      <c r="AV20" s="454"/>
      <c r="AW20" s="95"/>
      <c r="AX20" s="117"/>
      <c r="AY20" s="95"/>
      <c r="AZ20" s="104"/>
      <c r="BA20" s="105"/>
      <c r="BB20" s="137"/>
      <c r="BC20" s="137"/>
      <c r="BD20" s="137"/>
      <c r="BE20" s="95">
        <f t="shared" si="10"/>
        <v>7</v>
      </c>
      <c r="BF20" s="209" t="s">
        <v>165</v>
      </c>
      <c r="BH20" s="98">
        <f>'[22] Electric'!D19</f>
        <v>108711.12567047201</v>
      </c>
      <c r="BI20" s="98">
        <f>'[22] Electric'!E19</f>
        <v>106039.76376027713</v>
      </c>
      <c r="BJ20" s="98">
        <f>'[22] Electric'!F19</f>
        <v>-2671.3619101948861</v>
      </c>
      <c r="BK20" s="98">
        <f>'[22] Electric'!G19</f>
        <v>106039.76376027713</v>
      </c>
      <c r="BL20" s="61">
        <f>'[22] Electric'!H19</f>
        <v>0</v>
      </c>
      <c r="BM20" s="117">
        <v>7</v>
      </c>
      <c r="BN20" s="111" t="s">
        <v>121</v>
      </c>
      <c r="BO20" s="111"/>
      <c r="BP20" s="54">
        <f>-BP18-BP19</f>
        <v>-70507002.522611722</v>
      </c>
      <c r="BQ20" s="54">
        <f>-BQ18-BQ19</f>
        <v>-70435167.757770091</v>
      </c>
      <c r="BR20" s="54">
        <f>-BR18-BR19</f>
        <v>71834.76484162733</v>
      </c>
      <c r="BS20" s="54">
        <f>-BS18-BS19</f>
        <v>-70507002.522611722</v>
      </c>
      <c r="BT20" s="54">
        <f>-BT18-BT19</f>
        <v>-71834.764841627039</v>
      </c>
      <c r="BU20" s="134">
        <f t="shared" si="11"/>
        <v>7</v>
      </c>
      <c r="BV20" s="205" t="s">
        <v>128</v>
      </c>
      <c r="BW20" s="230">
        <f>FIT_E</f>
        <v>0.21</v>
      </c>
      <c r="BX20" s="193">
        <f>-BX18*$BW$20</f>
        <v>-17672.494185852189</v>
      </c>
      <c r="BY20" s="193">
        <f>-BY18*$BW$20</f>
        <v>-16263.27870541564</v>
      </c>
      <c r="BZ20" s="193">
        <f>-BZ18*$BW$20</f>
        <v>1409.2154804365487</v>
      </c>
      <c r="CA20" s="193">
        <f>-CA18*$BW$20</f>
        <v>-17672.494185852189</v>
      </c>
      <c r="CB20" s="193">
        <f>-CB18*$BW$20</f>
        <v>-1409.2154804365487</v>
      </c>
      <c r="CK20" s="95">
        <f t="shared" si="12"/>
        <v>7</v>
      </c>
      <c r="CL20" s="245" t="s">
        <v>142</v>
      </c>
      <c r="CM20" s="245"/>
      <c r="CN20" s="455">
        <f>SUM(CN16:CN19)</f>
        <v>-11803.907603</v>
      </c>
      <c r="CO20" s="455">
        <f>SUM(CO16:CO19)</f>
        <v>616750</v>
      </c>
      <c r="CP20" s="455">
        <f>SUM(CP16:CP19)</f>
        <v>628553.90760300006</v>
      </c>
      <c r="CQ20" s="455">
        <f>SUM(CQ16:CQ19)</f>
        <v>616750</v>
      </c>
      <c r="CR20" s="455">
        <f>SUM(CR16:CR19)</f>
        <v>0</v>
      </c>
      <c r="CS20" s="16"/>
      <c r="DA20" s="16"/>
      <c r="DI20" s="95">
        <f t="shared" si="13"/>
        <v>7</v>
      </c>
      <c r="DJ20" s="170" t="s">
        <v>165</v>
      </c>
      <c r="DK20" s="181"/>
      <c r="DL20" s="190">
        <f>+'[23]Electric RS + RP'!D18</f>
        <v>1325772.7039111818</v>
      </c>
      <c r="DM20" s="171">
        <f>+'[23]Electric RS + RP'!E18</f>
        <v>1326921.5073119954</v>
      </c>
      <c r="DN20" s="172">
        <f t="shared" si="14"/>
        <v>1148.8034008136019</v>
      </c>
      <c r="DO20" s="172">
        <f>+'[23]Electric RS + RP'!G18</f>
        <v>1376273.7558263356</v>
      </c>
      <c r="DP20" s="172">
        <f t="shared" si="15"/>
        <v>49352.248514340259</v>
      </c>
      <c r="DQ20" s="95">
        <f t="shared" si="16"/>
        <v>7</v>
      </c>
      <c r="DR20" s="201" t="s">
        <v>189</v>
      </c>
      <c r="DS20" s="188"/>
      <c r="DT20" s="185"/>
      <c r="DU20" s="185"/>
      <c r="DV20" s="185"/>
      <c r="DW20" s="185"/>
      <c r="DX20" s="185"/>
      <c r="DY20" s="280">
        <v>7</v>
      </c>
      <c r="DZ20" s="160" t="s">
        <v>405</v>
      </c>
      <c r="EA20" s="35"/>
      <c r="EB20" s="449">
        <f>'[25]Lead Elec'!$D$19</f>
        <v>15121148.928192388</v>
      </c>
      <c r="EC20" s="449">
        <f>'[25]Lead Elec'!$D$19</f>
        <v>15121148.928192388</v>
      </c>
      <c r="ED20" s="450">
        <f>EC20-EB20</f>
        <v>0</v>
      </c>
      <c r="EE20" s="449">
        <f>'[25]Lead Elec'!$D$19</f>
        <v>15121148.928192388</v>
      </c>
      <c r="EF20" s="442">
        <f>EE20-EC20</f>
        <v>0</v>
      </c>
      <c r="EG20" s="280">
        <f t="shared" si="17"/>
        <v>7</v>
      </c>
      <c r="EH20" s="154" t="s">
        <v>39</v>
      </c>
      <c r="EJ20" s="388">
        <f>SUM(EJ14:EJ19)</f>
        <v>5208778506.3049917</v>
      </c>
      <c r="EK20" s="388">
        <f>SUM(EK14:EK19)</f>
        <v>5399524737.4581327</v>
      </c>
      <c r="EL20" s="388">
        <f>SUM(EL14:EL19)</f>
        <v>190746231.15314114</v>
      </c>
      <c r="EM20" s="388">
        <f>SUM(EM14:EM19)</f>
        <v>5399524737.4581327</v>
      </c>
      <c r="EN20" s="476">
        <f>SUM(EN14:EN19)</f>
        <v>0</v>
      </c>
      <c r="EO20" s="280">
        <f t="shared" si="18"/>
        <v>7</v>
      </c>
      <c r="EP20" s="92" t="s">
        <v>393</v>
      </c>
      <c r="ER20" s="247">
        <f>'[18]Lead Electric'!D19</f>
        <v>3557679.0999999996</v>
      </c>
      <c r="ES20" s="247">
        <f>'[18]Lead Electric'!E19</f>
        <v>3537694.0799999996</v>
      </c>
      <c r="ET20" s="247">
        <f>ES20-ER20</f>
        <v>-19985.020000000019</v>
      </c>
      <c r="EU20" s="247">
        <f>ES20</f>
        <v>3537694.0799999996</v>
      </c>
      <c r="EV20" s="247">
        <f>EU20-ES20</f>
        <v>0</v>
      </c>
      <c r="EW20" s="82">
        <f t="shared" si="28"/>
        <v>7</v>
      </c>
      <c r="EX20" s="159" t="s">
        <v>95</v>
      </c>
      <c r="EY20" s="159"/>
      <c r="EZ20" s="289">
        <f>-EZ17-EZ19</f>
        <v>603357.25439999998</v>
      </c>
      <c r="FA20" s="289">
        <f>-FA17-FA19</f>
        <v>603357.25439999998</v>
      </c>
      <c r="FB20" s="289">
        <f>-FB17-FB19</f>
        <v>0</v>
      </c>
      <c r="FC20" s="423">
        <f>-FC17-FC19</f>
        <v>3395188.8091333327</v>
      </c>
      <c r="FD20" s="289">
        <f>-FD17-FD19</f>
        <v>2791831.5547333327</v>
      </c>
      <c r="FE20" s="280"/>
      <c r="FF20" s="40"/>
      <c r="FG20" s="40"/>
      <c r="FH20" s="198"/>
      <c r="FI20" s="198"/>
      <c r="FJ20" s="199"/>
      <c r="FK20" s="263"/>
      <c r="FL20" s="12"/>
      <c r="FM20" s="280">
        <f t="shared" si="19"/>
        <v>7</v>
      </c>
      <c r="FN20" s="8" t="s">
        <v>477</v>
      </c>
      <c r="FO20" s="234"/>
      <c r="FP20" s="238"/>
      <c r="FQ20" s="238"/>
      <c r="FR20" s="238"/>
      <c r="FS20" s="238"/>
      <c r="FT20" s="238"/>
      <c r="FU20" s="95">
        <v>6</v>
      </c>
      <c r="FV20" s="1" t="s">
        <v>566</v>
      </c>
      <c r="FW20" s="232"/>
      <c r="FX20" s="478">
        <f>+'[28]Lead E'!D16</f>
        <v>324257.87030945002</v>
      </c>
      <c r="FY20" s="478">
        <f>+'[28]Lead E'!E16</f>
        <v>324257.87030945002</v>
      </c>
      <c r="FZ20" s="478">
        <f t="shared" si="20"/>
        <v>0</v>
      </c>
      <c r="GA20" s="478">
        <f>+'[28]Lead E'!$G16</f>
        <v>783108.6066846</v>
      </c>
      <c r="GB20" s="478">
        <f t="shared" si="21"/>
        <v>458850.73637514998</v>
      </c>
      <c r="GC20" s="165">
        <f t="shared" si="22"/>
        <v>7</v>
      </c>
      <c r="GD20" s="181"/>
      <c r="GE20" s="234"/>
      <c r="GF20" s="238"/>
      <c r="GG20" s="238"/>
      <c r="GH20" s="238"/>
      <c r="GI20" s="238"/>
      <c r="GJ20" s="238"/>
      <c r="GK20" s="165">
        <f t="shared" si="23"/>
        <v>7</v>
      </c>
      <c r="GL20" s="286" t="s">
        <v>95</v>
      </c>
      <c r="GN20" s="200">
        <f>-GN17-GN19</f>
        <v>-654650.88</v>
      </c>
      <c r="GO20" s="200">
        <f>-GO17-GO19</f>
        <v>-654650.88</v>
      </c>
      <c r="GP20" s="200">
        <f>-GP17-GP19</f>
        <v>0</v>
      </c>
      <c r="GQ20" s="200">
        <f>-GQ17-GQ19</f>
        <v>-177320.10670725</v>
      </c>
      <c r="GR20" s="200">
        <f>-GR17-GR19</f>
        <v>477330.77329275</v>
      </c>
      <c r="GS20" s="165">
        <f t="shared" si="24"/>
        <v>7</v>
      </c>
      <c r="GT20" s="286" t="s">
        <v>110</v>
      </c>
      <c r="GU20" s="97"/>
      <c r="GV20" s="276">
        <f>GV19</f>
        <v>0</v>
      </c>
      <c r="GW20" s="276">
        <f>GW19</f>
        <v>0</v>
      </c>
      <c r="GX20" s="276">
        <f>GX19</f>
        <v>0</v>
      </c>
      <c r="GY20" s="276">
        <f>GY19</f>
        <v>-9006372.2399999984</v>
      </c>
      <c r="GZ20" s="276">
        <f>GZ19</f>
        <v>-9006372.2399999984</v>
      </c>
      <c r="HA20" s="95">
        <v>7</v>
      </c>
      <c r="HB20" s="235" t="s">
        <v>452</v>
      </c>
      <c r="HC20" s="235"/>
      <c r="HD20" s="1027"/>
      <c r="HE20" s="1027"/>
      <c r="HF20" s="1027"/>
      <c r="HG20" s="1027"/>
      <c r="HH20" s="1027"/>
      <c r="HI20" s="165">
        <f t="shared" si="25"/>
        <v>7</v>
      </c>
      <c r="HJ20" s="246" t="s">
        <v>146</v>
      </c>
      <c r="HK20" s="106">
        <f>FIT_E</f>
        <v>0.21</v>
      </c>
      <c r="HL20" s="247">
        <f>-HL18*HK20</f>
        <v>-13141610.04428055</v>
      </c>
      <c r="HM20" s="247">
        <f>-HM18*HK20</f>
        <v>-13141610.04428055</v>
      </c>
      <c r="HN20" s="247">
        <f>HM20-HL20</f>
        <v>0</v>
      </c>
      <c r="HO20" s="247">
        <f>-HO18*HK20</f>
        <v>-13495347.323287621</v>
      </c>
      <c r="HP20" s="247">
        <f>HO20-HM20</f>
        <v>-353737.27900707163</v>
      </c>
      <c r="HQ20" s="165">
        <f t="shared" si="26"/>
        <v>7</v>
      </c>
      <c r="HS20" s="118"/>
      <c r="HT20" s="1033"/>
      <c r="HU20" s="1033"/>
      <c r="HV20" s="1033"/>
      <c r="HW20" s="1033"/>
      <c r="HX20" s="1033"/>
    </row>
    <row r="21" spans="1:232" ht="16.5" thickTop="1" thickBot="1">
      <c r="A21" s="15">
        <f t="shared" si="5"/>
        <v>9</v>
      </c>
      <c r="B21" s="9" t="s">
        <v>518</v>
      </c>
      <c r="C21" s="154"/>
      <c r="D21" s="1083"/>
      <c r="E21" s="1083"/>
      <c r="F21" s="138">
        <f>'[8]Lead Electric'!E20</f>
        <v>114.23000000000138</v>
      </c>
      <c r="G21" s="1085"/>
      <c r="H21" s="138">
        <v>0</v>
      </c>
      <c r="I21" s="280">
        <f t="shared" si="0"/>
        <v>9</v>
      </c>
      <c r="J21" s="245" t="s">
        <v>126</v>
      </c>
      <c r="K21" s="146">
        <f>'COC, Def, ConvF'!M13</f>
        <v>2E-3</v>
      </c>
      <c r="L21" s="147">
        <f>$L$18*$K21</f>
        <v>1616283.7281409244</v>
      </c>
      <c r="M21" s="147">
        <f>$M$18*$K21</f>
        <v>1629387.3701409241</v>
      </c>
      <c r="N21" s="147">
        <f>$N$18*$K21</f>
        <v>13103.642</v>
      </c>
      <c r="O21" s="147">
        <f>O$18*$K21</f>
        <v>1652198.7421409243</v>
      </c>
      <c r="P21" s="147">
        <f>O21-M21</f>
        <v>22811.372000000207</v>
      </c>
      <c r="R21" s="23"/>
      <c r="S21" s="23"/>
      <c r="T21" s="23"/>
      <c r="U21" s="23"/>
      <c r="V21" s="23"/>
      <c r="W21" s="23"/>
      <c r="X21" s="23"/>
      <c r="Y21" s="280">
        <f t="shared" si="6"/>
        <v>8</v>
      </c>
      <c r="Z21" s="10" t="s">
        <v>154</v>
      </c>
      <c r="AA21" s="106">
        <f>FIT_E</f>
        <v>0.21</v>
      </c>
      <c r="AB21" s="350">
        <f>-AB19*$AA$21</f>
        <v>0</v>
      </c>
      <c r="AC21" s="350">
        <f>-AC19*$AA$21</f>
        <v>-33118422.164963614</v>
      </c>
      <c r="AD21" s="350">
        <f>-AD19*$AA$21</f>
        <v>-33118422.164963614</v>
      </c>
      <c r="AE21" s="350">
        <f>-AE19*$AA$21</f>
        <v>-32459399.750120666</v>
      </c>
      <c r="AF21" s="350">
        <f>-AF19*$AA$21</f>
        <v>659022.41484294983</v>
      </c>
      <c r="AG21" s="15">
        <f t="shared" si="1"/>
        <v>8</v>
      </c>
      <c r="AH21" s="131" t="s">
        <v>213</v>
      </c>
      <c r="AJ21" s="260">
        <f>+'[20]Lead Sheet E'!D18</f>
        <v>-657452.02800000005</v>
      </c>
      <c r="AK21" s="260">
        <f>'[20]Lead Sheet E'!E18</f>
        <v>0</v>
      </c>
      <c r="AL21" s="260">
        <f t="shared" si="7"/>
        <v>657452.02800000005</v>
      </c>
      <c r="AM21" s="260">
        <f t="shared" si="8"/>
        <v>0</v>
      </c>
      <c r="AN21" s="260">
        <f t="shared" si="27"/>
        <v>0</v>
      </c>
      <c r="AO21" s="280">
        <f t="shared" si="9"/>
        <v>8</v>
      </c>
      <c r="AP21" s="74" t="s">
        <v>95</v>
      </c>
      <c r="AQ21" s="74"/>
      <c r="AR21" s="75">
        <f>-AR18-AR19</f>
        <v>-987766.12411446206</v>
      </c>
      <c r="AS21" s="75">
        <f>-AS18-AS19</f>
        <v>-921168.74924929114</v>
      </c>
      <c r="AT21" s="75">
        <f>-AT18-AT19</f>
        <v>66597.374865170947</v>
      </c>
      <c r="AU21" s="75">
        <f>-AU18-AU19</f>
        <v>-921168.74924929114</v>
      </c>
      <c r="AV21" s="75">
        <f>-AV18-AV19</f>
        <v>0</v>
      </c>
      <c r="AW21" s="95"/>
      <c r="AX21" s="117"/>
      <c r="AY21" s="95"/>
      <c r="AZ21" s="107"/>
      <c r="BA21" s="108"/>
      <c r="BB21" s="109"/>
      <c r="BC21" s="108"/>
      <c r="BD21" s="108"/>
      <c r="BE21" s="95">
        <f t="shared" si="10"/>
        <v>8</v>
      </c>
      <c r="BF21" s="209" t="s">
        <v>166</v>
      </c>
      <c r="BH21" s="98">
        <f>'[22] Electric'!D20</f>
        <v>39554.718969287766</v>
      </c>
      <c r="BI21" s="98">
        <f>'[22] Electric'!E20</f>
        <v>38617.715938259505</v>
      </c>
      <c r="BJ21" s="98">
        <f>'[22] Electric'!F20</f>
        <v>-937.00303102826001</v>
      </c>
      <c r="BK21" s="98">
        <f>'[22] Electric'!G20</f>
        <v>38617.715938259505</v>
      </c>
      <c r="BL21" s="61">
        <f>'[22] Electric'!H20</f>
        <v>0</v>
      </c>
      <c r="BM21" s="16"/>
      <c r="BN21" s="55"/>
      <c r="BO21" s="61"/>
      <c r="BP21" s="46"/>
      <c r="BQ21" s="46"/>
      <c r="BR21" s="46"/>
      <c r="BS21" s="46"/>
      <c r="BT21" s="46"/>
      <c r="BU21" s="134">
        <f t="shared" si="11"/>
        <v>8</v>
      </c>
      <c r="BV21" s="205" t="s">
        <v>95</v>
      </c>
      <c r="BW21" s="231"/>
      <c r="BX21" s="167">
        <f>-BX18-BX20</f>
        <v>-66482.240032491565</v>
      </c>
      <c r="BY21" s="167">
        <f>-BY18-BY20</f>
        <v>-61180.905606087414</v>
      </c>
      <c r="BZ21" s="167">
        <f>-BZ18-BZ20</f>
        <v>5301.3344264041589</v>
      </c>
      <c r="CA21" s="167">
        <f>-CA18-CA20</f>
        <v>-66482.240032491565</v>
      </c>
      <c r="CB21" s="167">
        <f>-CB18-CB20</f>
        <v>-5301.3344264041589</v>
      </c>
      <c r="CK21" s="95">
        <f t="shared" si="12"/>
        <v>8</v>
      </c>
      <c r="CL21" s="246"/>
      <c r="CM21" s="246"/>
      <c r="DA21" s="16"/>
      <c r="DI21" s="95">
        <f t="shared" si="13"/>
        <v>8</v>
      </c>
      <c r="DJ21" s="170" t="s">
        <v>166</v>
      </c>
      <c r="DK21" s="181"/>
      <c r="DL21" s="190">
        <f>+'[23]Electric RS + RP'!D19</f>
        <v>482719.13067690859</v>
      </c>
      <c r="DM21" s="190">
        <f>+'[23]Electric RS + RP'!E19</f>
        <v>483201.84980758541</v>
      </c>
      <c r="DN21" s="172">
        <f t="shared" si="14"/>
        <v>482.71913067682181</v>
      </c>
      <c r="DO21" s="172">
        <f>+'[23]Electric RS + RP'!G19</f>
        <v>501708.48065521597</v>
      </c>
      <c r="DP21" s="172">
        <f t="shared" si="15"/>
        <v>18506.630847630557</v>
      </c>
      <c r="DQ21" s="95">
        <f t="shared" si="16"/>
        <v>8</v>
      </c>
      <c r="DR21" s="111" t="s">
        <v>190</v>
      </c>
      <c r="DS21" s="189"/>
      <c r="DT21" s="185">
        <f>+[24]Electric!D20</f>
        <v>1056410.8019999999</v>
      </c>
      <c r="DU21" s="185">
        <f>+[24]Electric!E20</f>
        <v>1080180.0450449998</v>
      </c>
      <c r="DV21" s="185">
        <f>+DU21-DT21</f>
        <v>23769.243044999894</v>
      </c>
      <c r="DW21" s="185">
        <f>+[24]Electric!G20</f>
        <v>1143181.5461722496</v>
      </c>
      <c r="DX21" s="185">
        <f>+DW21-DU21</f>
        <v>63001.501127249794</v>
      </c>
      <c r="DY21" s="280">
        <v>8</v>
      </c>
      <c r="DZ21" s="159" t="s">
        <v>103</v>
      </c>
      <c r="EA21" s="154"/>
      <c r="EB21" s="263">
        <f>EB19-EB20</f>
        <v>-31941.152528937906</v>
      </c>
      <c r="EC21" s="263">
        <f>EC19-EC20</f>
        <v>-1750.9599720146507</v>
      </c>
      <c r="ED21" s="157">
        <f>EC21-EB21</f>
        <v>30190.192556923255</v>
      </c>
      <c r="EE21" s="263">
        <f>EE19-EE20</f>
        <v>873245.10144112259</v>
      </c>
      <c r="EF21" s="108">
        <f>SUM(EF19:EF20)</f>
        <v>874996.06141313724</v>
      </c>
      <c r="EG21" s="280"/>
      <c r="EJ21" s="96"/>
      <c r="EK21" s="96"/>
      <c r="EL21" s="96"/>
      <c r="EM21" s="96"/>
      <c r="EN21" s="96"/>
      <c r="EO21" s="280">
        <f t="shared" si="18"/>
        <v>8</v>
      </c>
      <c r="EP21" s="92" t="s">
        <v>394</v>
      </c>
      <c r="ER21" s="96">
        <f>SUM(ER18:ER20)</f>
        <v>405261817.13353872</v>
      </c>
      <c r="ES21" s="96">
        <f>SUM(ES18:ES20)</f>
        <v>426660492.4238199</v>
      </c>
      <c r="ET21" s="96">
        <f>SUM(ET18:ET20)</f>
        <v>21398675.290281195</v>
      </c>
      <c r="EU21" s="96">
        <f>SUM(EU18:EU20)</f>
        <v>426660492.4238199</v>
      </c>
      <c r="EV21" s="96">
        <f>SUM(EV18:EV20)</f>
        <v>0</v>
      </c>
      <c r="EW21" s="82"/>
      <c r="FE21" s="280"/>
      <c r="FF21" s="400"/>
      <c r="FG21" s="400"/>
      <c r="FH21" s="400"/>
      <c r="FI21" s="1"/>
      <c r="FJ21" s="1"/>
      <c r="FK21" s="1"/>
      <c r="FL21" s="1"/>
      <c r="FM21" s="280">
        <f t="shared" si="19"/>
        <v>8</v>
      </c>
      <c r="FN21" s="234" t="s">
        <v>459</v>
      </c>
      <c r="FO21" s="234"/>
      <c r="FP21" s="108">
        <v>0</v>
      </c>
      <c r="FQ21" s="108">
        <v>0</v>
      </c>
      <c r="FR21" s="108">
        <f>+'[33]Lead E'!F21</f>
        <v>0</v>
      </c>
      <c r="FS21" s="108">
        <f>+'[33]Lead E'!G21</f>
        <v>11304151.202868855</v>
      </c>
      <c r="FT21" s="108">
        <f>+FS21-FR21</f>
        <v>11304151.202868855</v>
      </c>
      <c r="FU21" s="95">
        <v>7</v>
      </c>
      <c r="FV21" s="1" t="s">
        <v>567</v>
      </c>
      <c r="FW21" s="232"/>
      <c r="FX21" s="478">
        <f>+'[28]Lead E'!D17</f>
        <v>894121.3755996502</v>
      </c>
      <c r="FY21" s="478">
        <f>+'[28]Lead E'!E17</f>
        <v>894121.3755996502</v>
      </c>
      <c r="FZ21" s="478">
        <f t="shared" si="20"/>
        <v>0</v>
      </c>
      <c r="GA21" s="478">
        <f>+'[28]Lead E'!$G17</f>
        <v>715521.3874128001</v>
      </c>
      <c r="GB21" s="478">
        <f t="shared" si="21"/>
        <v>-178599.9881868501</v>
      </c>
      <c r="GC21" s="165">
        <f t="shared" si="22"/>
        <v>8</v>
      </c>
      <c r="GD21" s="8" t="s">
        <v>477</v>
      </c>
      <c r="GE21" s="234"/>
      <c r="GF21" s="108"/>
      <c r="GG21" s="108"/>
      <c r="GH21" s="108"/>
      <c r="GI21" s="108"/>
      <c r="GJ21" s="108"/>
      <c r="GK21" s="165"/>
      <c r="GS21" s="165">
        <f t="shared" si="24"/>
        <v>8</v>
      </c>
      <c r="GU21" s="111"/>
      <c r="GV21" s="118"/>
      <c r="GW21" s="118"/>
      <c r="GX21" s="118"/>
      <c r="GY21" s="118"/>
      <c r="GZ21" s="118"/>
      <c r="HA21" s="95">
        <v>8</v>
      </c>
      <c r="HB21" s="399" t="s">
        <v>102</v>
      </c>
      <c r="HC21" s="399"/>
      <c r="HD21" s="1022">
        <v>0</v>
      </c>
      <c r="HE21" s="1022">
        <v>0</v>
      </c>
      <c r="HF21" s="1022">
        <f>HE21-HD21</f>
        <v>0</v>
      </c>
      <c r="HG21" s="1022">
        <f>+'[31]Lead E'!G20</f>
        <v>375013.99657122983</v>
      </c>
      <c r="HH21" s="1022">
        <f>HG21-HF21</f>
        <v>375013.99657122983</v>
      </c>
      <c r="HI21" s="165">
        <f t="shared" si="25"/>
        <v>8</v>
      </c>
      <c r="HJ21" s="246" t="s">
        <v>121</v>
      </c>
      <c r="HL21" s="289">
        <f>-HL18-HL20</f>
        <v>-49437485.404674448</v>
      </c>
      <c r="HM21" s="289">
        <f>-HM18-HM20</f>
        <v>-49437485.404674448</v>
      </c>
      <c r="HN21" s="289">
        <f>-HN18-HN20</f>
        <v>0</v>
      </c>
      <c r="HO21" s="289">
        <f>-HO18-HO20</f>
        <v>-50768211.359034389</v>
      </c>
      <c r="HP21" s="289">
        <f>-HP18-HP20</f>
        <v>-1330725.9543599267</v>
      </c>
      <c r="HQ21" s="165">
        <f t="shared" si="26"/>
        <v>8</v>
      </c>
      <c r="HR21" s="286" t="s">
        <v>462</v>
      </c>
      <c r="HS21" s="118"/>
      <c r="HT21" s="1035">
        <f t="shared" ref="HT21:HV21" si="30">HT19</f>
        <v>0</v>
      </c>
      <c r="HU21" s="1035">
        <f t="shared" si="30"/>
        <v>0</v>
      </c>
      <c r="HV21" s="1035">
        <f t="shared" si="30"/>
        <v>0</v>
      </c>
      <c r="HW21" s="1035">
        <f>HW19</f>
        <v>5481049.5432116631</v>
      </c>
      <c r="HX21" s="1035">
        <f t="shared" ref="HX21" si="31">HX19</f>
        <v>5481049.5432116631</v>
      </c>
    </row>
    <row r="22" spans="1:232" ht="16.5" thickTop="1" thickBot="1">
      <c r="A22" s="15">
        <f t="shared" si="5"/>
        <v>10</v>
      </c>
      <c r="B22" s="9" t="s">
        <v>370</v>
      </c>
      <c r="C22" s="154"/>
      <c r="D22" s="1084"/>
      <c r="E22" s="1084"/>
      <c r="F22" s="456">
        <f>'[8]Lead Electric'!E21</f>
        <v>3810955</v>
      </c>
      <c r="G22" s="1084"/>
      <c r="H22" s="456">
        <v>0</v>
      </c>
      <c r="I22" s="280">
        <f t="shared" si="0"/>
        <v>10</v>
      </c>
      <c r="J22" s="245" t="s">
        <v>127</v>
      </c>
      <c r="K22" s="146">
        <f>'COC, Def, ConvF'!M14</f>
        <v>3.8406000000000003E-2</v>
      </c>
      <c r="L22" s="147">
        <f>$L$18*$K22</f>
        <v>31037496.431490168</v>
      </c>
      <c r="M22" s="147">
        <f>$M$18*$K22</f>
        <v>31289125.668816164</v>
      </c>
      <c r="N22" s="147">
        <f>$N$18*$K22</f>
        <v>251629.23732600003</v>
      </c>
      <c r="O22" s="147">
        <f>O$18*$K22</f>
        <v>31727172.44533217</v>
      </c>
      <c r="P22" s="147">
        <f>O22-M22</f>
        <v>438046.7765160054</v>
      </c>
      <c r="R22" s="154"/>
      <c r="S22" s="154"/>
      <c r="T22" s="154"/>
      <c r="U22" s="154"/>
      <c r="V22" s="154"/>
      <c r="W22" s="154"/>
      <c r="X22" s="154"/>
      <c r="Y22" s="280">
        <f t="shared" si="6"/>
        <v>9</v>
      </c>
      <c r="Z22" s="10" t="s">
        <v>95</v>
      </c>
      <c r="AB22" s="379">
        <f>-AB21</f>
        <v>0</v>
      </c>
      <c r="AC22" s="379">
        <f>-AC21</f>
        <v>33118422.164963614</v>
      </c>
      <c r="AD22" s="379">
        <f>-AD21</f>
        <v>33118422.164963614</v>
      </c>
      <c r="AE22" s="379">
        <f>-AE21</f>
        <v>32459399.750120666</v>
      </c>
      <c r="AF22" s="379">
        <f>-AF21</f>
        <v>-659022.41484294983</v>
      </c>
      <c r="AG22" s="15">
        <f t="shared" si="1"/>
        <v>9</v>
      </c>
      <c r="AH22" s="131" t="s">
        <v>214</v>
      </c>
      <c r="AJ22" s="260">
        <f>+'[20]Lead Sheet E'!D19</f>
        <v>544146.44999999995</v>
      </c>
      <c r="AK22" s="260">
        <f>'[20]Lead Sheet E'!E19</f>
        <v>0</v>
      </c>
      <c r="AL22" s="260">
        <f t="shared" si="7"/>
        <v>-544146.44999999995</v>
      </c>
      <c r="AM22" s="260">
        <f t="shared" si="8"/>
        <v>0</v>
      </c>
      <c r="AN22" s="260">
        <f t="shared" si="27"/>
        <v>0</v>
      </c>
      <c r="AO22" s="16"/>
      <c r="AT22" s="144"/>
      <c r="AW22" s="95"/>
      <c r="AX22" s="95"/>
      <c r="AY22" s="95"/>
      <c r="AZ22" s="107"/>
      <c r="BA22" s="108"/>
      <c r="BB22" s="109"/>
      <c r="BC22" s="108"/>
      <c r="BD22" s="108"/>
      <c r="BE22" s="95">
        <f t="shared" si="10"/>
        <v>9</v>
      </c>
      <c r="BF22" s="209" t="s">
        <v>167</v>
      </c>
      <c r="BH22" s="440">
        <f>'[22] Electric'!D21</f>
        <v>2305765.9693311718</v>
      </c>
      <c r="BI22" s="440">
        <f>'[22] Electric'!E21</f>
        <v>2249122.2129821805</v>
      </c>
      <c r="BJ22" s="440">
        <f>'[22] Electric'!F21</f>
        <v>-56643.756348991301</v>
      </c>
      <c r="BK22" s="440">
        <f>'[22] Electric'!G21</f>
        <v>2249122.2129821805</v>
      </c>
      <c r="BL22" s="61">
        <f>'[22] Electric'!H21</f>
        <v>0</v>
      </c>
      <c r="BM22" s="16"/>
      <c r="BU22" s="134"/>
      <c r="BV22" s="118"/>
      <c r="BW22" s="118"/>
      <c r="CK22" s="95">
        <f t="shared" si="12"/>
        <v>9</v>
      </c>
      <c r="CL22" s="246" t="s">
        <v>260</v>
      </c>
      <c r="CM22" s="259">
        <f>+FIT_E</f>
        <v>0.21</v>
      </c>
      <c r="CN22" s="260">
        <f>-CN20*$CM$22</f>
        <v>2478.8205966299997</v>
      </c>
      <c r="CO22" s="260">
        <f>-CO20*$CM$22</f>
        <v>-129517.5</v>
      </c>
      <c r="CP22" s="98">
        <f>CO22-CN22</f>
        <v>-131996.32059662999</v>
      </c>
      <c r="CQ22" s="260">
        <f>+CO22</f>
        <v>-129517.5</v>
      </c>
      <c r="CR22" s="260">
        <f>CQ22-CO22</f>
        <v>0</v>
      </c>
      <c r="DA22" s="16"/>
      <c r="DI22" s="95">
        <f t="shared" si="13"/>
        <v>9</v>
      </c>
      <c r="DJ22" s="170" t="s">
        <v>167</v>
      </c>
      <c r="DK22" s="181"/>
      <c r="DL22" s="457">
        <f>+'[23]Electric RS + RP'!D20</f>
        <v>28115834.299467236</v>
      </c>
      <c r="DM22" s="457">
        <f>+'[23]Electric RS + RP'!E20</f>
        <v>28143396.613986582</v>
      </c>
      <c r="DN22" s="458">
        <f t="shared" si="14"/>
        <v>27562.31451934576</v>
      </c>
      <c r="DO22" s="458">
        <f>+'[23]Electric RS + RP'!G20</f>
        <v>29215057.33172036</v>
      </c>
      <c r="DP22" s="458">
        <f t="shared" si="15"/>
        <v>1071660.7177337781</v>
      </c>
      <c r="DQ22" s="95">
        <f t="shared" si="16"/>
        <v>9</v>
      </c>
      <c r="DR22" s="46"/>
      <c r="DS22" s="187"/>
      <c r="DT22" s="470"/>
      <c r="DU22" s="470"/>
      <c r="DV22" s="470"/>
      <c r="DW22" s="470"/>
      <c r="DX22" s="470"/>
      <c r="DY22" s="280">
        <v>9</v>
      </c>
      <c r="DZ22" s="111"/>
      <c r="EA22" s="154"/>
      <c r="EB22" s="154"/>
      <c r="EC22" s="154"/>
      <c r="ED22" s="287"/>
      <c r="EE22" s="287"/>
      <c r="EF22" s="65"/>
      <c r="EG22" s="280"/>
      <c r="EH22" s="1012" t="s">
        <v>962</v>
      </c>
      <c r="EJ22" s="1"/>
      <c r="EK22" s="632"/>
      <c r="EL22" s="1"/>
      <c r="EM22" s="1"/>
      <c r="EN22" s="1"/>
      <c r="EO22" s="280">
        <f t="shared" si="18"/>
        <v>9</v>
      </c>
      <c r="EW22" s="82"/>
      <c r="EX22" s="650"/>
      <c r="EY22" s="650"/>
      <c r="EZ22" s="650"/>
      <c r="FA22" s="650"/>
      <c r="FB22" s="650"/>
      <c r="FE22" s="280"/>
      <c r="FF22" s="10"/>
      <c r="FG22" s="10"/>
      <c r="FH22" s="10"/>
      <c r="FI22" s="1"/>
      <c r="FJ22" s="1"/>
      <c r="FK22" s="1"/>
      <c r="FL22" s="1"/>
      <c r="FM22" s="280">
        <f t="shared" si="19"/>
        <v>9</v>
      </c>
      <c r="FN22" s="234" t="s">
        <v>460</v>
      </c>
      <c r="FO22" s="234"/>
      <c r="FP22" s="108">
        <v>0</v>
      </c>
      <c r="FQ22" s="108">
        <v>0</v>
      </c>
      <c r="FR22" s="108">
        <f>+'[33]Lead E'!F22</f>
        <v>0</v>
      </c>
      <c r="FS22" s="108">
        <f>+'[33]Lead E'!G22</f>
        <v>-1884025.2004781428</v>
      </c>
      <c r="FT22" s="108">
        <f>+FS22-FR22</f>
        <v>-1884025.2004781428</v>
      </c>
      <c r="FU22" s="95">
        <v>8</v>
      </c>
      <c r="FV22" s="1" t="s">
        <v>568</v>
      </c>
      <c r="FW22" s="232"/>
      <c r="FX22" s="478">
        <f>+'[28]Lead E'!D18</f>
        <v>-167598.16</v>
      </c>
      <c r="FY22" s="478">
        <f>+'[28]Lead E'!E18</f>
        <v>0</v>
      </c>
      <c r="FZ22" s="478">
        <f t="shared" si="20"/>
        <v>167598.16</v>
      </c>
      <c r="GA22" s="478">
        <f>+'[28]Lead E'!$G18</f>
        <v>0</v>
      </c>
      <c r="GB22" s="478">
        <f t="shared" si="21"/>
        <v>0</v>
      </c>
      <c r="GC22" s="165">
        <f t="shared" si="22"/>
        <v>9</v>
      </c>
      <c r="GD22" s="234" t="s">
        <v>478</v>
      </c>
      <c r="GE22" s="234"/>
      <c r="GF22" s="108">
        <f>'[6]Elec Lead '!D22</f>
        <v>0</v>
      </c>
      <c r="GG22" s="108">
        <f>'[6]Elec Lead '!E22</f>
        <v>0</v>
      </c>
      <c r="GH22" s="108">
        <v>0</v>
      </c>
      <c r="GI22" s="965">
        <f>'[6]Elec Lead '!$G$22</f>
        <v>11045491.805502929</v>
      </c>
      <c r="GJ22" s="108">
        <f>+GI22-GH22</f>
        <v>11045491.805502929</v>
      </c>
      <c r="GS22" s="165">
        <f t="shared" si="24"/>
        <v>9</v>
      </c>
      <c r="GT22" s="286" t="s">
        <v>249</v>
      </c>
      <c r="GU22" s="215">
        <v>0.21</v>
      </c>
      <c r="GV22" s="483" t="s">
        <v>471</v>
      </c>
      <c r="GW22" s="483" t="s">
        <v>471</v>
      </c>
      <c r="GX22" s="483" t="s">
        <v>471</v>
      </c>
      <c r="GY22" s="483" t="s">
        <v>471</v>
      </c>
      <c r="GZ22" s="483" t="s">
        <v>471</v>
      </c>
      <c r="HA22" s="95">
        <v>9</v>
      </c>
      <c r="HB22" s="399" t="s">
        <v>454</v>
      </c>
      <c r="HC22" s="399"/>
      <c r="HD22" s="1028"/>
      <c r="HE22" s="1028"/>
      <c r="HF22" s="1028"/>
      <c r="HG22" s="1028">
        <f>SUM(HG21)</f>
        <v>375013.99657122983</v>
      </c>
      <c r="HH22" s="1028">
        <f>SUM(HH21)</f>
        <v>375013.99657122983</v>
      </c>
      <c r="HI22" s="165"/>
      <c r="HQ22" s="165">
        <f t="shared" si="26"/>
        <v>9</v>
      </c>
      <c r="HS22" s="118"/>
      <c r="HT22" s="1033"/>
      <c r="HU22" s="1033"/>
      <c r="HV22" s="1033"/>
      <c r="HW22" s="1033"/>
      <c r="HX22" s="1033"/>
    </row>
    <row r="23" spans="1:232" ht="16.5" customHeight="1" thickTop="1" thickBot="1">
      <c r="A23" s="15">
        <f t="shared" si="5"/>
        <v>11</v>
      </c>
      <c r="B23" s="9" t="s">
        <v>378</v>
      </c>
      <c r="C23" s="154"/>
      <c r="D23" s="138"/>
      <c r="E23" s="138"/>
      <c r="F23" s="138">
        <f>SUM(F14:F22)</f>
        <v>41300096.629803978</v>
      </c>
      <c r="G23" s="138"/>
      <c r="H23" s="138">
        <f>SUM(H14:H22)</f>
        <v>-17794394.48</v>
      </c>
      <c r="I23" s="280">
        <f t="shared" si="0"/>
        <v>11</v>
      </c>
      <c r="J23" s="2" t="s">
        <v>97</v>
      </c>
      <c r="K23" s="146"/>
      <c r="L23" s="459">
        <f>SUM(L20:L22)</f>
        <v>39506015.02508454</v>
      </c>
      <c r="M23" s="459">
        <f>SUM(M20:M22)</f>
        <v>39826300.794669539</v>
      </c>
      <c r="N23" s="459">
        <f>SUM(N20:N22)</f>
        <v>320285.769585</v>
      </c>
      <c r="O23" s="459">
        <f>SUM(O20:O22)</f>
        <v>40383867.75477954</v>
      </c>
      <c r="P23" s="459">
        <f>SUM(P20:P22)</f>
        <v>557566.96011000662</v>
      </c>
      <c r="R23" s="154"/>
      <c r="S23" s="154"/>
      <c r="T23" s="154"/>
      <c r="U23" s="154"/>
      <c r="V23" s="154"/>
      <c r="W23" s="154"/>
      <c r="X23" s="154"/>
      <c r="Y23" s="1"/>
      <c r="Z23" s="1"/>
      <c r="AB23" s="287"/>
      <c r="AC23" s="287"/>
      <c r="AD23" s="287"/>
      <c r="AE23" s="287"/>
      <c r="AF23" s="345"/>
      <c r="AG23" s="15">
        <f t="shared" si="1"/>
        <v>10</v>
      </c>
      <c r="AH23" s="131" t="s">
        <v>215</v>
      </c>
      <c r="AJ23" s="260">
        <f>+'[20]Lead Sheet E'!D20</f>
        <v>16403352.696571918</v>
      </c>
      <c r="AK23" s="260">
        <f>'[20]Lead Sheet E'!E20</f>
        <v>0</v>
      </c>
      <c r="AL23" s="260">
        <f t="shared" si="7"/>
        <v>-16403352.696571918</v>
      </c>
      <c r="AM23" s="260">
        <f t="shared" si="8"/>
        <v>0</v>
      </c>
      <c r="AN23" s="260">
        <f t="shared" si="27"/>
        <v>0</v>
      </c>
      <c r="AO23" s="16"/>
      <c r="AW23" s="95"/>
      <c r="AX23" s="95"/>
      <c r="AY23" s="95"/>
      <c r="AZ23" s="105"/>
      <c r="BA23" s="108"/>
      <c r="BB23" s="110"/>
      <c r="BC23" s="108"/>
      <c r="BD23" s="108"/>
      <c r="BE23" s="95">
        <f t="shared" si="10"/>
        <v>10</v>
      </c>
      <c r="BF23" s="111" t="s">
        <v>224</v>
      </c>
      <c r="BG23" s="111"/>
      <c r="BH23" s="283">
        <f>SUM(BH15:BH22)</f>
        <v>8580199.7623793483</v>
      </c>
      <c r="BI23" s="283">
        <f>SUM(BI15:BI22)</f>
        <v>8366056.3124479</v>
      </c>
      <c r="BJ23" s="283">
        <f>SUM(BJ15:BJ22)</f>
        <v>-214143.44993144952</v>
      </c>
      <c r="BK23" s="283">
        <f>SUM(BK15:BK22)</f>
        <v>8366056.3124479</v>
      </c>
      <c r="BL23" s="445">
        <f>SUM(BL15:BL22)</f>
        <v>0</v>
      </c>
      <c r="BM23" s="16"/>
      <c r="BU23" s="16"/>
      <c r="BV23" s="154"/>
      <c r="BW23" s="154"/>
      <c r="BX23" s="154"/>
      <c r="BY23" s="154"/>
      <c r="CK23" s="95">
        <f t="shared" si="12"/>
        <v>10</v>
      </c>
      <c r="CL23" s="246" t="s">
        <v>121</v>
      </c>
      <c r="CM23" s="246"/>
      <c r="CN23" s="168">
        <f>-CN20-CN22</f>
        <v>9325.0870063700004</v>
      </c>
      <c r="CO23" s="168">
        <f>-CO20-CO22</f>
        <v>-487232.5</v>
      </c>
      <c r="CP23" s="168">
        <f>-CP20-CP22</f>
        <v>-496557.58700637007</v>
      </c>
      <c r="CQ23" s="168">
        <f>-CQ20-CQ22</f>
        <v>-487232.5</v>
      </c>
      <c r="CR23" s="168">
        <f>-CR20-CR22</f>
        <v>0</v>
      </c>
      <c r="DA23" s="16"/>
      <c r="DI23" s="95">
        <f t="shared" si="13"/>
        <v>10</v>
      </c>
      <c r="DJ23" s="97" t="s">
        <v>183</v>
      </c>
      <c r="DK23" s="186"/>
      <c r="DL23" s="190">
        <f>SUM(DL15:DL22)</f>
        <v>104626135.31606707</v>
      </c>
      <c r="DM23" s="190">
        <f>SUM(DM15:DM22)</f>
        <v>104684964.10209413</v>
      </c>
      <c r="DN23" s="172">
        <f t="shared" si="14"/>
        <v>58828.786027058959</v>
      </c>
      <c r="DO23" s="190">
        <f>SUM(DO15:DO22)</f>
        <v>108304747.09407419</v>
      </c>
      <c r="DP23" s="183">
        <f t="shared" si="15"/>
        <v>3619782.9919800609</v>
      </c>
      <c r="DQ23" s="95">
        <f t="shared" si="16"/>
        <v>10</v>
      </c>
      <c r="DR23" s="202" t="s">
        <v>66</v>
      </c>
      <c r="DS23" s="32"/>
      <c r="DT23" s="185"/>
      <c r="DU23" s="185"/>
      <c r="DV23" s="185"/>
      <c r="DW23" s="185"/>
      <c r="DX23" s="185"/>
      <c r="DY23" s="280">
        <v>10</v>
      </c>
      <c r="DZ23" s="159" t="s">
        <v>128</v>
      </c>
      <c r="EA23" s="155">
        <f>FIT_E</f>
        <v>0.21</v>
      </c>
      <c r="EB23" s="206">
        <f>-EB21*$EA$23</f>
        <v>6707.6420310769599</v>
      </c>
      <c r="EC23" s="206">
        <f>-EC21*$EA$23</f>
        <v>367.70159412307663</v>
      </c>
      <c r="ED23" s="83">
        <f>-ED21*EA23</f>
        <v>-6339.9404369538834</v>
      </c>
      <c r="EE23" s="206">
        <f>-EE21*$EA$23</f>
        <v>-183381.47130263573</v>
      </c>
      <c r="EF23" s="78">
        <f>-EF21*EA23</f>
        <v>-183749.17289675883</v>
      </c>
      <c r="EG23" s="280"/>
      <c r="EH23" s="703" t="s">
        <v>828</v>
      </c>
      <c r="EI23" s="703"/>
      <c r="EJ23" s="704" t="s">
        <v>815</v>
      </c>
      <c r="EK23" s="704" t="s">
        <v>745</v>
      </c>
      <c r="EL23" s="704" t="s">
        <v>796</v>
      </c>
      <c r="EM23" s="692"/>
      <c r="EN23" s="692"/>
      <c r="EO23" s="280">
        <f t="shared" si="18"/>
        <v>10</v>
      </c>
      <c r="EP23" s="92" t="s">
        <v>97</v>
      </c>
      <c r="ER23" s="96">
        <f>ER21</f>
        <v>405261817.13353872</v>
      </c>
      <c r="ES23" s="96">
        <f>ES21</f>
        <v>426660492.4238199</v>
      </c>
      <c r="ET23" s="96">
        <f>ET21</f>
        <v>21398675.290281195</v>
      </c>
      <c r="EU23" s="96">
        <f>EU21</f>
        <v>426660492.4238199</v>
      </c>
      <c r="EV23" s="96">
        <f>EV21</f>
        <v>0</v>
      </c>
      <c r="EW23" s="82"/>
      <c r="EX23" s="692" t="s">
        <v>809</v>
      </c>
      <c r="EY23" s="692"/>
      <c r="EZ23" s="692" t="s">
        <v>817</v>
      </c>
      <c r="FA23" s="692" t="s">
        <v>803</v>
      </c>
      <c r="FB23" s="692" t="s">
        <v>796</v>
      </c>
      <c r="FC23" s="651"/>
      <c r="FD23" s="651"/>
      <c r="FM23" s="280">
        <f t="shared" si="19"/>
        <v>10</v>
      </c>
      <c r="FN23" s="234" t="s">
        <v>461</v>
      </c>
      <c r="FO23" s="234"/>
      <c r="FP23" s="108">
        <v>0</v>
      </c>
      <c r="FQ23" s="108">
        <v>0</v>
      </c>
      <c r="FR23" s="108">
        <f>+'[33]Lead E'!F23</f>
        <v>0</v>
      </c>
      <c r="FS23" s="108">
        <f>+'[33]Lead E'!G23</f>
        <v>-1978226.4605020492</v>
      </c>
      <c r="FT23" s="108">
        <f>+FS23-FR23</f>
        <v>-1978226.4605020492</v>
      </c>
      <c r="FU23" s="95">
        <v>9</v>
      </c>
      <c r="FV23" s="186" t="s">
        <v>569</v>
      </c>
      <c r="FW23" s="232"/>
      <c r="FX23" s="478"/>
      <c r="FY23" s="478"/>
      <c r="FZ23" s="478"/>
      <c r="GA23" s="478"/>
      <c r="GB23" s="478"/>
      <c r="GC23" s="165">
        <f t="shared" si="22"/>
        <v>10</v>
      </c>
      <c r="GD23" s="234" t="s">
        <v>479</v>
      </c>
      <c r="GE23" s="234"/>
      <c r="GF23" s="108">
        <f>'[6]Elec Lead '!D23</f>
        <v>0</v>
      </c>
      <c r="GG23" s="108">
        <f>'[6]Elec Lead '!E23</f>
        <v>0</v>
      </c>
      <c r="GH23" s="108">
        <v>0</v>
      </c>
      <c r="GI23" s="965">
        <f>'[6]Elec Lead '!$G$23</f>
        <v>-1840915.3009171553</v>
      </c>
      <c r="GJ23" s="108">
        <f>+GI23-GH23</f>
        <v>-1840915.3009171553</v>
      </c>
      <c r="GS23" s="165">
        <f t="shared" si="24"/>
        <v>10</v>
      </c>
      <c r="GT23" s="286" t="s">
        <v>95</v>
      </c>
      <c r="GU23" s="245"/>
      <c r="GV23" s="482">
        <f>-GV20</f>
        <v>0</v>
      </c>
      <c r="GW23" s="482">
        <f>-GW20</f>
        <v>0</v>
      </c>
      <c r="GX23" s="482">
        <f>-GX20</f>
        <v>0</v>
      </c>
      <c r="GY23" s="482">
        <f>-GY20</f>
        <v>9006372.2399999984</v>
      </c>
      <c r="GZ23" s="482">
        <f>-GZ20</f>
        <v>9006372.2399999984</v>
      </c>
      <c r="HA23" s="95">
        <v>10</v>
      </c>
      <c r="HB23" s="241"/>
      <c r="HC23" s="241"/>
      <c r="HD23" s="1027"/>
      <c r="HE23" s="1027"/>
      <c r="HF23" s="1027"/>
      <c r="HG23" s="1027"/>
      <c r="HH23" s="1029"/>
      <c r="HI23" s="165"/>
      <c r="HQ23" s="165">
        <f t="shared" si="26"/>
        <v>10</v>
      </c>
      <c r="HR23" s="286" t="s">
        <v>452</v>
      </c>
      <c r="HS23" s="118"/>
      <c r="HT23" s="1033"/>
      <c r="HU23" s="1033"/>
      <c r="HV23" s="1033"/>
      <c r="HW23" s="1033"/>
      <c r="HX23" s="1033"/>
    </row>
    <row r="24" spans="1:232" ht="15.75" thickTop="1">
      <c r="A24" s="15">
        <f t="shared" si="5"/>
        <v>12</v>
      </c>
      <c r="B24" s="220" t="s">
        <v>4</v>
      </c>
      <c r="D24" s="147"/>
      <c r="E24" s="147"/>
      <c r="F24" s="147"/>
      <c r="G24" s="147"/>
      <c r="H24" s="154"/>
      <c r="I24" s="280">
        <f t="shared" si="0"/>
        <v>12</v>
      </c>
      <c r="J24" s="2"/>
      <c r="K24" s="146"/>
      <c r="L24" s="459"/>
      <c r="M24" s="459"/>
      <c r="N24" s="459"/>
      <c r="O24" s="459"/>
      <c r="P24" s="459"/>
      <c r="Y24" s="1"/>
      <c r="Z24" s="1"/>
      <c r="AB24" s="287"/>
      <c r="AC24" s="287"/>
      <c r="AD24" s="287"/>
      <c r="AE24" s="287"/>
      <c r="AF24" s="345"/>
      <c r="AG24" s="15">
        <f t="shared" si="1"/>
        <v>11</v>
      </c>
      <c r="AH24" s="131" t="s">
        <v>216</v>
      </c>
      <c r="AJ24" s="260">
        <f>+'[20]Lead Sheet E'!D21</f>
        <v>-15601474.800000001</v>
      </c>
      <c r="AK24" s="260">
        <f>'[20]Lead Sheet E'!E21</f>
        <v>0</v>
      </c>
      <c r="AL24" s="260">
        <f t="shared" si="7"/>
        <v>15601474.800000001</v>
      </c>
      <c r="AM24" s="260">
        <f t="shared" si="8"/>
        <v>0</v>
      </c>
      <c r="AN24" s="260">
        <f t="shared" si="27"/>
        <v>0</v>
      </c>
      <c r="AO24" s="16"/>
      <c r="AW24" s="95"/>
      <c r="AX24" s="95"/>
      <c r="AY24" s="95"/>
      <c r="AZ24" s="108"/>
      <c r="BA24" s="108"/>
      <c r="BB24" s="110"/>
      <c r="BC24" s="108"/>
      <c r="BD24" s="108"/>
      <c r="BE24" s="95">
        <f t="shared" si="10"/>
        <v>11</v>
      </c>
      <c r="BF24" s="46"/>
      <c r="BG24" s="46"/>
      <c r="BH24" s="283"/>
      <c r="BI24" s="283"/>
      <c r="BJ24" s="283"/>
      <c r="BK24" s="283"/>
      <c r="BL24" s="283"/>
      <c r="BM24" s="16"/>
      <c r="BU24" s="16"/>
      <c r="BV24" s="245"/>
      <c r="BW24" s="245"/>
      <c r="BX24" s="245"/>
      <c r="BY24" s="245"/>
      <c r="DA24" s="16"/>
      <c r="DI24" s="95">
        <f t="shared" si="13"/>
        <v>11</v>
      </c>
      <c r="DJ24" s="48"/>
      <c r="DK24" s="181"/>
      <c r="DL24" s="190"/>
      <c r="DM24" s="190"/>
      <c r="DN24" s="172"/>
      <c r="DO24" s="183"/>
      <c r="DP24" s="183"/>
      <c r="DQ24" s="95">
        <f t="shared" si="16"/>
        <v>11</v>
      </c>
      <c r="DR24" s="203" t="s">
        <v>696</v>
      </c>
      <c r="DS24" s="95"/>
      <c r="DT24" s="184">
        <f>+DT21+DT18+DT15</f>
        <v>13873355.148600001</v>
      </c>
      <c r="DU24" s="184">
        <f>+DU21+DU18+DU15</f>
        <v>13906664.896484401</v>
      </c>
      <c r="DV24" s="184">
        <f>+DV21+DV18+DV15</f>
        <v>33309.747884399723</v>
      </c>
      <c r="DW24" s="184">
        <f>+DW21+DW18+DW15</f>
        <v>14433726.319512019</v>
      </c>
      <c r="DX24" s="184">
        <f>+DW24-DU24</f>
        <v>527061.42302761786</v>
      </c>
      <c r="DY24" s="280">
        <v>11</v>
      </c>
      <c r="DZ24" s="159"/>
      <c r="EA24" s="154"/>
      <c r="EB24" s="229"/>
      <c r="EC24" s="229"/>
      <c r="ED24" s="229"/>
      <c r="EE24" s="229"/>
      <c r="EF24" s="229"/>
      <c r="EG24" s="280"/>
      <c r="EH24" s="703" t="s">
        <v>798</v>
      </c>
      <c r="EI24" s="703"/>
      <c r="EJ24" s="707">
        <v>182818242.10345364</v>
      </c>
      <c r="EK24" s="710">
        <f>EL20</f>
        <v>190746231.15314114</v>
      </c>
      <c r="EL24" s="695">
        <f>EK24-EJ24</f>
        <v>7927989.0496875048</v>
      </c>
      <c r="EM24" s="692"/>
      <c r="EN24" s="692"/>
      <c r="EO24" s="280">
        <f t="shared" si="18"/>
        <v>11</v>
      </c>
      <c r="ER24" s="96"/>
      <c r="ES24" s="96"/>
      <c r="ET24" s="96"/>
      <c r="EU24" s="96"/>
      <c r="EV24" s="96"/>
      <c r="EX24" s="692" t="s">
        <v>818</v>
      </c>
      <c r="EY24" s="692"/>
      <c r="EZ24" s="700"/>
      <c r="FA24" s="700"/>
      <c r="FB24" s="700"/>
      <c r="FM24" s="280">
        <f t="shared" si="19"/>
        <v>11</v>
      </c>
      <c r="FN24" s="234" t="s">
        <v>525</v>
      </c>
      <c r="FO24" s="234"/>
      <c r="FP24" s="238">
        <f>SUM(FP21:FP23)</f>
        <v>0</v>
      </c>
      <c r="FQ24" s="238">
        <f>SUM(FQ21:FQ23)</f>
        <v>0</v>
      </c>
      <c r="FR24" s="238">
        <f>SUM(FR21:FR23)</f>
        <v>0</v>
      </c>
      <c r="FS24" s="238">
        <f>SUM(FS21:FS23)</f>
        <v>7441899.5418886635</v>
      </c>
      <c r="FT24" s="238">
        <f>SUM(FT21:FT23)</f>
        <v>7441899.5418886635</v>
      </c>
      <c r="FU24" s="95">
        <v>10</v>
      </c>
      <c r="FV24" s="377" t="s">
        <v>570</v>
      </c>
      <c r="FW24" s="232"/>
      <c r="FX24" s="478">
        <f>+'[28]Lead E'!D20</f>
        <v>65485.843500000003</v>
      </c>
      <c r="FY24" s="478">
        <f>+'[28]Lead E'!E20</f>
        <v>65485.843500000003</v>
      </c>
      <c r="FZ24" s="478">
        <f>FY24-FX24</f>
        <v>0</v>
      </c>
      <c r="GA24" s="478">
        <f>+'[28]Lead E'!G20</f>
        <v>0</v>
      </c>
      <c r="GB24" s="478">
        <f>GA24-FY24</f>
        <v>-65485.843500000003</v>
      </c>
      <c r="GC24" s="165">
        <f t="shared" si="22"/>
        <v>11</v>
      </c>
      <c r="GD24" s="234" t="s">
        <v>480</v>
      </c>
      <c r="GE24" s="234"/>
      <c r="GF24" s="108">
        <f>'[6]Elec Lead '!D24</f>
        <v>0</v>
      </c>
      <c r="GG24" s="108">
        <f>'[6]Elec Lead '!E24</f>
        <v>0</v>
      </c>
      <c r="GH24" s="108">
        <v>0</v>
      </c>
      <c r="GI24" s="965">
        <f>'[6]Elec Lead '!$G$24</f>
        <v>-1932961.0659630138</v>
      </c>
      <c r="GJ24" s="108">
        <f>+GI24-GH24</f>
        <v>-1932961.0659630138</v>
      </c>
      <c r="GS24" s="165"/>
      <c r="HA24" s="95">
        <v>11</v>
      </c>
      <c r="HB24" s="7" t="s">
        <v>103</v>
      </c>
      <c r="HC24" s="7"/>
      <c r="HD24" s="1022">
        <f>HD22</f>
        <v>0</v>
      </c>
      <c r="HE24" s="1022">
        <f>HE22</f>
        <v>0</v>
      </c>
      <c r="HF24" s="1022">
        <f>HF22</f>
        <v>0</v>
      </c>
      <c r="HG24" s="1022">
        <f>HG22</f>
        <v>375013.99657122983</v>
      </c>
      <c r="HH24" s="1022">
        <f>HH22</f>
        <v>375013.99657122983</v>
      </c>
      <c r="HI24" s="165"/>
      <c r="HQ24" s="165">
        <f t="shared" si="26"/>
        <v>11</v>
      </c>
      <c r="HR24" s="286" t="s">
        <v>601</v>
      </c>
      <c r="HS24" s="118"/>
      <c r="HT24" s="1022">
        <f>'[34]Lead E'!$D$29</f>
        <v>0</v>
      </c>
      <c r="HU24" s="1022">
        <f>'[34]Lead E'!$E$29</f>
        <v>0</v>
      </c>
      <c r="HV24" s="1022">
        <f>'[34]Lead E'!$F$29</f>
        <v>0</v>
      </c>
      <c r="HW24" s="1022">
        <f>'[34]Lead E'!$G$29</f>
        <v>681757.00000000012</v>
      </c>
      <c r="HX24" s="1022">
        <f>HW24-HU24</f>
        <v>681757.00000000012</v>
      </c>
    </row>
    <row r="25" spans="1:232" ht="15.75" thickBot="1">
      <c r="A25" s="15">
        <f t="shared" si="5"/>
        <v>13</v>
      </c>
      <c r="B25" s="139" t="s">
        <v>371</v>
      </c>
      <c r="D25" s="1086" t="s">
        <v>522</v>
      </c>
      <c r="E25" s="1086"/>
      <c r="F25" s="138">
        <f>'[8]Lead Electric'!$E$24</f>
        <v>-10964420.23</v>
      </c>
      <c r="G25" s="1086" t="s">
        <v>522</v>
      </c>
      <c r="H25" s="138">
        <v>0</v>
      </c>
      <c r="I25" s="280">
        <f t="shared" si="0"/>
        <v>13</v>
      </c>
      <c r="J25" s="245" t="s">
        <v>384</v>
      </c>
      <c r="K25" s="22"/>
      <c r="L25" s="138">
        <f>L18-L23</f>
        <v>768635849.04537761</v>
      </c>
      <c r="M25" s="138">
        <f>M18-M23</f>
        <v>774867384.27579248</v>
      </c>
      <c r="N25" s="138">
        <f>N18-N23</f>
        <v>6231535.2304149996</v>
      </c>
      <c r="O25" s="138">
        <f>O18-O23</f>
        <v>785715503.31568253</v>
      </c>
      <c r="P25" s="138">
        <f>P18-P23</f>
        <v>10848119.039890112</v>
      </c>
      <c r="Z25" s="647" t="s">
        <v>932</v>
      </c>
      <c r="AA25" s="647"/>
      <c r="AB25" s="647"/>
      <c r="AC25" s="647"/>
      <c r="AD25" s="647"/>
      <c r="AE25" s="647"/>
      <c r="AF25" s="647"/>
      <c r="AG25" s="15">
        <f t="shared" si="1"/>
        <v>12</v>
      </c>
      <c r="AH25" s="205" t="s">
        <v>135</v>
      </c>
      <c r="AJ25" s="260">
        <f>+'[20]Lead Sheet E'!D22</f>
        <v>4470609.87</v>
      </c>
      <c r="AK25" s="260">
        <f>'[20]Lead Sheet E'!E22</f>
        <v>0</v>
      </c>
      <c r="AL25" s="260">
        <f t="shared" si="7"/>
        <v>-4470609.87</v>
      </c>
      <c r="AM25" s="260">
        <f t="shared" si="8"/>
        <v>0</v>
      </c>
      <c r="AN25" s="260">
        <f t="shared" si="27"/>
        <v>0</v>
      </c>
      <c r="AO25" s="16"/>
      <c r="AW25" s="95"/>
      <c r="AX25" s="95"/>
      <c r="AY25" s="95"/>
      <c r="AZ25" s="105"/>
      <c r="BA25" s="108"/>
      <c r="BB25" s="108"/>
      <c r="BC25" s="108"/>
      <c r="BD25" s="108"/>
      <c r="BE25" s="95">
        <f t="shared" si="10"/>
        <v>12</v>
      </c>
      <c r="BF25" s="97" t="s">
        <v>225</v>
      </c>
      <c r="BG25" s="97"/>
      <c r="BH25" s="440">
        <f>'[22] Electric'!D24</f>
        <v>759347.64181821421</v>
      </c>
      <c r="BI25" s="440">
        <f>'[22] Electric'!E24</f>
        <v>740395.94742652448</v>
      </c>
      <c r="BJ25" s="440">
        <f>'[22] Electric'!F24</f>
        <v>-18951.694391689729</v>
      </c>
      <c r="BK25" s="440">
        <f>'[22] Electric'!G24</f>
        <v>740395.94742652448</v>
      </c>
      <c r="BL25" s="61">
        <f>'[22] Electric'!H24</f>
        <v>0</v>
      </c>
      <c r="BM25" s="16"/>
      <c r="BU25" s="16"/>
      <c r="BV25" s="245"/>
      <c r="BW25" s="245"/>
      <c r="BX25" s="245"/>
      <c r="BY25" s="245"/>
      <c r="CK25" s="95"/>
      <c r="DA25" s="16"/>
      <c r="DI25" s="95">
        <f t="shared" si="13"/>
        <v>12</v>
      </c>
      <c r="DJ25" s="97" t="s">
        <v>119</v>
      </c>
      <c r="DK25" s="181"/>
      <c r="DL25" s="457">
        <f>+'[23]Electric RS + RP'!D23</f>
        <v>7658038.0723143257</v>
      </c>
      <c r="DM25" s="457">
        <f>+DL25+DN25</f>
        <v>7677450.3307888452</v>
      </c>
      <c r="DN25" s="458">
        <f>+'[23]Electric RS + RP'!F23</f>
        <v>19412.258474519269</v>
      </c>
      <c r="DO25" s="458">
        <f>+DM25+DP25</f>
        <v>7859638.4253364205</v>
      </c>
      <c r="DP25" s="458">
        <f>+'[23]Electric RS + RP'!H23</f>
        <v>182188.09454757578</v>
      </c>
      <c r="DQ25" s="95">
        <f t="shared" si="16"/>
        <v>12</v>
      </c>
      <c r="DR25" s="204"/>
      <c r="DS25" s="259"/>
      <c r="DT25" s="229"/>
      <c r="DU25" s="229"/>
      <c r="DV25" s="229"/>
      <c r="DW25" s="229"/>
      <c r="DX25" s="229"/>
      <c r="DY25" s="280">
        <v>12</v>
      </c>
      <c r="DZ25" s="245" t="s">
        <v>121</v>
      </c>
      <c r="EA25" s="245"/>
      <c r="EB25" s="388">
        <f>-EB21-EB23</f>
        <v>25233.510497860945</v>
      </c>
      <c r="EC25" s="388">
        <f>-EC21-EC23</f>
        <v>1383.2583778915741</v>
      </c>
      <c r="ED25" s="388">
        <f>-ED21-ED23</f>
        <v>-23850.252119969373</v>
      </c>
      <c r="EE25" s="388">
        <f>-EE21-EE23</f>
        <v>-689863.63013848686</v>
      </c>
      <c r="EF25" s="388">
        <f>-EF21-EF23</f>
        <v>-691246.88851637836</v>
      </c>
      <c r="EG25" s="280"/>
      <c r="EH25" s="703" t="s">
        <v>806</v>
      </c>
      <c r="EI25" s="703"/>
      <c r="EJ25" s="709">
        <v>7.6200000000000004E-2</v>
      </c>
      <c r="EK25" s="712">
        <f>'COC, Def, ConvF'!$H$14</f>
        <v>7.3300000000000004E-2</v>
      </c>
      <c r="EL25" s="695"/>
      <c r="EM25" s="692"/>
      <c r="EN25" s="692"/>
      <c r="EO25" s="280">
        <f t="shared" si="18"/>
        <v>12</v>
      </c>
      <c r="EP25" s="92" t="s">
        <v>116</v>
      </c>
      <c r="EQ25" s="155">
        <f>FIT_E</f>
        <v>0.21</v>
      </c>
      <c r="ER25" s="96">
        <f>-ER23*$EQ$25</f>
        <v>-85104981.598043129</v>
      </c>
      <c r="ES25" s="96">
        <f>-ES23*$EQ$25</f>
        <v>-89598703.40900217</v>
      </c>
      <c r="ET25" s="96">
        <f>-ET23*$EQ$25</f>
        <v>-4493721.8109590504</v>
      </c>
      <c r="EU25" s="96">
        <f>-EU23*$EQ$25</f>
        <v>-89598703.40900217</v>
      </c>
      <c r="EV25" s="96">
        <f>EV23</f>
        <v>0</v>
      </c>
      <c r="EX25" s="692" t="s">
        <v>819</v>
      </c>
      <c r="EY25" s="692"/>
      <c r="EZ25" s="700">
        <v>519036.00666666706</v>
      </c>
      <c r="FA25" s="700">
        <v>-3533963.9933333327</v>
      </c>
      <c r="FB25" s="700">
        <f>FA25-EZ25</f>
        <v>-4053000</v>
      </c>
      <c r="FC25" s="730"/>
      <c r="FD25" s="730"/>
      <c r="FM25" s="280">
        <f t="shared" si="19"/>
        <v>12</v>
      </c>
      <c r="FN25" s="234" t="s">
        <v>341</v>
      </c>
      <c r="FO25" s="234"/>
      <c r="FP25" s="238"/>
      <c r="FQ25" s="238"/>
      <c r="FR25" s="238"/>
      <c r="FS25" s="238"/>
      <c r="FT25" s="238"/>
      <c r="FU25" s="95">
        <v>11</v>
      </c>
      <c r="FV25" s="377" t="s">
        <v>571</v>
      </c>
      <c r="FW25" s="232"/>
      <c r="FX25" s="478">
        <f>+'[28]Lead E'!D21</f>
        <v>101476.232</v>
      </c>
      <c r="FY25" s="478">
        <f>+'[28]Lead E'!E21</f>
        <v>101476.232</v>
      </c>
      <c r="FZ25" s="478">
        <f>FY25-FX25</f>
        <v>0</v>
      </c>
      <c r="GA25" s="478">
        <f>+'[28]Lead E'!G21</f>
        <v>0</v>
      </c>
      <c r="GB25" s="478">
        <f>GA25-FY25</f>
        <v>-101476.232</v>
      </c>
      <c r="GC25" s="165">
        <f t="shared" si="22"/>
        <v>12</v>
      </c>
      <c r="GD25" s="399" t="s">
        <v>481</v>
      </c>
      <c r="GE25" s="234"/>
      <c r="GF25" s="238">
        <f>SUM(GF22:GF24)</f>
        <v>0</v>
      </c>
      <c r="GG25" s="238">
        <f>SUM(GG22:GG24)</f>
        <v>0</v>
      </c>
      <c r="GH25" s="238">
        <f>SUM(GH22:GH24)</f>
        <v>0</v>
      </c>
      <c r="GI25" s="238">
        <f>SUM(GI22:GI24)</f>
        <v>7271615.4386227587</v>
      </c>
      <c r="GJ25" s="238">
        <f>SUM(GJ22:GJ24)</f>
        <v>7271615.4386227587</v>
      </c>
      <c r="GS25" s="165"/>
      <c r="HA25" s="95">
        <v>12</v>
      </c>
      <c r="HB25" s="7"/>
      <c r="HC25" s="7"/>
      <c r="HD25" s="1027"/>
      <c r="HE25" s="1027"/>
      <c r="HF25" s="1027"/>
      <c r="HG25" s="1027"/>
      <c r="HH25" s="1030"/>
      <c r="HI25" s="165"/>
      <c r="HQ25" s="165">
        <f t="shared" si="26"/>
        <v>12</v>
      </c>
      <c r="HR25" s="286" t="s">
        <v>454</v>
      </c>
      <c r="HS25" s="118"/>
      <c r="HT25" s="1035">
        <f>SUM(HT24:HT24)</f>
        <v>0</v>
      </c>
      <c r="HU25" s="1035">
        <f>SUM(HU24:HU24)</f>
        <v>0</v>
      </c>
      <c r="HV25" s="1035">
        <f>SUM(HV24:HV24)</f>
        <v>0</v>
      </c>
      <c r="HW25" s="1035">
        <f>SUM(HW24:HW24)</f>
        <v>681757.00000000012</v>
      </c>
      <c r="HX25" s="1035">
        <f>SUM(HX24:HX24)</f>
        <v>681757.00000000012</v>
      </c>
    </row>
    <row r="26" spans="1:232" ht="16.5" thickTop="1" thickBot="1">
      <c r="A26" s="15">
        <f t="shared" si="5"/>
        <v>14</v>
      </c>
      <c r="B26" s="139" t="s">
        <v>372</v>
      </c>
      <c r="C26" s="64"/>
      <c r="D26" s="1086"/>
      <c r="E26" s="1086"/>
      <c r="F26" s="138">
        <v>0</v>
      </c>
      <c r="G26" s="1086"/>
      <c r="H26" s="138">
        <f>'[8]Lead Electric'!G25</f>
        <v>-18227053.410000004</v>
      </c>
      <c r="I26" s="280">
        <f t="shared" si="0"/>
        <v>14</v>
      </c>
      <c r="J26" s="245"/>
      <c r="K26" s="263"/>
      <c r="L26" s="65"/>
      <c r="M26" s="65"/>
      <c r="N26" s="65"/>
      <c r="O26" s="65"/>
      <c r="P26" s="65"/>
      <c r="Z26" s="982" t="s">
        <v>30</v>
      </c>
      <c r="AA26" s="647"/>
      <c r="AB26" s="983">
        <v>0</v>
      </c>
      <c r="AC26" s="983">
        <v>5362058016.8102951</v>
      </c>
      <c r="AD26" s="983">
        <v>5362058016.8102951</v>
      </c>
      <c r="AE26" s="983">
        <v>5428588080.5290194</v>
      </c>
      <c r="AF26" s="983">
        <v>66530063.718724251</v>
      </c>
      <c r="AG26" s="15">
        <f t="shared" si="1"/>
        <v>13</v>
      </c>
      <c r="AH26" s="205" t="s">
        <v>136</v>
      </c>
      <c r="AJ26" s="260">
        <f>+'[20]Lead Sheet E'!D23</f>
        <v>-684145.61</v>
      </c>
      <c r="AK26" s="260">
        <f>'[20]Lead Sheet E'!E23</f>
        <v>0</v>
      </c>
      <c r="AL26" s="260">
        <f t="shared" si="7"/>
        <v>684145.61</v>
      </c>
      <c r="AM26" s="260">
        <f t="shared" si="8"/>
        <v>0</v>
      </c>
      <c r="AN26" s="260">
        <f t="shared" si="27"/>
        <v>0</v>
      </c>
      <c r="AO26" s="16"/>
      <c r="AW26" s="95"/>
      <c r="AX26" s="95"/>
      <c r="AY26" s="95"/>
      <c r="AZ26" s="107"/>
      <c r="BA26" s="108"/>
      <c r="BB26" s="108"/>
      <c r="BC26" s="108"/>
      <c r="BD26" s="108"/>
      <c r="BE26" s="95">
        <f t="shared" si="10"/>
        <v>13</v>
      </c>
      <c r="BF26" s="97" t="s">
        <v>226</v>
      </c>
      <c r="BG26" s="97"/>
      <c r="BH26" s="47">
        <f>SUM(BH23:BH25)</f>
        <v>9339547.4041975625</v>
      </c>
      <c r="BI26" s="47">
        <f>SUM(BI23:BI25)</f>
        <v>9106452.259874424</v>
      </c>
      <c r="BJ26" s="47">
        <f>SUM(BJ23:BJ25)</f>
        <v>-233095.14432313925</v>
      </c>
      <c r="BK26" s="47">
        <f>SUM(BK23:BK25)</f>
        <v>9106452.259874424</v>
      </c>
      <c r="BL26" s="445">
        <f>SUM(BL23:BL25)</f>
        <v>0</v>
      </c>
      <c r="BM26" s="16"/>
      <c r="CS26" s="82"/>
      <c r="DA26" s="16"/>
      <c r="DI26" s="95">
        <f t="shared" si="13"/>
        <v>13</v>
      </c>
      <c r="DJ26" s="97" t="s">
        <v>184</v>
      </c>
      <c r="DK26" s="181"/>
      <c r="DL26" s="190">
        <f>+DL25+DL23</f>
        <v>112284173.38838139</v>
      </c>
      <c r="DM26" s="190">
        <f>+DM25+DM23</f>
        <v>112362414.43288298</v>
      </c>
      <c r="DN26" s="172">
        <f>+DN25+DN23</f>
        <v>78241.044501578232</v>
      </c>
      <c r="DO26" s="190">
        <f>+DM26+DP26</f>
        <v>116164385.51941061</v>
      </c>
      <c r="DP26" s="172">
        <f>+DP25+DP23</f>
        <v>3801971.0865276367</v>
      </c>
      <c r="DQ26" s="95">
        <f t="shared" si="16"/>
        <v>13</v>
      </c>
      <c r="DR26" s="203" t="s">
        <v>409</v>
      </c>
      <c r="DS26" s="192">
        <f>+'[35]SAP DL Downld'!$H$15</f>
        <v>0.49997132880489842</v>
      </c>
      <c r="DT26" s="190">
        <f>+DT24*$DS$26</f>
        <v>6936279.8086278215</v>
      </c>
      <c r="DU26" s="190">
        <f>+DU24*$DS$26</f>
        <v>6952933.7275397414</v>
      </c>
      <c r="DV26" s="190">
        <f>+DV24*$DS$26</f>
        <v>16653.918911919485</v>
      </c>
      <c r="DW26" s="190">
        <f>+DW24*$DS$26</f>
        <v>7216449.3275726596</v>
      </c>
      <c r="DX26" s="183">
        <f>+DX24*$DS$26</f>
        <v>263515.6000329188</v>
      </c>
      <c r="EG26" s="280"/>
      <c r="EH26" s="703" t="s">
        <v>816</v>
      </c>
      <c r="EI26" s="703"/>
      <c r="EJ26" s="710">
        <f>EJ24*EJ25</f>
        <v>13930750.048283167</v>
      </c>
      <c r="EK26" s="710">
        <f>EK24*EK25</f>
        <v>13981698.743525246</v>
      </c>
      <c r="EL26" s="695">
        <f>EK26-EJ26</f>
        <v>50948.695242078975</v>
      </c>
      <c r="EM26" s="692"/>
      <c r="EN26" s="692"/>
      <c r="EO26" s="280">
        <f t="shared" si="18"/>
        <v>13</v>
      </c>
      <c r="ER26" s="229"/>
      <c r="ES26" s="229"/>
      <c r="ET26" s="229"/>
      <c r="EU26" s="229"/>
      <c r="EV26" s="229"/>
      <c r="EX26" s="692" t="s">
        <v>820</v>
      </c>
      <c r="EY26" s="692"/>
      <c r="EZ26" s="700">
        <v>-108997.56140000008</v>
      </c>
      <c r="FA26" s="700">
        <v>742132.43859999988</v>
      </c>
      <c r="FB26" s="700">
        <f t="shared" ref="FB26:FB28" si="32">FA26-EZ26</f>
        <v>851130</v>
      </c>
      <c r="FC26" s="655"/>
      <c r="FD26" s="730"/>
      <c r="FM26" s="280">
        <f t="shared" si="19"/>
        <v>13</v>
      </c>
      <c r="FN26" s="181" t="s">
        <v>462</v>
      </c>
      <c r="FO26" s="181"/>
      <c r="FP26" s="11">
        <f>FP19+FP24</f>
        <v>0</v>
      </c>
      <c r="FQ26" s="11">
        <f>FQ19+FQ24</f>
        <v>0</v>
      </c>
      <c r="FR26" s="11">
        <f>FR19+FR24</f>
        <v>0</v>
      </c>
      <c r="FS26" s="11">
        <f>FS19+FS24</f>
        <v>28244978.592898086</v>
      </c>
      <c r="FT26" s="11">
        <f>FT19+FT24</f>
        <v>28244978.592898086</v>
      </c>
      <c r="FU26" s="95">
        <v>12</v>
      </c>
      <c r="FV26" s="377" t="s">
        <v>572</v>
      </c>
      <c r="FW26" s="232"/>
      <c r="FX26" s="478">
        <f>+'[28]Lead E'!D22</f>
        <v>17787.344273049999</v>
      </c>
      <c r="FY26" s="478">
        <f>+'[28]Lead E'!E22</f>
        <v>17787.344273049999</v>
      </c>
      <c r="FZ26" s="478">
        <f>FY26-FX26</f>
        <v>0</v>
      </c>
      <c r="GA26" s="478">
        <f>+'[28]Lead E'!G22</f>
        <v>0</v>
      </c>
      <c r="GB26" s="478">
        <f>GA26-FY26</f>
        <v>-17787.344273049999</v>
      </c>
      <c r="GC26" s="165">
        <f t="shared" si="22"/>
        <v>13</v>
      </c>
      <c r="GD26" s="234"/>
      <c r="GE26" s="234"/>
      <c r="GF26" s="238"/>
      <c r="GG26" s="238"/>
      <c r="GH26" s="238"/>
      <c r="GI26" s="238"/>
      <c r="GJ26" s="238"/>
      <c r="GS26" s="165"/>
      <c r="HA26" s="95">
        <v>13</v>
      </c>
      <c r="HB26" s="7" t="s">
        <v>128</v>
      </c>
      <c r="HC26" s="112">
        <f>FIT_E</f>
        <v>0.21</v>
      </c>
      <c r="HD26" s="1031">
        <f>-HD24*$HC$26</f>
        <v>0</v>
      </c>
      <c r="HE26" s="1031">
        <f>-HE24*$HC$26</f>
        <v>0</v>
      </c>
      <c r="HF26" s="1031">
        <f>-HF24*$HC$26</f>
        <v>0</v>
      </c>
      <c r="HG26" s="1031">
        <f>-HG24*$HC$26</f>
        <v>-78752.939279958257</v>
      </c>
      <c r="HH26" s="1031">
        <f>-HH24*$HC$26</f>
        <v>-78752.939279958257</v>
      </c>
      <c r="HI26" s="165"/>
      <c r="HQ26" s="165">
        <f t="shared" si="26"/>
        <v>13</v>
      </c>
      <c r="HS26" s="265"/>
      <c r="HT26" s="1033"/>
      <c r="HU26" s="1033"/>
      <c r="HV26" s="1033"/>
      <c r="HW26" s="1033"/>
      <c r="HX26" s="1033"/>
    </row>
    <row r="27" spans="1:232" ht="17.25" thickTop="1" thickBot="1">
      <c r="A27" s="15">
        <f t="shared" si="5"/>
        <v>15</v>
      </c>
      <c r="B27" s="9" t="s">
        <v>373</v>
      </c>
      <c r="C27" s="64"/>
      <c r="D27" s="1086"/>
      <c r="E27" s="1086"/>
      <c r="F27" s="138">
        <f>'[8]Lead Electric'!E26</f>
        <v>24054569</v>
      </c>
      <c r="G27" s="1086"/>
      <c r="H27" s="138">
        <v>0</v>
      </c>
      <c r="I27" s="280">
        <f t="shared" si="0"/>
        <v>15</v>
      </c>
      <c r="J27" s="245" t="s">
        <v>128</v>
      </c>
      <c r="K27" s="146">
        <f>FIT_E</f>
        <v>0.21</v>
      </c>
      <c r="L27" s="96">
        <f>L25*K$27</f>
        <v>161413528.29952928</v>
      </c>
      <c r="M27" s="96">
        <f>M$25*K$27</f>
        <v>162722150.69791642</v>
      </c>
      <c r="N27" s="96">
        <f>N25*K$27</f>
        <v>1308622.3983871499</v>
      </c>
      <c r="O27" s="96">
        <f>O$25*K$27</f>
        <v>165000255.69629332</v>
      </c>
      <c r="P27" s="96">
        <f>O27-M27</f>
        <v>2278104.9983769059</v>
      </c>
      <c r="Z27" s="982" t="s">
        <v>150</v>
      </c>
      <c r="AA27" s="647"/>
      <c r="AB27" s="984"/>
      <c r="AC27" s="984"/>
      <c r="AD27" s="984"/>
      <c r="AE27" s="984"/>
      <c r="AF27" s="984"/>
      <c r="AG27" s="15">
        <f t="shared" si="1"/>
        <v>14</v>
      </c>
      <c r="AH27" s="380" t="s">
        <v>523</v>
      </c>
      <c r="AJ27" s="260">
        <f>+'[20]Lead Sheet E'!D24</f>
        <v>-1234.01</v>
      </c>
      <c r="AK27" s="260">
        <f>'[20]Lead Sheet E'!E24</f>
        <v>0</v>
      </c>
      <c r="AL27" s="260">
        <f t="shared" si="7"/>
        <v>1234.01</v>
      </c>
      <c r="AM27" s="260">
        <f t="shared" si="8"/>
        <v>0</v>
      </c>
      <c r="AN27" s="260">
        <f t="shared" si="27"/>
        <v>0</v>
      </c>
      <c r="AW27" s="95"/>
      <c r="AX27" s="95"/>
      <c r="AY27" s="95"/>
      <c r="AZ27" s="111"/>
      <c r="BA27" s="112"/>
      <c r="BB27" s="123"/>
      <c r="BC27" s="113"/>
      <c r="BD27" s="113"/>
      <c r="BE27" s="95">
        <f t="shared" si="10"/>
        <v>14</v>
      </c>
      <c r="BF27" s="48"/>
      <c r="BG27" s="48"/>
      <c r="BH27" s="49"/>
      <c r="BI27" s="49"/>
      <c r="BJ27" s="49"/>
      <c r="BK27" s="49"/>
      <c r="BL27" s="49"/>
      <c r="BM27" s="16"/>
      <c r="DA27" s="16"/>
      <c r="DI27" s="95">
        <f t="shared" si="13"/>
        <v>14</v>
      </c>
      <c r="DJ27" s="97"/>
      <c r="DK27" s="186"/>
      <c r="DL27" s="186"/>
      <c r="DM27" s="186"/>
      <c r="DN27" s="186"/>
      <c r="DO27" s="186"/>
      <c r="DP27" s="186"/>
      <c r="DQ27" s="95">
        <f t="shared" si="16"/>
        <v>14</v>
      </c>
      <c r="DR27" s="204"/>
      <c r="DS27" s="259"/>
      <c r="DT27" s="229"/>
      <c r="DU27" s="229"/>
      <c r="DV27" s="229"/>
      <c r="DW27" s="229"/>
      <c r="DX27" s="229"/>
      <c r="EG27" s="280"/>
      <c r="EH27" s="703" t="s">
        <v>829</v>
      </c>
      <c r="EI27" s="703"/>
      <c r="EJ27" s="713">
        <f>EJ26/'COC, Def, ConvF'!$M$20</f>
        <v>18540194.719167996</v>
      </c>
      <c r="EK27" s="713">
        <f>EK26/'COC, Def, ConvF'!$M$20</f>
        <v>18608001.458015636</v>
      </c>
      <c r="EL27" s="695">
        <f>EK27-EJ27</f>
        <v>67806.738847639412</v>
      </c>
      <c r="EM27" s="692"/>
      <c r="EN27" s="692"/>
      <c r="EO27" s="280">
        <f t="shared" si="18"/>
        <v>14</v>
      </c>
      <c r="EP27" s="92" t="s">
        <v>95</v>
      </c>
      <c r="ER27" s="388">
        <f>-ER23-ER25</f>
        <v>-320156835.53549558</v>
      </c>
      <c r="ES27" s="388">
        <f>-ES23-ES25</f>
        <v>-337061789.01481771</v>
      </c>
      <c r="ET27" s="388">
        <f>-ET23-ET25</f>
        <v>-16904953.479322143</v>
      </c>
      <c r="EU27" s="388">
        <f>-EU23-EU25</f>
        <v>-337061789.01481771</v>
      </c>
      <c r="EV27" s="388">
        <f>EV25</f>
        <v>0</v>
      </c>
      <c r="EX27" s="692" t="s">
        <v>821</v>
      </c>
      <c r="EY27" s="692"/>
      <c r="EZ27" s="700">
        <v>-410038.445266667</v>
      </c>
      <c r="FA27" s="700">
        <v>2791831.5547333327</v>
      </c>
      <c r="FB27" s="700">
        <f t="shared" si="32"/>
        <v>3201869.9999999995</v>
      </c>
      <c r="FC27" s="655"/>
      <c r="FD27" s="730"/>
      <c r="FM27" s="280">
        <f t="shared" si="19"/>
        <v>14</v>
      </c>
      <c r="FN27" s="239" t="s">
        <v>341</v>
      </c>
      <c r="FO27" s="239"/>
      <c r="FP27" s="108"/>
      <c r="FQ27" s="108"/>
      <c r="FR27" s="108"/>
      <c r="FS27" s="108"/>
      <c r="FT27" s="108"/>
      <c r="FU27" s="95">
        <v>13</v>
      </c>
      <c r="FV27" s="377" t="s">
        <v>573</v>
      </c>
      <c r="FW27" s="232"/>
      <c r="FX27" s="478">
        <f>+'[28]Lead E'!D23</f>
        <v>38838.009768800002</v>
      </c>
      <c r="FY27" s="478">
        <f>+'[28]Lead E'!E23</f>
        <v>38838.009768800002</v>
      </c>
      <c r="FZ27" s="478">
        <f>FY27-FX27</f>
        <v>0</v>
      </c>
      <c r="GA27" s="478">
        <f>+'[28]Lead E'!G23</f>
        <v>0</v>
      </c>
      <c r="GB27" s="478">
        <f>GA27-FY27</f>
        <v>-38838.009768800002</v>
      </c>
      <c r="GC27" s="165">
        <f t="shared" si="22"/>
        <v>14</v>
      </c>
      <c r="GD27" s="181" t="s">
        <v>462</v>
      </c>
      <c r="GE27" s="181"/>
      <c r="GF27" s="11">
        <f>GF19+GF25</f>
        <v>0</v>
      </c>
      <c r="GG27" s="11">
        <f>GG19+GG25</f>
        <v>0</v>
      </c>
      <c r="GH27" s="11">
        <f>GH19+GH25</f>
        <v>0</v>
      </c>
      <c r="GI27" s="11">
        <f>GI19+GI25</f>
        <v>11359234.26679882</v>
      </c>
      <c r="GJ27" s="11">
        <f>GJ19+GJ25</f>
        <v>11359234.26679882</v>
      </c>
      <c r="GS27" s="165"/>
      <c r="HA27" s="95">
        <v>14</v>
      </c>
      <c r="HB27" s="7" t="s">
        <v>95</v>
      </c>
      <c r="HC27" s="7"/>
      <c r="HD27" s="1032">
        <f>-HD24-HD26</f>
        <v>0</v>
      </c>
      <c r="HE27" s="1032">
        <f>-HE24-HE26</f>
        <v>0</v>
      </c>
      <c r="HF27" s="1032">
        <f>-HF24-HF26</f>
        <v>0</v>
      </c>
      <c r="HG27" s="1032">
        <f>-HG24-HG26</f>
        <v>-296261.05729127157</v>
      </c>
      <c r="HH27" s="1032">
        <f>-HH24-HH26</f>
        <v>-296261.05729127157</v>
      </c>
      <c r="HI27" s="165"/>
      <c r="HQ27" s="165">
        <f t="shared" si="26"/>
        <v>14</v>
      </c>
      <c r="HR27" s="286" t="s">
        <v>103</v>
      </c>
      <c r="HS27" s="118"/>
      <c r="HT27" s="1022">
        <f>HT25</f>
        <v>0</v>
      </c>
      <c r="HU27" s="1022">
        <f>HU25</f>
        <v>0</v>
      </c>
      <c r="HV27" s="1022">
        <f>'[34]Lead E'!$F$30</f>
        <v>0</v>
      </c>
      <c r="HW27" s="1022">
        <f>HW25</f>
        <v>681757.00000000012</v>
      </c>
      <c r="HX27" s="1022">
        <f>HW27-HV27</f>
        <v>681757.00000000012</v>
      </c>
    </row>
    <row r="28" spans="1:232" ht="17.25" thickTop="1" thickBot="1">
      <c r="A28" s="15">
        <f t="shared" si="5"/>
        <v>16</v>
      </c>
      <c r="B28" s="139" t="s">
        <v>381</v>
      </c>
      <c r="C28" s="154"/>
      <c r="D28" s="1086"/>
      <c r="E28" s="1086"/>
      <c r="F28" s="138">
        <f>'[8]Lead Electric'!E27</f>
        <v>-10345744.779999999</v>
      </c>
      <c r="G28" s="1086"/>
      <c r="H28" s="138">
        <v>0</v>
      </c>
      <c r="I28" s="280">
        <f t="shared" si="0"/>
        <v>16</v>
      </c>
      <c r="J28" s="245" t="s">
        <v>95</v>
      </c>
      <c r="L28" s="289">
        <f>L25-L27</f>
        <v>607222320.7458483</v>
      </c>
      <c r="M28" s="289">
        <f>M25-M27</f>
        <v>612145233.57787609</v>
      </c>
      <c r="N28" s="289">
        <f>N25-N27</f>
        <v>4922912.8320278497</v>
      </c>
      <c r="O28" s="289">
        <f>O25-O27</f>
        <v>620715247.61938918</v>
      </c>
      <c r="P28" s="289">
        <f>P25-P27</f>
        <v>8570014.0415132064</v>
      </c>
      <c r="Z28" s="985" t="s">
        <v>151</v>
      </c>
      <c r="AA28" s="647"/>
      <c r="AB28" s="986"/>
      <c r="AC28" s="986"/>
      <c r="AD28" s="986"/>
      <c r="AE28" s="986"/>
      <c r="AF28" s="984"/>
      <c r="AG28" s="15">
        <f t="shared" si="1"/>
        <v>15</v>
      </c>
      <c r="AH28" s="205" t="s">
        <v>491</v>
      </c>
      <c r="AJ28" s="221">
        <f>SUM(AJ15:AJ27)</f>
        <v>190710324.65857193</v>
      </c>
      <c r="AK28" s="221">
        <f>SUM(AK15:AK27)</f>
        <v>0</v>
      </c>
      <c r="AL28" s="221">
        <f>SUM(AL15:AL27)</f>
        <v>-190710324.65857193</v>
      </c>
      <c r="AM28" s="221">
        <f>SUM(AM15:AM27)</f>
        <v>0</v>
      </c>
      <c r="AN28" s="221">
        <f>SUM(AN15:AN27)</f>
        <v>0</v>
      </c>
      <c r="AW28" s="95"/>
      <c r="AX28" s="95"/>
      <c r="AY28" s="95"/>
      <c r="AZ28" s="114"/>
      <c r="BA28" s="108"/>
      <c r="BB28" s="108"/>
      <c r="BC28" s="108"/>
      <c r="BD28" s="108"/>
      <c r="BE28" s="95">
        <f t="shared" si="10"/>
        <v>15</v>
      </c>
      <c r="BF28" s="50" t="s">
        <v>128</v>
      </c>
      <c r="BG28" s="101">
        <f>FIT_E</f>
        <v>0.21</v>
      </c>
      <c r="BH28" s="50">
        <f>-$BG$28*BH26</f>
        <v>-1961304.9548814881</v>
      </c>
      <c r="BI28" s="50">
        <f>-$BG$28*BI26</f>
        <v>-1912354.974573629</v>
      </c>
      <c r="BJ28" s="61">
        <f>+BI28-BH28</f>
        <v>48949.980307859136</v>
      </c>
      <c r="BK28" s="50">
        <f>+BI28</f>
        <v>-1912354.974573629</v>
      </c>
      <c r="BL28" s="61">
        <f>-BL26*BG28</f>
        <v>0</v>
      </c>
      <c r="BM28" s="16"/>
      <c r="DA28" s="16"/>
      <c r="DI28" s="95">
        <f t="shared" si="13"/>
        <v>15</v>
      </c>
      <c r="DJ28" s="30" t="s">
        <v>110</v>
      </c>
      <c r="DK28" s="186"/>
      <c r="DL28" s="173">
        <f>+DL26</f>
        <v>112284173.38838139</v>
      </c>
      <c r="DM28" s="173">
        <f>+DM26</f>
        <v>112362414.43288298</v>
      </c>
      <c r="DN28" s="173">
        <f>+DN26</f>
        <v>78241.044501578232</v>
      </c>
      <c r="DO28" s="173">
        <f>+DO26</f>
        <v>116164385.51941061</v>
      </c>
      <c r="DP28" s="173">
        <f>+DP26</f>
        <v>3801971.0865276367</v>
      </c>
      <c r="DQ28" s="95">
        <f t="shared" si="16"/>
        <v>15</v>
      </c>
      <c r="DR28" s="205" t="s">
        <v>107</v>
      </c>
      <c r="DS28" s="181"/>
      <c r="DT28" s="191">
        <f>SUM(DT26:DT27)</f>
        <v>6936279.8086278215</v>
      </c>
      <c r="DU28" s="191">
        <f>SUM(DU26:DU27)</f>
        <v>6952933.7275397414</v>
      </c>
      <c r="DV28" s="184">
        <f>+DU28-DT28</f>
        <v>16653.918911919929</v>
      </c>
      <c r="DW28" s="191">
        <f>SUM(DW26:DW27)</f>
        <v>7216449.3275726596</v>
      </c>
      <c r="DX28" s="183">
        <f>+DW28-DU28</f>
        <v>263515.60003291816</v>
      </c>
      <c r="EG28" s="280"/>
      <c r="EH28" s="703" t="s">
        <v>805</v>
      </c>
      <c r="EI28" s="703"/>
      <c r="EJ28" s="706"/>
      <c r="EK28" s="695"/>
      <c r="EL28" s="695">
        <f>EL27-'Detailed Summary'!U68</f>
        <v>0</v>
      </c>
      <c r="EM28" s="692"/>
      <c r="EN28" s="692"/>
      <c r="EO28" s="280">
        <f t="shared" si="18"/>
        <v>15</v>
      </c>
      <c r="ER28" s="96"/>
      <c r="ES28" s="96"/>
      <c r="ET28" s="96"/>
      <c r="EU28" s="96"/>
      <c r="EV28" s="96"/>
      <c r="EX28" s="692" t="s">
        <v>822</v>
      </c>
      <c r="EY28" s="692"/>
      <c r="EZ28" s="700">
        <v>545713.08732409659</v>
      </c>
      <c r="FA28" s="700">
        <v>-3715600.4140819809</v>
      </c>
      <c r="FB28" s="700">
        <f t="shared" si="32"/>
        <v>-4261313.5014060773</v>
      </c>
      <c r="FC28" s="652"/>
      <c r="FD28" s="730"/>
      <c r="FM28" s="280">
        <f t="shared" si="19"/>
        <v>15</v>
      </c>
      <c r="FN28" s="235" t="s">
        <v>452</v>
      </c>
      <c r="FO28" s="235"/>
      <c r="FP28" s="242"/>
      <c r="FQ28" s="242"/>
      <c r="FR28" s="242"/>
      <c r="FS28" s="242"/>
      <c r="FT28" s="242"/>
      <c r="FU28" s="95">
        <v>14</v>
      </c>
      <c r="FV28" s="1" t="s">
        <v>574</v>
      </c>
      <c r="FW28" s="232"/>
      <c r="FX28" s="478">
        <f>+'[28]Lead E'!D24</f>
        <v>213558.06360000002</v>
      </c>
      <c r="FY28" s="478">
        <f>+'[28]Lead E'!E24</f>
        <v>213558.06360000002</v>
      </c>
      <c r="FZ28" s="478">
        <f>FY28-FX28</f>
        <v>0</v>
      </c>
      <c r="GA28" s="478">
        <f>+'[28]Lead E'!G24</f>
        <v>0</v>
      </c>
      <c r="GB28" s="478">
        <f>GA28-FY28</f>
        <v>-213558.06360000002</v>
      </c>
      <c r="GC28" s="165">
        <f t="shared" si="22"/>
        <v>15</v>
      </c>
      <c r="GD28" s="239"/>
      <c r="GE28" s="239"/>
      <c r="GF28" s="240"/>
      <c r="GG28" s="240"/>
      <c r="GH28" s="240"/>
      <c r="GI28" s="240"/>
      <c r="GJ28" s="378"/>
      <c r="GS28" s="165"/>
      <c r="HA28" s="280"/>
      <c r="HB28" s="7"/>
      <c r="HH28" s="236"/>
      <c r="HI28" s="165"/>
      <c r="HQ28" s="165">
        <f t="shared" si="26"/>
        <v>15</v>
      </c>
      <c r="HS28" s="118"/>
      <c r="HT28" s="1033"/>
      <c r="HU28" s="1033"/>
      <c r="HV28" s="1033"/>
      <c r="HW28" s="1033"/>
      <c r="HX28" s="1033"/>
    </row>
    <row r="29" spans="1:232" ht="16.5" thickTop="1" thickBot="1">
      <c r="A29" s="15">
        <f t="shared" si="5"/>
        <v>17</v>
      </c>
      <c r="B29" s="139" t="s">
        <v>519</v>
      </c>
      <c r="C29" s="154"/>
      <c r="D29" s="1086"/>
      <c r="E29" s="1086"/>
      <c r="F29" s="138">
        <v>0</v>
      </c>
      <c r="G29" s="1086"/>
      <c r="H29" s="138">
        <f>'[8]Lead Electric'!G28</f>
        <v>835357.9</v>
      </c>
      <c r="I29" s="280">
        <f t="shared" si="0"/>
        <v>17</v>
      </c>
      <c r="L29" s="96"/>
      <c r="M29" s="96"/>
      <c r="N29" s="96"/>
      <c r="O29" s="96"/>
      <c r="P29" s="96"/>
      <c r="Z29" s="985"/>
      <c r="AA29" s="647"/>
      <c r="AB29" s="987"/>
      <c r="AC29" s="987"/>
      <c r="AD29" s="987"/>
      <c r="AE29" s="987"/>
      <c r="AF29" s="987"/>
      <c r="AG29" s="15">
        <f t="shared" si="1"/>
        <v>16</v>
      </c>
      <c r="AH29" s="154"/>
      <c r="AN29" s="260"/>
      <c r="AW29" s="95"/>
      <c r="AX29" s="95"/>
      <c r="AY29" s="95"/>
      <c r="AZ29" s="115"/>
      <c r="BA29" s="108"/>
      <c r="BB29" s="108"/>
      <c r="BC29" s="108"/>
      <c r="BD29" s="108"/>
      <c r="BE29" s="95">
        <f t="shared" si="10"/>
        <v>16</v>
      </c>
      <c r="BF29" s="97" t="s">
        <v>95</v>
      </c>
      <c r="BG29" s="287"/>
      <c r="BH29" s="469">
        <f>-BH26-BH28</f>
        <v>-7378242.4493160741</v>
      </c>
      <c r="BI29" s="469">
        <f>-BI26-BI28</f>
        <v>-7194097.285300795</v>
      </c>
      <c r="BJ29" s="469">
        <f>-BJ26-BJ28</f>
        <v>184145.16401528011</v>
      </c>
      <c r="BK29" s="469">
        <f>-BK26-BK28</f>
        <v>-7194097.285300795</v>
      </c>
      <c r="BL29" s="469">
        <f>-BL26-BL28</f>
        <v>0</v>
      </c>
      <c r="BM29" s="16"/>
      <c r="DA29" s="16"/>
      <c r="DI29" s="95">
        <f t="shared" si="13"/>
        <v>16</v>
      </c>
      <c r="DJ29" s="97" t="s">
        <v>154</v>
      </c>
      <c r="DK29" s="192">
        <f>+[0]!FIT_E</f>
        <v>0.21</v>
      </c>
      <c r="DL29" s="174">
        <f>-DL28*$DK$29</f>
        <v>-23579676.411560092</v>
      </c>
      <c r="DM29" s="174">
        <f>-DM28*$DK$29</f>
        <v>-23596107.030905426</v>
      </c>
      <c r="DN29" s="174">
        <f>-DN28*$DK$29</f>
        <v>-16430.619345331426</v>
      </c>
      <c r="DO29" s="174">
        <f>-DO28*$DK$29</f>
        <v>-24394520.959076226</v>
      </c>
      <c r="DP29" s="174">
        <f>-DP28*$DK$29</f>
        <v>-798413.9281708037</v>
      </c>
      <c r="DQ29" s="95">
        <f t="shared" si="16"/>
        <v>16</v>
      </c>
      <c r="DR29" s="205"/>
      <c r="DS29" s="181"/>
      <c r="DT29" s="229"/>
      <c r="DU29" s="229"/>
      <c r="DV29" s="229"/>
      <c r="DW29" s="229"/>
      <c r="DX29" s="229"/>
      <c r="EG29" s="280"/>
      <c r="EJ29" s="1"/>
      <c r="EK29" s="1"/>
      <c r="EL29" s="1"/>
      <c r="EM29" s="1"/>
      <c r="EN29" s="1"/>
      <c r="EO29" s="280">
        <f t="shared" si="18"/>
        <v>16</v>
      </c>
      <c r="EP29" s="92" t="s">
        <v>395</v>
      </c>
      <c r="ER29" s="96"/>
      <c r="ES29" s="96"/>
      <c r="ET29" s="96"/>
      <c r="EU29" s="96"/>
      <c r="EV29" s="96"/>
      <c r="EX29" s="692" t="s">
        <v>805</v>
      </c>
      <c r="EY29" s="692"/>
      <c r="EZ29" s="700"/>
      <c r="FA29" s="700"/>
      <c r="FB29" s="700">
        <f>FB28-'Detailed Summary'!AT68</f>
        <v>0</v>
      </c>
      <c r="FC29" s="647"/>
      <c r="FD29" s="649"/>
      <c r="FM29" s="280">
        <f t="shared" si="19"/>
        <v>16</v>
      </c>
      <c r="FN29" s="399" t="s">
        <v>453</v>
      </c>
      <c r="FO29" s="399"/>
      <c r="FP29" s="108">
        <v>0</v>
      </c>
      <c r="FQ29" s="108">
        <v>0</v>
      </c>
      <c r="FR29" s="108">
        <f>+'[33]Lead E'!F29</f>
        <v>0</v>
      </c>
      <c r="FS29" s="108">
        <f>+'[33]Lead E'!G29</f>
        <v>1355467.7185500001</v>
      </c>
      <c r="FT29" s="108">
        <f>+FS29-FR29</f>
        <v>1355467.7185500001</v>
      </c>
      <c r="FU29" s="95">
        <v>15</v>
      </c>
      <c r="FV29" s="245" t="s">
        <v>142</v>
      </c>
      <c r="FW29" s="245"/>
      <c r="FX29" s="479">
        <f>SUM(FX15:FX28)</f>
        <v>6037166.6034654509</v>
      </c>
      <c r="FY29" s="479">
        <f>SUM(FY15:FY28)</f>
        <v>5605656.5497177504</v>
      </c>
      <c r="FZ29" s="479">
        <f>SUM(FZ15:FZ28)</f>
        <v>-431510.05374770041</v>
      </c>
      <c r="GA29" s="479">
        <f>SUM(GA15:GA28)</f>
        <v>5106227.474543401</v>
      </c>
      <c r="GB29" s="479">
        <f>SUM(GB15:GB28)</f>
        <v>-499429.07517434994</v>
      </c>
      <c r="GC29" s="165">
        <f t="shared" si="22"/>
        <v>16</v>
      </c>
      <c r="GD29" s="235" t="s">
        <v>452</v>
      </c>
      <c r="GE29" s="235"/>
      <c r="GF29" s="154"/>
      <c r="GG29" s="154"/>
      <c r="GH29" s="154"/>
      <c r="GI29" s="154"/>
      <c r="GJ29" s="154"/>
      <c r="GS29" s="165"/>
      <c r="HA29" s="165"/>
      <c r="HI29" s="165"/>
      <c r="HQ29" s="165">
        <f t="shared" si="26"/>
        <v>16</v>
      </c>
      <c r="HR29" s="286" t="s">
        <v>128</v>
      </c>
      <c r="HS29" s="266">
        <v>0.21</v>
      </c>
      <c r="HT29" s="1036">
        <f>-HT27*HS29</f>
        <v>0</v>
      </c>
      <c r="HU29" s="1036">
        <f>+HU27*HS29</f>
        <v>0</v>
      </c>
      <c r="HV29" s="1036">
        <f>'[34]Lead E'!$F$30</f>
        <v>0</v>
      </c>
      <c r="HW29" s="1036">
        <f>-HW27*HS29</f>
        <v>-143168.97000000003</v>
      </c>
      <c r="HX29" s="1036">
        <f>HW29-HV29</f>
        <v>-143168.97000000003</v>
      </c>
    </row>
    <row r="30" spans="1:232" ht="16.5" thickTop="1" thickBot="1">
      <c r="A30" s="15">
        <f t="shared" si="5"/>
        <v>18</v>
      </c>
      <c r="B30" s="139" t="s">
        <v>520</v>
      </c>
      <c r="C30" s="70"/>
      <c r="D30" s="1087"/>
      <c r="E30" s="1087"/>
      <c r="F30" s="138">
        <v>0</v>
      </c>
      <c r="G30" s="1087"/>
      <c r="H30" s="138">
        <f>'[8]Lead Electric'!$H$29</f>
        <v>1010226.96</v>
      </c>
      <c r="I30" s="280">
        <f t="shared" si="0"/>
        <v>18</v>
      </c>
      <c r="J30" s="286" t="s">
        <v>385</v>
      </c>
      <c r="N30" s="144">
        <f>[9]Lead!$F$25</f>
        <v>3986</v>
      </c>
      <c r="O30" s="96"/>
      <c r="P30" s="144">
        <f>N30</f>
        <v>3986</v>
      </c>
      <c r="Z30" s="982" t="s">
        <v>152</v>
      </c>
      <c r="AA30" s="647"/>
      <c r="AB30" s="988"/>
      <c r="AC30" s="989">
        <v>2.9399999999999999E-2</v>
      </c>
      <c r="AD30" s="989"/>
      <c r="AE30" s="989">
        <v>2.87E-2</v>
      </c>
      <c r="AF30" s="989"/>
      <c r="AG30" s="15">
        <f t="shared" si="1"/>
        <v>17</v>
      </c>
      <c r="AH30" s="21" t="s">
        <v>137</v>
      </c>
      <c r="AN30" s="260"/>
      <c r="AW30" s="95"/>
      <c r="AX30" s="95"/>
      <c r="AY30" s="95"/>
      <c r="AZ30" s="122"/>
      <c r="BA30" s="131"/>
      <c r="BB30" s="131"/>
      <c r="BC30" s="131"/>
      <c r="BD30" s="131"/>
      <c r="DA30" s="16"/>
      <c r="DI30" s="95">
        <f t="shared" si="13"/>
        <v>17</v>
      </c>
      <c r="DJ30" s="97" t="s">
        <v>95</v>
      </c>
      <c r="DK30" s="186"/>
      <c r="DL30" s="175">
        <f>-DL28-DL29</f>
        <v>-88704496.976821303</v>
      </c>
      <c r="DM30" s="175">
        <f>-DM28-DM29</f>
        <v>-88766307.401977554</v>
      </c>
      <c r="DN30" s="175">
        <f>-DN28-DN29</f>
        <v>-61810.425156246805</v>
      </c>
      <c r="DO30" s="175">
        <f>-DO28-DO29</f>
        <v>-91769864.560334384</v>
      </c>
      <c r="DP30" s="175">
        <f>-DP28-DP29</f>
        <v>-3003557.1583568333</v>
      </c>
      <c r="DQ30" s="95">
        <f t="shared" si="16"/>
        <v>17</v>
      </c>
      <c r="DR30" s="205" t="s">
        <v>230</v>
      </c>
      <c r="DS30" s="181"/>
      <c r="DT30" s="183">
        <f>+DT28</f>
        <v>6936279.8086278215</v>
      </c>
      <c r="DU30" s="183">
        <f>+DU28</f>
        <v>6952933.7275397414</v>
      </c>
      <c r="DV30" s="183">
        <f>+DV28</f>
        <v>16653.918911919929</v>
      </c>
      <c r="DW30" s="183">
        <f>+DW28</f>
        <v>7216449.3275726596</v>
      </c>
      <c r="DX30" s="183">
        <f>+DX28</f>
        <v>263515.60003291816</v>
      </c>
      <c r="EJ30" s="1"/>
      <c r="EK30" s="1"/>
      <c r="EL30" s="1"/>
      <c r="EM30" s="1"/>
      <c r="EN30" s="1"/>
      <c r="EO30" s="280">
        <f t="shared" si="18"/>
        <v>17</v>
      </c>
      <c r="EP30" s="92" t="s">
        <v>396</v>
      </c>
      <c r="ER30" s="29">
        <f t="shared" ref="ER30:ES30" si="33">-ER23</f>
        <v>-405261817.13353872</v>
      </c>
      <c r="ES30" s="29">
        <f t="shared" si="33"/>
        <v>-426660492.4238199</v>
      </c>
      <c r="ET30" s="29">
        <f>-ET23</f>
        <v>-21398675.290281195</v>
      </c>
      <c r="EU30" s="29">
        <f t="shared" ref="EU30:EV30" si="34">-EU23</f>
        <v>-426660492.4238199</v>
      </c>
      <c r="EV30" s="29">
        <f t="shared" si="34"/>
        <v>0</v>
      </c>
      <c r="EW30" s="280"/>
      <c r="EX30" s="703"/>
      <c r="EY30" s="703"/>
      <c r="EZ30" s="710"/>
      <c r="FA30" s="710"/>
      <c r="FB30" s="710"/>
      <c r="FC30" s="647"/>
      <c r="FD30" s="647"/>
      <c r="FM30" s="280">
        <f t="shared" si="19"/>
        <v>17</v>
      </c>
      <c r="FN30" s="399" t="s">
        <v>502</v>
      </c>
      <c r="FP30" s="108">
        <v>0</v>
      </c>
      <c r="FQ30" s="108">
        <v>0</v>
      </c>
      <c r="FR30" s="108">
        <f>+'[33]Lead E'!F29</f>
        <v>0</v>
      </c>
      <c r="FS30" s="108">
        <f>+'[33]Lead E'!$G$30</f>
        <v>-66474.208822265355</v>
      </c>
      <c r="FT30" s="108">
        <f>+FS30-FR30</f>
        <v>-66474.208822265355</v>
      </c>
      <c r="FU30" s="95">
        <v>16</v>
      </c>
      <c r="FV30" s="246" t="s">
        <v>341</v>
      </c>
      <c r="FW30" s="246"/>
      <c r="FX30" s="480"/>
      <c r="FY30" s="480"/>
      <c r="FZ30" s="480"/>
      <c r="GA30" s="480"/>
      <c r="GB30" s="480"/>
      <c r="GC30" s="165">
        <f t="shared" si="22"/>
        <v>17</v>
      </c>
      <c r="GD30" s="399" t="s">
        <v>490</v>
      </c>
      <c r="GE30" s="399"/>
      <c r="GF30" s="105"/>
      <c r="GG30" s="105"/>
      <c r="GH30" s="105">
        <v>0</v>
      </c>
      <c r="GI30" s="964">
        <f>'[6]Elec Lead '!$G$30</f>
        <v>2876916.4773086668</v>
      </c>
      <c r="GJ30" s="105">
        <f>+GI30-GH30</f>
        <v>2876916.4773086668</v>
      </c>
      <c r="GS30" s="165"/>
      <c r="HA30" s="165"/>
      <c r="HB30" s="703" t="s">
        <v>828</v>
      </c>
      <c r="HC30" s="703"/>
      <c r="HD30" s="704" t="s">
        <v>815</v>
      </c>
      <c r="HE30" s="704" t="s">
        <v>745</v>
      </c>
      <c r="HF30" s="704" t="s">
        <v>796</v>
      </c>
      <c r="HI30" s="165"/>
      <c r="HQ30" s="165">
        <f t="shared" si="26"/>
        <v>17</v>
      </c>
      <c r="HR30" s="286" t="s">
        <v>95</v>
      </c>
      <c r="HS30" s="118"/>
      <c r="HT30" s="1037">
        <f>-HT27-HT29</f>
        <v>0</v>
      </c>
      <c r="HU30" s="1037">
        <f>-HU27-HU29</f>
        <v>0</v>
      </c>
      <c r="HV30" s="1037">
        <f>-HV27-HV29</f>
        <v>0</v>
      </c>
      <c r="HW30" s="1037">
        <f>-HW27-HW29</f>
        <v>-538588.03</v>
      </c>
      <c r="HX30" s="1037">
        <f>-HX27-HX29</f>
        <v>-538588.03</v>
      </c>
    </row>
    <row r="31" spans="1:232" ht="15.75" thickTop="1">
      <c r="A31" s="15">
        <f t="shared" si="5"/>
        <v>19</v>
      </c>
      <c r="B31" s="9" t="s">
        <v>379</v>
      </c>
      <c r="C31" s="154"/>
      <c r="D31" s="456"/>
      <c r="E31" s="456"/>
      <c r="F31" s="255">
        <f>SUM(F25:F30)</f>
        <v>2744403.99</v>
      </c>
      <c r="G31" s="255"/>
      <c r="H31" s="255">
        <f>SUM(H25:H30)</f>
        <v>-16381468.550000004</v>
      </c>
      <c r="I31" s="280">
        <f t="shared" si="0"/>
        <v>19</v>
      </c>
      <c r="J31" s="286" t="s">
        <v>386</v>
      </c>
      <c r="N31" s="96">
        <f>N32-N30</f>
        <v>6547835</v>
      </c>
      <c r="O31" s="96"/>
      <c r="P31" s="96">
        <f>P32-P30</f>
        <v>11401700.000000119</v>
      </c>
      <c r="Z31" s="982" t="s">
        <v>153</v>
      </c>
      <c r="AA31" s="647"/>
      <c r="AB31" s="990">
        <v>0</v>
      </c>
      <c r="AC31" s="990">
        <v>157644505.69422266</v>
      </c>
      <c r="AD31" s="990">
        <v>157644505.69422266</v>
      </c>
      <c r="AE31" s="991">
        <v>155800477.91118285</v>
      </c>
      <c r="AF31" s="992">
        <v>-1844027.7830398083</v>
      </c>
      <c r="AG31" s="15">
        <f t="shared" si="1"/>
        <v>18</v>
      </c>
      <c r="AH31" s="154" t="s">
        <v>82</v>
      </c>
      <c r="AI31" s="223">
        <f>'COC, Def, ConvF'!M12</f>
        <v>8.4790000000000004E-3</v>
      </c>
      <c r="AJ31" s="96">
        <f>+'[20]Lead Sheet E'!D28</f>
        <v>1605619.9023454485</v>
      </c>
      <c r="AK31" s="260">
        <f>'[20]Lead Sheet E'!E28</f>
        <v>0</v>
      </c>
      <c r="AL31" s="260">
        <f>+AK31-AJ31</f>
        <v>-1605619.9023454485</v>
      </c>
      <c r="AM31" s="260">
        <f>+AK31</f>
        <v>0</v>
      </c>
      <c r="AN31" s="260">
        <f>AM31-AK31</f>
        <v>0</v>
      </c>
      <c r="AW31" s="95"/>
      <c r="AX31" s="95"/>
      <c r="AY31" s="95"/>
      <c r="AZ31" s="122"/>
      <c r="BA31" s="131"/>
      <c r="BB31" s="131"/>
      <c r="BC31" s="131"/>
      <c r="BD31" s="131"/>
      <c r="DA31" s="16"/>
      <c r="DQ31" s="95">
        <f t="shared" si="16"/>
        <v>18</v>
      </c>
      <c r="DR31" s="205"/>
      <c r="DS31" s="181"/>
      <c r="DT31" s="186"/>
      <c r="DU31" s="186"/>
      <c r="DV31" s="186"/>
      <c r="DW31" s="186"/>
      <c r="DX31" s="186"/>
      <c r="EJ31" s="1"/>
      <c r="EK31" s="1"/>
      <c r="EL31" s="1"/>
      <c r="EM31" s="1"/>
      <c r="EN31" s="1"/>
      <c r="EO31" s="280">
        <f t="shared" si="18"/>
        <v>18</v>
      </c>
      <c r="EP31" s="92" t="s">
        <v>258</v>
      </c>
      <c r="ER31" s="96">
        <f t="shared" ref="ER31:ES31" si="35">-ER30*0.21</f>
        <v>85104981.598043129</v>
      </c>
      <c r="ES31" s="96">
        <f t="shared" si="35"/>
        <v>89598703.40900217</v>
      </c>
      <c r="ET31" s="96">
        <f>-ET30*0.21</f>
        <v>4493721.8109590504</v>
      </c>
      <c r="EU31" s="96">
        <f t="shared" ref="EU31:EV31" si="36">-EU30*0.21</f>
        <v>89598703.40900217</v>
      </c>
      <c r="EV31" s="96">
        <f t="shared" si="36"/>
        <v>0</v>
      </c>
      <c r="EW31" s="280"/>
      <c r="EX31" s="1075"/>
      <c r="EY31" s="703"/>
      <c r="EZ31" s="703"/>
      <c r="FA31" s="703"/>
      <c r="FB31" s="703"/>
      <c r="FC31" s="647"/>
      <c r="FD31" s="647"/>
      <c r="FE31" s="144"/>
      <c r="FM31" s="280">
        <f t="shared" si="19"/>
        <v>18</v>
      </c>
      <c r="FN31" s="399" t="s">
        <v>463</v>
      </c>
      <c r="FO31" s="399"/>
      <c r="FP31" s="108">
        <v>0</v>
      </c>
      <c r="FQ31" s="108">
        <v>0</v>
      </c>
      <c r="FR31" s="108">
        <f>+'[33]Lead E'!F30</f>
        <v>0</v>
      </c>
      <c r="FS31" s="108">
        <f>+'[33]Lead E'!$G$31</f>
        <v>1100394.6870659131</v>
      </c>
      <c r="FT31" s="108">
        <f>+FS31-FR31</f>
        <v>1100394.6870659131</v>
      </c>
      <c r="FU31" s="95">
        <v>17</v>
      </c>
      <c r="FV31" s="246" t="s">
        <v>146</v>
      </c>
      <c r="FW31" s="155">
        <f>+[0]!FIT_E</f>
        <v>0.21</v>
      </c>
      <c r="FX31" s="480">
        <f>-$FW$31*FX29</f>
        <v>-1267804.9867277446</v>
      </c>
      <c r="FY31" s="480">
        <f>-$FW$31*FY29</f>
        <v>-1177187.8754407275</v>
      </c>
      <c r="FZ31" s="480">
        <f>-$FW$31*FZ29</f>
        <v>90617.111287017076</v>
      </c>
      <c r="GA31" s="480">
        <f>-$FW$31*GA29</f>
        <v>-1072307.7696541143</v>
      </c>
      <c r="GB31" s="480">
        <f>-$FW$31*GB29</f>
        <v>104880.10578661348</v>
      </c>
      <c r="GC31" s="165">
        <f t="shared" si="22"/>
        <v>18</v>
      </c>
      <c r="GD31" s="399" t="s">
        <v>485</v>
      </c>
      <c r="GE31" s="399"/>
      <c r="GF31" s="108"/>
      <c r="GG31" s="108"/>
      <c r="GH31" s="108">
        <v>0</v>
      </c>
      <c r="GI31" s="965">
        <f>'[6]Elec Lead '!$G$31</f>
        <v>3681830.6018343112</v>
      </c>
      <c r="GJ31" s="108">
        <f>+GI31-GH31</f>
        <v>3681830.6018343112</v>
      </c>
      <c r="GS31" s="165"/>
      <c r="HA31" s="165"/>
      <c r="HB31" s="694" t="s">
        <v>754</v>
      </c>
      <c r="HC31" s="703"/>
      <c r="HD31" s="695">
        <f>HH24</f>
        <v>375013.99657122983</v>
      </c>
      <c r="HE31" s="695">
        <v>0</v>
      </c>
      <c r="HF31" s="695">
        <f>HE31-HD31</f>
        <v>-375013.99657122983</v>
      </c>
      <c r="HI31" s="165"/>
      <c r="HR31" s="118"/>
      <c r="HS31" s="118"/>
    </row>
    <row r="32" spans="1:232" ht="15.75" thickBot="1">
      <c r="A32" s="15">
        <f t="shared" si="5"/>
        <v>20</v>
      </c>
      <c r="B32" s="400" t="s">
        <v>497</v>
      </c>
      <c r="C32" s="154"/>
      <c r="D32" s="138"/>
      <c r="E32" s="138"/>
      <c r="F32" s="138">
        <f>F23+F31</f>
        <v>44044500.61980398</v>
      </c>
      <c r="G32" s="138"/>
      <c r="H32" s="138">
        <f>H23+H31</f>
        <v>-34175863.030000001</v>
      </c>
      <c r="I32" s="280">
        <f t="shared" si="0"/>
        <v>20</v>
      </c>
      <c r="J32" s="286" t="s">
        <v>694</v>
      </c>
      <c r="N32" s="289">
        <f>N18</f>
        <v>6551821</v>
      </c>
      <c r="O32" s="96"/>
      <c r="P32" s="289">
        <f>P18</f>
        <v>11405686.000000119</v>
      </c>
      <c r="Z32" s="982"/>
      <c r="AA32" s="647"/>
      <c r="AB32" s="987"/>
      <c r="AC32" s="987"/>
      <c r="AD32" s="987"/>
      <c r="AE32" s="987"/>
      <c r="AF32" s="987"/>
      <c r="AG32" s="15">
        <f t="shared" si="1"/>
        <v>19</v>
      </c>
      <c r="AH32" s="154" t="s">
        <v>83</v>
      </c>
      <c r="AI32" s="223">
        <f>'COC, Def, ConvF'!M13</f>
        <v>2E-3</v>
      </c>
      <c r="AJ32" s="96">
        <f>+'[20]Lead Sheet E'!D29</f>
        <v>378728.60062400007</v>
      </c>
      <c r="AK32" s="260">
        <f>'[20]Lead Sheet E'!E29</f>
        <v>0</v>
      </c>
      <c r="AL32" s="260">
        <f>+AK32-AJ32</f>
        <v>-378728.60062400007</v>
      </c>
      <c r="AM32" s="260">
        <f>+AK32</f>
        <v>0</v>
      </c>
      <c r="AN32" s="260">
        <f>AM32-AK32</f>
        <v>0</v>
      </c>
      <c r="AW32" s="95"/>
      <c r="AX32" s="95"/>
      <c r="AY32" s="95"/>
      <c r="AZ32" s="122"/>
      <c r="BA32" s="131"/>
      <c r="BB32" s="131"/>
      <c r="BC32" s="131"/>
      <c r="BD32" s="131"/>
      <c r="DA32" s="16"/>
      <c r="DQ32" s="95">
        <f t="shared" si="16"/>
        <v>19</v>
      </c>
      <c r="DR32" s="205" t="s">
        <v>128</v>
      </c>
      <c r="DS32" s="192">
        <f>+[0]!FIT_E</f>
        <v>0.21</v>
      </c>
      <c r="DT32" s="193">
        <f>-DT30*$DS$32</f>
        <v>-1456618.7598118423</v>
      </c>
      <c r="DU32" s="193">
        <f>-DU30*$DS$32</f>
        <v>-1460116.0827833456</v>
      </c>
      <c r="DV32" s="193">
        <f>-DV30*$DS$32</f>
        <v>-3497.3229715031848</v>
      </c>
      <c r="DW32" s="193">
        <f>-DW30*$DS$32</f>
        <v>-1515454.3587902584</v>
      </c>
      <c r="DX32" s="193">
        <f>-DX30*$DS$32</f>
        <v>-55338.276006912813</v>
      </c>
      <c r="EJ32" s="1"/>
      <c r="EK32" s="632"/>
      <c r="EL32" s="1"/>
      <c r="EM32" s="1"/>
      <c r="EN32" s="1"/>
      <c r="EO32" s="280">
        <f t="shared" si="18"/>
        <v>19</v>
      </c>
      <c r="EP32" s="92" t="s">
        <v>397</v>
      </c>
      <c r="ER32" s="54">
        <f t="shared" ref="ER32:ES32" si="37">SUM(ER30:ER31)</f>
        <v>-320156835.53549558</v>
      </c>
      <c r="ES32" s="54">
        <f t="shared" si="37"/>
        <v>-337061789.01481771</v>
      </c>
      <c r="ET32" s="54">
        <f>SUM(ET30:ET31)</f>
        <v>-16904953.479322143</v>
      </c>
      <c r="EU32" s="54">
        <f t="shared" ref="EU32:EV32" si="38">SUM(EU30:EU31)</f>
        <v>-337061789.01481771</v>
      </c>
      <c r="EV32" s="54">
        <f t="shared" si="38"/>
        <v>0</v>
      </c>
      <c r="EW32" s="280"/>
      <c r="EX32" s="703"/>
      <c r="EY32" s="703"/>
      <c r="EZ32" s="703"/>
      <c r="FA32" s="703"/>
      <c r="FB32" s="703"/>
      <c r="FC32" s="647"/>
      <c r="FD32" s="647"/>
      <c r="FM32" s="280">
        <f t="shared" si="19"/>
        <v>19</v>
      </c>
      <c r="FN32" s="399" t="s">
        <v>464</v>
      </c>
      <c r="FO32" s="399"/>
      <c r="FP32" s="108">
        <v>0</v>
      </c>
      <c r="FQ32" s="108">
        <v>0</v>
      </c>
      <c r="FR32" s="108">
        <f>+'[33]Lead E'!F31</f>
        <v>0</v>
      </c>
      <c r="FS32" s="108">
        <f>+'[33]Lead E'!$G$32</f>
        <v>3768050.4009562861</v>
      </c>
      <c r="FT32" s="108">
        <f>+FS32-FR32</f>
        <v>3768050.4009562861</v>
      </c>
      <c r="FU32" s="95">
        <v>18</v>
      </c>
      <c r="FV32" s="246" t="s">
        <v>121</v>
      </c>
      <c r="FW32" s="246"/>
      <c r="FX32" s="481">
        <f>-FX29-FX31</f>
        <v>-4769361.6167377066</v>
      </c>
      <c r="FY32" s="481">
        <f>-FY29-FY31</f>
        <v>-4428468.6742770225</v>
      </c>
      <c r="FZ32" s="481">
        <f>-FZ29-FZ31</f>
        <v>340892.94246068335</v>
      </c>
      <c r="GA32" s="481">
        <f>-GA29-GA31</f>
        <v>-4033919.7048892868</v>
      </c>
      <c r="GB32" s="481">
        <f>-GB29-GB31</f>
        <v>394548.96938773646</v>
      </c>
      <c r="GC32" s="165">
        <f t="shared" si="22"/>
        <v>19</v>
      </c>
      <c r="GD32" s="399" t="s">
        <v>482</v>
      </c>
      <c r="GE32" s="399"/>
      <c r="GF32" s="108"/>
      <c r="GG32" s="108"/>
      <c r="GH32" s="108">
        <v>0</v>
      </c>
      <c r="GI32" s="965">
        <f>'[6]Elec Lead '!$G$32</f>
        <v>0</v>
      </c>
      <c r="GJ32" s="108">
        <f>+GI32-GH32</f>
        <v>0</v>
      </c>
      <c r="GK32" s="629"/>
      <c r="HB32" s="705" t="s">
        <v>85</v>
      </c>
      <c r="HC32" s="703"/>
      <c r="HD32" s="706">
        <f>-HD31*0.21</f>
        <v>-78752.939279958257</v>
      </c>
      <c r="HE32" s="695">
        <v>0</v>
      </c>
      <c r="HF32" s="695">
        <f>HE32-HD32</f>
        <v>78752.939279958257</v>
      </c>
    </row>
    <row r="33" spans="1:231" ht="16.5" thickTop="1" thickBot="1">
      <c r="A33" s="15">
        <f t="shared" si="5"/>
        <v>21</v>
      </c>
      <c r="B33" s="245"/>
      <c r="C33" s="154"/>
      <c r="D33" s="282"/>
      <c r="E33" s="282"/>
      <c r="F33" s="282"/>
      <c r="G33" s="282"/>
      <c r="H33" s="108"/>
      <c r="N33" s="96"/>
      <c r="O33" s="96"/>
      <c r="P33" s="96"/>
      <c r="Z33" s="985" t="s">
        <v>154</v>
      </c>
      <c r="AA33" s="993">
        <v>0.21</v>
      </c>
      <c r="AB33" s="994">
        <v>0</v>
      </c>
      <c r="AC33" s="994">
        <v>-33105346.195786756</v>
      </c>
      <c r="AD33" s="994">
        <v>-33105346.195786756</v>
      </c>
      <c r="AE33" s="994">
        <v>-32718100.361348398</v>
      </c>
      <c r="AF33" s="994">
        <v>387245.83443835971</v>
      </c>
      <c r="AG33" s="15">
        <f t="shared" si="1"/>
        <v>20</v>
      </c>
      <c r="AH33" s="154" t="s">
        <v>138</v>
      </c>
      <c r="AI33" s="223">
        <f>'COC, Def, ConvF'!M14</f>
        <v>3.8406000000000003E-2</v>
      </c>
      <c r="AJ33" s="96">
        <f>+'[20]Lead Sheet E'!D30</f>
        <v>7272725.317782674</v>
      </c>
      <c r="AK33" s="260">
        <f>'[20]Lead Sheet E'!E30</f>
        <v>0</v>
      </c>
      <c r="AL33" s="260">
        <f>+AK33-AJ33</f>
        <v>-7272725.317782674</v>
      </c>
      <c r="AM33" s="260">
        <f>+AK33</f>
        <v>0</v>
      </c>
      <c r="AN33" s="260">
        <f>AM33-AK33</f>
        <v>0</v>
      </c>
      <c r="AW33" s="186"/>
      <c r="AX33" s="186"/>
      <c r="AY33" s="186"/>
      <c r="AZ33" s="208"/>
      <c r="BA33" s="208"/>
      <c r="BB33" s="208"/>
      <c r="BC33" s="208"/>
      <c r="BD33" s="208"/>
      <c r="DQ33" s="95">
        <f t="shared" si="16"/>
        <v>20</v>
      </c>
      <c r="DR33" s="205"/>
      <c r="DS33" s="181"/>
      <c r="DT33" s="229"/>
      <c r="DU33" s="229"/>
      <c r="DV33" s="229"/>
      <c r="DW33" s="229"/>
      <c r="DX33" s="229"/>
      <c r="EJ33" s="1"/>
      <c r="EK33" s="632"/>
      <c r="EL33" s="1"/>
      <c r="EM33" s="1"/>
      <c r="EN33" s="1"/>
      <c r="EO33" s="280"/>
      <c r="EX33" s="703"/>
      <c r="EY33" s="703"/>
      <c r="EZ33" s="703"/>
      <c r="FA33" s="703"/>
      <c r="FB33" s="703"/>
      <c r="FC33" s="647"/>
      <c r="FD33" s="647"/>
      <c r="FM33" s="280">
        <f t="shared" si="19"/>
        <v>20</v>
      </c>
      <c r="FN33" s="399" t="s">
        <v>454</v>
      </c>
      <c r="FO33" s="399"/>
      <c r="FP33" s="238">
        <f>SUM(FP29:FP32)</f>
        <v>0</v>
      </c>
      <c r="FQ33" s="238">
        <f>SUM(FQ29:FQ32)</f>
        <v>0</v>
      </c>
      <c r="FR33" s="238">
        <f>SUM(FR29:FR32)</f>
        <v>0</v>
      </c>
      <c r="FS33" s="238">
        <f>SUM(FS29:FS32)</f>
        <v>6157438.5977499336</v>
      </c>
      <c r="FT33" s="238">
        <f>SUM(FT29:FT32)</f>
        <v>6157438.5977499336</v>
      </c>
      <c r="FU33" s="95"/>
      <c r="FV33" s="1"/>
      <c r="FW33" s="1"/>
      <c r="FX33" s="1"/>
      <c r="FY33" s="1"/>
      <c r="FZ33" s="1"/>
      <c r="GA33" s="1"/>
      <c r="GB33" s="1"/>
      <c r="GC33" s="165">
        <f t="shared" si="22"/>
        <v>20</v>
      </c>
      <c r="GD33" s="399" t="s">
        <v>454</v>
      </c>
      <c r="GE33" s="399"/>
      <c r="GF33" s="54">
        <f>SUM(GF30:GF32)</f>
        <v>0</v>
      </c>
      <c r="GG33" s="54">
        <f>SUM(GG30:GG32)</f>
        <v>0</v>
      </c>
      <c r="GH33" s="54">
        <f>SUM(GH30:GH32)</f>
        <v>0</v>
      </c>
      <c r="GI33" s="54">
        <f>SUM(GI30:GI32)</f>
        <v>6558747.0791429784</v>
      </c>
      <c r="GJ33" s="54">
        <f>SUM(GJ30:GJ32)</f>
        <v>6558747.0791429784</v>
      </c>
      <c r="HB33" s="705" t="s">
        <v>194</v>
      </c>
      <c r="HC33" s="703"/>
      <c r="HD33" s="706">
        <f>-HD31-HD32</f>
        <v>-296261.05729127157</v>
      </c>
      <c r="HE33" s="695">
        <v>0</v>
      </c>
      <c r="HF33" s="695">
        <f>HE33-HD33</f>
        <v>296261.05729127157</v>
      </c>
      <c r="HR33" s="703" t="s">
        <v>828</v>
      </c>
      <c r="HS33" s="703"/>
      <c r="HT33" s="704" t="s">
        <v>815</v>
      </c>
      <c r="HU33" s="704" t="s">
        <v>745</v>
      </c>
      <c r="HV33" s="704" t="s">
        <v>796</v>
      </c>
    </row>
    <row r="34" spans="1:231" ht="17.25" thickTop="1" thickBot="1">
      <c r="A34" s="15">
        <f t="shared" si="5"/>
        <v>22</v>
      </c>
      <c r="B34" s="245"/>
      <c r="D34" s="138"/>
      <c r="E34" s="138"/>
      <c r="F34" s="138"/>
      <c r="G34" s="138"/>
      <c r="H34" s="138"/>
      <c r="J34" s="1067" t="s">
        <v>934</v>
      </c>
      <c r="K34" s="1067"/>
      <c r="L34" s="1067"/>
      <c r="M34" s="1067"/>
      <c r="N34" s="1068"/>
      <c r="O34" s="314"/>
      <c r="P34" s="96"/>
      <c r="Z34" s="985" t="s">
        <v>95</v>
      </c>
      <c r="AA34" s="647"/>
      <c r="AB34" s="995">
        <v>0</v>
      </c>
      <c r="AC34" s="995">
        <v>33105346.195786756</v>
      </c>
      <c r="AD34" s="995">
        <v>33105346.195786756</v>
      </c>
      <c r="AE34" s="995">
        <v>32718100.361348398</v>
      </c>
      <c r="AF34" s="995">
        <v>-387245.83443835971</v>
      </c>
      <c r="AG34" s="15">
        <f t="shared" si="1"/>
        <v>21</v>
      </c>
      <c r="AH34" s="154" t="s">
        <v>66</v>
      </c>
      <c r="AJ34" s="261">
        <f>SUM(AJ31:AJ33)</f>
        <v>9257073.8207521215</v>
      </c>
      <c r="AK34" s="261">
        <f>SUM(AK31:AK33)</f>
        <v>0</v>
      </c>
      <c r="AL34" s="261">
        <f>SUM(AL31:AL33)</f>
        <v>-9257073.8207521215</v>
      </c>
      <c r="AM34" s="228"/>
      <c r="AN34" s="228"/>
      <c r="AW34" s="186"/>
      <c r="AX34" s="186"/>
      <c r="AY34" s="186"/>
      <c r="AZ34" s="186"/>
      <c r="BA34" s="186"/>
      <c r="BB34" s="186"/>
      <c r="BC34" s="186"/>
      <c r="BD34" s="186"/>
      <c r="DQ34" s="95">
        <f t="shared" si="16"/>
        <v>21</v>
      </c>
      <c r="DR34" s="181" t="s">
        <v>95</v>
      </c>
      <c r="DS34" s="181"/>
      <c r="DT34" s="388">
        <f>-DT30-DT32</f>
        <v>-5479661.0488159787</v>
      </c>
      <c r="DU34" s="388">
        <f>-DU30-DU32</f>
        <v>-5492817.6447563954</v>
      </c>
      <c r="DV34" s="388">
        <f>-DV30-DV32</f>
        <v>-13156.595940416744</v>
      </c>
      <c r="DW34" s="388">
        <f>-DW30-DW32</f>
        <v>-5700994.9687824007</v>
      </c>
      <c r="DX34" s="388">
        <f>-DX30-DX32</f>
        <v>-208177.32402600534</v>
      </c>
      <c r="EJ34" s="1"/>
      <c r="EK34" s="632"/>
      <c r="EL34" s="1"/>
      <c r="EM34" s="1"/>
      <c r="EN34" s="1"/>
      <c r="EX34" s="703"/>
      <c r="EY34" s="703"/>
      <c r="EZ34" s="703"/>
      <c r="FA34" s="703"/>
      <c r="FB34" s="703"/>
      <c r="FC34" s="647"/>
      <c r="FD34" s="647"/>
      <c r="FE34" s="144"/>
      <c r="FM34" s="280">
        <f t="shared" si="19"/>
        <v>21</v>
      </c>
      <c r="FN34" s="241" t="s">
        <v>341</v>
      </c>
      <c r="FO34" s="241"/>
      <c r="FP34" s="477"/>
      <c r="FQ34" s="477"/>
      <c r="FR34" s="477"/>
      <c r="FS34" s="477"/>
      <c r="FT34" s="477"/>
      <c r="FU34" s="95"/>
      <c r="FV34" s="1"/>
      <c r="FW34" s="1"/>
      <c r="FX34" s="1"/>
      <c r="FY34" s="1"/>
      <c r="FZ34" s="1"/>
      <c r="GA34" s="1"/>
      <c r="GB34" s="1"/>
      <c r="GC34" s="165">
        <f t="shared" si="22"/>
        <v>21</v>
      </c>
      <c r="GD34" s="408" t="s">
        <v>598</v>
      </c>
      <c r="GE34" s="248">
        <f>[35]Lead!$E$35</f>
        <v>0.66190000000000004</v>
      </c>
      <c r="GF34" s="242"/>
      <c r="GG34" s="242"/>
      <c r="GH34" s="242"/>
      <c r="GI34" s="242"/>
      <c r="GJ34" s="242"/>
      <c r="HB34" s="703" t="s">
        <v>822</v>
      </c>
      <c r="HC34" s="703"/>
      <c r="HD34" s="706">
        <f>-HD33/'COC, Def, ConvF'!$M$20</f>
        <v>394288.72608073876</v>
      </c>
      <c r="HE34" s="695">
        <v>0</v>
      </c>
      <c r="HF34" s="695">
        <f>HE34-HD34</f>
        <v>-394288.72608073876</v>
      </c>
      <c r="HR34" s="694" t="s">
        <v>754</v>
      </c>
      <c r="HS34" s="703"/>
      <c r="HT34" s="695">
        <f>HX24</f>
        <v>681757.00000000012</v>
      </c>
      <c r="HU34" s="695">
        <v>0</v>
      </c>
      <c r="HV34" s="695">
        <f>HU34-HT34</f>
        <v>-681757.00000000012</v>
      </c>
    </row>
    <row r="35" spans="1:231" ht="16.5" customHeight="1" thickTop="1">
      <c r="A35" s="15">
        <f t="shared" si="5"/>
        <v>23</v>
      </c>
      <c r="D35" s="138"/>
      <c r="E35" s="138"/>
      <c r="F35" s="138"/>
      <c r="G35" s="138"/>
      <c r="H35" s="138"/>
      <c r="J35" s="1067" t="s">
        <v>809</v>
      </c>
      <c r="K35" s="1067"/>
      <c r="L35" s="1069" t="s">
        <v>817</v>
      </c>
      <c r="M35" s="1069" t="s">
        <v>937</v>
      </c>
      <c r="N35" s="1069" t="s">
        <v>796</v>
      </c>
      <c r="O35" s="314"/>
      <c r="P35" s="96"/>
      <c r="AE35" s="260"/>
      <c r="AG35" s="15">
        <f t="shared" si="1"/>
        <v>22</v>
      </c>
      <c r="AH35" s="154"/>
      <c r="AN35" s="260"/>
      <c r="AW35" s="186"/>
      <c r="AX35" s="186"/>
      <c r="AY35" s="186"/>
      <c r="AZ35" s="186"/>
      <c r="BA35" s="186"/>
      <c r="BB35" s="186"/>
      <c r="BC35" s="186"/>
      <c r="BD35" s="186"/>
      <c r="EJ35" s="1"/>
      <c r="EK35" s="632"/>
      <c r="EL35" s="1"/>
      <c r="EM35" s="1"/>
      <c r="EN35" s="1"/>
      <c r="EX35" s="703"/>
      <c r="EY35" s="703"/>
      <c r="EZ35" s="703"/>
      <c r="FA35" s="703"/>
      <c r="FB35" s="703"/>
      <c r="FC35" s="648"/>
      <c r="FD35" s="648"/>
      <c r="FM35" s="280">
        <f t="shared" si="19"/>
        <v>22</v>
      </c>
      <c r="FN35" s="7" t="s">
        <v>103</v>
      </c>
      <c r="FO35" s="7"/>
      <c r="FP35" s="108"/>
      <c r="FQ35" s="108"/>
      <c r="FR35" s="108"/>
      <c r="FS35" s="108">
        <f>+FS33</f>
        <v>6157438.5977499336</v>
      </c>
      <c r="FT35" s="108">
        <f>FT33</f>
        <v>6157438.5977499336</v>
      </c>
      <c r="FU35" s="95"/>
      <c r="FV35" s="1"/>
      <c r="FW35" s="1"/>
      <c r="FX35" s="1"/>
      <c r="FY35" s="1"/>
      <c r="FZ35" s="1"/>
      <c r="GA35" s="1"/>
      <c r="GB35" s="1"/>
      <c r="GC35" s="165">
        <f t="shared" si="22"/>
        <v>22</v>
      </c>
      <c r="GD35" s="7" t="s">
        <v>103</v>
      </c>
      <c r="GE35" s="7"/>
      <c r="GF35" s="108"/>
      <c r="GG35" s="108"/>
      <c r="GH35" s="108"/>
      <c r="GI35" s="108">
        <f>GI33</f>
        <v>6558747.0791429784</v>
      </c>
      <c r="GJ35" s="105">
        <f>+GI35-GH35</f>
        <v>6558747.0791429784</v>
      </c>
      <c r="HB35" s="703"/>
      <c r="HC35" s="703"/>
      <c r="HD35" s="703"/>
      <c r="HE35" s="695"/>
      <c r="HF35" s="695"/>
      <c r="HR35" s="705" t="s">
        <v>85</v>
      </c>
      <c r="HS35" s="703"/>
      <c r="HT35" s="706">
        <f>-HT34*0.21</f>
        <v>-143168.97000000003</v>
      </c>
      <c r="HU35" s="695">
        <v>0</v>
      </c>
      <c r="HV35" s="695">
        <f>HU35-HT35</f>
        <v>143168.97000000003</v>
      </c>
    </row>
    <row r="36" spans="1:231" ht="15">
      <c r="A36" s="15">
        <f t="shared" si="5"/>
        <v>24</v>
      </c>
      <c r="B36" s="166" t="s">
        <v>23</v>
      </c>
      <c r="C36" s="154"/>
      <c r="D36" s="138"/>
      <c r="E36" s="138"/>
      <c r="F36" s="138"/>
      <c r="G36" s="138"/>
      <c r="H36" s="138"/>
      <c r="J36" s="1067" t="s">
        <v>935</v>
      </c>
      <c r="K36" s="1067"/>
      <c r="L36" s="1070">
        <v>5277160</v>
      </c>
      <c r="M36" s="1070">
        <f>N18</f>
        <v>6551821</v>
      </c>
      <c r="N36" s="1070">
        <f>M36-L36</f>
        <v>1274661</v>
      </c>
      <c r="O36" s="314"/>
      <c r="P36" s="96"/>
      <c r="AG36" s="15">
        <f t="shared" si="1"/>
        <v>23</v>
      </c>
      <c r="AH36" s="13" t="s">
        <v>139</v>
      </c>
      <c r="AN36" s="260"/>
      <c r="AW36" s="186"/>
      <c r="AX36" s="186"/>
      <c r="AY36" s="186"/>
      <c r="AZ36" s="186"/>
      <c r="BA36" s="186"/>
      <c r="BB36" s="186"/>
      <c r="BC36" s="186"/>
      <c r="BD36" s="186"/>
      <c r="DT36" s="224"/>
      <c r="DU36" s="224"/>
      <c r="DV36" s="224"/>
      <c r="DW36" s="224"/>
      <c r="DX36" s="224"/>
      <c r="EJ36" s="1"/>
      <c r="EK36" s="632"/>
      <c r="EL36" s="1"/>
      <c r="EM36" s="1"/>
      <c r="EN36" s="1"/>
      <c r="EX36" s="647"/>
      <c r="EY36" s="647"/>
      <c r="EZ36" s="648"/>
      <c r="FA36" s="648"/>
      <c r="FB36" s="648"/>
      <c r="FC36" s="649"/>
      <c r="FD36" s="649"/>
      <c r="FM36" s="280">
        <f t="shared" si="19"/>
        <v>23</v>
      </c>
      <c r="FN36" s="7" t="s">
        <v>341</v>
      </c>
      <c r="FO36" s="7"/>
      <c r="FP36" s="108"/>
      <c r="FQ36" s="108"/>
      <c r="FR36" s="108"/>
      <c r="FS36" s="108"/>
      <c r="FT36" s="108"/>
      <c r="FU36" s="95"/>
      <c r="FV36" s="1"/>
      <c r="FW36" s="1"/>
      <c r="FX36" s="1"/>
      <c r="FY36" s="1"/>
      <c r="FZ36" s="1"/>
      <c r="GA36" s="1"/>
      <c r="GB36" s="1"/>
      <c r="GC36" s="165">
        <f t="shared" si="22"/>
        <v>23</v>
      </c>
      <c r="GD36" s="7"/>
      <c r="GE36" s="7"/>
      <c r="GF36" s="108"/>
      <c r="GG36" s="108"/>
      <c r="GH36" s="108"/>
      <c r="GI36" s="108"/>
      <c r="GJ36" s="108"/>
      <c r="HB36" s="703" t="s">
        <v>798</v>
      </c>
      <c r="HC36" s="703"/>
      <c r="HD36" s="707">
        <f>HH18</f>
        <v>12855303.339327645</v>
      </c>
      <c r="HE36" s="708">
        <v>0</v>
      </c>
      <c r="HF36" s="695">
        <f>HE36-HD36</f>
        <v>-12855303.339327645</v>
      </c>
      <c r="HR36" s="705" t="s">
        <v>194</v>
      </c>
      <c r="HS36" s="703"/>
      <c r="HT36" s="706">
        <f>-HT34-HT35</f>
        <v>-538588.03</v>
      </c>
      <c r="HU36" s="695">
        <v>0</v>
      </c>
      <c r="HV36" s="695">
        <f>HU36-HT36</f>
        <v>538588.03</v>
      </c>
    </row>
    <row r="37" spans="1:231" ht="15">
      <c r="A37" s="15">
        <f t="shared" si="5"/>
        <v>25</v>
      </c>
      <c r="B37" s="9" t="s">
        <v>374</v>
      </c>
      <c r="C37" s="154"/>
      <c r="D37" s="1086" t="s">
        <v>522</v>
      </c>
      <c r="E37" s="1086"/>
      <c r="F37" s="138">
        <f>+'[8]Lead Electric'!E36</f>
        <v>31779966.02</v>
      </c>
      <c r="G37" s="1086" t="s">
        <v>522</v>
      </c>
      <c r="H37" s="138">
        <v>0</v>
      </c>
      <c r="I37" s="381"/>
      <c r="J37" s="1067" t="s">
        <v>936</v>
      </c>
      <c r="K37" s="1067"/>
      <c r="L37" s="1071">
        <v>257973.96659999876</v>
      </c>
      <c r="M37" s="1071">
        <f>N23</f>
        <v>320285.769585</v>
      </c>
      <c r="N37" s="1071">
        <f>M37-L37</f>
        <v>62311.802985001239</v>
      </c>
      <c r="O37" s="381"/>
      <c r="P37" s="381"/>
      <c r="Z37" s="286" t="s">
        <v>956</v>
      </c>
      <c r="AB37" s="286" t="s">
        <v>815</v>
      </c>
      <c r="AC37" s="286" t="s">
        <v>745</v>
      </c>
      <c r="AD37" s="286" t="s">
        <v>796</v>
      </c>
      <c r="AE37" s="260">
        <f>+AE36+AE35</f>
        <v>0</v>
      </c>
      <c r="AG37" s="15">
        <f t="shared" si="1"/>
        <v>24</v>
      </c>
      <c r="AH37" s="19" t="s">
        <v>131</v>
      </c>
      <c r="AJ37" s="260">
        <f>+'[20]Lead Sheet E'!D34</f>
        <v>97087902.950000003</v>
      </c>
      <c r="AK37" s="260">
        <f>'[20]Lead Sheet E'!E34</f>
        <v>0</v>
      </c>
      <c r="AL37" s="260">
        <f t="shared" ref="AL37:AL46" si="39">AK37-AJ37</f>
        <v>-97087902.950000003</v>
      </c>
      <c r="AM37" s="260">
        <f t="shared" ref="AM37:AM46" si="40">+AK37</f>
        <v>0</v>
      </c>
      <c r="AN37" s="260">
        <f t="shared" ref="AN37:AN46" si="41">AM37-AK37</f>
        <v>0</v>
      </c>
      <c r="AW37" s="186"/>
      <c r="AX37" s="186"/>
      <c r="AY37" s="186"/>
      <c r="AZ37" s="186"/>
      <c r="BA37" s="186"/>
      <c r="BB37" s="186"/>
      <c r="BC37" s="186"/>
      <c r="BD37" s="186"/>
      <c r="DU37" s="1"/>
      <c r="DV37" s="1"/>
      <c r="DW37" s="1"/>
      <c r="DX37" s="1"/>
      <c r="EJ37" s="1"/>
      <c r="EK37" s="632"/>
      <c r="EL37" s="1"/>
      <c r="EM37" s="1"/>
      <c r="EN37" s="1"/>
      <c r="EX37" s="647"/>
      <c r="EY37" s="647"/>
      <c r="EZ37" s="649"/>
      <c r="FA37" s="649"/>
      <c r="FB37" s="649"/>
      <c r="FC37" s="648"/>
      <c r="FD37" s="648"/>
      <c r="FM37" s="280">
        <f t="shared" si="19"/>
        <v>24</v>
      </c>
      <c r="FN37" s="7" t="s">
        <v>128</v>
      </c>
      <c r="FO37" s="112">
        <v>0.21</v>
      </c>
      <c r="FP37" s="249"/>
      <c r="FQ37" s="249"/>
      <c r="FR37" s="249">
        <f>+'[33]Lead E'!F36</f>
        <v>0</v>
      </c>
      <c r="FS37" s="249">
        <f>-$FO$37*FS35</f>
        <v>-1293062.105527486</v>
      </c>
      <c r="FT37" s="249">
        <f>-$FO$37*FT35</f>
        <v>-1293062.105527486</v>
      </c>
      <c r="FU37" s="95"/>
      <c r="FV37" s="1"/>
      <c r="FW37" s="1"/>
      <c r="FX37" s="1"/>
      <c r="FY37" s="1"/>
      <c r="FZ37" s="1"/>
      <c r="GA37" s="1"/>
      <c r="GB37" s="1"/>
      <c r="GC37" s="165">
        <f t="shared" si="22"/>
        <v>24</v>
      </c>
      <c r="GD37" s="7" t="s">
        <v>128</v>
      </c>
      <c r="GE37" s="112">
        <v>0.21</v>
      </c>
      <c r="GF37" s="249"/>
      <c r="GG37" s="249"/>
      <c r="GH37" s="249"/>
      <c r="GI37" s="249">
        <f>-GI35*GE37</f>
        <v>-1377336.8866200254</v>
      </c>
      <c r="GJ37" s="249">
        <f>+GI37-GH37</f>
        <v>-1377336.8866200254</v>
      </c>
      <c r="HB37" s="703" t="s">
        <v>806</v>
      </c>
      <c r="HC37" s="703"/>
      <c r="HD37" s="709">
        <v>7.6200000000000004E-2</v>
      </c>
      <c r="HE37" s="712">
        <f>'COC, Def, ConvF'!H14</f>
        <v>7.3300000000000004E-2</v>
      </c>
      <c r="HF37" s="695"/>
      <c r="HR37" s="703" t="s">
        <v>822</v>
      </c>
      <c r="HS37" s="703"/>
      <c r="HT37" s="706">
        <f>-HT36/'COC, Def, ConvF'!M20</f>
        <v>716797.51018458023</v>
      </c>
      <c r="HU37" s="695">
        <v>0</v>
      </c>
      <c r="HV37" s="695">
        <f>HU37-HT37</f>
        <v>-716797.51018458023</v>
      </c>
    </row>
    <row r="38" spans="1:231" ht="15.75" thickBot="1">
      <c r="A38" s="15">
        <f t="shared" si="5"/>
        <v>26</v>
      </c>
      <c r="B38" s="9" t="s">
        <v>380</v>
      </c>
      <c r="C38" s="66"/>
      <c r="D38" s="1087"/>
      <c r="E38" s="1087"/>
      <c r="F38" s="460">
        <f>+'[8]Lead Electric'!E37</f>
        <v>-430100</v>
      </c>
      <c r="G38" s="1087"/>
      <c r="H38" s="138">
        <v>0</v>
      </c>
      <c r="J38" s="1067" t="s">
        <v>85</v>
      </c>
      <c r="K38" s="1067"/>
      <c r="L38" s="1072">
        <v>1054029.0670140001</v>
      </c>
      <c r="M38" s="1072">
        <f>N27</f>
        <v>1308622.3983871499</v>
      </c>
      <c r="N38" s="1072">
        <f>M38-L38</f>
        <v>254593.33137314976</v>
      </c>
      <c r="O38" s="287"/>
      <c r="Z38" s="286" t="s">
        <v>194</v>
      </c>
      <c r="AB38" s="260">
        <f>AD34</f>
        <v>33105346.195786756</v>
      </c>
      <c r="AC38" s="260">
        <f>AD22</f>
        <v>33118422.164963614</v>
      </c>
      <c r="AD38" s="260">
        <f>AC38-AB38</f>
        <v>13075.969176858664</v>
      </c>
      <c r="AG38" s="15">
        <f t="shared" si="1"/>
        <v>25</v>
      </c>
      <c r="AH38" s="213" t="s">
        <v>217</v>
      </c>
      <c r="AJ38" s="260">
        <f>+'[20]Lead Sheet E'!D35</f>
        <v>59265943.382832997</v>
      </c>
      <c r="AK38" s="260">
        <f>'[20]Lead Sheet E'!E35</f>
        <v>0</v>
      </c>
      <c r="AL38" s="260">
        <f t="shared" si="39"/>
        <v>-59265943.382832997</v>
      </c>
      <c r="AM38" s="260">
        <f t="shared" si="40"/>
        <v>0</v>
      </c>
      <c r="AN38" s="260">
        <f t="shared" si="41"/>
        <v>0</v>
      </c>
      <c r="AW38" s="186"/>
      <c r="AX38" s="186"/>
      <c r="AY38" s="186"/>
      <c r="AZ38" s="186"/>
      <c r="BA38" s="186"/>
      <c r="BB38" s="186"/>
      <c r="BC38" s="186"/>
      <c r="BD38" s="186"/>
      <c r="DI38" s="90"/>
      <c r="DT38" s="225"/>
      <c r="DU38" s="225"/>
      <c r="DV38" s="225"/>
      <c r="DW38" s="225"/>
      <c r="DX38" s="225"/>
      <c r="EJ38" s="1"/>
      <c r="EK38" s="632"/>
      <c r="EL38" s="1"/>
      <c r="EM38" s="1"/>
      <c r="EN38" s="1"/>
      <c r="EX38" s="647"/>
      <c r="EY38" s="647"/>
      <c r="EZ38" s="648"/>
      <c r="FA38" s="648"/>
      <c r="FB38" s="648"/>
      <c r="FC38" s="649"/>
      <c r="FD38" s="649"/>
      <c r="FM38" s="280">
        <f t="shared" si="19"/>
        <v>25</v>
      </c>
      <c r="FN38" s="7" t="s">
        <v>95</v>
      </c>
      <c r="FO38" s="7"/>
      <c r="FP38" s="54"/>
      <c r="FQ38" s="54"/>
      <c r="FR38" s="54"/>
      <c r="FS38" s="54">
        <f>-FS35-FS37</f>
        <v>-4864376.4922224479</v>
      </c>
      <c r="FT38" s="54">
        <f>-FT35-FT37</f>
        <v>-4864376.4922224479</v>
      </c>
      <c r="FU38" s="95"/>
      <c r="FV38" s="1"/>
      <c r="FW38" s="1"/>
      <c r="FX38" s="1"/>
      <c r="FY38" s="1"/>
      <c r="FZ38" s="1"/>
      <c r="GA38" s="1"/>
      <c r="GB38" s="1"/>
      <c r="GC38" s="165">
        <f t="shared" si="22"/>
        <v>25</v>
      </c>
      <c r="GD38" s="7" t="s">
        <v>95</v>
      </c>
      <c r="GE38" s="7"/>
      <c r="GF38" s="243">
        <f>-GF35-GF37</f>
        <v>0</v>
      </c>
      <c r="GG38" s="243">
        <f>-GG35-GG37</f>
        <v>0</v>
      </c>
      <c r="GH38" s="243">
        <f>-GH35-GH37</f>
        <v>0</v>
      </c>
      <c r="GI38" s="243">
        <f>-GI35-GI37</f>
        <v>-5181410.1925229533</v>
      </c>
      <c r="GJ38" s="243">
        <f>-GJ35-GJ37</f>
        <v>-5181410.1925229533</v>
      </c>
      <c r="HB38" s="703" t="s">
        <v>816</v>
      </c>
      <c r="HC38" s="703"/>
      <c r="HD38" s="710">
        <f>HD36*HD37</f>
        <v>979574.11445676652</v>
      </c>
      <c r="HE38" s="710">
        <f>HE36*HE37</f>
        <v>0</v>
      </c>
      <c r="HF38" s="695">
        <f>HE38-HD38</f>
        <v>-979574.11445676652</v>
      </c>
      <c r="HR38" s="703"/>
      <c r="HS38" s="703"/>
      <c r="HT38" s="703"/>
      <c r="HU38" s="695"/>
      <c r="HV38" s="695"/>
    </row>
    <row r="39" spans="1:231" ht="15.75" thickTop="1">
      <c r="A39" s="15">
        <f t="shared" si="5"/>
        <v>27</v>
      </c>
      <c r="B39" s="9" t="s">
        <v>375</v>
      </c>
      <c r="C39" s="154"/>
      <c r="D39" s="108"/>
      <c r="E39" s="238"/>
      <c r="F39" s="108">
        <f>SUM(F37:F38)</f>
        <v>31349866.02</v>
      </c>
      <c r="G39" s="238"/>
      <c r="H39" s="238">
        <f>SUM(H37:H38)</f>
        <v>0</v>
      </c>
      <c r="J39" s="1067" t="s">
        <v>821</v>
      </c>
      <c r="K39" s="1067"/>
      <c r="L39" s="1071">
        <f>L36-L37-L38</f>
        <v>3965156.9663860006</v>
      </c>
      <c r="M39" s="1071">
        <f>M36-M37-M38</f>
        <v>4922912.8320278497</v>
      </c>
      <c r="N39" s="1071">
        <f>N36-N37-N38</f>
        <v>957755.86564184888</v>
      </c>
      <c r="O39" s="157"/>
      <c r="Z39" s="286" t="s">
        <v>822</v>
      </c>
      <c r="AD39" s="260">
        <f>-AD38/'COC, Def, ConvF'!M20</f>
        <v>-17402.581615530155</v>
      </c>
      <c r="AG39" s="15">
        <f t="shared" si="1"/>
        <v>26</v>
      </c>
      <c r="AH39" s="43" t="s">
        <v>132</v>
      </c>
      <c r="AJ39" s="260">
        <f>+'[20]Lead Sheet E'!D36</f>
        <v>82000442.209999993</v>
      </c>
      <c r="AK39" s="260">
        <f>'[20]Lead Sheet E'!E36</f>
        <v>0</v>
      </c>
      <c r="AL39" s="260">
        <f t="shared" si="39"/>
        <v>-82000442.209999993</v>
      </c>
      <c r="AM39" s="260">
        <f t="shared" si="40"/>
        <v>0</v>
      </c>
      <c r="AN39" s="260">
        <f t="shared" si="41"/>
        <v>0</v>
      </c>
      <c r="AW39" s="186"/>
      <c r="AX39" s="186"/>
      <c r="AY39" s="186"/>
      <c r="AZ39" s="186"/>
      <c r="BA39" s="186"/>
      <c r="BB39" s="186"/>
      <c r="BC39" s="186"/>
      <c r="BD39" s="186"/>
      <c r="DI39" s="88"/>
      <c r="DU39" s="1"/>
      <c r="DV39" s="1"/>
      <c r="DW39" s="1"/>
      <c r="DX39" s="1"/>
      <c r="EX39" s="647"/>
      <c r="EY39" s="647"/>
      <c r="EZ39" s="649"/>
      <c r="FA39" s="649"/>
      <c r="FB39" s="649"/>
      <c r="FC39" s="648"/>
      <c r="FD39" s="648"/>
      <c r="FM39" s="280">
        <f t="shared" si="19"/>
        <v>26</v>
      </c>
      <c r="FN39" s="1" t="s">
        <v>341</v>
      </c>
      <c r="FO39" s="1"/>
      <c r="FP39" s="378"/>
      <c r="FQ39" s="378"/>
      <c r="FR39" s="378"/>
      <c r="FS39" s="378"/>
      <c r="FT39" s="378"/>
      <c r="FU39" s="95"/>
      <c r="FV39" s="1"/>
      <c r="FW39" s="1"/>
      <c r="FX39" s="1"/>
      <c r="FY39" s="1"/>
      <c r="FZ39" s="1"/>
      <c r="GA39" s="1"/>
      <c r="GB39" s="1"/>
      <c r="HB39" s="703" t="s">
        <v>829</v>
      </c>
      <c r="HC39" s="703"/>
      <c r="HD39" s="713">
        <f>HD38/'COC, Def, ConvF'!$M$20</f>
        <v>1303698.2761831435</v>
      </c>
      <c r="HE39" s="713">
        <f>HE38/'COC, Def, ConvF'!$M$20</f>
        <v>0</v>
      </c>
      <c r="HF39" s="695">
        <f>HE39-HD39</f>
        <v>-1303698.2761831435</v>
      </c>
      <c r="HR39" s="703" t="s">
        <v>798</v>
      </c>
      <c r="HS39" s="703"/>
      <c r="HT39" s="707">
        <f>HX21</f>
        <v>5481049.5432116631</v>
      </c>
      <c r="HU39" s="695">
        <v>0</v>
      </c>
      <c r="HV39" s="695">
        <f>HU39-HT39</f>
        <v>-5481049.5432116631</v>
      </c>
    </row>
    <row r="40" spans="1:231" ht="15">
      <c r="A40" s="15">
        <f t="shared" si="5"/>
        <v>28</v>
      </c>
      <c r="B40" s="245"/>
      <c r="C40" s="154"/>
      <c r="D40" s="108"/>
      <c r="E40" s="108"/>
      <c r="F40" s="108"/>
      <c r="G40" s="108"/>
      <c r="H40" s="58"/>
      <c r="J40" s="1067" t="s">
        <v>822</v>
      </c>
      <c r="K40" s="1067"/>
      <c r="L40" s="1071">
        <f>-L39/'COC, Def, ConvF'!$M$20</f>
        <v>-5277158.9465078311</v>
      </c>
      <c r="M40" s="1071">
        <f>-M39/'COC, Def, ConvF'!$M$20</f>
        <v>-6551819.6920441827</v>
      </c>
      <c r="N40" s="1073">
        <f>M40-L40</f>
        <v>-1274660.7455363516</v>
      </c>
      <c r="O40" s="287"/>
      <c r="AD40" s="260">
        <f>AD39-'Detailed Summary'!G74</f>
        <v>-2.0008883439004421E-10</v>
      </c>
      <c r="AG40" s="15">
        <f t="shared" si="1"/>
        <v>27</v>
      </c>
      <c r="AH40" s="43" t="s">
        <v>133</v>
      </c>
      <c r="AJ40" s="260">
        <f>+'[20]Lead Sheet E'!D37</f>
        <v>17158857.68</v>
      </c>
      <c r="AK40" s="260">
        <f>'[20]Lead Sheet E'!E37</f>
        <v>0</v>
      </c>
      <c r="AL40" s="260">
        <f t="shared" si="39"/>
        <v>-17158857.68</v>
      </c>
      <c r="AM40" s="260">
        <f t="shared" si="40"/>
        <v>0</v>
      </c>
      <c r="AN40" s="260">
        <f t="shared" si="41"/>
        <v>0</v>
      </c>
      <c r="AW40" s="186"/>
      <c r="AX40" s="186"/>
      <c r="AY40" s="186"/>
      <c r="AZ40" s="186"/>
      <c r="BA40" s="186"/>
      <c r="BB40" s="186"/>
      <c r="BC40" s="186"/>
      <c r="BD40" s="186"/>
      <c r="DI40" s="90"/>
      <c r="DU40" s="1"/>
      <c r="DV40" s="1"/>
      <c r="DW40" s="1"/>
      <c r="DX40" s="1"/>
      <c r="EX40" s="647"/>
      <c r="EY40" s="647"/>
      <c r="EZ40" s="648"/>
      <c r="FA40" s="648"/>
      <c r="FB40" s="648"/>
      <c r="FC40" s="648"/>
      <c r="FD40" s="648"/>
      <c r="FM40" s="280">
        <f t="shared" si="19"/>
        <v>27</v>
      </c>
      <c r="FN40" s="244" t="s">
        <v>526</v>
      </c>
      <c r="FO40" s="244"/>
      <c r="FP40" s="154"/>
      <c r="FQ40" s="154"/>
      <c r="FR40" s="154"/>
      <c r="FS40" s="154"/>
      <c r="FT40" s="154"/>
      <c r="FU40" s="95"/>
      <c r="FV40" s="1"/>
      <c r="FW40" s="1"/>
      <c r="FX40" s="1"/>
      <c r="FY40" s="1"/>
      <c r="FZ40" s="1"/>
      <c r="GA40" s="1"/>
      <c r="GB40" s="1"/>
      <c r="HB40" s="703"/>
      <c r="HC40" s="703"/>
      <c r="HD40" s="703"/>
      <c r="HE40" s="695"/>
      <c r="HF40" s="695"/>
      <c r="HR40" s="703" t="s">
        <v>806</v>
      </c>
      <c r="HS40" s="703"/>
      <c r="HT40" s="709">
        <v>7.6200000000000004E-2</v>
      </c>
      <c r="HU40" s="695">
        <v>0</v>
      </c>
      <c r="HV40" s="695"/>
    </row>
    <row r="41" spans="1:231" ht="15">
      <c r="A41" s="15">
        <f t="shared" si="5"/>
        <v>29</v>
      </c>
      <c r="C41" s="154"/>
      <c r="D41" s="58"/>
      <c r="E41" s="58"/>
      <c r="F41" s="58"/>
      <c r="G41" s="58"/>
      <c r="H41" s="108"/>
      <c r="J41" s="1067" t="s">
        <v>805</v>
      </c>
      <c r="K41" s="1067"/>
      <c r="L41" s="1074"/>
      <c r="M41" s="1074"/>
      <c r="N41" s="1074">
        <f>N40-'Detailed Summary'!E68</f>
        <v>0</v>
      </c>
      <c r="O41" s="287"/>
      <c r="Z41" s="286" t="s">
        <v>957</v>
      </c>
      <c r="AB41" s="286" t="s">
        <v>815</v>
      </c>
      <c r="AC41" s="286" t="s">
        <v>745</v>
      </c>
      <c r="AD41" s="286" t="s">
        <v>796</v>
      </c>
      <c r="AG41" s="15">
        <f t="shared" si="1"/>
        <v>28</v>
      </c>
      <c r="AH41" s="131" t="s">
        <v>134</v>
      </c>
      <c r="AJ41" s="260">
        <f>+'[20]Lead Sheet E'!D38</f>
        <v>-77453659.510000005</v>
      </c>
      <c r="AK41" s="260">
        <f>'[20]Lead Sheet E'!E38</f>
        <v>0</v>
      </c>
      <c r="AL41" s="260">
        <f t="shared" si="39"/>
        <v>77453659.510000005</v>
      </c>
      <c r="AM41" s="260">
        <f t="shared" si="40"/>
        <v>0</v>
      </c>
      <c r="AN41" s="260">
        <f t="shared" si="41"/>
        <v>0</v>
      </c>
      <c r="AW41" s="186"/>
      <c r="AX41" s="186"/>
      <c r="AY41" s="186"/>
      <c r="AZ41" s="186"/>
      <c r="BA41" s="186"/>
      <c r="BB41" s="186"/>
      <c r="BC41" s="186"/>
      <c r="BD41" s="186"/>
      <c r="DI41" s="90"/>
      <c r="DU41" s="1"/>
      <c r="DV41" s="1"/>
      <c r="DW41" s="1"/>
      <c r="DX41" s="1"/>
      <c r="EX41" s="647"/>
      <c r="EY41" s="647"/>
      <c r="EZ41" s="648"/>
      <c r="FA41" s="648"/>
      <c r="FB41" s="648"/>
      <c r="FC41" s="648"/>
      <c r="FD41" s="648"/>
      <c r="FM41" s="280">
        <f t="shared" si="19"/>
        <v>28</v>
      </c>
      <c r="FN41" s="244" t="s">
        <v>527</v>
      </c>
      <c r="FO41" s="244"/>
      <c r="FP41" s="154"/>
      <c r="FQ41" s="154"/>
      <c r="FR41" s="154"/>
      <c r="FS41" s="154"/>
      <c r="FT41" s="154"/>
      <c r="FU41" s="95"/>
      <c r="FV41" s="1"/>
      <c r="FW41" s="1"/>
      <c r="FX41" s="1"/>
      <c r="FY41" s="1"/>
      <c r="FZ41" s="1"/>
      <c r="GA41" s="1"/>
      <c r="GB41" s="1"/>
      <c r="HB41" s="703" t="s">
        <v>823</v>
      </c>
      <c r="HC41" s="703"/>
      <c r="HD41" s="706">
        <f>HD34+HD39</f>
        <v>1697987.0022638822</v>
      </c>
      <c r="HE41" s="706">
        <f>HE34+HE39</f>
        <v>0</v>
      </c>
      <c r="HF41" s="706">
        <f>HF34+HF39</f>
        <v>-1697987.0022638822</v>
      </c>
      <c r="HR41" s="703" t="s">
        <v>816</v>
      </c>
      <c r="HS41" s="703"/>
      <c r="HT41" s="710">
        <f>HT39*HT40</f>
        <v>417655.97519272874</v>
      </c>
      <c r="HU41" s="695">
        <v>0</v>
      </c>
      <c r="HV41" s="695">
        <f>HU41-HT41</f>
        <v>-417655.97519272874</v>
      </c>
      <c r="HW41" s="260"/>
    </row>
    <row r="42" spans="1:231" ht="15">
      <c r="A42" s="15">
        <f t="shared" si="5"/>
        <v>30</v>
      </c>
      <c r="B42" s="2" t="s">
        <v>125</v>
      </c>
      <c r="C42" s="130">
        <f>+'COC, Def, ConvF'!M12</f>
        <v>8.4790000000000004E-3</v>
      </c>
      <c r="D42" s="138"/>
      <c r="E42" s="282"/>
      <c r="F42" s="282">
        <f>F32*$C$42</f>
        <v>373453.32075531798</v>
      </c>
      <c r="G42" s="282"/>
      <c r="H42" s="65">
        <f>H32*C42</f>
        <v>-289777.14263137005</v>
      </c>
      <c r="J42" s="1067"/>
      <c r="K42" s="1067"/>
      <c r="L42" s="1067"/>
      <c r="M42" s="1067"/>
      <c r="N42" s="1067"/>
      <c r="O42" s="287"/>
      <c r="Z42" s="286" t="s">
        <v>194</v>
      </c>
      <c r="AB42" s="260">
        <f>AF34</f>
        <v>-387245.83443835971</v>
      </c>
      <c r="AC42" s="260">
        <f>AF22</f>
        <v>-659022.41484294983</v>
      </c>
      <c r="AD42" s="260">
        <f>AC42-AB42</f>
        <v>-271776.58040459012</v>
      </c>
      <c r="AG42" s="15">
        <f t="shared" si="1"/>
        <v>29</v>
      </c>
      <c r="AH42" s="131" t="s">
        <v>218</v>
      </c>
      <c r="AJ42" s="260">
        <f>+'[20]Lead Sheet E'!D39</f>
        <v>-83311.960000000006</v>
      </c>
      <c r="AK42" s="260">
        <f>'[20]Lead Sheet E'!E39</f>
        <v>0</v>
      </c>
      <c r="AL42" s="260">
        <f t="shared" si="39"/>
        <v>83311.960000000006</v>
      </c>
      <c r="AM42" s="260">
        <f t="shared" si="40"/>
        <v>0</v>
      </c>
      <c r="AN42" s="260">
        <f t="shared" si="41"/>
        <v>0</v>
      </c>
      <c r="AW42" s="186"/>
      <c r="AX42" s="186"/>
      <c r="AY42" s="186"/>
      <c r="AZ42" s="186"/>
      <c r="BA42" s="186"/>
      <c r="BB42" s="186"/>
      <c r="BC42" s="186"/>
      <c r="BD42" s="186"/>
      <c r="DU42" s="1"/>
      <c r="DV42" s="1"/>
      <c r="DW42" s="1"/>
      <c r="DX42" s="1"/>
      <c r="FM42" s="280">
        <f t="shared" si="19"/>
        <v>29</v>
      </c>
      <c r="FN42" s="244" t="s">
        <v>528</v>
      </c>
      <c r="FO42" s="244"/>
      <c r="FP42" s="1"/>
      <c r="FQ42" s="1"/>
      <c r="FR42" s="1"/>
      <c r="FS42" s="1"/>
      <c r="FT42" s="1"/>
      <c r="FU42" s="95"/>
      <c r="FV42" s="1"/>
      <c r="FW42" s="1"/>
      <c r="FX42" s="1"/>
      <c r="FY42" s="1"/>
      <c r="FZ42" s="1"/>
      <c r="GA42" s="1"/>
      <c r="GB42" s="1"/>
      <c r="HB42" s="703" t="s">
        <v>805</v>
      </c>
      <c r="HC42" s="703"/>
      <c r="HD42" s="706"/>
      <c r="HE42" s="695"/>
      <c r="HF42" s="695">
        <f>HF41-'Detailed Summary'!BA68</f>
        <v>0</v>
      </c>
      <c r="HR42" s="703" t="s">
        <v>829</v>
      </c>
      <c r="HS42" s="703"/>
      <c r="HT42" s="711">
        <f>HT41/'COC, Def, ConvF'!$M$20</f>
        <v>555851.12638292531</v>
      </c>
      <c r="HU42" s="695">
        <v>0</v>
      </c>
      <c r="HV42" s="695">
        <f>HU42-HT42</f>
        <v>-555851.12638292531</v>
      </c>
    </row>
    <row r="43" spans="1:231" ht="15">
      <c r="A43" s="15">
        <f t="shared" si="5"/>
        <v>31</v>
      </c>
      <c r="B43" s="245" t="s">
        <v>126</v>
      </c>
      <c r="C43" s="130">
        <f>+'COC, Def, ConvF'!M13</f>
        <v>2E-3</v>
      </c>
      <c r="D43" s="138"/>
      <c r="E43" s="282"/>
      <c r="F43" s="282">
        <f>F32*$C$43</f>
        <v>88089.001239607955</v>
      </c>
      <c r="G43" s="282"/>
      <c r="H43" s="282">
        <f>H32*C43</f>
        <v>-68351.726060000001</v>
      </c>
      <c r="J43" s="1067"/>
      <c r="K43" s="1067"/>
      <c r="L43" s="1067"/>
      <c r="M43" s="1067"/>
      <c r="N43" s="1067"/>
      <c r="O43" s="287"/>
      <c r="Z43" s="286" t="s">
        <v>822</v>
      </c>
      <c r="AD43" s="260">
        <f>-AD42/'COC, Def, ConvF'!M20</f>
        <v>361702.75852675294</v>
      </c>
      <c r="AG43" s="15">
        <f t="shared" si="1"/>
        <v>30</v>
      </c>
      <c r="AH43" s="131" t="s">
        <v>580</v>
      </c>
      <c r="AJ43" s="260">
        <f>+'[20]Lead Sheet E'!D40</f>
        <v>1459363.53</v>
      </c>
      <c r="AK43" s="260">
        <f>'[20]Lead Sheet E'!E40</f>
        <v>1459363.53</v>
      </c>
      <c r="AL43" s="260">
        <f t="shared" si="39"/>
        <v>0</v>
      </c>
      <c r="AM43" s="260">
        <f t="shared" si="40"/>
        <v>1459363.53</v>
      </c>
      <c r="AN43" s="260">
        <f t="shared" si="41"/>
        <v>0</v>
      </c>
      <c r="AW43" s="186"/>
      <c r="AX43" s="186"/>
      <c r="AY43" s="186"/>
      <c r="AZ43" s="186"/>
      <c r="BA43" s="186"/>
      <c r="BB43" s="186"/>
      <c r="BC43" s="186"/>
      <c r="BD43" s="186"/>
      <c r="DU43" s="1"/>
      <c r="DV43" s="1"/>
      <c r="DW43" s="1"/>
      <c r="DX43" s="1"/>
      <c r="FM43" s="1"/>
      <c r="FN43" s="1"/>
      <c r="FO43" s="1"/>
      <c r="FP43" s="1"/>
      <c r="FQ43" s="1"/>
      <c r="FR43" s="1"/>
      <c r="FS43" s="1"/>
      <c r="FT43" s="1"/>
      <c r="FU43" s="95"/>
      <c r="FV43" s="1"/>
      <c r="HR43" s="703"/>
      <c r="HS43" s="703"/>
      <c r="HT43" s="703"/>
      <c r="HU43" s="695"/>
      <c r="HV43" s="695"/>
    </row>
    <row r="44" spans="1:231" ht="15">
      <c r="A44" s="15">
        <f t="shared" si="5"/>
        <v>32</v>
      </c>
      <c r="B44" s="245" t="s">
        <v>377</v>
      </c>
      <c r="C44" s="223">
        <f>+'COC, Def, ConvF'!M14</f>
        <v>3.8406000000000003E-2</v>
      </c>
      <c r="D44" s="138"/>
      <c r="E44" s="460"/>
      <c r="F44" s="460">
        <f>(F32+F34)*$C$44</f>
        <v>1691573.0908041918</v>
      </c>
      <c r="G44" s="460"/>
      <c r="H44" s="460">
        <f>(H32+H34)*$C$44</f>
        <v>-1312558.1955301801</v>
      </c>
      <c r="J44" s="1067" t="s">
        <v>938</v>
      </c>
      <c r="K44" s="1067"/>
      <c r="L44" s="1067"/>
      <c r="M44" s="1067"/>
      <c r="N44" s="1068"/>
      <c r="O44" s="287"/>
      <c r="AD44" s="236">
        <f>'Detailed Summary'!AM68-AD43</f>
        <v>0</v>
      </c>
      <c r="AG44" s="15">
        <f t="shared" si="1"/>
        <v>31</v>
      </c>
      <c r="AH44" s="122" t="s">
        <v>219</v>
      </c>
      <c r="AJ44" s="260">
        <f>+'[20]Lead Sheet E'!D41</f>
        <v>964405.32000000007</v>
      </c>
      <c r="AK44" s="260">
        <f>'[20]Lead Sheet E'!E41</f>
        <v>0</v>
      </c>
      <c r="AL44" s="260">
        <f t="shared" si="39"/>
        <v>-964405.32000000007</v>
      </c>
      <c r="AM44" s="260">
        <f t="shared" si="40"/>
        <v>0</v>
      </c>
      <c r="AN44" s="260">
        <f t="shared" si="41"/>
        <v>0</v>
      </c>
      <c r="AW44" s="186"/>
      <c r="AX44" s="186"/>
      <c r="AY44" s="186"/>
      <c r="AZ44" s="186"/>
      <c r="BA44" s="186"/>
      <c r="BB44" s="186"/>
      <c r="BC44" s="186"/>
      <c r="BD44" s="186"/>
      <c r="DU44" s="1"/>
      <c r="DV44" s="1"/>
      <c r="DW44" s="1"/>
      <c r="DX44" s="1"/>
      <c r="FU44" s="95"/>
      <c r="FV44" s="1"/>
      <c r="HR44" s="703" t="s">
        <v>823</v>
      </c>
      <c r="HS44" s="703"/>
      <c r="HT44" s="706">
        <f>HT37+HT42</f>
        <v>1272648.6365675055</v>
      </c>
      <c r="HU44" s="706">
        <f>HU37+HU42</f>
        <v>0</v>
      </c>
      <c r="HV44" s="706">
        <f>HV37+HV42</f>
        <v>-1272648.6365675055</v>
      </c>
    </row>
    <row r="45" spans="1:231" ht="15">
      <c r="A45" s="15">
        <f t="shared" si="5"/>
        <v>33</v>
      </c>
      <c r="B45" s="213" t="s">
        <v>376</v>
      </c>
      <c r="C45" s="67"/>
      <c r="D45" s="254"/>
      <c r="E45" s="282"/>
      <c r="F45" s="282">
        <f>SUM(F42:F44)</f>
        <v>2153115.4127991176</v>
      </c>
      <c r="G45" s="282"/>
      <c r="H45" s="282">
        <f>SUM(H42:H44)</f>
        <v>-1670687.0642215502</v>
      </c>
      <c r="J45" s="1067" t="s">
        <v>809</v>
      </c>
      <c r="K45" s="1067"/>
      <c r="L45" s="1069" t="s">
        <v>817</v>
      </c>
      <c r="M45" s="1069" t="s">
        <v>937</v>
      </c>
      <c r="N45" s="1069" t="s">
        <v>796</v>
      </c>
      <c r="O45" s="287"/>
      <c r="AG45" s="15">
        <f t="shared" si="1"/>
        <v>32</v>
      </c>
      <c r="AH45" s="122" t="s">
        <v>140</v>
      </c>
      <c r="AJ45" s="260">
        <f>+'[20]Lead Sheet E'!D42</f>
        <v>29354.23</v>
      </c>
      <c r="AK45" s="260">
        <f>'[20]Lead Sheet E'!E42</f>
        <v>0</v>
      </c>
      <c r="AL45" s="260">
        <f t="shared" si="39"/>
        <v>-29354.23</v>
      </c>
      <c r="AM45" s="260">
        <f t="shared" si="40"/>
        <v>0</v>
      </c>
      <c r="AN45" s="260">
        <f t="shared" si="41"/>
        <v>0</v>
      </c>
      <c r="AW45" s="186"/>
      <c r="AX45" s="186"/>
      <c r="AY45" s="186"/>
      <c r="AZ45" s="186"/>
      <c r="BA45" s="186"/>
      <c r="BB45" s="186"/>
      <c r="BC45" s="186"/>
      <c r="BD45" s="186"/>
      <c r="DU45" s="1"/>
      <c r="DV45" s="1"/>
      <c r="DW45" s="1"/>
      <c r="DX45" s="1"/>
      <c r="FN45" s="692" t="s">
        <v>828</v>
      </c>
      <c r="FO45" s="692"/>
      <c r="FP45" s="693" t="s">
        <v>815</v>
      </c>
      <c r="FQ45" s="693" t="s">
        <v>745</v>
      </c>
      <c r="FR45" s="693" t="s">
        <v>796</v>
      </c>
      <c r="FV45" s="1"/>
      <c r="HR45" s="703" t="s">
        <v>805</v>
      </c>
      <c r="HS45" s="703"/>
      <c r="HT45" s="706"/>
      <c r="HU45" s="695"/>
      <c r="HV45" s="695">
        <f>HV44-'Detailed Summary'!BC68</f>
        <v>0</v>
      </c>
    </row>
    <row r="46" spans="1:231" ht="15">
      <c r="A46" s="15">
        <f t="shared" si="5"/>
        <v>34</v>
      </c>
      <c r="C46" s="154"/>
      <c r="D46" s="282"/>
      <c r="E46" s="282"/>
      <c r="F46" s="282"/>
      <c r="G46" s="282"/>
      <c r="H46" s="108"/>
      <c r="J46" s="1067" t="s">
        <v>935</v>
      </c>
      <c r="K46" s="1067"/>
      <c r="L46" s="1070">
        <v>9108946</v>
      </c>
      <c r="M46" s="1070">
        <f>P18</f>
        <v>11405686.000000119</v>
      </c>
      <c r="N46" s="1070">
        <f>M46-L46</f>
        <v>2296740.0000001192</v>
      </c>
      <c r="O46" s="287"/>
      <c r="AD46" s="260"/>
      <c r="AG46" s="15">
        <f t="shared" si="1"/>
        <v>33</v>
      </c>
      <c r="AH46" s="122" t="s">
        <v>141</v>
      </c>
      <c r="AJ46" s="260">
        <f>+'[20]Lead Sheet E'!D43</f>
        <v>7384.6</v>
      </c>
      <c r="AK46" s="260">
        <f>'[20]Lead Sheet E'!E43</f>
        <v>0</v>
      </c>
      <c r="AL46" s="260">
        <f t="shared" si="39"/>
        <v>-7384.6</v>
      </c>
      <c r="AM46" s="260">
        <f t="shared" si="40"/>
        <v>0</v>
      </c>
      <c r="AN46" s="260">
        <f t="shared" si="41"/>
        <v>0</v>
      </c>
      <c r="AW46" s="186"/>
      <c r="AX46" s="186"/>
      <c r="AY46" s="186"/>
      <c r="AZ46" s="186"/>
      <c r="BA46" s="186"/>
      <c r="BB46" s="186"/>
      <c r="BC46" s="186"/>
      <c r="BD46" s="186"/>
      <c r="DU46" s="1"/>
      <c r="DV46" s="1"/>
      <c r="DW46" s="1"/>
      <c r="DX46" s="1"/>
      <c r="FN46" s="701" t="s">
        <v>463</v>
      </c>
      <c r="FO46" s="692"/>
      <c r="FP46" s="697">
        <v>1100394.6870659131</v>
      </c>
      <c r="FQ46" s="702">
        <f>FP46</f>
        <v>1100394.6870659131</v>
      </c>
      <c r="FR46" s="702">
        <f>FQ46-FP46</f>
        <v>0</v>
      </c>
      <c r="FV46" s="1"/>
    </row>
    <row r="47" spans="1:231" ht="15">
      <c r="A47" s="15">
        <f t="shared" si="5"/>
        <v>35</v>
      </c>
      <c r="B47" s="245" t="s">
        <v>94</v>
      </c>
      <c r="C47" s="154"/>
      <c r="D47" s="65"/>
      <c r="E47" s="65"/>
      <c r="F47" s="65">
        <f>F32+F34-F39-F45</f>
        <v>10541519.187004862</v>
      </c>
      <c r="G47" s="65"/>
      <c r="H47" s="65">
        <f>H32+H34-H39-H45</f>
        <v>-32505175.965778451</v>
      </c>
      <c r="J47" s="1067" t="s">
        <v>936</v>
      </c>
      <c r="K47" s="1067"/>
      <c r="L47" s="1071">
        <v>445290.82520999946</v>
      </c>
      <c r="M47" s="1071">
        <f>P23</f>
        <v>557566.96011000662</v>
      </c>
      <c r="N47" s="1071">
        <f>M47-L47</f>
        <v>112276.13490000716</v>
      </c>
      <c r="O47" s="287"/>
      <c r="AG47" s="15">
        <f t="shared" si="1"/>
        <v>34</v>
      </c>
      <c r="AH47" s="70"/>
      <c r="AJ47" s="222">
        <f>SUM(AJ37:AJ46)</f>
        <v>180436682.43283296</v>
      </c>
      <c r="AK47" s="222">
        <f>SUM(AK37:AK46)</f>
        <v>1459363.53</v>
      </c>
      <c r="AL47" s="222">
        <f>SUM(AL37:AL46)</f>
        <v>-178977318.90283296</v>
      </c>
      <c r="AM47" s="222">
        <f>SUM(AM37:AM46)</f>
        <v>1459363.53</v>
      </c>
      <c r="AN47" s="222">
        <f>SUM(AN37:AN46)</f>
        <v>0</v>
      </c>
      <c r="AW47" s="186"/>
      <c r="AX47" s="186"/>
      <c r="AY47" s="186"/>
      <c r="AZ47" s="186"/>
      <c r="BA47" s="186"/>
      <c r="BB47" s="186"/>
      <c r="BC47" s="186"/>
      <c r="BD47" s="186"/>
      <c r="DU47" s="1"/>
      <c r="DV47" s="1"/>
      <c r="DW47" s="1"/>
      <c r="DX47" s="1"/>
      <c r="FN47" s="696" t="s">
        <v>85</v>
      </c>
      <c r="FO47" s="692"/>
      <c r="FP47" s="697">
        <f>-FP46*0.21</f>
        <v>-231082.88428384173</v>
      </c>
      <c r="FQ47" s="697">
        <f>-FQ46*0.21</f>
        <v>-231082.88428384173</v>
      </c>
      <c r="FR47" s="702">
        <f>FQ47-FP47</f>
        <v>0</v>
      </c>
      <c r="FV47" s="1"/>
    </row>
    <row r="48" spans="1:231" ht="15">
      <c r="A48" s="15">
        <f t="shared" si="5"/>
        <v>36</v>
      </c>
      <c r="C48" s="154"/>
      <c r="D48" s="154"/>
      <c r="E48" s="154"/>
      <c r="F48" s="154"/>
      <c r="G48" s="154"/>
      <c r="H48" s="154"/>
      <c r="J48" s="1067" t="s">
        <v>85</v>
      </c>
      <c r="K48" s="1067"/>
      <c r="L48" s="1072">
        <v>1819367.5867059231</v>
      </c>
      <c r="M48" s="1072">
        <f>P27</f>
        <v>2278104.9983769059</v>
      </c>
      <c r="N48" s="1072">
        <f>M48-L48</f>
        <v>458737.41167098284</v>
      </c>
      <c r="O48" s="287"/>
      <c r="AG48" s="15">
        <f t="shared" si="1"/>
        <v>35</v>
      </c>
      <c r="AW48" s="186"/>
      <c r="AX48" s="186"/>
      <c r="AY48" s="186"/>
      <c r="AZ48" s="186"/>
      <c r="BA48" s="186"/>
      <c r="BB48" s="186"/>
      <c r="BC48" s="186"/>
      <c r="BD48" s="186"/>
      <c r="FN48" s="696" t="s">
        <v>194</v>
      </c>
      <c r="FO48" s="692"/>
      <c r="FP48" s="697">
        <f>-FP46-FP47</f>
        <v>-869311.80278207141</v>
      </c>
      <c r="FQ48" s="697">
        <f>-FQ46-FQ47</f>
        <v>-869311.80278207141</v>
      </c>
      <c r="FR48" s="702">
        <f>FQ48-FP48</f>
        <v>0</v>
      </c>
      <c r="FV48" s="1"/>
    </row>
    <row r="49" spans="1:178" ht="15">
      <c r="A49" s="15">
        <f t="shared" si="5"/>
        <v>37</v>
      </c>
      <c r="B49" s="154" t="s">
        <v>128</v>
      </c>
      <c r="C49" s="67">
        <f>+FIT_E</f>
        <v>0.21</v>
      </c>
      <c r="D49" s="456"/>
      <c r="E49" s="461"/>
      <c r="F49" s="461">
        <f>F47*$C$49</f>
        <v>2213719.029271021</v>
      </c>
      <c r="G49" s="453"/>
      <c r="H49" s="453">
        <f>H47*$C$49</f>
        <v>-6826086.9528134745</v>
      </c>
      <c r="J49" s="1067" t="s">
        <v>821</v>
      </c>
      <c r="K49" s="1067"/>
      <c r="L49" s="1071">
        <f>L46-L47-L48</f>
        <v>6844287.5880840775</v>
      </c>
      <c r="M49" s="1071">
        <f>M46-M47-M48</f>
        <v>8570014.0415132064</v>
      </c>
      <c r="N49" s="1071">
        <f>N46-N47-N48</f>
        <v>1725726.453429129</v>
      </c>
      <c r="O49" s="157"/>
      <c r="AG49" s="15">
        <f t="shared" si="1"/>
        <v>36</v>
      </c>
      <c r="AH49" s="70" t="s">
        <v>143</v>
      </c>
      <c r="AJ49" s="65">
        <f>+AJ28-AJ34-AJ47</f>
        <v>1016568.4049868584</v>
      </c>
      <c r="AK49" s="65">
        <f>+AK28-AK34-AK47</f>
        <v>-1459363.53</v>
      </c>
      <c r="AL49" s="65">
        <f>+AL28-AL34-AL47</f>
        <v>-2475931.9349868596</v>
      </c>
      <c r="AM49" s="65">
        <f>+AM28-AM34-AM47</f>
        <v>-1459363.53</v>
      </c>
      <c r="AN49" s="65">
        <f>AN28-AN34-AN47</f>
        <v>0</v>
      </c>
      <c r="AW49" s="186"/>
      <c r="AX49" s="186"/>
      <c r="AY49" s="186"/>
      <c r="AZ49" s="186"/>
      <c r="BA49" s="186"/>
      <c r="BB49" s="186"/>
      <c r="BC49" s="186"/>
      <c r="BD49" s="186"/>
      <c r="FN49" s="692" t="s">
        <v>822</v>
      </c>
      <c r="FO49" s="692"/>
      <c r="FP49" s="697">
        <f>-FP48/'COC, Def, ConvF'!$M$20</f>
        <v>1156952.0692991591</v>
      </c>
      <c r="FQ49" s="697">
        <f>-FQ48/'COC, Def, ConvF'!$M$20</f>
        <v>1156952.0692991591</v>
      </c>
      <c r="FR49" s="702">
        <f>FQ49-FP49</f>
        <v>0</v>
      </c>
      <c r="FV49" s="1"/>
    </row>
    <row r="50" spans="1:178" ht="15.75" thickBot="1">
      <c r="A50" s="15">
        <f t="shared" si="5"/>
        <v>38</v>
      </c>
      <c r="B50" s="286" t="s">
        <v>95</v>
      </c>
      <c r="D50" s="289"/>
      <c r="E50" s="289"/>
      <c r="F50" s="289">
        <f>F47-F49</f>
        <v>8327800.1577338409</v>
      </c>
      <c r="G50" s="289"/>
      <c r="H50" s="289">
        <f>H47-H49</f>
        <v>-25679089.012964979</v>
      </c>
      <c r="J50" s="1067" t="s">
        <v>822</v>
      </c>
      <c r="K50" s="1067"/>
      <c r="L50" s="1071">
        <f>-L49/'COC, Def, ConvF'!$M$20</f>
        <v>-9108944.1815591268</v>
      </c>
      <c r="M50" s="1071">
        <f>-M49/'COC, Def, ConvF'!$M$20</f>
        <v>-11405683.723055556</v>
      </c>
      <c r="N50" s="1073">
        <f>M50-L50</f>
        <v>-2296739.5414964296</v>
      </c>
      <c r="O50" s="287"/>
      <c r="AG50" s="15">
        <f t="shared" si="1"/>
        <v>37</v>
      </c>
      <c r="AH50" s="70" t="s">
        <v>116</v>
      </c>
      <c r="AI50" s="106">
        <f>FIT_E</f>
        <v>0.21</v>
      </c>
      <c r="AJ50" s="263">
        <f>AJ49*$AI$50</f>
        <v>213479.36504724025</v>
      </c>
      <c r="AK50" s="263">
        <f>AK49*$AI$50</f>
        <v>-306466.34129999997</v>
      </c>
      <c r="AL50" s="263">
        <f>AL49*$AI$50</f>
        <v>-519945.70634724048</v>
      </c>
      <c r="AM50" s="263">
        <f>AM49*$AI$50</f>
        <v>-306466.34129999997</v>
      </c>
      <c r="AN50" s="262">
        <f>AN49*$AI$50</f>
        <v>0</v>
      </c>
      <c r="AW50" s="186"/>
      <c r="AX50" s="186"/>
      <c r="AY50" s="186"/>
      <c r="AZ50" s="186"/>
      <c r="BA50" s="186"/>
      <c r="BB50" s="186"/>
      <c r="BC50" s="186"/>
      <c r="BD50" s="186"/>
      <c r="FN50" s="692"/>
      <c r="FO50" s="692"/>
      <c r="FP50" s="692"/>
      <c r="FQ50" s="702"/>
      <c r="FR50" s="702"/>
      <c r="FV50" s="1"/>
    </row>
    <row r="51" spans="1:178" ht="16.5" thickTop="1" thickBot="1">
      <c r="A51" s="15">
        <f t="shared" si="5"/>
        <v>39</v>
      </c>
      <c r="J51" s="1067" t="s">
        <v>805</v>
      </c>
      <c r="K51" s="1067"/>
      <c r="L51" s="1074"/>
      <c r="M51" s="1074"/>
      <c r="N51" s="1074">
        <f>N50-'Detailed Summary'!AL68</f>
        <v>0</v>
      </c>
      <c r="O51" s="287"/>
      <c r="AG51" s="15">
        <f t="shared" si="1"/>
        <v>38</v>
      </c>
      <c r="AH51" s="70" t="s">
        <v>95</v>
      </c>
      <c r="AJ51" s="54">
        <f>AJ49-AJ50</f>
        <v>803089.03993961809</v>
      </c>
      <c r="AK51" s="54">
        <f>AK49-AK50</f>
        <v>-1152897.1887000001</v>
      </c>
      <c r="AL51" s="54">
        <f>AL49-AL50</f>
        <v>-1955986.228639619</v>
      </c>
      <c r="AM51" s="54">
        <f>AM49-AM50</f>
        <v>-1152897.1887000001</v>
      </c>
      <c r="AN51" s="54">
        <f>AN49-AN50</f>
        <v>0</v>
      </c>
      <c r="AW51" s="186"/>
      <c r="AX51" s="186"/>
      <c r="AY51" s="186"/>
      <c r="AZ51" s="186"/>
      <c r="BA51" s="186"/>
      <c r="BB51" s="186"/>
      <c r="BC51" s="186"/>
      <c r="BD51" s="186"/>
      <c r="FN51" s="692" t="s">
        <v>798</v>
      </c>
      <c r="FO51" s="692"/>
      <c r="FP51" s="698">
        <f>FT26</f>
        <v>28244978.592898086</v>
      </c>
      <c r="FQ51" s="702">
        <f>FP51</f>
        <v>28244978.592898086</v>
      </c>
      <c r="FR51" s="702"/>
      <c r="FV51" s="1"/>
    </row>
    <row r="52" spans="1:178" ht="15.75" thickTop="1">
      <c r="A52" s="15">
        <f t="shared" si="5"/>
        <v>40</v>
      </c>
      <c r="B52" s="286" t="s">
        <v>560</v>
      </c>
      <c r="J52" s="287"/>
      <c r="K52" s="287"/>
      <c r="L52" s="287"/>
      <c r="M52" s="287"/>
      <c r="N52" s="287"/>
      <c r="AW52" s="186"/>
      <c r="AX52" s="186"/>
      <c r="AY52" s="186"/>
      <c r="AZ52" s="186"/>
      <c r="BA52" s="186"/>
      <c r="BB52" s="186"/>
      <c r="BC52" s="186"/>
      <c r="BD52" s="186"/>
      <c r="FN52" s="692" t="s">
        <v>806</v>
      </c>
      <c r="FO52" s="692"/>
      <c r="FP52" s="699">
        <v>7.6200000000000004E-2</v>
      </c>
      <c r="FQ52" s="699">
        <f>'COC, Def, ConvF'!H14</f>
        <v>7.3300000000000004E-2</v>
      </c>
      <c r="FR52" s="702"/>
      <c r="FV52" s="1"/>
    </row>
    <row r="53" spans="1:178" ht="15">
      <c r="A53" s="15">
        <f t="shared" si="5"/>
        <v>41</v>
      </c>
      <c r="B53" s="286" t="s">
        <v>561</v>
      </c>
      <c r="J53" s="287"/>
      <c r="K53" s="287"/>
      <c r="L53" s="287"/>
      <c r="M53" s="287"/>
      <c r="N53" s="287"/>
      <c r="AW53" s="186"/>
      <c r="AX53" s="186"/>
      <c r="AY53" s="186"/>
      <c r="AZ53" s="186"/>
      <c r="BA53" s="186"/>
      <c r="BB53" s="186"/>
      <c r="BC53" s="186"/>
      <c r="BD53" s="186"/>
      <c r="FN53" s="692" t="s">
        <v>816</v>
      </c>
      <c r="FO53" s="692"/>
      <c r="FP53" s="700">
        <f>FP51*FP52</f>
        <v>2152267.3687788341</v>
      </c>
      <c r="FQ53" s="700">
        <f>FQ51*FQ52</f>
        <v>2070356.9308594298</v>
      </c>
      <c r="FR53" s="702">
        <f>FQ53-FP53</f>
        <v>-81910.437919404358</v>
      </c>
      <c r="FV53" s="1"/>
    </row>
    <row r="54" spans="1:178" ht="15">
      <c r="A54" s="15"/>
      <c r="AW54" s="186"/>
      <c r="AX54" s="186"/>
      <c r="AY54" s="186"/>
      <c r="AZ54" s="186"/>
      <c r="BA54" s="186"/>
      <c r="BB54" s="186"/>
      <c r="BC54" s="186"/>
      <c r="BD54" s="186"/>
      <c r="FN54" s="692" t="s">
        <v>829</v>
      </c>
      <c r="FO54" s="692"/>
      <c r="FP54" s="700">
        <f>FP53/'COC, Def, ConvF'!$M$20</f>
        <v>2864415.4813321526</v>
      </c>
      <c r="FQ54" s="700">
        <f>FQ53/'COC, Def, ConvF'!$M$20</f>
        <v>2755402.293722399</v>
      </c>
      <c r="FR54" s="702">
        <f>FQ54-FP54</f>
        <v>-109013.18760975357</v>
      </c>
      <c r="FV54" s="1"/>
    </row>
    <row r="55" spans="1:178" ht="15">
      <c r="E55" s="1065" t="s">
        <v>932</v>
      </c>
      <c r="F55" s="710">
        <v>8327800.1577338409</v>
      </c>
      <c r="G55" s="710"/>
      <c r="H55" s="710">
        <v>-25687973.340135377</v>
      </c>
      <c r="I55" s="15"/>
      <c r="AW55" s="186"/>
      <c r="AX55" s="186"/>
      <c r="AY55" s="186"/>
      <c r="AZ55" s="186"/>
      <c r="BA55" s="186"/>
      <c r="BB55" s="186"/>
      <c r="BC55" s="186"/>
      <c r="BD55" s="186"/>
      <c r="FN55" s="692"/>
      <c r="FO55" s="692"/>
      <c r="FP55" s="692"/>
      <c r="FQ55" s="702"/>
      <c r="FR55" s="702"/>
      <c r="FV55" s="1"/>
    </row>
    <row r="56" spans="1:178" ht="15">
      <c r="E56" s="1065" t="s">
        <v>933</v>
      </c>
      <c r="F56" s="707">
        <f>F50-F55</f>
        <v>0</v>
      </c>
      <c r="G56" s="703"/>
      <c r="H56" s="707">
        <f>H50-H55</f>
        <v>8884.3271703980863</v>
      </c>
      <c r="I56" s="15"/>
      <c r="AW56" s="186"/>
      <c r="AX56" s="186"/>
      <c r="AY56" s="186"/>
      <c r="AZ56" s="186"/>
      <c r="BA56" s="186"/>
      <c r="BB56" s="186"/>
      <c r="BC56" s="186"/>
      <c r="BD56" s="186"/>
      <c r="FN56" s="692" t="s">
        <v>823</v>
      </c>
      <c r="FO56" s="692"/>
      <c r="FP56" s="697">
        <f>FP49+FP54</f>
        <v>4021367.5506313117</v>
      </c>
      <c r="FQ56" s="697">
        <f>FQ49+FQ54</f>
        <v>3912354.3630215582</v>
      </c>
      <c r="FR56" s="697">
        <f>FR49+FR54</f>
        <v>-109013.18760975357</v>
      </c>
      <c r="FV56" s="1"/>
    </row>
    <row r="57" spans="1:178" ht="15">
      <c r="E57" s="703" t="s">
        <v>831</v>
      </c>
      <c r="F57" s="703">
        <f>F5</f>
        <v>0</v>
      </c>
      <c r="G57" s="703"/>
      <c r="H57" s="1066">
        <f>-H56/'COC, Def, ConvF'!M20</f>
        <v>-11823.997639543835</v>
      </c>
      <c r="I57" s="15"/>
      <c r="AW57" s="186"/>
      <c r="AX57" s="186"/>
      <c r="AY57" s="186"/>
      <c r="AZ57" s="186"/>
      <c r="BA57" s="186"/>
      <c r="BB57" s="186"/>
      <c r="BC57" s="186"/>
      <c r="BD57" s="186"/>
      <c r="CS57" s="82"/>
      <c r="FN57" s="692" t="s">
        <v>805</v>
      </c>
      <c r="FO57" s="692"/>
      <c r="FP57" s="697"/>
      <c r="FQ57" s="702"/>
      <c r="FR57" s="702">
        <f>FR56-'Detailed Summary'!AV68</f>
        <v>-9.3132257461547852E-10</v>
      </c>
      <c r="FV57" s="1"/>
    </row>
    <row r="58" spans="1:178" ht="15">
      <c r="E58" s="629" t="s">
        <v>805</v>
      </c>
      <c r="H58" s="880">
        <f>H57-'Detailed Summary'!AK68</f>
        <v>4.7293724492192268E-10</v>
      </c>
      <c r="I58" s="15"/>
      <c r="AW58" s="186"/>
      <c r="AX58" s="186"/>
      <c r="AY58" s="186"/>
      <c r="AZ58" s="186"/>
      <c r="BA58" s="186"/>
      <c r="BB58" s="186"/>
      <c r="BC58" s="186"/>
      <c r="BD58" s="186"/>
      <c r="CS58" s="82"/>
      <c r="FN58" s="1"/>
      <c r="FO58" s="1"/>
      <c r="FP58" s="1"/>
      <c r="FQ58" s="1"/>
      <c r="FR58" s="1"/>
      <c r="FV58" s="1"/>
    </row>
    <row r="59" spans="1:178" ht="15">
      <c r="I59" s="15"/>
      <c r="AW59" s="186"/>
      <c r="AX59" s="186"/>
      <c r="AY59" s="186"/>
      <c r="AZ59" s="186"/>
      <c r="BA59" s="186"/>
      <c r="BB59" s="186"/>
      <c r="BC59" s="186"/>
      <c r="BD59" s="186"/>
      <c r="FV59" s="1"/>
    </row>
    <row r="60" spans="1:178">
      <c r="I60" s="15"/>
      <c r="AW60" s="186"/>
      <c r="AX60" s="186"/>
      <c r="AY60" s="186"/>
      <c r="AZ60" s="186"/>
      <c r="BA60" s="186"/>
      <c r="BB60" s="186"/>
      <c r="BC60" s="186"/>
      <c r="BD60" s="186"/>
    </row>
    <row r="61" spans="1:178">
      <c r="I61" s="15"/>
      <c r="AW61" s="186"/>
      <c r="AX61" s="186"/>
      <c r="AY61" s="186"/>
      <c r="AZ61" s="186"/>
      <c r="BA61" s="186"/>
      <c r="BB61" s="186"/>
      <c r="BC61" s="186"/>
      <c r="BD61" s="186"/>
    </row>
    <row r="62" spans="1:178">
      <c r="I62" s="15"/>
      <c r="AW62" s="186"/>
      <c r="AX62" s="186"/>
      <c r="AY62" s="186"/>
      <c r="AZ62" s="186"/>
      <c r="BA62" s="186"/>
      <c r="BB62" s="186"/>
      <c r="BC62" s="186"/>
      <c r="BD62" s="186"/>
    </row>
    <row r="63" spans="1:178">
      <c r="AW63" s="186"/>
      <c r="AX63" s="186"/>
      <c r="AY63" s="186"/>
      <c r="AZ63" s="186"/>
      <c r="BA63" s="186"/>
      <c r="BB63" s="186"/>
      <c r="BC63" s="186"/>
      <c r="BD63" s="186"/>
    </row>
    <row r="101" spans="1:8">
      <c r="A101" s="143"/>
      <c r="B101" s="143"/>
      <c r="C101" s="143"/>
      <c r="D101" s="143"/>
      <c r="E101" s="143"/>
      <c r="F101" s="143"/>
      <c r="G101" s="143"/>
      <c r="H101" s="143"/>
    </row>
    <row r="102" spans="1:8">
      <c r="A102" s="138"/>
      <c r="B102" s="138"/>
      <c r="C102" s="138"/>
      <c r="D102" s="138"/>
      <c r="E102" s="138"/>
      <c r="F102" s="138"/>
      <c r="G102" s="138"/>
      <c r="H102" s="138"/>
    </row>
    <row r="103" spans="1:8">
      <c r="A103" s="65"/>
      <c r="B103" s="65"/>
      <c r="C103" s="65"/>
      <c r="D103" s="65"/>
      <c r="E103" s="65"/>
      <c r="F103" s="65"/>
      <c r="G103" s="65"/>
      <c r="H103" s="65"/>
    </row>
  </sheetData>
  <mergeCells count="6">
    <mergeCell ref="D14:E22"/>
    <mergeCell ref="G14:G22"/>
    <mergeCell ref="D25:E30"/>
    <mergeCell ref="G25:G30"/>
    <mergeCell ref="D37:E38"/>
    <mergeCell ref="G37:G38"/>
  </mergeCells>
  <conditionalFormatting sqref="A1:HX1">
    <cfRule type="cellIs" dxfId="7" priority="1" operator="equal">
      <formula>0</formula>
    </cfRule>
    <cfRule type="cellIs" dxfId="6" priority="2" operator="notEqual">
      <formula>0</formula>
    </cfRule>
  </conditionalFormatting>
  <pageMargins left="0.36" right="0.51" top="0.75" bottom="0.75" header="0.3" footer="0.3"/>
  <pageSetup scale="56" fitToWidth="0" orientation="portrait" r:id="rId1"/>
  <headerFooter>
    <oddHeader xml:space="preserve">&amp;R&amp;"Times New Roman,Regular"&amp;9Exh. JL-2r
Dockets UE 190529 / UG-190530 and 
UE-190274 / UG-190275 (consol.)
Page &amp;P of &amp;N&amp;11 
</oddHeader>
  </headerFooter>
  <rowBreaks count="1" manualBreakCount="1">
    <brk id="57" max="231" man="1"/>
  </rowBreaks>
  <colBreaks count="28" manualBreakCount="28">
    <brk id="8" min="1" max="57" man="1"/>
    <brk id="16" min="1" max="57" man="1"/>
    <brk id="24" min="1" max="57" man="1"/>
    <brk id="32" min="1" max="57" man="1"/>
    <brk id="40" min="1" max="57" man="1"/>
    <brk id="48" min="1" max="57" man="1"/>
    <brk id="56" min="1" max="57" man="1"/>
    <brk id="64" min="1" max="57" man="1"/>
    <brk id="72" min="1" max="57" man="1"/>
    <brk id="80" min="1" max="57" man="1"/>
    <brk id="88" min="1" max="57" man="1"/>
    <brk id="96" min="1" max="57" man="1"/>
    <brk id="104" min="1" max="57" man="1"/>
    <brk id="112" min="1" max="57" man="1"/>
    <brk id="120" min="1" max="57" man="1"/>
    <brk id="128" min="1" max="57" man="1"/>
    <brk id="136" min="1" max="57" man="1"/>
    <brk id="144" min="1" max="57" man="1"/>
    <brk id="152" min="1" max="57" man="1"/>
    <brk id="160" min="1" max="57" man="1"/>
    <brk id="168" min="1" max="57" man="1"/>
    <brk id="176" min="1" max="57" man="1"/>
    <brk id="184" min="1" max="57" man="1"/>
    <brk id="192" min="1" max="57" man="1"/>
    <brk id="200" min="1" max="57" man="1"/>
    <brk id="208" min="1" max="57" man="1"/>
    <brk id="216" min="1" max="57" man="1"/>
    <brk id="224" min="1" max="5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L69"/>
  <sheetViews>
    <sheetView view="pageLayout" topLeftCell="B1" zoomScaleNormal="80" workbookViewId="0">
      <selection activeCell="I2" sqref="I2"/>
    </sheetView>
  </sheetViews>
  <sheetFormatPr defaultColWidth="9.140625" defaultRowHeight="15" outlineLevelCol="1"/>
  <cols>
    <col min="1" max="1" width="8.140625" style="286" customWidth="1"/>
    <col min="2" max="2" width="56" style="286" bestFit="1" customWidth="1"/>
    <col min="3" max="3" width="8.7109375" style="287" bestFit="1" customWidth="1"/>
    <col min="4" max="5" width="17.140625" style="287" bestFit="1" customWidth="1"/>
    <col min="6" max="6" width="15" style="287" customWidth="1"/>
    <col min="7" max="7" width="18.28515625" style="287" customWidth="1"/>
    <col min="8" max="8" width="17.7109375" style="286" customWidth="1"/>
    <col min="9" max="9" width="9.140625" style="286"/>
    <col min="10" max="10" width="53.140625" style="286" customWidth="1"/>
    <col min="11" max="11" width="9.85546875" style="286" customWidth="1"/>
    <col min="12" max="12" width="14.42578125" style="286" bestFit="1" customWidth="1"/>
    <col min="13" max="13" width="14.140625" style="286" bestFit="1" customWidth="1"/>
    <col min="14" max="14" width="14.42578125" style="286" bestFit="1" customWidth="1"/>
    <col min="15" max="15" width="14.140625" style="286" bestFit="1" customWidth="1"/>
    <col min="16" max="16" width="14.42578125" style="286" customWidth="1"/>
    <col min="17" max="17" width="6.42578125" style="286" customWidth="1"/>
    <col min="18" max="18" width="40.7109375" style="286" bestFit="1" customWidth="1"/>
    <col min="19" max="19" width="4.5703125" style="286" bestFit="1" customWidth="1"/>
    <col min="20" max="20" width="11.7109375" style="286" bestFit="1" customWidth="1"/>
    <col min="21" max="21" width="11.28515625" style="286" bestFit="1" customWidth="1"/>
    <col min="22" max="22" width="14.5703125" style="286" bestFit="1" customWidth="1"/>
    <col min="23" max="23" width="12.7109375" style="286" bestFit="1" customWidth="1"/>
    <col min="24" max="24" width="14.5703125" style="286" bestFit="1" customWidth="1"/>
    <col min="25" max="25" width="7.42578125" style="286" customWidth="1"/>
    <col min="26" max="26" width="36.42578125" style="286" customWidth="1"/>
    <col min="27" max="27" width="7.42578125" style="286" customWidth="1"/>
    <col min="28" max="28" width="15" style="286" bestFit="1" customWidth="1"/>
    <col min="29" max="29" width="11.42578125" style="286" bestFit="1" customWidth="1"/>
    <col min="30" max="30" width="14.85546875" style="286" customWidth="1"/>
    <col min="31" max="31" width="12.7109375" style="286" customWidth="1"/>
    <col min="32" max="32" width="16.140625" style="286" customWidth="1"/>
    <col min="33" max="33" width="5.42578125" style="286" bestFit="1" customWidth="1"/>
    <col min="34" max="34" width="48.140625" style="286" customWidth="1"/>
    <col min="35" max="35" width="4.5703125" style="286" bestFit="1" customWidth="1"/>
    <col min="36" max="37" width="13.42578125" style="286" customWidth="1"/>
    <col min="38" max="38" width="16" style="286" customWidth="1"/>
    <col min="39" max="39" width="13.42578125" style="286" customWidth="1"/>
    <col min="40" max="40" width="14.7109375" style="286" customWidth="1"/>
    <col min="41" max="41" width="9.140625" style="287"/>
    <col min="42" max="42" width="67.28515625" style="287" bestFit="1" customWidth="1"/>
    <col min="43" max="43" width="9" style="287" customWidth="1"/>
    <col min="44" max="48" width="14.5703125" style="287" customWidth="1"/>
    <col min="49" max="49" width="5" style="286" bestFit="1" customWidth="1"/>
    <col min="50" max="50" width="72.42578125" style="286" bestFit="1" customWidth="1"/>
    <col min="51" max="51" width="6" style="286" bestFit="1" customWidth="1"/>
    <col min="52" max="56" width="14.5703125" style="286" customWidth="1"/>
    <col min="57" max="57" width="5.42578125" style="286" bestFit="1" customWidth="1"/>
    <col min="58" max="58" width="37" style="286" bestFit="1" customWidth="1"/>
    <col min="59" max="59" width="4.5703125" style="286" bestFit="1" customWidth="1"/>
    <col min="60" max="64" width="14.5703125" style="286" customWidth="1"/>
    <col min="65" max="65" width="5.42578125" style="286" bestFit="1" customWidth="1"/>
    <col min="66" max="66" width="41.42578125" style="286" bestFit="1" customWidth="1"/>
    <col min="67" max="67" width="4.5703125" style="286" bestFit="1" customWidth="1"/>
    <col min="68" max="70" width="14.7109375" style="286" customWidth="1"/>
    <col min="71" max="72" width="14.5703125" style="286" customWidth="1"/>
    <col min="73" max="73" width="5.42578125" style="286" bestFit="1" customWidth="1"/>
    <col min="74" max="74" width="43.85546875" style="286" customWidth="1"/>
    <col min="75" max="75" width="7.42578125" style="286" customWidth="1"/>
    <col min="76" max="80" width="14.5703125" style="286" customWidth="1"/>
    <col min="81" max="81" width="5.42578125" style="286" hidden="1" customWidth="1" outlineLevel="1"/>
    <col min="82" max="82" width="52.7109375" style="286" hidden="1" customWidth="1" outlineLevel="1"/>
    <col min="83" max="83" width="8.7109375" style="286" hidden="1" customWidth="1" outlineLevel="1"/>
    <col min="84" max="85" width="11.5703125" style="286" hidden="1" customWidth="1" outlineLevel="1"/>
    <col min="86" max="86" width="14.140625" style="286" hidden="1" customWidth="1" outlineLevel="1"/>
    <col min="87" max="87" width="12" style="286" hidden="1" customWidth="1" outlineLevel="1"/>
    <col min="88" max="88" width="14.140625" style="286" hidden="1" customWidth="1" outlineLevel="1"/>
    <col min="89" max="89" width="9.140625" collapsed="1"/>
    <col min="91" max="16384" width="9.140625" style="286"/>
  </cols>
  <sheetData>
    <row r="1" spans="1:90" ht="15.75" thickBot="1">
      <c r="A1" s="93"/>
      <c r="B1" s="93"/>
      <c r="C1" s="93"/>
      <c r="D1" s="93"/>
      <c r="E1" s="93"/>
      <c r="F1" s="93">
        <f>ROUND(+'Detailed Summary'!X46-F37,0)</f>
        <v>0</v>
      </c>
      <c r="G1" s="93"/>
      <c r="H1" s="93">
        <f>ROUND('Detailed Summary'!BD46-H37,0)</f>
        <v>0</v>
      </c>
      <c r="I1" s="93"/>
      <c r="J1" s="93"/>
      <c r="K1" s="93"/>
      <c r="L1" s="93"/>
      <c r="M1" s="93"/>
      <c r="N1" s="93">
        <f>ROUND(+'Detailed Summary'!Y46-N22,0)</f>
        <v>0</v>
      </c>
      <c r="O1" s="93"/>
      <c r="P1" s="93">
        <f>ROUND(+'Detailed Summary'!BE46-P22,0)</f>
        <v>0</v>
      </c>
      <c r="Q1" s="93"/>
      <c r="R1" s="93"/>
      <c r="S1" s="93"/>
      <c r="T1" s="93"/>
      <c r="U1" s="93"/>
      <c r="V1" s="93">
        <f>ROUND(+'Detailed Summary'!Z46-V27,0)</f>
        <v>0</v>
      </c>
      <c r="W1" s="93">
        <f>ROUND(+'Detailed Summary'!Z59-V19,0)</f>
        <v>0</v>
      </c>
      <c r="X1" s="93"/>
      <c r="Y1" s="93"/>
      <c r="Z1" s="93"/>
      <c r="AA1" s="93"/>
      <c r="AB1" s="93"/>
      <c r="AC1" s="93"/>
      <c r="AD1" s="93">
        <f>ROUND(+'Detailed Summary'!AA46-AD23,0)</f>
        <v>0</v>
      </c>
      <c r="AE1" s="93"/>
      <c r="AF1" s="93"/>
      <c r="AG1" s="93"/>
      <c r="AH1" s="93"/>
      <c r="AI1" s="93"/>
      <c r="AJ1" s="93"/>
      <c r="AK1" s="93"/>
      <c r="AL1" s="93">
        <f>ROUND(+'Detailed Summary'!AB46-AL27,0)</f>
        <v>0</v>
      </c>
      <c r="AM1" s="93"/>
      <c r="AN1" s="93">
        <f>ROUND(+'Detailed Summary'!BF46-AN27,0)</f>
        <v>0</v>
      </c>
      <c r="AO1" s="311"/>
      <c r="AP1" s="311"/>
      <c r="AQ1" s="311"/>
      <c r="AR1" s="311"/>
      <c r="AS1" s="311"/>
      <c r="AT1" s="311"/>
      <c r="AU1" s="311"/>
      <c r="AV1" s="311">
        <f>ROUND(+'Detailed Summary'!BG46-AV55,0)</f>
        <v>0</v>
      </c>
      <c r="AW1" s="93"/>
      <c r="AX1" s="93"/>
      <c r="AY1" s="93"/>
      <c r="AZ1" s="93"/>
      <c r="BA1" s="93"/>
      <c r="BB1" s="93"/>
      <c r="BC1" s="93">
        <f>'Detailed Summary'!AC59-BB35</f>
        <v>0</v>
      </c>
      <c r="BD1" s="93">
        <f>ROUND(+'Detailed Summary'!AC46-BB21-BB29,0)</f>
        <v>0</v>
      </c>
      <c r="BE1" s="93"/>
      <c r="BF1" s="93"/>
      <c r="BG1" s="93"/>
      <c r="BH1" s="93"/>
      <c r="BI1" s="93"/>
      <c r="BJ1" s="93"/>
      <c r="BK1" s="93"/>
      <c r="BL1" s="93">
        <f>ROUND(+'Detailed Summary'!BH46-BL28,0)</f>
        <v>0</v>
      </c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>
        <f>ROUND(+'Detailed Summary'!BJ46-CB29,0)</f>
        <v>0</v>
      </c>
      <c r="CC1" s="93"/>
      <c r="CD1" s="93"/>
      <c r="CE1" s="93"/>
      <c r="CF1" s="93"/>
      <c r="CG1" s="93"/>
      <c r="CH1" s="93"/>
      <c r="CI1" s="93"/>
      <c r="CJ1" s="93">
        <f>+'Detailed Summary'!BL46-CJ22</f>
        <v>0</v>
      </c>
    </row>
    <row r="2" spans="1:90">
      <c r="G2" s="627"/>
      <c r="H2" s="628" t="s">
        <v>958</v>
      </c>
      <c r="O2" s="370"/>
      <c r="P2" s="371" t="str">
        <f>DOCKETNUMBER_E</f>
        <v>UE-__________</v>
      </c>
      <c r="W2" s="370"/>
      <c r="X2" s="371" t="str">
        <f>DOCKETNUMBER_E</f>
        <v>UE-__________</v>
      </c>
      <c r="Y2" s="287"/>
      <c r="Z2" s="287"/>
      <c r="AA2" s="287"/>
      <c r="AB2" s="287"/>
      <c r="AE2" s="382"/>
      <c r="AF2" s="371" t="str">
        <f>DOCKETNUMBER_E</f>
        <v>UE-__________</v>
      </c>
      <c r="AM2" s="370"/>
      <c r="AN2" s="371" t="str">
        <f>DOCKETNUMBER_E</f>
        <v>UE-__________</v>
      </c>
      <c r="AU2" s="382"/>
      <c r="AV2" s="371" t="str">
        <f>DOCKETNUMBER_E</f>
        <v>UE-__________</v>
      </c>
      <c r="BC2" s="370"/>
      <c r="BD2" s="371" t="str">
        <f>DOCKETNUMBER_E</f>
        <v>UE-__________</v>
      </c>
      <c r="BK2" s="370"/>
      <c r="BL2" s="371" t="str">
        <f>DOCKETNUMBER_E</f>
        <v>UE-__________</v>
      </c>
      <c r="BS2" s="370"/>
      <c r="BT2" s="371" t="str">
        <f>DOCKETNUMBER_E</f>
        <v>UE-__________</v>
      </c>
      <c r="CA2" s="370"/>
      <c r="CB2" s="371" t="str">
        <f>DOCKETNUMBER_E</f>
        <v>UE-__________</v>
      </c>
      <c r="CI2" s="370"/>
      <c r="CJ2" s="371" t="str">
        <f>DOCKETNUMBER_E</f>
        <v>UE-__________</v>
      </c>
    </row>
    <row r="3" spans="1:90" ht="15.75" thickBot="1">
      <c r="G3" s="627"/>
      <c r="H3" s="628"/>
      <c r="O3" s="372"/>
      <c r="P3" s="369" t="s">
        <v>734</v>
      </c>
      <c r="W3" s="372"/>
      <c r="X3" s="369" t="s">
        <v>735</v>
      </c>
      <c r="Y3" s="287"/>
      <c r="Z3" s="287"/>
      <c r="AA3" s="287"/>
      <c r="AB3" s="287"/>
      <c r="AE3" s="383"/>
      <c r="AF3" s="369" t="s">
        <v>736</v>
      </c>
      <c r="AM3" s="372"/>
      <c r="AN3" s="369" t="s">
        <v>737</v>
      </c>
      <c r="AU3" s="383"/>
      <c r="AV3" s="369" t="s">
        <v>738</v>
      </c>
      <c r="BC3" s="372"/>
      <c r="BD3" s="369" t="s">
        <v>739</v>
      </c>
      <c r="BE3" s="5"/>
      <c r="BF3" s="5"/>
      <c r="BG3" s="5"/>
      <c r="BH3" s="5"/>
      <c r="BI3" s="5"/>
      <c r="BJ3" s="5"/>
      <c r="BK3" s="372"/>
      <c r="BL3" s="369" t="s">
        <v>740</v>
      </c>
      <c r="BS3" s="372"/>
      <c r="BT3" s="369" t="s">
        <v>741</v>
      </c>
      <c r="CA3" s="372"/>
      <c r="CB3" s="369" t="s">
        <v>742</v>
      </c>
      <c r="CI3" s="372"/>
      <c r="CJ3" s="369"/>
    </row>
    <row r="4" spans="1:90">
      <c r="Y4" s="287"/>
      <c r="Z4" s="287"/>
      <c r="AA4" s="287"/>
      <c r="AB4" s="287"/>
      <c r="AC4" s="287"/>
      <c r="AD4" s="287"/>
      <c r="AE4" s="287"/>
      <c r="AF4" s="287"/>
    </row>
    <row r="5" spans="1:90">
      <c r="A5" s="6"/>
      <c r="B5" s="976" t="s">
        <v>743</v>
      </c>
      <c r="C5" s="903"/>
      <c r="D5" s="903"/>
      <c r="E5" s="903"/>
      <c r="F5" s="903"/>
      <c r="G5" s="903"/>
      <c r="H5" s="903"/>
      <c r="J5" s="976" t="s">
        <v>743</v>
      </c>
      <c r="K5" s="903"/>
      <c r="L5" s="903"/>
      <c r="M5" s="903"/>
      <c r="N5" s="903"/>
      <c r="O5" s="903"/>
      <c r="P5" s="903"/>
      <c r="Y5" s="287"/>
      <c r="Z5" s="287"/>
      <c r="AA5" s="287"/>
      <c r="AB5" s="287"/>
      <c r="AC5" s="287"/>
      <c r="AD5" s="287"/>
      <c r="AE5" s="287"/>
      <c r="AF5" s="287"/>
      <c r="BM5" s="903"/>
      <c r="BN5" s="968" t="s">
        <v>743</v>
      </c>
      <c r="BO5" s="968"/>
      <c r="BP5" s="968" t="s">
        <v>830</v>
      </c>
      <c r="BQ5" s="968"/>
      <c r="BR5" s="968"/>
      <c r="BS5" s="968"/>
      <c r="BT5" s="963"/>
      <c r="BU5" s="903"/>
      <c r="BV5" s="968" t="s">
        <v>743</v>
      </c>
      <c r="BW5" s="968"/>
      <c r="BX5" s="968"/>
      <c r="BY5" s="968"/>
      <c r="BZ5" s="968"/>
      <c r="CA5" s="968"/>
      <c r="CB5" s="963"/>
      <c r="CC5" s="89" t="s">
        <v>45</v>
      </c>
      <c r="CD5" s="89"/>
      <c r="CE5" s="89"/>
      <c r="CF5" s="89"/>
      <c r="CG5" s="89"/>
      <c r="CH5" s="89"/>
      <c r="CI5" s="89"/>
      <c r="CJ5" s="89"/>
    </row>
    <row r="6" spans="1:90">
      <c r="B6" s="6" t="s">
        <v>91</v>
      </c>
      <c r="C6" s="124"/>
      <c r="D6" s="124"/>
      <c r="E6" s="124"/>
      <c r="F6" s="124"/>
      <c r="G6" s="124"/>
      <c r="H6" s="28"/>
      <c r="J6" s="6" t="s">
        <v>91</v>
      </c>
      <c r="K6" s="28"/>
      <c r="L6" s="28"/>
      <c r="M6" s="28"/>
      <c r="N6" s="28"/>
      <c r="O6" s="28"/>
      <c r="P6" s="28"/>
      <c r="R6" s="6" t="s">
        <v>91</v>
      </c>
      <c r="S6" s="28"/>
      <c r="T6" s="28"/>
      <c r="U6" s="28"/>
      <c r="V6" s="28"/>
      <c r="W6" s="28"/>
      <c r="X6" s="28"/>
      <c r="Y6" s="287"/>
      <c r="Z6" s="6" t="s">
        <v>91</v>
      </c>
      <c r="AA6" s="6"/>
      <c r="AB6" s="124"/>
      <c r="AC6" s="124"/>
      <c r="AD6" s="124"/>
      <c r="AE6" s="124"/>
      <c r="AF6" s="124"/>
      <c r="AG6" s="6" t="s">
        <v>91</v>
      </c>
      <c r="AH6" s="6"/>
      <c r="AI6" s="28"/>
      <c r="AJ6" s="28"/>
      <c r="AK6" s="28"/>
      <c r="AL6" s="28"/>
      <c r="AM6" s="28"/>
      <c r="AN6" s="28"/>
      <c r="AO6" s="6" t="s">
        <v>91</v>
      </c>
      <c r="AP6" s="124"/>
      <c r="AQ6" s="124"/>
      <c r="AR6" s="6"/>
      <c r="AS6" s="6"/>
      <c r="AT6" s="6"/>
      <c r="AU6" s="6"/>
      <c r="AV6" s="6"/>
      <c r="AW6" s="6" t="s">
        <v>91</v>
      </c>
      <c r="AX6" s="28"/>
      <c r="AY6" s="28"/>
      <c r="AZ6" s="28"/>
      <c r="BA6" s="28"/>
      <c r="BB6" s="28"/>
      <c r="BC6" s="28"/>
      <c r="BD6" s="28"/>
      <c r="BE6" s="6" t="s">
        <v>91</v>
      </c>
      <c r="BF6" s="28"/>
      <c r="BG6" s="28"/>
      <c r="BH6" s="28"/>
      <c r="BI6" s="28"/>
      <c r="BJ6" s="28"/>
      <c r="BK6" s="28"/>
      <c r="BL6" s="28"/>
      <c r="BM6" s="6" t="s">
        <v>91</v>
      </c>
      <c r="BN6" s="6"/>
      <c r="BO6" s="28"/>
      <c r="BP6" s="28"/>
      <c r="BQ6" s="28"/>
      <c r="BR6" s="28"/>
      <c r="BS6" s="28"/>
      <c r="BT6" s="28"/>
      <c r="BU6" s="6" t="s">
        <v>91</v>
      </c>
      <c r="BV6" s="6"/>
      <c r="BW6" s="28"/>
      <c r="BX6" s="28"/>
      <c r="BY6" s="28"/>
      <c r="BZ6" s="28"/>
      <c r="CA6" s="28"/>
      <c r="CB6" s="28"/>
      <c r="CC6" s="85" t="s">
        <v>257</v>
      </c>
      <c r="CD6" s="84"/>
      <c r="CE6" s="84"/>
      <c r="CF6" s="84"/>
      <c r="CG6" s="84"/>
      <c r="CH6" s="84"/>
      <c r="CI6" s="85"/>
      <c r="CJ6" s="84"/>
    </row>
    <row r="7" spans="1:90" s="125" customFormat="1">
      <c r="B7" s="85" t="s">
        <v>92</v>
      </c>
      <c r="C7" s="126"/>
      <c r="D7" s="970"/>
      <c r="E7" s="126"/>
      <c r="F7" s="126"/>
      <c r="G7" s="126"/>
      <c r="H7" s="87"/>
      <c r="J7" s="889" t="s">
        <v>96</v>
      </c>
      <c r="K7" s="890"/>
      <c r="L7" s="890"/>
      <c r="M7" s="890"/>
      <c r="N7" s="890"/>
      <c r="O7" s="890"/>
      <c r="P7" s="890"/>
      <c r="R7" s="85" t="s">
        <v>98</v>
      </c>
      <c r="S7" s="87"/>
      <c r="T7" s="87"/>
      <c r="U7" s="87"/>
      <c r="V7" s="87"/>
      <c r="W7" s="87"/>
      <c r="X7" s="87"/>
      <c r="Y7" s="394"/>
      <c r="Z7" s="85" t="s">
        <v>104</v>
      </c>
      <c r="AA7" s="85"/>
      <c r="AB7" s="126"/>
      <c r="AC7" s="126"/>
      <c r="AD7" s="126"/>
      <c r="AE7" s="126"/>
      <c r="AF7" s="126"/>
      <c r="AG7" s="86" t="s">
        <v>109</v>
      </c>
      <c r="AH7" s="86"/>
      <c r="AI7" s="87"/>
      <c r="AJ7" s="87"/>
      <c r="AK7" s="87"/>
      <c r="AL7" s="87"/>
      <c r="AM7" s="87"/>
      <c r="AN7" s="87"/>
      <c r="AO7" s="86" t="s">
        <v>111</v>
      </c>
      <c r="AP7" s="124"/>
      <c r="AQ7" s="124"/>
      <c r="AR7" s="6"/>
      <c r="AS7" s="6"/>
      <c r="AT7" s="6"/>
      <c r="AU7" s="6"/>
      <c r="AV7" s="6"/>
      <c r="AW7" s="86" t="s">
        <v>547</v>
      </c>
      <c r="AX7" s="87"/>
      <c r="AY7" s="87"/>
      <c r="AZ7" s="87"/>
      <c r="BA7" s="87"/>
      <c r="BB7" s="87"/>
      <c r="BC7" s="87"/>
      <c r="BD7" s="87"/>
      <c r="BE7" s="85" t="s">
        <v>422</v>
      </c>
      <c r="BF7" s="87"/>
      <c r="BG7" s="87"/>
      <c r="BH7" s="87"/>
      <c r="BI7" s="87"/>
      <c r="BJ7" s="87"/>
      <c r="BK7" s="87"/>
      <c r="BL7" s="87"/>
      <c r="BM7" s="85" t="s">
        <v>430</v>
      </c>
      <c r="BN7" s="85"/>
      <c r="BO7" s="87"/>
      <c r="BP7" s="87"/>
      <c r="BQ7" s="87"/>
      <c r="BR7" s="87"/>
      <c r="BS7" s="87"/>
      <c r="BT7" s="87"/>
      <c r="BU7" s="85" t="s">
        <v>590</v>
      </c>
      <c r="BV7" s="85"/>
      <c r="BW7" s="87"/>
      <c r="BX7" s="87"/>
      <c r="BY7" s="87"/>
      <c r="BZ7" s="87"/>
      <c r="CA7" s="87"/>
      <c r="CB7" s="87"/>
      <c r="CC7" s="89" t="s">
        <v>273</v>
      </c>
      <c r="CD7" s="89"/>
      <c r="CE7" s="89"/>
      <c r="CF7" s="89"/>
      <c r="CG7" s="89"/>
      <c r="CH7" s="89"/>
      <c r="CI7" s="89"/>
      <c r="CJ7" s="89"/>
      <c r="CK7"/>
      <c r="CL7"/>
    </row>
    <row r="8" spans="1:90">
      <c r="B8" s="6" t="str">
        <f>TESTYEAR_E</f>
        <v>12 MONTHS ENDED DECEMBER 31, 2018</v>
      </c>
      <c r="C8" s="124"/>
      <c r="D8" s="124"/>
      <c r="E8" s="124"/>
      <c r="F8" s="124"/>
      <c r="G8" s="124"/>
      <c r="H8" s="28"/>
      <c r="J8" s="6" t="str">
        <f>TESTYEAR_E</f>
        <v>12 MONTHS ENDED DECEMBER 31, 2018</v>
      </c>
      <c r="K8" s="28"/>
      <c r="L8" s="28"/>
      <c r="M8" s="28"/>
      <c r="N8" s="28"/>
      <c r="O8" s="28"/>
      <c r="P8" s="28"/>
      <c r="R8" s="6" t="str">
        <f>TESTYEAR_E</f>
        <v>12 MONTHS ENDED DECEMBER 31, 2018</v>
      </c>
      <c r="S8" s="28"/>
      <c r="T8" s="28"/>
      <c r="U8" s="28"/>
      <c r="V8" s="28"/>
      <c r="W8" s="28"/>
      <c r="X8" s="28"/>
      <c r="Y8" s="287"/>
      <c r="Z8" s="6" t="str">
        <f>TESTYEAR_E</f>
        <v>12 MONTHS ENDED DECEMBER 31, 2018</v>
      </c>
      <c r="AA8" s="6"/>
      <c r="AB8" s="124"/>
      <c r="AC8" s="124"/>
      <c r="AD8" s="124"/>
      <c r="AE8" s="124"/>
      <c r="AF8" s="124"/>
      <c r="AG8" s="6" t="str">
        <f>TESTYEAR_E</f>
        <v>12 MONTHS ENDED DECEMBER 31, 2018</v>
      </c>
      <c r="AH8" s="6"/>
      <c r="AI8" s="28"/>
      <c r="AJ8" s="28"/>
      <c r="AK8" s="28"/>
      <c r="AL8" s="28"/>
      <c r="AM8" s="28"/>
      <c r="AN8" s="28"/>
      <c r="AO8" s="6" t="str">
        <f>TESTYEAR_E</f>
        <v>12 MONTHS ENDED DECEMBER 31, 2018</v>
      </c>
      <c r="AP8" s="124"/>
      <c r="AQ8" s="124"/>
      <c r="AR8" s="6"/>
      <c r="AS8" s="6"/>
      <c r="AT8" s="6"/>
      <c r="AU8" s="6"/>
      <c r="AV8" s="6"/>
      <c r="AW8" s="6" t="str">
        <f>TESTYEAR_E</f>
        <v>12 MONTHS ENDED DECEMBER 31, 2018</v>
      </c>
      <c r="AX8" s="28"/>
      <c r="AY8" s="28"/>
      <c r="AZ8" s="28"/>
      <c r="BA8" s="28"/>
      <c r="BB8" s="28"/>
      <c r="BC8" s="28"/>
      <c r="BD8" s="28"/>
      <c r="BE8" s="6" t="str">
        <f>TESTYEAR_E</f>
        <v>12 MONTHS ENDED DECEMBER 31, 2018</v>
      </c>
      <c r="BF8" s="28"/>
      <c r="BG8" s="28"/>
      <c r="BH8" s="28"/>
      <c r="BI8" s="28"/>
      <c r="BJ8" s="28"/>
      <c r="BK8" s="28"/>
      <c r="BL8" s="28"/>
      <c r="BM8" s="6" t="str">
        <f>TESTYEAR_E</f>
        <v>12 MONTHS ENDED DECEMBER 31, 2018</v>
      </c>
      <c r="BN8" s="6"/>
      <c r="BO8" s="28"/>
      <c r="BP8" s="28"/>
      <c r="BQ8" s="28"/>
      <c r="BR8" s="28"/>
      <c r="BS8" s="28"/>
      <c r="BT8" s="28"/>
      <c r="BU8" s="6" t="str">
        <f>TESTYEAR_E</f>
        <v>12 MONTHS ENDED DECEMBER 31, 2018</v>
      </c>
      <c r="BV8" s="6"/>
      <c r="BW8" s="28"/>
      <c r="BX8" s="28"/>
      <c r="BY8" s="28"/>
      <c r="BZ8" s="28"/>
      <c r="CA8" s="28"/>
      <c r="CB8" s="28"/>
      <c r="CC8" s="89" t="s">
        <v>208</v>
      </c>
      <c r="CD8" s="89"/>
      <c r="CE8" s="89"/>
      <c r="CF8" s="89"/>
      <c r="CG8" s="89"/>
      <c r="CH8" s="89"/>
      <c r="CI8" s="89"/>
      <c r="CJ8" s="89"/>
    </row>
    <row r="9" spans="1:90" ht="15.75" thickBot="1">
      <c r="B9" s="6" t="str">
        <f>CASE_E</f>
        <v>2019 GENERAL RATE CASE</v>
      </c>
      <c r="C9" s="124"/>
      <c r="D9" s="124"/>
      <c r="E9" s="124"/>
      <c r="F9" s="124"/>
      <c r="G9" s="124"/>
      <c r="H9" s="28"/>
      <c r="J9" s="6" t="str">
        <f>CASE_E</f>
        <v>2019 GENERAL RATE CASE</v>
      </c>
      <c r="K9" s="28"/>
      <c r="L9" s="28"/>
      <c r="M9" s="28"/>
      <c r="N9" s="28"/>
      <c r="O9" s="28"/>
      <c r="P9" s="28"/>
      <c r="R9" s="6" t="str">
        <f>CASE_E</f>
        <v>2019 GENERAL RATE CASE</v>
      </c>
      <c r="S9" s="28"/>
      <c r="T9" s="28"/>
      <c r="U9" s="28"/>
      <c r="V9" s="28"/>
      <c r="W9" s="28"/>
      <c r="X9" s="28"/>
      <c r="Y9" s="287"/>
      <c r="Z9" s="6" t="str">
        <f>CASE_E</f>
        <v>2019 GENERAL RATE CASE</v>
      </c>
      <c r="AA9" s="6"/>
      <c r="AB9" s="124"/>
      <c r="AC9" s="124"/>
      <c r="AD9" s="124"/>
      <c r="AE9" s="124"/>
      <c r="AF9" s="124"/>
      <c r="AG9" s="6" t="str">
        <f>CASE_E</f>
        <v>2019 GENERAL RATE CASE</v>
      </c>
      <c r="AH9" s="6"/>
      <c r="AI9" s="28"/>
      <c r="AJ9" s="28"/>
      <c r="AK9" s="28"/>
      <c r="AL9" s="28"/>
      <c r="AM9" s="28"/>
      <c r="AN9" s="28"/>
      <c r="AO9" s="6" t="str">
        <f>CASE_E</f>
        <v>2019 GENERAL RATE CASE</v>
      </c>
      <c r="AP9" s="124"/>
      <c r="AQ9" s="124"/>
      <c r="AR9" s="6"/>
      <c r="AS9" s="6"/>
      <c r="AT9" s="6"/>
      <c r="AU9" s="6"/>
      <c r="AV9" s="6"/>
      <c r="AW9" s="6" t="str">
        <f>CASE_E</f>
        <v>2019 GENERAL RATE CASE</v>
      </c>
      <c r="AX9" s="28"/>
      <c r="AY9" s="28"/>
      <c r="AZ9" s="28"/>
      <c r="BA9" s="28"/>
      <c r="BB9" s="28"/>
      <c r="BC9" s="28"/>
      <c r="BD9" s="28"/>
      <c r="BE9" s="6" t="str">
        <f>CASE_E</f>
        <v>2019 GENERAL RATE CASE</v>
      </c>
      <c r="BF9" s="28"/>
      <c r="BG9" s="28"/>
      <c r="BH9" s="28"/>
      <c r="BI9" s="28"/>
      <c r="BJ9" s="28"/>
      <c r="BK9" s="28"/>
      <c r="BL9" s="28"/>
      <c r="BM9" s="6" t="str">
        <f>CASE_E</f>
        <v>2019 GENERAL RATE CASE</v>
      </c>
      <c r="BN9" s="6"/>
      <c r="BO9" s="28"/>
      <c r="BP9" s="28"/>
      <c r="BQ9" s="28"/>
      <c r="BR9" s="28"/>
      <c r="BS9" s="28"/>
      <c r="BT9" s="28"/>
      <c r="BU9" s="6" t="str">
        <f>CASE_E</f>
        <v>2019 GENERAL RATE CASE</v>
      </c>
      <c r="BV9" s="6"/>
      <c r="BW9" s="28"/>
      <c r="BX9" s="28"/>
      <c r="BY9" s="28"/>
      <c r="BZ9" s="28"/>
      <c r="CA9" s="28"/>
      <c r="CB9" s="28"/>
      <c r="CC9" s="82"/>
      <c r="CD9" s="28"/>
      <c r="CE9" s="28"/>
      <c r="CF9" s="28"/>
      <c r="CG9" s="28"/>
      <c r="CH9" s="28"/>
      <c r="CI9" s="28"/>
      <c r="CJ9" s="28"/>
    </row>
    <row r="10" spans="1:90" ht="15.75" thickBot="1">
      <c r="B10" s="6"/>
      <c r="C10" s="124"/>
      <c r="D10" s="124"/>
      <c r="E10" s="124"/>
      <c r="F10" s="374">
        <f>'Detailed Summary'!X9</f>
        <v>7.01</v>
      </c>
      <c r="G10" s="286"/>
      <c r="H10" s="375">
        <f>'Detailed Summary'!BD9</f>
        <v>7.01</v>
      </c>
      <c r="J10" s="6"/>
      <c r="K10" s="28"/>
      <c r="L10" s="28"/>
      <c r="M10" s="28"/>
      <c r="N10" s="374">
        <f>'Detailed Summary'!Y9</f>
        <v>7.02</v>
      </c>
      <c r="P10" s="375">
        <f>'Detailed Summary'!BE9</f>
        <v>7.02</v>
      </c>
      <c r="R10" s="6"/>
      <c r="S10" s="28"/>
      <c r="T10" s="28"/>
      <c r="U10" s="28"/>
      <c r="V10" s="374">
        <f>'Detailed Summary'!Z9</f>
        <v>7.0299999999999994</v>
      </c>
      <c r="X10" s="375" t="s">
        <v>471</v>
      </c>
      <c r="Y10" s="287"/>
      <c r="Z10" s="6"/>
      <c r="AA10" s="6"/>
      <c r="AB10" s="124"/>
      <c r="AC10" s="124"/>
      <c r="AD10" s="374">
        <f>'Detailed Summary'!AA9</f>
        <v>7.0399999999999991</v>
      </c>
      <c r="AE10" s="393"/>
      <c r="AF10" s="375" t="s">
        <v>471</v>
      </c>
      <c r="AG10" s="148"/>
      <c r="AH10" s="148"/>
      <c r="AI10" s="148"/>
      <c r="AJ10" s="148"/>
      <c r="AK10" s="148"/>
      <c r="AL10" s="374">
        <f>'Detailed Summary'!AB9</f>
        <v>7.0499999999999989</v>
      </c>
      <c r="AN10" s="375">
        <f>'Detailed Summary'!BF9</f>
        <v>7.0499999999999989</v>
      </c>
      <c r="AO10" s="148"/>
      <c r="AP10" s="148"/>
      <c r="AQ10" s="148"/>
      <c r="AR10" s="148"/>
      <c r="AS10" s="148"/>
      <c r="AT10" s="374" t="s">
        <v>471</v>
      </c>
      <c r="AV10" s="375">
        <f>'Detailed Summary'!BG9</f>
        <v>7.0599999999999987</v>
      </c>
      <c r="AX10" s="6"/>
      <c r="AY10" s="28"/>
      <c r="AZ10" s="28"/>
      <c r="BA10" s="28"/>
      <c r="BB10" s="374">
        <f>'Detailed Summary'!AC9</f>
        <v>7.0699999999999985</v>
      </c>
      <c r="BD10" s="374" t="s">
        <v>471</v>
      </c>
      <c r="BF10" s="6"/>
      <c r="BG10" s="28"/>
      <c r="BH10" s="28"/>
      <c r="BI10" s="28"/>
      <c r="BJ10" s="374" t="s">
        <v>471</v>
      </c>
      <c r="BL10" s="375">
        <f>'Detailed Summary'!BH9</f>
        <v>7.08</v>
      </c>
      <c r="BN10" s="6"/>
      <c r="BO10" s="28"/>
      <c r="BP10" s="28"/>
      <c r="BQ10" s="28"/>
      <c r="BR10" s="374" t="s">
        <v>471</v>
      </c>
      <c r="BT10" s="375">
        <f>'Detailed Summary'!BI9</f>
        <v>7.09</v>
      </c>
      <c r="BV10" s="6"/>
      <c r="BW10" s="28"/>
      <c r="BX10" s="28"/>
      <c r="BY10" s="28"/>
      <c r="BZ10" s="374" t="s">
        <v>471</v>
      </c>
      <c r="CB10" s="375">
        <f>'Detailed Summary'!BJ9</f>
        <v>7.1</v>
      </c>
      <c r="CE10" s="178"/>
      <c r="CF10" s="217" t="s">
        <v>263</v>
      </c>
      <c r="CG10" s="218"/>
      <c r="CH10" s="396" t="s">
        <v>105</v>
      </c>
      <c r="CI10" s="218"/>
      <c r="CJ10" s="396" t="s">
        <v>93</v>
      </c>
    </row>
    <row r="11" spans="1:90">
      <c r="C11" s="216"/>
      <c r="D11" s="217" t="s">
        <v>263</v>
      </c>
      <c r="E11" s="218"/>
      <c r="F11" s="396" t="s">
        <v>105</v>
      </c>
      <c r="G11" s="218"/>
      <c r="H11" s="396" t="s">
        <v>93</v>
      </c>
      <c r="J11" s="216"/>
      <c r="L11" s="217" t="s">
        <v>263</v>
      </c>
      <c r="M11" s="218"/>
      <c r="N11" s="396" t="s">
        <v>105</v>
      </c>
      <c r="O11" s="218"/>
      <c r="P11" s="396" t="s">
        <v>93</v>
      </c>
      <c r="S11" s="216"/>
      <c r="T11" s="217" t="s">
        <v>263</v>
      </c>
      <c r="U11" s="218"/>
      <c r="V11" s="396" t="s">
        <v>105</v>
      </c>
      <c r="W11" s="218"/>
      <c r="X11" s="396" t="s">
        <v>93</v>
      </c>
      <c r="AA11" s="216"/>
      <c r="AB11" s="217" t="s">
        <v>263</v>
      </c>
      <c r="AC11" s="218"/>
      <c r="AD11" s="396" t="s">
        <v>105</v>
      </c>
      <c r="AE11" s="218"/>
      <c r="AF11" s="396" t="s">
        <v>93</v>
      </c>
      <c r="AG11" s="149"/>
      <c r="AH11" s="150"/>
      <c r="AI11" s="178"/>
      <c r="AJ11" s="217" t="s">
        <v>263</v>
      </c>
      <c r="AK11" s="218"/>
      <c r="AL11" s="396" t="s">
        <v>105</v>
      </c>
      <c r="AM11" s="218"/>
      <c r="AN11" s="396" t="s">
        <v>93</v>
      </c>
      <c r="AO11" s="149"/>
      <c r="AP11" s="150"/>
      <c r="AQ11" s="178"/>
      <c r="AR11" s="217" t="s">
        <v>263</v>
      </c>
      <c r="AS11" s="218"/>
      <c r="AT11" s="396" t="s">
        <v>105</v>
      </c>
      <c r="AU11" s="218"/>
      <c r="AV11" s="396" t="s">
        <v>93</v>
      </c>
      <c r="AY11" s="216"/>
      <c r="AZ11" s="396" t="s">
        <v>549</v>
      </c>
      <c r="BA11" s="396" t="s">
        <v>548</v>
      </c>
      <c r="BB11" s="396" t="s">
        <v>105</v>
      </c>
      <c r="BC11" s="218"/>
      <c r="BD11" s="396" t="s">
        <v>93</v>
      </c>
      <c r="BG11" s="216"/>
      <c r="BH11" s="217" t="s">
        <v>263</v>
      </c>
      <c r="BI11" s="218"/>
      <c r="BJ11" s="396" t="s">
        <v>105</v>
      </c>
      <c r="BK11" s="218"/>
      <c r="BL11" s="396" t="s">
        <v>93</v>
      </c>
      <c r="BO11" s="216"/>
      <c r="BP11" s="217" t="s">
        <v>263</v>
      </c>
      <c r="BQ11" s="218"/>
      <c r="BR11" s="396" t="s">
        <v>105</v>
      </c>
      <c r="BS11" s="218"/>
      <c r="BT11" s="396" t="s">
        <v>93</v>
      </c>
      <c r="BW11" s="216"/>
      <c r="BX11" s="217" t="s">
        <v>263</v>
      </c>
      <c r="BY11" s="218"/>
      <c r="BZ11" s="396" t="s">
        <v>105</v>
      </c>
      <c r="CA11" s="218"/>
      <c r="CB11" s="396" t="s">
        <v>93</v>
      </c>
      <c r="CC11" s="68" t="s">
        <v>43</v>
      </c>
      <c r="CD11" s="219"/>
      <c r="CE11" s="180"/>
      <c r="CF11" s="396" t="s">
        <v>40</v>
      </c>
      <c r="CG11" s="396" t="s">
        <v>105</v>
      </c>
      <c r="CH11" s="396" t="s">
        <v>52</v>
      </c>
      <c r="CI11" s="396" t="s">
        <v>93</v>
      </c>
      <c r="CJ11" s="396" t="s">
        <v>52</v>
      </c>
    </row>
    <row r="12" spans="1:90">
      <c r="A12" s="179" t="s">
        <v>43</v>
      </c>
      <c r="B12" s="179"/>
      <c r="C12" s="219"/>
      <c r="D12" s="396" t="s">
        <v>40</v>
      </c>
      <c r="E12" s="396" t="s">
        <v>105</v>
      </c>
      <c r="F12" s="396" t="s">
        <v>52</v>
      </c>
      <c r="G12" s="396" t="s">
        <v>93</v>
      </c>
      <c r="H12" s="396" t="s">
        <v>52</v>
      </c>
      <c r="I12" s="3" t="s">
        <v>43</v>
      </c>
      <c r="J12" s="219"/>
      <c r="L12" s="396" t="s">
        <v>40</v>
      </c>
      <c r="M12" s="396" t="s">
        <v>105</v>
      </c>
      <c r="N12" s="396" t="s">
        <v>52</v>
      </c>
      <c r="O12" s="396" t="s">
        <v>93</v>
      </c>
      <c r="P12" s="396" t="s">
        <v>52</v>
      </c>
      <c r="Q12" s="179" t="s">
        <v>43</v>
      </c>
      <c r="R12" s="179"/>
      <c r="S12" s="219"/>
      <c r="T12" s="396" t="s">
        <v>40</v>
      </c>
      <c r="U12" s="396" t="s">
        <v>105</v>
      </c>
      <c r="V12" s="396" t="s">
        <v>52</v>
      </c>
      <c r="W12" s="396" t="s">
        <v>93</v>
      </c>
      <c r="X12" s="396" t="s">
        <v>52</v>
      </c>
      <c r="Y12" s="179" t="s">
        <v>43</v>
      </c>
      <c r="Z12" s="179"/>
      <c r="AA12" s="219"/>
      <c r="AB12" s="396" t="s">
        <v>40</v>
      </c>
      <c r="AC12" s="396" t="s">
        <v>105</v>
      </c>
      <c r="AD12" s="396" t="s">
        <v>52</v>
      </c>
      <c r="AE12" s="396" t="s">
        <v>93</v>
      </c>
      <c r="AF12" s="396" t="s">
        <v>52</v>
      </c>
      <c r="AG12" s="151" t="s">
        <v>43</v>
      </c>
      <c r="AH12" s="149"/>
      <c r="AI12" s="180"/>
      <c r="AJ12" s="396" t="s">
        <v>40</v>
      </c>
      <c r="AK12" s="396" t="s">
        <v>105</v>
      </c>
      <c r="AL12" s="396" t="s">
        <v>52</v>
      </c>
      <c r="AM12" s="396" t="s">
        <v>93</v>
      </c>
      <c r="AN12" s="396" t="s">
        <v>52</v>
      </c>
      <c r="AO12" s="151" t="s">
        <v>43</v>
      </c>
      <c r="AP12" s="149"/>
      <c r="AQ12" s="180"/>
      <c r="AR12" s="396" t="s">
        <v>40</v>
      </c>
      <c r="AS12" s="396" t="s">
        <v>105</v>
      </c>
      <c r="AT12" s="396" t="s">
        <v>52</v>
      </c>
      <c r="AU12" s="396" t="s">
        <v>93</v>
      </c>
      <c r="AV12" s="396" t="s">
        <v>52</v>
      </c>
      <c r="AW12" s="179" t="s">
        <v>43</v>
      </c>
      <c r="AX12" s="179"/>
      <c r="AY12" s="219"/>
      <c r="AZ12" s="396" t="s">
        <v>550</v>
      </c>
      <c r="BA12" s="396" t="s">
        <v>105</v>
      </c>
      <c r="BB12" s="396" t="s">
        <v>52</v>
      </c>
      <c r="BC12" s="396" t="s">
        <v>93</v>
      </c>
      <c r="BD12" s="396" t="s">
        <v>52</v>
      </c>
      <c r="BE12" s="179" t="s">
        <v>43</v>
      </c>
      <c r="BF12" s="179"/>
      <c r="BG12" s="219"/>
      <c r="BH12" s="396" t="s">
        <v>40</v>
      </c>
      <c r="BI12" s="396" t="s">
        <v>105</v>
      </c>
      <c r="BJ12" s="396" t="s">
        <v>52</v>
      </c>
      <c r="BK12" s="396" t="s">
        <v>93</v>
      </c>
      <c r="BL12" s="396" t="s">
        <v>52</v>
      </c>
      <c r="BM12" s="179" t="s">
        <v>43</v>
      </c>
      <c r="BN12" s="179"/>
      <c r="BO12" s="219"/>
      <c r="BP12" s="396" t="s">
        <v>40</v>
      </c>
      <c r="BQ12" s="396" t="s">
        <v>105</v>
      </c>
      <c r="BR12" s="396" t="s">
        <v>52</v>
      </c>
      <c r="BS12" s="396" t="s">
        <v>93</v>
      </c>
      <c r="BT12" s="396" t="s">
        <v>52</v>
      </c>
      <c r="BU12" s="179" t="s">
        <v>43</v>
      </c>
      <c r="BV12" s="179"/>
      <c r="BW12" s="219"/>
      <c r="BX12" s="396" t="s">
        <v>40</v>
      </c>
      <c r="BY12" s="396" t="s">
        <v>105</v>
      </c>
      <c r="BZ12" s="396" t="s">
        <v>52</v>
      </c>
      <c r="CA12" s="396" t="s">
        <v>93</v>
      </c>
      <c r="CB12" s="396" t="s">
        <v>52</v>
      </c>
      <c r="CC12" s="406" t="s">
        <v>44</v>
      </c>
      <c r="CD12" s="436" t="s">
        <v>73</v>
      </c>
      <c r="CE12" s="433" t="s">
        <v>261</v>
      </c>
      <c r="CF12" s="409" t="s">
        <v>264</v>
      </c>
      <c r="CG12" s="427" t="s">
        <v>265</v>
      </c>
      <c r="CH12" s="409" t="s">
        <v>266</v>
      </c>
      <c r="CI12" s="427" t="s">
        <v>267</v>
      </c>
      <c r="CJ12" s="409" t="s">
        <v>268</v>
      </c>
    </row>
    <row r="13" spans="1:90">
      <c r="A13" s="428" t="s">
        <v>44</v>
      </c>
      <c r="B13" s="406" t="s">
        <v>73</v>
      </c>
      <c r="C13" s="429" t="s">
        <v>261</v>
      </c>
      <c r="D13" s="409" t="s">
        <v>264</v>
      </c>
      <c r="E13" s="427" t="s">
        <v>265</v>
      </c>
      <c r="F13" s="409" t="s">
        <v>266</v>
      </c>
      <c r="G13" s="427" t="s">
        <v>267</v>
      </c>
      <c r="H13" s="409" t="s">
        <v>268</v>
      </c>
      <c r="I13" s="406" t="s">
        <v>44</v>
      </c>
      <c r="J13" s="406" t="s">
        <v>73</v>
      </c>
      <c r="K13" s="429" t="s">
        <v>261</v>
      </c>
      <c r="L13" s="409" t="s">
        <v>264</v>
      </c>
      <c r="M13" s="427" t="s">
        <v>265</v>
      </c>
      <c r="N13" s="409" t="s">
        <v>266</v>
      </c>
      <c r="O13" s="427" t="s">
        <v>267</v>
      </c>
      <c r="P13" s="409" t="s">
        <v>268</v>
      </c>
      <c r="Q13" s="428" t="s">
        <v>44</v>
      </c>
      <c r="R13" s="406" t="s">
        <v>73</v>
      </c>
      <c r="S13" s="429" t="s">
        <v>261</v>
      </c>
      <c r="T13" s="409" t="s">
        <v>264</v>
      </c>
      <c r="U13" s="427" t="s">
        <v>265</v>
      </c>
      <c r="V13" s="409" t="s">
        <v>266</v>
      </c>
      <c r="W13" s="427" t="s">
        <v>267</v>
      </c>
      <c r="X13" s="409" t="s">
        <v>268</v>
      </c>
      <c r="Y13" s="428" t="s">
        <v>44</v>
      </c>
      <c r="Z13" s="406" t="s">
        <v>73</v>
      </c>
      <c r="AA13" s="429" t="s">
        <v>261</v>
      </c>
      <c r="AB13" s="409" t="s">
        <v>264</v>
      </c>
      <c r="AC13" s="427" t="s">
        <v>265</v>
      </c>
      <c r="AD13" s="409" t="s">
        <v>266</v>
      </c>
      <c r="AE13" s="427" t="s">
        <v>267</v>
      </c>
      <c r="AF13" s="409" t="s">
        <v>268</v>
      </c>
      <c r="AG13" s="462" t="s">
        <v>44</v>
      </c>
      <c r="AH13" s="463" t="s">
        <v>73</v>
      </c>
      <c r="AI13" s="433" t="s">
        <v>261</v>
      </c>
      <c r="AJ13" s="409" t="s">
        <v>264</v>
      </c>
      <c r="AK13" s="427" t="s">
        <v>265</v>
      </c>
      <c r="AL13" s="409" t="s">
        <v>266</v>
      </c>
      <c r="AM13" s="427" t="s">
        <v>267</v>
      </c>
      <c r="AN13" s="409" t="s">
        <v>268</v>
      </c>
      <c r="AO13" s="462" t="s">
        <v>44</v>
      </c>
      <c r="AP13" s="463" t="s">
        <v>73</v>
      </c>
      <c r="AQ13" s="433" t="s">
        <v>261</v>
      </c>
      <c r="AR13" s="464" t="s">
        <v>264</v>
      </c>
      <c r="AS13" s="427" t="s">
        <v>265</v>
      </c>
      <c r="AT13" s="464" t="s">
        <v>266</v>
      </c>
      <c r="AU13" s="427" t="s">
        <v>267</v>
      </c>
      <c r="AV13" s="464" t="s">
        <v>268</v>
      </c>
      <c r="AW13" s="428" t="s">
        <v>44</v>
      </c>
      <c r="AX13" s="406" t="s">
        <v>73</v>
      </c>
      <c r="AY13" s="429" t="s">
        <v>261</v>
      </c>
      <c r="AZ13" s="409" t="s">
        <v>264</v>
      </c>
      <c r="BA13" s="427" t="s">
        <v>265</v>
      </c>
      <c r="BB13" s="409" t="s">
        <v>266</v>
      </c>
      <c r="BC13" s="427" t="s">
        <v>267</v>
      </c>
      <c r="BD13" s="409" t="s">
        <v>268</v>
      </c>
      <c r="BE13" s="428" t="s">
        <v>44</v>
      </c>
      <c r="BF13" s="406" t="s">
        <v>73</v>
      </c>
      <c r="BG13" s="429" t="s">
        <v>261</v>
      </c>
      <c r="BH13" s="409" t="s">
        <v>264</v>
      </c>
      <c r="BI13" s="427" t="s">
        <v>265</v>
      </c>
      <c r="BJ13" s="409" t="s">
        <v>266</v>
      </c>
      <c r="BK13" s="427" t="s">
        <v>267</v>
      </c>
      <c r="BL13" s="409" t="s">
        <v>268</v>
      </c>
      <c r="BM13" s="428" t="s">
        <v>44</v>
      </c>
      <c r="BN13" s="406" t="s">
        <v>73</v>
      </c>
      <c r="BO13" s="429" t="s">
        <v>261</v>
      </c>
      <c r="BP13" s="409" t="s">
        <v>264</v>
      </c>
      <c r="BQ13" s="427" t="s">
        <v>265</v>
      </c>
      <c r="BR13" s="409" t="s">
        <v>266</v>
      </c>
      <c r="BS13" s="427" t="s">
        <v>267</v>
      </c>
      <c r="BT13" s="409" t="s">
        <v>268</v>
      </c>
      <c r="BU13" s="428" t="s">
        <v>44</v>
      </c>
      <c r="BV13" s="406" t="s">
        <v>73</v>
      </c>
      <c r="BW13" s="429" t="s">
        <v>261</v>
      </c>
      <c r="BX13" s="409" t="s">
        <v>264</v>
      </c>
      <c r="BY13" s="427" t="s">
        <v>265</v>
      </c>
      <c r="BZ13" s="409" t="s">
        <v>266</v>
      </c>
      <c r="CA13" s="427" t="s">
        <v>267</v>
      </c>
      <c r="CB13" s="409" t="s">
        <v>268</v>
      </c>
      <c r="CC13" s="10"/>
      <c r="CD13" s="10"/>
      <c r="CE13" s="10"/>
      <c r="CF13" s="94" t="s">
        <v>347</v>
      </c>
      <c r="CG13" s="94" t="s">
        <v>348</v>
      </c>
      <c r="CH13" s="94" t="s">
        <v>349</v>
      </c>
      <c r="CI13" s="94" t="s">
        <v>350</v>
      </c>
      <c r="CJ13" s="94" t="s">
        <v>351</v>
      </c>
    </row>
    <row r="14" spans="1:90">
      <c r="Q14" s="94"/>
      <c r="R14" s="211"/>
      <c r="S14" s="211"/>
      <c r="T14" s="94"/>
      <c r="U14" s="94"/>
      <c r="V14" s="94"/>
      <c r="W14" s="94"/>
      <c r="X14" s="94"/>
      <c r="Y14" s="287"/>
      <c r="Z14" s="287"/>
      <c r="AA14" s="287"/>
      <c r="AB14" s="287"/>
      <c r="AC14" s="287"/>
      <c r="AD14" s="287"/>
      <c r="AE14" s="287"/>
      <c r="AF14" s="287"/>
      <c r="CC14" s="165">
        <v>1</v>
      </c>
      <c r="CD14" s="166"/>
      <c r="CE14" s="182"/>
      <c r="CF14" s="182"/>
      <c r="CG14" s="182"/>
      <c r="CH14" s="182"/>
      <c r="CI14" s="182"/>
      <c r="CJ14" s="182"/>
    </row>
    <row r="15" spans="1:90">
      <c r="A15" s="16">
        <v>1</v>
      </c>
      <c r="B15" s="119" t="s">
        <v>529</v>
      </c>
      <c r="C15" s="119"/>
      <c r="D15" s="256"/>
      <c r="E15" s="162"/>
      <c r="F15" s="162"/>
      <c r="G15" s="163"/>
      <c r="H15" s="162"/>
      <c r="I15" s="95">
        <v>1</v>
      </c>
      <c r="J15" s="166" t="s">
        <v>174</v>
      </c>
      <c r="K15" s="166"/>
      <c r="L15" s="256"/>
      <c r="M15" s="273"/>
      <c r="N15" s="273"/>
      <c r="O15" s="273"/>
      <c r="P15" s="273"/>
      <c r="Q15" s="280">
        <v>1</v>
      </c>
      <c r="R15" s="211" t="s">
        <v>269</v>
      </c>
      <c r="S15" s="211"/>
      <c r="T15" s="256"/>
      <c r="U15" s="283"/>
      <c r="V15" s="283"/>
      <c r="W15" s="283"/>
      <c r="X15" s="283"/>
      <c r="Y15" s="280">
        <v>1</v>
      </c>
      <c r="Z15" s="395" t="s">
        <v>106</v>
      </c>
      <c r="AA15" s="395"/>
      <c r="AB15" s="342">
        <f>+'Detailed Summary'!C40</f>
        <v>-41661500.859999999</v>
      </c>
      <c r="AC15" s="342"/>
      <c r="AD15" s="342">
        <f>AC15-AB15</f>
        <v>41661500.859999999</v>
      </c>
      <c r="AE15" s="342"/>
      <c r="AF15" s="342">
        <f>+AE15-AC15</f>
        <v>0</v>
      </c>
      <c r="AG15" s="95">
        <v>1</v>
      </c>
      <c r="AH15" s="111" t="s">
        <v>400</v>
      </c>
      <c r="AI15" s="118"/>
      <c r="AJ15" s="156">
        <f>+[36]Top!$D$13</f>
        <v>9705041.1899999995</v>
      </c>
      <c r="AK15" s="156">
        <f>+[36]Top!$E$13</f>
        <v>9826310.9900000002</v>
      </c>
      <c r="AL15" s="156">
        <f>+AK15-AJ15</f>
        <v>121269.80000000075</v>
      </c>
      <c r="AM15" s="156">
        <f>+AK15</f>
        <v>9826310.9900000002</v>
      </c>
      <c r="AN15" s="156">
        <f>+AM15-AK15</f>
        <v>0</v>
      </c>
      <c r="AO15" s="280">
        <v>1</v>
      </c>
      <c r="AP15" s="8" t="s">
        <v>112</v>
      </c>
      <c r="AQ15" s="8"/>
      <c r="AR15" s="102"/>
      <c r="AS15" s="102"/>
      <c r="AT15" s="102"/>
      <c r="AU15" s="102"/>
      <c r="AV15" s="102"/>
      <c r="AW15" s="280">
        <v>1</v>
      </c>
      <c r="AX15" s="281" t="s">
        <v>551</v>
      </c>
      <c r="AY15" s="281"/>
      <c r="AZ15" s="281"/>
      <c r="BA15" s="281"/>
      <c r="BB15" s="277"/>
      <c r="BC15" s="277"/>
      <c r="BD15" s="396"/>
      <c r="BE15" s="286">
        <v>1</v>
      </c>
      <c r="BF15" s="211" t="s">
        <v>413</v>
      </c>
      <c r="BM15" s="95">
        <v>1</v>
      </c>
      <c r="BN15" s="250"/>
      <c r="BO15" s="207"/>
      <c r="BP15" s="48"/>
      <c r="BQ15" s="48"/>
      <c r="BR15" s="48"/>
      <c r="BS15" s="48"/>
      <c r="BT15" s="48"/>
      <c r="BU15" s="280">
        <v>1</v>
      </c>
      <c r="BV15" s="8" t="s">
        <v>448</v>
      </c>
      <c r="CC15" s="165">
        <f t="shared" ref="CC15:CC32" si="0">+CC14+1</f>
        <v>2</v>
      </c>
      <c r="CD15" s="97"/>
      <c r="CE15" s="182"/>
      <c r="CF15" s="257"/>
      <c r="CG15" s="257"/>
      <c r="CH15" s="257"/>
      <c r="CI15" s="257"/>
      <c r="CJ15" s="257"/>
    </row>
    <row r="16" spans="1:90">
      <c r="A16" s="16">
        <f t="shared" ref="A16:A37" si="1">+A15+1</f>
        <v>2</v>
      </c>
      <c r="B16" s="120" t="s">
        <v>530</v>
      </c>
      <c r="C16" s="120"/>
      <c r="D16" s="274">
        <f>+'[7]Lead E'!D10</f>
        <v>79334191.840000004</v>
      </c>
      <c r="E16" s="274">
        <f>+'[7]Lead E'!E10</f>
        <v>79334191.840000004</v>
      </c>
      <c r="F16" s="274">
        <f t="shared" ref="F16:F23" si="2">+E16-D16</f>
        <v>0</v>
      </c>
      <c r="G16" s="973">
        <f>'[7]Lead E'!$G$10</f>
        <v>35863917.55959221</v>
      </c>
      <c r="H16" s="275">
        <f t="shared" ref="H16:H23" si="3">+G16-E16</f>
        <v>-43470274.280407794</v>
      </c>
      <c r="I16" s="95">
        <f t="shared" ref="I16:I22" si="4">+I15+1</f>
        <v>2</v>
      </c>
      <c r="J16" s="245" t="s">
        <v>487</v>
      </c>
      <c r="K16" s="44"/>
      <c r="L16" s="275">
        <f>+[37]Lead!D10</f>
        <v>1346484.56</v>
      </c>
      <c r="M16" s="275">
        <f>+[37]Lead!E10</f>
        <v>1433345.375</v>
      </c>
      <c r="N16" s="275">
        <f>+M16-L16</f>
        <v>86860.814999999944</v>
      </c>
      <c r="O16" s="972">
        <f>+[37]Lead!$G$10</f>
        <v>771545.60670272447</v>
      </c>
      <c r="P16" s="275">
        <f>+O16-M16</f>
        <v>-661799.76829727553</v>
      </c>
      <c r="Q16" s="280">
        <f t="shared" ref="Q16:Q27" si="5">+Q15+1</f>
        <v>2</v>
      </c>
      <c r="R16" s="212" t="s">
        <v>99</v>
      </c>
      <c r="S16" s="212"/>
      <c r="T16" s="275">
        <f>'[38]Lead E'!$D$14</f>
        <v>4539000</v>
      </c>
      <c r="U16" s="275">
        <f>'[38]Lead E'!$E$14</f>
        <v>0</v>
      </c>
      <c r="V16" s="275">
        <f>U16-T16</f>
        <v>-4539000</v>
      </c>
      <c r="W16" s="275">
        <f>U16</f>
        <v>0</v>
      </c>
      <c r="X16" s="275">
        <f>W16-U16</f>
        <v>0</v>
      </c>
      <c r="Y16" s="280">
        <f t="shared" ref="Y16:Y23" si="6">Y15+1</f>
        <v>2</v>
      </c>
      <c r="Z16" s="7"/>
      <c r="AA16" s="7"/>
      <c r="AB16" s="486"/>
      <c r="AC16" s="486"/>
      <c r="AD16" s="486"/>
      <c r="AE16" s="486"/>
      <c r="AF16" s="486"/>
      <c r="AG16" s="95">
        <v>2</v>
      </c>
      <c r="AH16" s="94"/>
      <c r="AI16" s="94"/>
      <c r="AJ16" s="94"/>
      <c r="AK16" s="94"/>
      <c r="AL16" s="94"/>
      <c r="AM16" s="94"/>
      <c r="AN16" s="94"/>
      <c r="AO16" s="280">
        <f t="shared" ref="AO16:AO47" si="7">AO15+1</f>
        <v>2</v>
      </c>
      <c r="AP16" s="97" t="s">
        <v>113</v>
      </c>
      <c r="AQ16" s="97"/>
      <c r="AR16" s="283">
        <f>+'[39]Lead E'!D14</f>
        <v>45753.08</v>
      </c>
      <c r="AS16" s="283">
        <f t="shared" ref="AS16:AS30" si="8">+AR16</f>
        <v>45753.08</v>
      </c>
      <c r="AT16" s="283">
        <f t="shared" ref="AT16:AT30" si="9">+AS16-AR16</f>
        <v>0</v>
      </c>
      <c r="AU16" s="283">
        <f>+'[39]Lead E'!G14</f>
        <v>45753.145111108061</v>
      </c>
      <c r="AV16" s="283">
        <f t="shared" ref="AV16:AV30" si="10">+AU16-AS16</f>
        <v>6.5111108058772516E-2</v>
      </c>
      <c r="AW16" s="280">
        <f t="shared" ref="AW16:AW35" si="11">AW15+1</f>
        <v>2</v>
      </c>
      <c r="AX16" s="281"/>
      <c r="AY16" s="281"/>
      <c r="AZ16" s="281"/>
      <c r="BA16" s="281"/>
      <c r="BB16" s="277"/>
      <c r="BC16" s="277"/>
      <c r="BD16" s="396"/>
      <c r="BE16" s="286">
        <f t="shared" ref="BE16:BE28" si="12">+BE15+1</f>
        <v>2</v>
      </c>
      <c r="BF16" s="211" t="s">
        <v>270</v>
      </c>
      <c r="BM16" s="95">
        <v>2</v>
      </c>
      <c r="BN16" s="250" t="s">
        <v>270</v>
      </c>
      <c r="BO16" s="251"/>
      <c r="BP16" s="251"/>
      <c r="BQ16" s="251"/>
      <c r="BR16" s="251"/>
      <c r="BS16" s="283"/>
      <c r="BT16" s="251"/>
      <c r="BU16" s="280">
        <f t="shared" ref="BU16:BU29" si="13">BU15+1</f>
        <v>2</v>
      </c>
      <c r="BV16" s="8" t="s">
        <v>473</v>
      </c>
      <c r="CC16" s="165">
        <f t="shared" si="0"/>
        <v>3</v>
      </c>
      <c r="CD16" s="245"/>
      <c r="CE16" s="182"/>
      <c r="CF16" s="258"/>
      <c r="CG16" s="258"/>
      <c r="CH16" s="258"/>
      <c r="CI16" s="258"/>
      <c r="CJ16" s="258"/>
    </row>
    <row r="17" spans="1:88">
      <c r="A17" s="16">
        <f t="shared" si="1"/>
        <v>3</v>
      </c>
      <c r="B17" s="120" t="s">
        <v>531</v>
      </c>
      <c r="D17" s="121">
        <f>+'[7]Lead E'!D11</f>
        <v>124839938.45000002</v>
      </c>
      <c r="E17" s="121">
        <f>+'[7]Lead E'!E11</f>
        <v>125903300.81000002</v>
      </c>
      <c r="F17" s="121">
        <f t="shared" si="2"/>
        <v>1063362.3599999994</v>
      </c>
      <c r="G17" s="974">
        <f>'[7]Lead E'!$G$11</f>
        <v>151759306.05215243</v>
      </c>
      <c r="H17" s="253">
        <f t="shared" si="3"/>
        <v>25856005.242152408</v>
      </c>
      <c r="I17" s="95">
        <f t="shared" si="4"/>
        <v>3</v>
      </c>
      <c r="J17" s="245" t="s">
        <v>142</v>
      </c>
      <c r="K17" s="245"/>
      <c r="L17" s="455">
        <f>+L16</f>
        <v>1346484.56</v>
      </c>
      <c r="M17" s="455">
        <f>+M16</f>
        <v>1433345.375</v>
      </c>
      <c r="N17" s="455">
        <f>+N16</f>
        <v>86860.814999999944</v>
      </c>
      <c r="O17" s="455">
        <f>+O16</f>
        <v>771545.60670272447</v>
      </c>
      <c r="P17" s="455">
        <f>+P16</f>
        <v>-661799.76829727553</v>
      </c>
      <c r="Q17" s="280">
        <f t="shared" si="5"/>
        <v>3</v>
      </c>
      <c r="R17" s="212" t="s">
        <v>100</v>
      </c>
      <c r="S17" s="212"/>
      <c r="T17" s="484">
        <f>'[38]Lead E'!$D$15</f>
        <v>-2120000</v>
      </c>
      <c r="U17" s="484">
        <f>'[38]Lead E'!$E$15</f>
        <v>0</v>
      </c>
      <c r="V17" s="484">
        <f>U17-T17</f>
        <v>2120000</v>
      </c>
      <c r="W17" s="484">
        <f>U17</f>
        <v>0</v>
      </c>
      <c r="X17" s="484">
        <f>W17-U17</f>
        <v>0</v>
      </c>
      <c r="Y17" s="280">
        <f t="shared" si="6"/>
        <v>3</v>
      </c>
      <c r="Z17" s="2" t="s">
        <v>107</v>
      </c>
      <c r="AA17" s="2"/>
      <c r="AB17" s="314">
        <f>SUM(AB15:AB16)</f>
        <v>-41661500.859999999</v>
      </c>
      <c r="AC17" s="314">
        <f>SUM(AC15:AC16)</f>
        <v>0</v>
      </c>
      <c r="AD17" s="314">
        <f>SUM(AD15:AD16)</f>
        <v>41661500.859999999</v>
      </c>
      <c r="AE17" s="314">
        <f>SUM(AE15:AE16)</f>
        <v>0</v>
      </c>
      <c r="AF17" s="314">
        <f>SUM(AF15:AF16)</f>
        <v>0</v>
      </c>
      <c r="AG17" s="95">
        <v>3</v>
      </c>
      <c r="AH17" s="152" t="s">
        <v>401</v>
      </c>
      <c r="AI17" s="152"/>
      <c r="AJ17" s="268">
        <f>+[36]Top!$D$15</f>
        <v>588691.1</v>
      </c>
      <c r="AK17" s="268">
        <f>+[36]Top!$E$15</f>
        <v>481346.42333333328</v>
      </c>
      <c r="AL17" s="268">
        <f>+AK17-AJ17</f>
        <v>-107344.6766666667</v>
      </c>
      <c r="AM17" s="268">
        <f>+AK17</f>
        <v>481346.42333333328</v>
      </c>
      <c r="AN17" s="57">
        <f>+AM17-AK17</f>
        <v>0</v>
      </c>
      <c r="AO17" s="280">
        <f t="shared" si="7"/>
        <v>3</v>
      </c>
      <c r="AP17" s="97" t="s">
        <v>114</v>
      </c>
      <c r="AQ17" s="97"/>
      <c r="AR17" s="98">
        <f>+'[39]Lead E'!D15</f>
        <v>62723.02</v>
      </c>
      <c r="AS17" s="157">
        <f t="shared" si="8"/>
        <v>62723.02</v>
      </c>
      <c r="AT17" s="157">
        <f t="shared" si="9"/>
        <v>0</v>
      </c>
      <c r="AU17" s="98">
        <f>+'[39]Lead E'!G15</f>
        <v>62723.058252429</v>
      </c>
      <c r="AV17" s="98">
        <f t="shared" si="10"/>
        <v>3.8252429003478028E-2</v>
      </c>
      <c r="AW17" s="280">
        <f t="shared" si="11"/>
        <v>3</v>
      </c>
      <c r="AX17" s="397" t="s">
        <v>29</v>
      </c>
      <c r="AY17" s="283"/>
      <c r="BE17" s="286">
        <f t="shared" si="12"/>
        <v>3</v>
      </c>
      <c r="BF17" s="212" t="s">
        <v>99</v>
      </c>
      <c r="BG17" s="212"/>
      <c r="BH17" s="381">
        <f>+[40]Lead!D15</f>
        <v>16990239.199999999</v>
      </c>
      <c r="BI17" s="381">
        <f>+BH17</f>
        <v>16990239.199999999</v>
      </c>
      <c r="BJ17" s="381">
        <f>BI17-BH17</f>
        <v>0</v>
      </c>
      <c r="BK17" s="381">
        <v>0</v>
      </c>
      <c r="BL17" s="381">
        <f>BK17-BI17</f>
        <v>-16990239.199999999</v>
      </c>
      <c r="BM17" s="95">
        <v>4</v>
      </c>
      <c r="BN17" s="212" t="s">
        <v>99</v>
      </c>
      <c r="BO17" s="251"/>
      <c r="BP17" s="1046">
        <v>0</v>
      </c>
      <c r="BQ17" s="1046">
        <f>+BP17</f>
        <v>0</v>
      </c>
      <c r="BR17" s="1046">
        <f>BQ17-BP17</f>
        <v>0</v>
      </c>
      <c r="BS17" s="1046">
        <f>+'[41]Lead E'!G15</f>
        <v>12619474.160000008</v>
      </c>
      <c r="BT17" s="1046">
        <f>BS17-BR17</f>
        <v>12619474.160000008</v>
      </c>
      <c r="BU17" s="280">
        <f t="shared" si="13"/>
        <v>3</v>
      </c>
      <c r="BV17" s="233" t="s">
        <v>699</v>
      </c>
      <c r="BX17" s="381">
        <f>'[42]Lead E'!D16</f>
        <v>0</v>
      </c>
      <c r="BY17" s="381">
        <f>'[42]Lead E'!E16</f>
        <v>0</v>
      </c>
      <c r="BZ17" s="381">
        <f>'[42]Lead E'!F16</f>
        <v>0</v>
      </c>
      <c r="CA17" s="381">
        <f>'[42]Lead E'!G16</f>
        <v>9659116.8499999996</v>
      </c>
      <c r="CB17" s="381">
        <f>CA17-BY17</f>
        <v>9659116.8499999996</v>
      </c>
      <c r="CC17" s="165">
        <f t="shared" si="0"/>
        <v>4</v>
      </c>
      <c r="CD17" s="246"/>
      <c r="CE17" s="246"/>
      <c r="CF17" s="251"/>
      <c r="CG17" s="251"/>
      <c r="CH17" s="251"/>
      <c r="CI17" s="251"/>
      <c r="CJ17" s="251"/>
    </row>
    <row r="18" spans="1:88">
      <c r="A18" s="16">
        <f t="shared" si="1"/>
        <v>4</v>
      </c>
      <c r="B18" s="120" t="s">
        <v>532</v>
      </c>
      <c r="C18" s="120"/>
      <c r="D18" s="121">
        <f>+'[7]Lead E'!D12</f>
        <v>574163746.96999896</v>
      </c>
      <c r="E18" s="971">
        <f>+'[7]Lead E'!E12</f>
        <v>584488125.49878299</v>
      </c>
      <c r="F18" s="121">
        <f t="shared" si="2"/>
        <v>10324378.528784037</v>
      </c>
      <c r="G18" s="974">
        <f>'[7]Lead E'!$G$12</f>
        <v>421456718.2799986</v>
      </c>
      <c r="H18" s="253">
        <f t="shared" si="3"/>
        <v>-163031407.21878439</v>
      </c>
      <c r="I18" s="95">
        <f t="shared" si="4"/>
        <v>4</v>
      </c>
      <c r="J18" s="245" t="s">
        <v>488</v>
      </c>
      <c r="K18" s="1045">
        <f>'Power Cost Bridge to A-1'!K8</f>
        <v>0.95580194826410314</v>
      </c>
      <c r="L18" s="98">
        <f>+[37]Lead!D12</f>
        <v>0</v>
      </c>
      <c r="M18" s="98">
        <f>+[37]Lead!E12</f>
        <v>0</v>
      </c>
      <c r="N18" s="98">
        <f>+M18-L18</f>
        <v>0</v>
      </c>
      <c r="O18" s="98">
        <f>-(1-K18)*O17</f>
        <v>-34100.812641650948</v>
      </c>
      <c r="P18" s="98">
        <f>+O18-M18</f>
        <v>-34100.812641650948</v>
      </c>
      <c r="Q18" s="280">
        <f t="shared" si="5"/>
        <v>4</v>
      </c>
      <c r="R18" s="212" t="s">
        <v>101</v>
      </c>
      <c r="S18" s="212"/>
      <c r="T18" s="484">
        <f>'[38]Lead E'!$D$16</f>
        <v>-803628.57</v>
      </c>
      <c r="U18" s="484">
        <f>'[38]Lead E'!$E$16</f>
        <v>0</v>
      </c>
      <c r="V18" s="484">
        <f>U18-T18</f>
        <v>803628.57</v>
      </c>
      <c r="W18" s="484">
        <f>U18</f>
        <v>0</v>
      </c>
      <c r="X18" s="484">
        <f>W18-U18</f>
        <v>0</v>
      </c>
      <c r="Y18" s="280">
        <f t="shared" si="6"/>
        <v>4</v>
      </c>
      <c r="Z18" s="245"/>
      <c r="AA18" s="245"/>
      <c r="AB18" s="486"/>
      <c r="AC18" s="486"/>
      <c r="AD18" s="486"/>
      <c r="AE18" s="486"/>
      <c r="AF18" s="486"/>
      <c r="AG18" s="95">
        <v>4</v>
      </c>
      <c r="AH18" s="153"/>
      <c r="AI18" s="154"/>
      <c r="AJ18" s="238"/>
      <c r="AK18" s="238"/>
      <c r="AL18" s="238"/>
      <c r="AM18" s="238"/>
      <c r="AN18" s="269"/>
      <c r="AO18" s="280">
        <f t="shared" si="7"/>
        <v>4</v>
      </c>
      <c r="AP18" s="97" t="s">
        <v>233</v>
      </c>
      <c r="AQ18" s="97"/>
      <c r="AR18" s="98">
        <f>+'[39]Lead E'!D16</f>
        <v>11208560.349999998</v>
      </c>
      <c r="AS18" s="157">
        <f t="shared" si="8"/>
        <v>11208560.349999998</v>
      </c>
      <c r="AT18" s="157">
        <f t="shared" si="9"/>
        <v>0</v>
      </c>
      <c r="AU18" s="98">
        <f>+'[39]Lead E'!G16</f>
        <v>7052483.424195189</v>
      </c>
      <c r="AV18" s="98">
        <f t="shared" si="10"/>
        <v>-4156076.9258048087</v>
      </c>
      <c r="AW18" s="280">
        <f t="shared" si="11"/>
        <v>4</v>
      </c>
      <c r="AX18" s="398" t="s">
        <v>552</v>
      </c>
      <c r="AY18" s="283"/>
      <c r="AZ18" s="283">
        <f>'[43]Lead Electric'!$D$16</f>
        <v>18794237.945987001</v>
      </c>
      <c r="BA18" s="278">
        <f>'[43]Lead Electric'!$E$16</f>
        <v>0</v>
      </c>
      <c r="BB18" s="381">
        <f>BA18-AZ18</f>
        <v>-18794237.945987001</v>
      </c>
      <c r="BC18" s="278">
        <f>'[43]Lead Electric'!$G$16</f>
        <v>0</v>
      </c>
      <c r="BD18" s="279">
        <f>BC18-BA18</f>
        <v>0</v>
      </c>
      <c r="BE18" s="286">
        <f t="shared" si="12"/>
        <v>4</v>
      </c>
      <c r="BF18" s="212" t="s">
        <v>100</v>
      </c>
      <c r="BG18" s="212"/>
      <c r="BH18" s="484">
        <f>+[40]Lead!D16</f>
        <v>-12688074.934416663</v>
      </c>
      <c r="BI18" s="484">
        <f>+BH18</f>
        <v>-12688074.934416663</v>
      </c>
      <c r="BJ18" s="484">
        <f>BI18-BH18</f>
        <v>0</v>
      </c>
      <c r="BK18" s="484">
        <v>0</v>
      </c>
      <c r="BL18" s="484">
        <f>BK18-BI18</f>
        <v>12688074.934416663</v>
      </c>
      <c r="BM18" s="95">
        <v>5</v>
      </c>
      <c r="BN18" s="212" t="s">
        <v>100</v>
      </c>
      <c r="BO18" s="251"/>
      <c r="BP18" s="1023">
        <v>0</v>
      </c>
      <c r="BQ18" s="1023">
        <f>+BP18</f>
        <v>0</v>
      </c>
      <c r="BR18" s="1023">
        <f>BQ18-BP18</f>
        <v>0</v>
      </c>
      <c r="BS18" s="1023">
        <f>+'[41]Lead E'!G16</f>
        <v>-631650.07127077854</v>
      </c>
      <c r="BT18" s="1024">
        <f>BS18-BR18</f>
        <v>-631650.07127077854</v>
      </c>
      <c r="BU18" s="280">
        <f t="shared" si="13"/>
        <v>4</v>
      </c>
      <c r="BV18" s="234" t="s">
        <v>100</v>
      </c>
      <c r="BX18" s="252">
        <f>'[42]Lead E'!D17</f>
        <v>0</v>
      </c>
      <c r="BY18" s="252">
        <f>'[42]Lead E'!E17</f>
        <v>0</v>
      </c>
      <c r="BZ18" s="252">
        <f>'[42]Lead E'!F17</f>
        <v>0</v>
      </c>
      <c r="CA18" s="252">
        <f>'[42]Lead E'!G17</f>
        <v>-5277574.0231666667</v>
      </c>
      <c r="CB18" s="61">
        <f>CA18-BY18</f>
        <v>-5277574.0231666667</v>
      </c>
      <c r="CC18" s="165">
        <f t="shared" si="0"/>
        <v>5</v>
      </c>
      <c r="CD18" s="246"/>
      <c r="CE18" s="246"/>
      <c r="CF18" s="257"/>
      <c r="CG18" s="257"/>
      <c r="CH18" s="257"/>
      <c r="CI18" s="257"/>
      <c r="CJ18" s="257"/>
    </row>
    <row r="19" spans="1:88">
      <c r="A19" s="16">
        <f t="shared" si="1"/>
        <v>5</v>
      </c>
      <c r="B19" s="120" t="s">
        <v>533</v>
      </c>
      <c r="C19" s="120"/>
      <c r="D19" s="121">
        <f>+'[7]Lead E'!D13</f>
        <v>17232385.379999902</v>
      </c>
      <c r="E19" s="121">
        <f>+'[7]Lead E'!E13</f>
        <v>11072849.4899999</v>
      </c>
      <c r="F19" s="121">
        <f t="shared" si="2"/>
        <v>-6159535.8900000025</v>
      </c>
      <c r="G19" s="974">
        <f>'[7]Lead E'!$G$13</f>
        <v>7832796.3799999999</v>
      </c>
      <c r="H19" s="253">
        <f t="shared" si="3"/>
        <v>-3240053.1099998998</v>
      </c>
      <c r="I19" s="95">
        <f t="shared" si="4"/>
        <v>5</v>
      </c>
      <c r="J19" s="246" t="s">
        <v>697</v>
      </c>
      <c r="K19"/>
      <c r="L19" s="455">
        <f>SUM(L17:L18)</f>
        <v>1346484.56</v>
      </c>
      <c r="M19" s="455">
        <f>SUM(M17:M18)</f>
        <v>1433345.375</v>
      </c>
      <c r="N19" s="455">
        <f>SUM(N17:N18)</f>
        <v>86860.814999999944</v>
      </c>
      <c r="O19" s="455">
        <f>SUM(O17:O18)</f>
        <v>737444.79406107357</v>
      </c>
      <c r="P19" s="455">
        <f>SUM(P17:P18)</f>
        <v>-695900.58093892643</v>
      </c>
      <c r="Q19" s="280">
        <f t="shared" si="5"/>
        <v>5</v>
      </c>
      <c r="R19" s="213" t="s">
        <v>271</v>
      </c>
      <c r="S19" s="213"/>
      <c r="T19" s="485">
        <f>SUM(T16:T18)</f>
        <v>1615371.4300000002</v>
      </c>
      <c r="U19" s="485">
        <f>SUM(U16:U18)</f>
        <v>0</v>
      </c>
      <c r="V19" s="485">
        <f>SUM(V16:V18)</f>
        <v>-1615371.4300000002</v>
      </c>
      <c r="W19" s="485">
        <f>SUM(W16:W18)</f>
        <v>0</v>
      </c>
      <c r="X19" s="485">
        <f>SUM(X16:X18)</f>
        <v>0</v>
      </c>
      <c r="Y19" s="280">
        <f t="shared" si="6"/>
        <v>5</v>
      </c>
      <c r="Z19" s="245" t="s">
        <v>108</v>
      </c>
      <c r="AA19" s="245"/>
      <c r="AB19" s="314">
        <f>-AB17</f>
        <v>41661500.859999999</v>
      </c>
      <c r="AC19" s="314">
        <f>-AC17</f>
        <v>0</v>
      </c>
      <c r="AD19" s="314">
        <f>-AD17</f>
        <v>-41661500.859999999</v>
      </c>
      <c r="AE19" s="314">
        <f>-AE17</f>
        <v>0</v>
      </c>
      <c r="AF19" s="314">
        <f>-AF17</f>
        <v>0</v>
      </c>
      <c r="AG19" s="95">
        <v>5</v>
      </c>
      <c r="AH19" s="153" t="s">
        <v>492</v>
      </c>
      <c r="AI19" s="154"/>
      <c r="AJ19" s="65">
        <f>SUM(AJ15:AJ17)</f>
        <v>10293732.289999999</v>
      </c>
      <c r="AK19" s="65">
        <f>SUM(AK15:AK17)</f>
        <v>10307657.413333334</v>
      </c>
      <c r="AL19" s="65">
        <f>SUM(AL15:AL17)</f>
        <v>13925.12333333405</v>
      </c>
      <c r="AM19" s="65">
        <f>SUM(AM15:AM17)</f>
        <v>10307657.413333334</v>
      </c>
      <c r="AN19" s="270">
        <f>SUM(AN15:AN17)</f>
        <v>0</v>
      </c>
      <c r="AO19" s="280">
        <f t="shared" si="7"/>
        <v>5</v>
      </c>
      <c r="AP19" s="97" t="s">
        <v>234</v>
      </c>
      <c r="AQ19" s="97"/>
      <c r="AR19" s="98">
        <f>+'[39]Lead E'!D17</f>
        <v>78745060.849999994</v>
      </c>
      <c r="AS19" s="157">
        <f t="shared" si="8"/>
        <v>78745060.849999994</v>
      </c>
      <c r="AT19" s="157">
        <f t="shared" si="9"/>
        <v>0</v>
      </c>
      <c r="AU19" s="98">
        <f>+'[39]Lead E'!G17</f>
        <v>67042925.304987572</v>
      </c>
      <c r="AV19" s="98">
        <f t="shared" si="10"/>
        <v>-11702135.545012422</v>
      </c>
      <c r="AW19" s="280">
        <f t="shared" si="11"/>
        <v>5</v>
      </c>
      <c r="AX19" s="399" t="s">
        <v>553</v>
      </c>
      <c r="AY19" s="284">
        <v>0.21</v>
      </c>
      <c r="AZ19" s="288">
        <f>-AZ18*$AY19</f>
        <v>-3946789.9686572701</v>
      </c>
      <c r="BA19" s="288">
        <f>-BA18*$AY19</f>
        <v>0</v>
      </c>
      <c r="BB19" s="288">
        <f>+BA19-AZ19</f>
        <v>3946789.9686572701</v>
      </c>
      <c r="BC19" s="288">
        <f>BA19</f>
        <v>0</v>
      </c>
      <c r="BD19" s="288">
        <f>-(BD26+BD18)*$AY$18</f>
        <v>0</v>
      </c>
      <c r="BE19" s="286">
        <f t="shared" si="12"/>
        <v>5</v>
      </c>
      <c r="BF19" s="212" t="s">
        <v>101</v>
      </c>
      <c r="BG19" s="212"/>
      <c r="BH19" s="484">
        <f>+[40]Lead!D17</f>
        <v>-980694.34861275041</v>
      </c>
      <c r="BI19" s="484">
        <f>+BH19</f>
        <v>-980694.34861275041</v>
      </c>
      <c r="BJ19" s="484">
        <f>BI19-BH19</f>
        <v>0</v>
      </c>
      <c r="BK19" s="484">
        <v>0</v>
      </c>
      <c r="BL19" s="484">
        <f>BK19-BI19</f>
        <v>980694.34861275041</v>
      </c>
      <c r="BM19" s="95">
        <v>6</v>
      </c>
      <c r="BN19" s="9" t="s">
        <v>446</v>
      </c>
      <c r="BO19" s="251"/>
      <c r="BP19" s="1023">
        <v>0</v>
      </c>
      <c r="BQ19" s="1023">
        <f>+BP19</f>
        <v>0</v>
      </c>
      <c r="BR19" s="1023">
        <f>BQ19-BP19</f>
        <v>0</v>
      </c>
      <c r="BS19" s="1023">
        <f>+'[41]Lead E'!G17</f>
        <v>-88064.535992719757</v>
      </c>
      <c r="BT19" s="1024">
        <f>BS19-BR19</f>
        <v>-88064.535992719757</v>
      </c>
      <c r="BU19" s="280">
        <f t="shared" si="13"/>
        <v>5</v>
      </c>
      <c r="BV19" s="234" t="s">
        <v>600</v>
      </c>
      <c r="BX19" s="252">
        <f>'[42]Lead E'!D18</f>
        <v>0</v>
      </c>
      <c r="BY19" s="252">
        <f>'[42]Lead E'!E18</f>
        <v>0</v>
      </c>
      <c r="BZ19" s="252">
        <f>'[42]Lead E'!F18</f>
        <v>0</v>
      </c>
      <c r="CA19" s="252">
        <f>'[42]Lead E'!G18</f>
        <v>263117.82048999966</v>
      </c>
      <c r="CB19" s="61">
        <f>CA19-BY19</f>
        <v>263117.82048999966</v>
      </c>
      <c r="CC19" s="165">
        <f t="shared" si="0"/>
        <v>6</v>
      </c>
      <c r="CD19" s="246"/>
      <c r="CE19" s="246"/>
      <c r="CF19" s="258"/>
      <c r="CG19" s="258"/>
      <c r="CH19" s="258"/>
      <c r="CI19" s="258"/>
      <c r="CJ19" s="258"/>
    </row>
    <row r="20" spans="1:88" ht="15.75" thickBot="1">
      <c r="A20" s="16">
        <f t="shared" si="1"/>
        <v>6</v>
      </c>
      <c r="B20" s="286" t="s">
        <v>700</v>
      </c>
      <c r="D20" s="121">
        <f>+'[7]Lead E'!D14</f>
        <v>446665.22</v>
      </c>
      <c r="E20" s="121">
        <f>+'[7]Lead E'!E14</f>
        <v>446665.22</v>
      </c>
      <c r="F20" s="121">
        <f t="shared" si="2"/>
        <v>0</v>
      </c>
      <c r="G20" s="974">
        <f>'[7]Lead E'!$G$14</f>
        <v>426923.48749781423</v>
      </c>
      <c r="H20" s="253">
        <f t="shared" si="3"/>
        <v>-19741.73250218574</v>
      </c>
      <c r="I20" s="95">
        <f t="shared" si="4"/>
        <v>6</v>
      </c>
      <c r="J20" s="246"/>
      <c r="K20" s="246"/>
      <c r="Q20" s="280">
        <f t="shared" si="5"/>
        <v>6</v>
      </c>
      <c r="R20" s="213"/>
      <c r="S20" s="213"/>
      <c r="T20" s="208"/>
      <c r="U20" s="208"/>
      <c r="V20" s="127"/>
      <c r="W20" s="208"/>
      <c r="X20" s="208"/>
      <c r="Y20" s="280">
        <f t="shared" si="6"/>
        <v>6</v>
      </c>
      <c r="Z20" s="245"/>
      <c r="AA20" s="245"/>
      <c r="AB20" s="314"/>
      <c r="AC20" s="314"/>
      <c r="AD20" s="314"/>
      <c r="AE20" s="314"/>
      <c r="AF20" s="314"/>
      <c r="AG20" s="95">
        <v>12</v>
      </c>
      <c r="AH20" s="10"/>
      <c r="AI20" s="154"/>
      <c r="AJ20" s="65"/>
      <c r="AK20" s="65"/>
      <c r="AL20" s="65"/>
      <c r="AM20" s="65"/>
      <c r="AN20" s="108"/>
      <c r="AO20" s="280">
        <f t="shared" si="7"/>
        <v>6</v>
      </c>
      <c r="AP20" s="97" t="s">
        <v>235</v>
      </c>
      <c r="AQ20" s="97"/>
      <c r="AR20" s="98">
        <f>+'[39]Lead E'!D18</f>
        <v>18500000</v>
      </c>
      <c r="AS20" s="157">
        <f t="shared" si="8"/>
        <v>18500000</v>
      </c>
      <c r="AT20" s="157">
        <f t="shared" si="9"/>
        <v>0</v>
      </c>
      <c r="AU20" s="98">
        <f>+'[39]Lead E'!G18</f>
        <v>18500000</v>
      </c>
      <c r="AV20" s="98">
        <f t="shared" si="10"/>
        <v>0</v>
      </c>
      <c r="AW20" s="280">
        <f t="shared" si="11"/>
        <v>6</v>
      </c>
      <c r="AX20" s="398" t="s">
        <v>554</v>
      </c>
      <c r="AY20" s="283"/>
      <c r="AZ20" s="288">
        <f>'[43]Lead Electric'!D18</f>
        <v>-2160614.81</v>
      </c>
      <c r="BA20" s="288">
        <f>'[43]Lead Electric'!E18</f>
        <v>0</v>
      </c>
      <c r="BB20" s="288">
        <f>+BA20-AZ20</f>
        <v>2160614.81</v>
      </c>
      <c r="BC20" s="288">
        <f>BA20</f>
        <v>0</v>
      </c>
      <c r="BD20" s="288">
        <f>+BC20-BA20</f>
        <v>0</v>
      </c>
      <c r="BE20" s="286">
        <f t="shared" si="12"/>
        <v>6</v>
      </c>
      <c r="BF20" s="213" t="s">
        <v>698</v>
      </c>
      <c r="BG20" s="213"/>
      <c r="BH20" s="488">
        <f>SUM(BH17:BH19)</f>
        <v>3321469.9169705859</v>
      </c>
      <c r="BI20" s="488">
        <f>SUM(BI17:BI19)</f>
        <v>3321469.9169705859</v>
      </c>
      <c r="BJ20" s="488">
        <f>SUM(BJ17:BJ19)</f>
        <v>0</v>
      </c>
      <c r="BK20" s="488">
        <f>SUM(BK17:BK19)</f>
        <v>0</v>
      </c>
      <c r="BL20" s="488">
        <f>SUM(BL17:BL19)</f>
        <v>-3321469.9169705859</v>
      </c>
      <c r="BM20" s="95">
        <v>7</v>
      </c>
      <c r="BN20" s="213" t="s">
        <v>447</v>
      </c>
      <c r="BO20" s="251"/>
      <c r="BP20" s="1025">
        <f>SUM(BP17:BP19)</f>
        <v>0</v>
      </c>
      <c r="BQ20" s="1025">
        <f>SUM(BQ17:BQ19)</f>
        <v>0</v>
      </c>
      <c r="BR20" s="1025">
        <f>+BP20</f>
        <v>0</v>
      </c>
      <c r="BS20" s="1026">
        <f>SUM(BS17:BS19)</f>
        <v>11899759.55273651</v>
      </c>
      <c r="BT20" s="1026">
        <f>SUM(BT17:BT19)</f>
        <v>11899759.55273651</v>
      </c>
      <c r="BU20" s="280">
        <f t="shared" si="13"/>
        <v>6</v>
      </c>
      <c r="BV20" s="181" t="s">
        <v>455</v>
      </c>
      <c r="BX20" s="401">
        <f>SUM(BX17:BX19)</f>
        <v>0</v>
      </c>
      <c r="BY20" s="401">
        <f>SUM(BY17:BY19)</f>
        <v>0</v>
      </c>
      <c r="BZ20" s="401">
        <f>SUM(BZ17:BZ19)</f>
        <v>0</v>
      </c>
      <c r="CA20" s="71">
        <f>SUM(CA17:CA19)</f>
        <v>4644660.6473233327</v>
      </c>
      <c r="CB20" s="71">
        <f>CA20-BY20</f>
        <v>4644660.6473233327</v>
      </c>
      <c r="CC20" s="165">
        <f t="shared" si="0"/>
        <v>7</v>
      </c>
      <c r="CD20" s="246"/>
      <c r="CE20" s="246"/>
      <c r="CF20" s="257"/>
      <c r="CG20" s="257"/>
      <c r="CH20" s="257"/>
      <c r="CI20" s="257"/>
      <c r="CJ20" s="257"/>
    </row>
    <row r="21" spans="1:88" ht="16.5" thickTop="1" thickBot="1">
      <c r="A21" s="16">
        <f t="shared" si="1"/>
        <v>7</v>
      </c>
      <c r="B21" s="120" t="s">
        <v>534</v>
      </c>
      <c r="C21" s="120"/>
      <c r="D21" s="121">
        <f>+'[7]Lead E'!D15</f>
        <v>115807777.5999999</v>
      </c>
      <c r="E21" s="121">
        <f>+'[7]Lead E'!E15</f>
        <v>115807777.5999999</v>
      </c>
      <c r="F21" s="121">
        <f t="shared" si="2"/>
        <v>0</v>
      </c>
      <c r="G21" s="974">
        <f>'[7]Lead E'!$G$15</f>
        <v>112542721.33945595</v>
      </c>
      <c r="H21" s="253">
        <f t="shared" si="3"/>
        <v>-3265056.2605439574</v>
      </c>
      <c r="I21" s="95">
        <f t="shared" si="4"/>
        <v>7</v>
      </c>
      <c r="J21" s="246" t="s">
        <v>146</v>
      </c>
      <c r="K21" s="259">
        <v>0.21</v>
      </c>
      <c r="L21" s="260">
        <f>-L19*$K$21</f>
        <v>-282761.75760000001</v>
      </c>
      <c r="M21" s="260">
        <f>-M19*$K$21</f>
        <v>-301002.52875</v>
      </c>
      <c r="N21" s="260">
        <f>-N19*$K$21</f>
        <v>-18240.771149999986</v>
      </c>
      <c r="O21" s="260">
        <f>-O19*$K$21</f>
        <v>-154863.40675282545</v>
      </c>
      <c r="P21" s="260">
        <f>-P19*$K$21</f>
        <v>146139.12199717454</v>
      </c>
      <c r="Q21" s="280">
        <f t="shared" si="5"/>
        <v>7</v>
      </c>
      <c r="R21" s="211" t="s">
        <v>272</v>
      </c>
      <c r="S21" s="211"/>
      <c r="Y21" s="280">
        <f t="shared" si="6"/>
        <v>7</v>
      </c>
      <c r="Z21" s="245" t="s">
        <v>154</v>
      </c>
      <c r="AA21" s="155">
        <f>+FIT_E</f>
        <v>0.21</v>
      </c>
      <c r="AB21" s="314">
        <f>+AB19*$AA21</f>
        <v>8748915.1805999987</v>
      </c>
      <c r="AC21" s="314">
        <f>+AC19*$AA21</f>
        <v>0</v>
      </c>
      <c r="AD21" s="314">
        <f>+AD19*$AA21</f>
        <v>-8748915.1805999987</v>
      </c>
      <c r="AE21" s="314">
        <f>+AE19*$AA21</f>
        <v>0</v>
      </c>
      <c r="AF21" s="314">
        <f>+AF19*$AA21</f>
        <v>0</v>
      </c>
      <c r="AG21" s="95">
        <v>13</v>
      </c>
      <c r="AH21" s="10" t="s">
        <v>402</v>
      </c>
      <c r="AI21" s="154"/>
      <c r="AJ21" s="65">
        <f>+[36]Top!$D$19</f>
        <v>25322916</v>
      </c>
      <c r="AK21" s="65">
        <f>+AJ21</f>
        <v>25322916</v>
      </c>
      <c r="AL21" s="65">
        <f>+AK21-AJ21</f>
        <v>0</v>
      </c>
      <c r="AM21" s="65">
        <f>+[36]Top!$G$19</f>
        <v>38844187.800000004</v>
      </c>
      <c r="AN21" s="108">
        <f>+AM21-AK21</f>
        <v>13521271.800000004</v>
      </c>
      <c r="AO21" s="280">
        <f t="shared" si="7"/>
        <v>7</v>
      </c>
      <c r="AP21" s="97" t="s">
        <v>236</v>
      </c>
      <c r="AQ21" s="97"/>
      <c r="AR21" s="98">
        <f>+'[39]Lead E'!D19</f>
        <v>499999.67</v>
      </c>
      <c r="AS21" s="157">
        <f t="shared" si="8"/>
        <v>499999.67</v>
      </c>
      <c r="AT21" s="157">
        <f t="shared" si="9"/>
        <v>0</v>
      </c>
      <c r="AU21" s="98">
        <f>+'[39]Lead E'!G19</f>
        <v>0</v>
      </c>
      <c r="AV21" s="98">
        <f t="shared" si="10"/>
        <v>-499999.67</v>
      </c>
      <c r="AW21" s="280">
        <f t="shared" si="11"/>
        <v>7</v>
      </c>
      <c r="AX21" s="398" t="s">
        <v>95</v>
      </c>
      <c r="AY21" s="285"/>
      <c r="AZ21" s="54">
        <f>-SUM(AZ17:AZ20)</f>
        <v>-12686833.16732973</v>
      </c>
      <c r="BA21" s="54">
        <f>-SUM(BA17:BA20)</f>
        <v>0</v>
      </c>
      <c r="BB21" s="54">
        <f>-SUM(BB17:BB20)</f>
        <v>12686833.16732973</v>
      </c>
      <c r="BC21" s="54">
        <f>-SUM(BC17:BC20)</f>
        <v>0</v>
      </c>
      <c r="BD21" s="54">
        <f>-SUM(BD17:BD20)</f>
        <v>0</v>
      </c>
      <c r="BE21" s="286">
        <f t="shared" si="12"/>
        <v>7</v>
      </c>
      <c r="BF21" s="213"/>
      <c r="BG21" s="213"/>
      <c r="BH21" s="489"/>
      <c r="BI21" s="489"/>
      <c r="BJ21" s="490"/>
      <c r="BK21" s="489"/>
      <c r="BL21" s="489"/>
      <c r="BM21" s="95">
        <v>8</v>
      </c>
      <c r="BN21"/>
      <c r="BO21"/>
      <c r="BP21" s="1047"/>
      <c r="BQ21" s="1047"/>
      <c r="BR21" s="1047"/>
      <c r="BS21" s="1047"/>
      <c r="BT21" s="1047"/>
      <c r="BU21" s="280">
        <f t="shared" si="13"/>
        <v>7</v>
      </c>
      <c r="BX21" s="495"/>
      <c r="BY21" s="495"/>
      <c r="BZ21" s="495"/>
      <c r="CA21" s="495"/>
      <c r="CB21" s="495"/>
      <c r="CC21" s="165">
        <f t="shared" si="0"/>
        <v>8</v>
      </c>
      <c r="CD21" s="246"/>
      <c r="CE21" s="259"/>
      <c r="CF21" s="257"/>
      <c r="CG21" s="257"/>
      <c r="CH21" s="257"/>
      <c r="CI21" s="257"/>
      <c r="CJ21" s="257"/>
    </row>
    <row r="22" spans="1:88" ht="16.5" thickTop="1" thickBot="1">
      <c r="A22" s="16">
        <f t="shared" si="1"/>
        <v>8</v>
      </c>
      <c r="B22" s="120" t="s">
        <v>535</v>
      </c>
      <c r="C22" s="120"/>
      <c r="D22" s="121">
        <f>+'[7]Lead E'!D16</f>
        <v>-155333122.24000001</v>
      </c>
      <c r="E22" s="121">
        <f>+'[7]Lead E'!E16</f>
        <v>-155333122.24000001</v>
      </c>
      <c r="F22" s="121">
        <f t="shared" si="2"/>
        <v>0</v>
      </c>
      <c r="G22" s="974">
        <f>'[7]Lead E'!$G$16</f>
        <v>-6985506.0856509283</v>
      </c>
      <c r="H22" s="253">
        <f t="shared" si="3"/>
        <v>148347616.15434909</v>
      </c>
      <c r="I22" s="95">
        <f t="shared" si="4"/>
        <v>8</v>
      </c>
      <c r="J22" s="246" t="s">
        <v>121</v>
      </c>
      <c r="K22" s="246"/>
      <c r="L22" s="103">
        <f>-L19-L21</f>
        <v>-1063722.8023999999</v>
      </c>
      <c r="M22" s="103">
        <f>-M19-M21</f>
        <v>-1132342.8462499999</v>
      </c>
      <c r="N22" s="103">
        <f>-N19-N21</f>
        <v>-68620.043849999958</v>
      </c>
      <c r="O22" s="977">
        <f>-O19-O21</f>
        <v>-582581.38730824809</v>
      </c>
      <c r="P22" s="103">
        <f>-P19-P21</f>
        <v>549761.45894175186</v>
      </c>
      <c r="Q22" s="280">
        <f t="shared" si="5"/>
        <v>8</v>
      </c>
      <c r="R22" s="214" t="s">
        <v>102</v>
      </c>
      <c r="S22" s="214"/>
      <c r="T22" s="484">
        <f>'[38]Lead E'!$D$20</f>
        <v>212064</v>
      </c>
      <c r="U22" s="484">
        <f>'[38]Lead E'!$E$20</f>
        <v>0</v>
      </c>
      <c r="V22" s="484">
        <f>U22-T22</f>
        <v>-212064</v>
      </c>
      <c r="W22" s="484">
        <f>U22</f>
        <v>0</v>
      </c>
      <c r="X22" s="484">
        <f>W22-U22</f>
        <v>0</v>
      </c>
      <c r="Y22" s="280">
        <f t="shared" si="6"/>
        <v>8</v>
      </c>
      <c r="Z22" s="154"/>
      <c r="AA22" s="154"/>
      <c r="AB22" s="486"/>
      <c r="AC22" s="486"/>
      <c r="AD22" s="486"/>
      <c r="AE22" s="486"/>
      <c r="AF22" s="486"/>
      <c r="AG22" s="95">
        <v>14</v>
      </c>
      <c r="AH22" s="10"/>
      <c r="AI22" s="154"/>
      <c r="AJ22" s="238"/>
      <c r="AK22" s="238"/>
      <c r="AL22" s="238"/>
      <c r="AM22" s="238"/>
      <c r="AN22" s="238"/>
      <c r="AO22" s="280">
        <f t="shared" si="7"/>
        <v>8</v>
      </c>
      <c r="AP22" s="97" t="s">
        <v>237</v>
      </c>
      <c r="AQ22" s="97"/>
      <c r="AR22" s="98">
        <f>+'[39]Lead E'!D20</f>
        <v>59411377.369999997</v>
      </c>
      <c r="AS22" s="157">
        <f t="shared" si="8"/>
        <v>59411377.369999997</v>
      </c>
      <c r="AT22" s="157">
        <f t="shared" si="9"/>
        <v>0</v>
      </c>
      <c r="AU22" s="98">
        <f>+'[39]Lead E'!G20</f>
        <v>52182863.023084156</v>
      </c>
      <c r="AV22" s="98">
        <f t="shared" si="10"/>
        <v>-7228514.3469158411</v>
      </c>
      <c r="AW22" s="280">
        <f t="shared" si="11"/>
        <v>8</v>
      </c>
      <c r="AX22" s="398"/>
      <c r="AY22" s="285"/>
      <c r="AZ22" s="105"/>
      <c r="BA22" s="105"/>
      <c r="BB22" s="105"/>
      <c r="BC22" s="105"/>
      <c r="BD22" s="105"/>
      <c r="BE22" s="286">
        <f t="shared" si="12"/>
        <v>8</v>
      </c>
      <c r="BF22" s="211" t="s">
        <v>421</v>
      </c>
      <c r="BG22" s="211"/>
      <c r="BH22" s="491"/>
      <c r="BI22" s="491"/>
      <c r="BJ22" s="491"/>
      <c r="BK22" s="491"/>
      <c r="BL22" s="491"/>
      <c r="BM22" s="95">
        <v>9</v>
      </c>
      <c r="BN22" s="235" t="s">
        <v>452</v>
      </c>
      <c r="BO22" s="235"/>
      <c r="BP22" s="1047"/>
      <c r="BQ22" s="1047"/>
      <c r="BR22" s="1047"/>
      <c r="BS22" s="1047"/>
      <c r="BT22" s="1047"/>
      <c r="BU22" s="280">
        <f t="shared" si="13"/>
        <v>8</v>
      </c>
      <c r="BV22" s="235" t="s">
        <v>452</v>
      </c>
      <c r="BX22" s="495"/>
      <c r="BY22" s="495"/>
      <c r="BZ22" s="495"/>
      <c r="CA22" s="495"/>
      <c r="CB22" s="495"/>
      <c r="CC22" s="165">
        <f t="shared" si="0"/>
        <v>9</v>
      </c>
      <c r="CD22" s="246"/>
      <c r="CE22" s="246"/>
      <c r="CF22" s="272"/>
      <c r="CG22" s="272"/>
      <c r="CH22" s="272"/>
      <c r="CI22" s="272"/>
      <c r="CJ22" s="272"/>
    </row>
    <row r="23" spans="1:88" ht="16.5" thickTop="1" thickBot="1">
      <c r="A23" s="16">
        <f t="shared" si="1"/>
        <v>9</v>
      </c>
      <c r="B23" s="120" t="s">
        <v>536</v>
      </c>
      <c r="C23" s="120"/>
      <c r="D23" s="121">
        <f>+'[7]Lead E'!D17</f>
        <v>-69470811.980000019</v>
      </c>
      <c r="E23" s="121">
        <f>+'[7]Lead E'!E17</f>
        <v>-69470811.980000019</v>
      </c>
      <c r="F23" s="121">
        <f t="shared" si="2"/>
        <v>0</v>
      </c>
      <c r="G23" s="974">
        <f>'[7]Lead E'!$G$17</f>
        <v>-22108578.086590096</v>
      </c>
      <c r="H23" s="253">
        <f t="shared" si="3"/>
        <v>47362233.893409923</v>
      </c>
      <c r="Q23" s="280">
        <f t="shared" si="5"/>
        <v>9</v>
      </c>
      <c r="R23" s="214"/>
      <c r="S23" s="214"/>
      <c r="T23" s="96"/>
      <c r="U23" s="96"/>
      <c r="V23" s="96"/>
      <c r="W23" s="96"/>
      <c r="X23" s="96"/>
      <c r="Y23" s="280">
        <f t="shared" si="6"/>
        <v>9</v>
      </c>
      <c r="Z23" s="245" t="s">
        <v>95</v>
      </c>
      <c r="AA23" s="245"/>
      <c r="AB23" s="487">
        <f>+AB19-AB21</f>
        <v>32912585.679400001</v>
      </c>
      <c r="AC23" s="487">
        <f>+AC19-AC21</f>
        <v>0</v>
      </c>
      <c r="AD23" s="487">
        <f>+AD19-AD21</f>
        <v>-32912585.679400001</v>
      </c>
      <c r="AE23" s="487">
        <f>+AE19-AE21</f>
        <v>0</v>
      </c>
      <c r="AF23" s="487">
        <f>+AF19-AF21</f>
        <v>0</v>
      </c>
      <c r="AG23" s="95">
        <v>15</v>
      </c>
      <c r="AH23" s="10" t="s">
        <v>107</v>
      </c>
      <c r="AI23" s="154"/>
      <c r="AJ23" s="65">
        <f>SUM(AJ19:AJ22)</f>
        <v>35616648.289999999</v>
      </c>
      <c r="AK23" s="65">
        <f>SUM(AK19:AK22)</f>
        <v>35630573.413333334</v>
      </c>
      <c r="AL23" s="65">
        <f>SUM(AL19:AL22)</f>
        <v>13925.12333333405</v>
      </c>
      <c r="AM23" s="65">
        <f>SUM(AM19:AM22)</f>
        <v>49151845.213333338</v>
      </c>
      <c r="AN23" s="65">
        <f>SUM(AN19:AN22)</f>
        <v>13521271.800000004</v>
      </c>
      <c r="AO23" s="280">
        <f t="shared" si="7"/>
        <v>9</v>
      </c>
      <c r="AP23" s="97" t="s">
        <v>238</v>
      </c>
      <c r="AQ23" s="97"/>
      <c r="AR23" s="98">
        <f>+'[39]Lead E'!D21</f>
        <v>8147050.7999999998</v>
      </c>
      <c r="AS23" s="157">
        <f t="shared" si="8"/>
        <v>8147050.7999999998</v>
      </c>
      <c r="AT23" s="157">
        <f t="shared" si="9"/>
        <v>0</v>
      </c>
      <c r="AU23" s="98">
        <f>+'[39]Lead E'!G21</f>
        <v>7424114.27447436</v>
      </c>
      <c r="AV23" s="98">
        <f t="shared" si="10"/>
        <v>-722936.52552563976</v>
      </c>
      <c r="AW23" s="280">
        <f t="shared" si="11"/>
        <v>9</v>
      </c>
      <c r="AX23" s="281" t="s">
        <v>555</v>
      </c>
      <c r="BE23" s="286">
        <f t="shared" si="12"/>
        <v>9</v>
      </c>
      <c r="BF23" s="214" t="s">
        <v>102</v>
      </c>
      <c r="BG23" s="214"/>
      <c r="BH23" s="484">
        <f>+[40]Lead!D21</f>
        <v>5669283.3340000007</v>
      </c>
      <c r="BI23" s="484">
        <f>+BH23</f>
        <v>5669283.3340000007</v>
      </c>
      <c r="BJ23" s="484">
        <f>BI23-BH23</f>
        <v>0</v>
      </c>
      <c r="BK23" s="484">
        <v>0</v>
      </c>
      <c r="BL23" s="484">
        <f>BK23-BI23</f>
        <v>-5669283.3340000007</v>
      </c>
      <c r="BM23" s="95">
        <v>10</v>
      </c>
      <c r="BN23" s="399" t="s">
        <v>102</v>
      </c>
      <c r="BO23" s="399"/>
      <c r="BP23" s="1048">
        <v>0</v>
      </c>
      <c r="BQ23" s="1048">
        <v>0</v>
      </c>
      <c r="BR23" s="1048">
        <f>BQ23-BP23</f>
        <v>0</v>
      </c>
      <c r="BS23" s="1049">
        <f>+'[41]Lead E'!G21</f>
        <v>370592.44987679686</v>
      </c>
      <c r="BT23" s="1049">
        <f>BS23-BR23</f>
        <v>370592.44987679686</v>
      </c>
      <c r="BU23" s="280">
        <f t="shared" si="13"/>
        <v>9</v>
      </c>
      <c r="BV23" s="399" t="s">
        <v>601</v>
      </c>
      <c r="BX23" s="144">
        <f>'[42]Lead E'!D29</f>
        <v>0</v>
      </c>
      <c r="BY23" s="144">
        <f>'[42]Lead E'!E29</f>
        <v>0</v>
      </c>
      <c r="BZ23" s="144">
        <f>'[42]Lead E'!F29</f>
        <v>0</v>
      </c>
      <c r="CA23" s="47">
        <f>'[42]Lead E'!G24</f>
        <v>3090056.355</v>
      </c>
      <c r="CB23" s="47">
        <f>CA23-BY23</f>
        <v>3090056.355</v>
      </c>
      <c r="CC23" s="165">
        <f t="shared" si="0"/>
        <v>10</v>
      </c>
      <c r="CD23" s="287"/>
      <c r="CE23" s="287"/>
      <c r="CF23" s="287"/>
      <c r="CG23" s="287"/>
      <c r="CH23" s="287"/>
      <c r="CI23" s="287"/>
      <c r="CJ23" s="287"/>
    </row>
    <row r="24" spans="1:88" ht="15.75" thickTop="1">
      <c r="A24" s="16">
        <f t="shared" si="1"/>
        <v>10</v>
      </c>
      <c r="B24" s="111" t="s">
        <v>537</v>
      </c>
      <c r="C24" s="7"/>
      <c r="D24" s="465">
        <f>SUM(D16:D23)</f>
        <v>687020771.23999882</v>
      </c>
      <c r="E24" s="465">
        <f>SUM(E16:E23)</f>
        <v>692248976.23878276</v>
      </c>
      <c r="F24" s="465">
        <f>SUM(F16:F23)</f>
        <v>5228204.9987840336</v>
      </c>
      <c r="G24" s="975">
        <f>SUM(G16:G23)</f>
        <v>700788298.92645597</v>
      </c>
      <c r="H24" s="465">
        <f>SUM(H16:H23)</f>
        <v>8539322.6876731664</v>
      </c>
      <c r="Q24" s="280">
        <f t="shared" si="5"/>
        <v>10</v>
      </c>
      <c r="R24" s="111" t="s">
        <v>103</v>
      </c>
      <c r="S24" s="111"/>
      <c r="T24" s="485">
        <f>SUM(T22:T23)</f>
        <v>212064</v>
      </c>
      <c r="U24" s="485">
        <f>SUM(U22:U23)</f>
        <v>0</v>
      </c>
      <c r="V24" s="485">
        <f>SUM(V22:V23)</f>
        <v>-212064</v>
      </c>
      <c r="W24" s="485">
        <f>SUM(W22:W23)</f>
        <v>0</v>
      </c>
      <c r="X24" s="485">
        <f>SUM(X22:X23)</f>
        <v>0</v>
      </c>
      <c r="Y24" s="280"/>
      <c r="Z24" s="287"/>
      <c r="AA24" s="287"/>
      <c r="AB24" s="287"/>
      <c r="AC24" s="287"/>
      <c r="AD24" s="287"/>
      <c r="AE24" s="287"/>
      <c r="AF24" s="287"/>
      <c r="AG24" s="95">
        <v>16</v>
      </c>
      <c r="AH24" s="10"/>
      <c r="AI24" s="154"/>
      <c r="AJ24" s="65"/>
      <c r="AK24" s="65"/>
      <c r="AL24" s="65"/>
      <c r="AM24" s="65"/>
      <c r="AN24" s="108"/>
      <c r="AO24" s="280">
        <f t="shared" si="7"/>
        <v>10</v>
      </c>
      <c r="AP24" s="97" t="s">
        <v>239</v>
      </c>
      <c r="AQ24" s="97"/>
      <c r="AR24" s="98">
        <f>+'[39]Lead E'!D22</f>
        <v>-78555.81</v>
      </c>
      <c r="AS24" s="157">
        <f t="shared" si="8"/>
        <v>-78555.81</v>
      </c>
      <c r="AT24" s="157">
        <f t="shared" si="9"/>
        <v>0</v>
      </c>
      <c r="AU24" s="98">
        <f>+'[39]Lead E'!G22</f>
        <v>-78558.319307994898</v>
      </c>
      <c r="AV24" s="98">
        <f t="shared" si="10"/>
        <v>-2.5093079949001549</v>
      </c>
      <c r="AW24" s="280">
        <f t="shared" si="11"/>
        <v>10</v>
      </c>
      <c r="AX24" s="281"/>
      <c r="AY24" s="287"/>
      <c r="BE24" s="286">
        <f t="shared" si="12"/>
        <v>10</v>
      </c>
      <c r="BF24" s="214"/>
      <c r="BG24" s="214"/>
      <c r="BH24" s="492"/>
      <c r="BI24" s="492"/>
      <c r="BJ24" s="492"/>
      <c r="BK24" s="492"/>
      <c r="BL24" s="492"/>
      <c r="BM24" s="95">
        <v>11</v>
      </c>
      <c r="BN24" s="399" t="s">
        <v>454</v>
      </c>
      <c r="BO24" s="399"/>
      <c r="BP24" s="1050">
        <f t="shared" ref="BP24:BQ24" si="14">SUM(BP23)</f>
        <v>0</v>
      </c>
      <c r="BQ24" s="1050">
        <f t="shared" si="14"/>
        <v>0</v>
      </c>
      <c r="BR24" s="1050">
        <f>SUM(BR23)</f>
        <v>0</v>
      </c>
      <c r="BS24" s="1050">
        <f>SUM(BS23)</f>
        <v>370592.44987679686</v>
      </c>
      <c r="BT24" s="1050">
        <f>SUM(BT23)</f>
        <v>370592.44987679686</v>
      </c>
      <c r="BU24" s="280">
        <f t="shared" si="13"/>
        <v>10</v>
      </c>
      <c r="BV24" s="399" t="s">
        <v>454</v>
      </c>
      <c r="BX24" s="238">
        <f>+BX23</f>
        <v>0</v>
      </c>
      <c r="BY24" s="238">
        <f>+BY23</f>
        <v>0</v>
      </c>
      <c r="BZ24" s="238">
        <f>+BZ23</f>
        <v>0</v>
      </c>
      <c r="CA24" s="238">
        <f>+CA23</f>
        <v>3090056.355</v>
      </c>
      <c r="CB24" s="238">
        <f>+CB23</f>
        <v>3090056.355</v>
      </c>
      <c r="CC24" s="165">
        <f t="shared" si="0"/>
        <v>11</v>
      </c>
      <c r="CD24" s="287"/>
      <c r="CE24" s="287"/>
      <c r="CF24" s="287"/>
      <c r="CG24" s="287"/>
      <c r="CH24" s="287"/>
      <c r="CI24" s="287"/>
      <c r="CJ24" s="287"/>
    </row>
    <row r="25" spans="1:88" ht="15.75">
      <c r="A25" s="16">
        <f t="shared" si="1"/>
        <v>11</v>
      </c>
      <c r="B25" s="7" t="s">
        <v>341</v>
      </c>
      <c r="C25" s="7"/>
      <c r="D25" s="164"/>
      <c r="E25" s="164"/>
      <c r="F25" s="164"/>
      <c r="G25" s="164"/>
      <c r="H25" s="164"/>
      <c r="J25" s="1038" t="s">
        <v>942</v>
      </c>
      <c r="K25" s="1038"/>
      <c r="L25" s="1038"/>
      <c r="M25" s="1038"/>
      <c r="N25" s="1038"/>
      <c r="Q25" s="280">
        <f t="shared" si="5"/>
        <v>11</v>
      </c>
      <c r="R25" s="111"/>
      <c r="S25" s="111"/>
      <c r="Y25" s="280"/>
      <c r="Z25" s="287"/>
      <c r="AA25" s="287"/>
      <c r="AB25" s="287"/>
      <c r="AC25" s="287"/>
      <c r="AD25" s="287"/>
      <c r="AE25" s="287"/>
      <c r="AF25" s="287"/>
      <c r="AG25" s="95">
        <v>19</v>
      </c>
      <c r="AH25" s="10" t="s">
        <v>128</v>
      </c>
      <c r="AI25" s="155">
        <f>+FIT_E</f>
        <v>0.21</v>
      </c>
      <c r="AJ25" s="65">
        <f>-AJ23*$AI25</f>
        <v>-7479496.1409</v>
      </c>
      <c r="AK25" s="65">
        <f>-AK23*$AI25</f>
        <v>-7482420.4167999998</v>
      </c>
      <c r="AL25" s="65">
        <f>-AL23*$AI25</f>
        <v>-2924.2759000001502</v>
      </c>
      <c r="AM25" s="65">
        <f>-AM23*$AI25</f>
        <v>-10321887.494800001</v>
      </c>
      <c r="AN25" s="65">
        <f>-AN23*$AI25</f>
        <v>-2839467.0780000007</v>
      </c>
      <c r="AO25" s="280">
        <f t="shared" si="7"/>
        <v>11</v>
      </c>
      <c r="AP25" s="97" t="s">
        <v>240</v>
      </c>
      <c r="AQ25" s="97"/>
      <c r="AR25" s="98">
        <f>+'[39]Lead E'!D23</f>
        <v>-308479.03999999998</v>
      </c>
      <c r="AS25" s="157">
        <f t="shared" si="8"/>
        <v>-308479.03999999998</v>
      </c>
      <c r="AT25" s="157">
        <f t="shared" si="9"/>
        <v>0</v>
      </c>
      <c r="AU25" s="98">
        <f>+'[39]Lead E'!G23</f>
        <v>-308483.94047545741</v>
      </c>
      <c r="AV25" s="98">
        <f t="shared" si="10"/>
        <v>-4.9004754574270919</v>
      </c>
      <c r="AW25" s="280">
        <f t="shared" si="11"/>
        <v>11</v>
      </c>
      <c r="AX25" s="397" t="s">
        <v>29</v>
      </c>
      <c r="AY25" s="287"/>
      <c r="BE25" s="286">
        <f t="shared" si="12"/>
        <v>11</v>
      </c>
      <c r="BF25" s="111" t="s">
        <v>103</v>
      </c>
      <c r="BG25" s="111"/>
      <c r="BH25" s="484">
        <f>SUM(BH23:BH24)</f>
        <v>5669283.3340000007</v>
      </c>
      <c r="BI25" s="484">
        <f>SUM(BI23:BI24)</f>
        <v>5669283.3340000007</v>
      </c>
      <c r="BJ25" s="484">
        <f>SUM(BJ23:BJ24)</f>
        <v>0</v>
      </c>
      <c r="BK25" s="484">
        <f>SUM(BK23:BK24)</f>
        <v>0</v>
      </c>
      <c r="BL25" s="484">
        <f>SUM(BL23:BL24)</f>
        <v>-5669283.3340000007</v>
      </c>
      <c r="BM25" s="95">
        <v>12</v>
      </c>
      <c r="BN25" s="241"/>
      <c r="BO25" s="241"/>
      <c r="BP25" s="1051"/>
      <c r="BQ25" s="1051"/>
      <c r="BR25" s="1052"/>
      <c r="BS25" s="1051"/>
      <c r="BT25" s="1052"/>
      <c r="BU25" s="280">
        <f t="shared" si="13"/>
        <v>11</v>
      </c>
      <c r="BX25" s="496"/>
      <c r="BY25" s="496"/>
      <c r="BZ25" s="477"/>
      <c r="CA25" s="496"/>
      <c r="CB25" s="477"/>
      <c r="CC25" s="165">
        <f t="shared" si="0"/>
        <v>12</v>
      </c>
      <c r="CD25" s="287"/>
      <c r="CE25" s="287"/>
      <c r="CF25" s="287"/>
      <c r="CG25" s="287"/>
      <c r="CH25" s="287"/>
      <c r="CI25" s="287"/>
      <c r="CJ25" s="287"/>
    </row>
    <row r="26" spans="1:88">
      <c r="A26" s="16">
        <f t="shared" si="1"/>
        <v>12</v>
      </c>
      <c r="B26" s="119" t="s">
        <v>538</v>
      </c>
      <c r="C26" s="7"/>
      <c r="D26" s="164"/>
      <c r="E26" s="164"/>
      <c r="F26" s="164"/>
      <c r="G26" s="164"/>
      <c r="H26" s="164"/>
      <c r="J26" s="1038" t="s">
        <v>809</v>
      </c>
      <c r="K26" s="1038"/>
      <c r="L26" s="1038" t="s">
        <v>817</v>
      </c>
      <c r="M26" s="1038" t="s">
        <v>937</v>
      </c>
      <c r="N26" s="1038" t="s">
        <v>796</v>
      </c>
      <c r="Q26" s="280">
        <f t="shared" si="5"/>
        <v>12</v>
      </c>
      <c r="R26" s="154" t="s">
        <v>128</v>
      </c>
      <c r="S26" s="77">
        <v>0.21</v>
      </c>
      <c r="T26" s="484">
        <f>'[38]Lead E'!$D$24</f>
        <v>-44533.439999999995</v>
      </c>
      <c r="U26" s="484">
        <f>'[38]Lead E'!$E$24</f>
        <v>0</v>
      </c>
      <c r="V26" s="484">
        <f>U26-T26</f>
        <v>44533.439999999995</v>
      </c>
      <c r="W26" s="484">
        <f>U26</f>
        <v>0</v>
      </c>
      <c r="X26" s="484">
        <f>W26-U26</f>
        <v>0</v>
      </c>
      <c r="Y26" s="389"/>
      <c r="Z26" s="390"/>
      <c r="AA26" s="390"/>
      <c r="AB26" s="390"/>
      <c r="AC26" s="390"/>
      <c r="AD26" s="390"/>
      <c r="AE26" s="390"/>
      <c r="AF26" s="390"/>
      <c r="AG26" s="95">
        <v>20</v>
      </c>
      <c r="AH26" s="10"/>
      <c r="AI26" s="154"/>
      <c r="AJ26" s="267"/>
      <c r="AK26" s="267"/>
      <c r="AL26" s="267"/>
      <c r="AM26" s="267"/>
      <c r="AN26" s="267"/>
      <c r="AO26" s="280">
        <f t="shared" si="7"/>
        <v>12</v>
      </c>
      <c r="AP26" s="97" t="s">
        <v>241</v>
      </c>
      <c r="AQ26" s="97"/>
      <c r="AR26" s="98">
        <f>+'[39]Lead E'!D24</f>
        <v>1815699.5799999998</v>
      </c>
      <c r="AS26" s="157">
        <f t="shared" si="8"/>
        <v>1815699.5799999998</v>
      </c>
      <c r="AT26" s="157">
        <f t="shared" si="9"/>
        <v>0</v>
      </c>
      <c r="AU26" s="98">
        <f>+'[39]Lead E'!G24</f>
        <v>-1160240.5572003927</v>
      </c>
      <c r="AV26" s="98">
        <f t="shared" si="10"/>
        <v>-2975940.1372003928</v>
      </c>
      <c r="AW26" s="280">
        <f t="shared" si="11"/>
        <v>12</v>
      </c>
      <c r="AX26" s="398" t="s">
        <v>556</v>
      </c>
      <c r="AZ26" s="283">
        <f>'[43]Lead Electric'!$D$24</f>
        <v>23551517.436357476</v>
      </c>
      <c r="BA26" s="278">
        <f>'[43]Lead Electric'!$E$24</f>
        <v>39996900.554010905</v>
      </c>
      <c r="BB26" s="381">
        <f>BA26-AZ26</f>
        <v>16445383.11765343</v>
      </c>
      <c r="BC26" s="278">
        <f>'[43]Lead Electric'!$G$24</f>
        <v>39996900.554010905</v>
      </c>
      <c r="BD26" s="279">
        <f>BC26-BA26</f>
        <v>0</v>
      </c>
      <c r="BE26" s="286">
        <f t="shared" si="12"/>
        <v>12</v>
      </c>
      <c r="BF26" s="111"/>
      <c r="BG26" s="111"/>
      <c r="BH26" s="493"/>
      <c r="BI26" s="493"/>
      <c r="BJ26" s="494"/>
      <c r="BK26" s="493"/>
      <c r="BL26" s="493"/>
      <c r="BM26" s="95">
        <v>13</v>
      </c>
      <c r="BN26" s="7" t="s">
        <v>103</v>
      </c>
      <c r="BO26" s="7"/>
      <c r="BP26" s="1030">
        <f t="shared" ref="BP26:BS26" si="15">BP24</f>
        <v>0</v>
      </c>
      <c r="BQ26" s="1030">
        <f t="shared" si="15"/>
        <v>0</v>
      </c>
      <c r="BR26" s="1030">
        <f t="shared" si="15"/>
        <v>0</v>
      </c>
      <c r="BS26" s="1030">
        <f t="shared" si="15"/>
        <v>370592.44987679686</v>
      </c>
      <c r="BT26" s="1030">
        <f>BT24</f>
        <v>370592.44987679686</v>
      </c>
      <c r="BU26" s="280">
        <f t="shared" si="13"/>
        <v>12</v>
      </c>
      <c r="BV26" s="7" t="s">
        <v>103</v>
      </c>
      <c r="BX26" s="108">
        <f t="shared" ref="BX26:CA26" si="16">+BX24</f>
        <v>0</v>
      </c>
      <c r="BY26" s="108">
        <f t="shared" si="16"/>
        <v>0</v>
      </c>
      <c r="BZ26" s="108">
        <f t="shared" si="16"/>
        <v>0</v>
      </c>
      <c r="CA26" s="108">
        <f t="shared" si="16"/>
        <v>3090056.355</v>
      </c>
      <c r="CB26" s="108">
        <f>+CB24</f>
        <v>3090056.355</v>
      </c>
      <c r="CC26" s="165">
        <f t="shared" si="0"/>
        <v>13</v>
      </c>
      <c r="CD26" s="287"/>
      <c r="CE26" s="287"/>
      <c r="CF26" s="287"/>
      <c r="CG26" s="287"/>
      <c r="CH26" s="287"/>
      <c r="CI26" s="287"/>
      <c r="CJ26" s="287"/>
    </row>
    <row r="27" spans="1:88" ht="15.75" thickBot="1">
      <c r="A27" s="16">
        <f t="shared" si="1"/>
        <v>13</v>
      </c>
      <c r="B27" s="107" t="s">
        <v>539</v>
      </c>
      <c r="C27" s="7"/>
      <c r="D27" s="121">
        <f>+'[7]Lead E'!D21</f>
        <v>127167992.89</v>
      </c>
      <c r="E27" s="121">
        <f>+'[7]Lead E'!E21</f>
        <v>127167992.89</v>
      </c>
      <c r="F27" s="121">
        <f>+E27-D27</f>
        <v>0</v>
      </c>
      <c r="G27" s="971">
        <f>'[7]Lead E'!$G$21</f>
        <v>106246572.81113668</v>
      </c>
      <c r="H27" s="253">
        <f>+G27-E27</f>
        <v>-20921420.078863323</v>
      </c>
      <c r="I27" s="280"/>
      <c r="J27" s="1038" t="s">
        <v>943</v>
      </c>
      <c r="K27" s="1038"/>
      <c r="L27" s="1039">
        <v>777635.66528346541</v>
      </c>
      <c r="M27" s="1040">
        <f>O19</f>
        <v>737444.79406107357</v>
      </c>
      <c r="N27" s="1040">
        <f>M27-L27</f>
        <v>-40190.871222391841</v>
      </c>
      <c r="Q27" s="280">
        <f t="shared" si="5"/>
        <v>13</v>
      </c>
      <c r="R27" s="245" t="s">
        <v>95</v>
      </c>
      <c r="S27" s="245"/>
      <c r="T27" s="482">
        <f>-T24-T26</f>
        <v>-167530.56</v>
      </c>
      <c r="U27" s="482">
        <f>-U24-U26</f>
        <v>0</v>
      </c>
      <c r="V27" s="482">
        <f>-V24-V26</f>
        <v>167530.56</v>
      </c>
      <c r="W27" s="482">
        <f>-W24-W26</f>
        <v>0</v>
      </c>
      <c r="X27" s="482">
        <f>-X24-X26</f>
        <v>0</v>
      </c>
      <c r="Y27" s="280"/>
      <c r="Z27" s="287"/>
      <c r="AA27" s="287"/>
      <c r="AB27" s="287"/>
      <c r="AC27" s="287"/>
      <c r="AD27" s="287"/>
      <c r="AE27" s="287"/>
      <c r="AF27" s="287"/>
      <c r="AG27" s="95">
        <v>21</v>
      </c>
      <c r="AH27" s="10" t="s">
        <v>95</v>
      </c>
      <c r="AI27" s="154"/>
      <c r="AJ27" s="271">
        <f>-SUM(AJ23:AJ26)</f>
        <v>-28137152.149099998</v>
      </c>
      <c r="AK27" s="271">
        <f>-SUM(AK23:AK26)</f>
        <v>-28148152.996533334</v>
      </c>
      <c r="AL27" s="271">
        <f>-SUM(AL23:AL26)</f>
        <v>-11000.8474333339</v>
      </c>
      <c r="AM27" s="271">
        <f>-SUM(AM23:AM26)</f>
        <v>-38829957.718533337</v>
      </c>
      <c r="AN27" s="271">
        <f>-SUM(AN23:AN26)</f>
        <v>-10681804.722000003</v>
      </c>
      <c r="AO27" s="280">
        <f t="shared" si="7"/>
        <v>13</v>
      </c>
      <c r="AP27" s="97" t="s">
        <v>242</v>
      </c>
      <c r="AQ27" s="97"/>
      <c r="AR27" s="98">
        <f>+'[39]Lead E'!D25</f>
        <v>56004.06</v>
      </c>
      <c r="AS27" s="157">
        <f t="shared" si="8"/>
        <v>56004.06</v>
      </c>
      <c r="AT27" s="157">
        <f t="shared" si="9"/>
        <v>0</v>
      </c>
      <c r="AU27" s="98">
        <f>+'[39]Lead E'!G25</f>
        <v>56004.31279906194</v>
      </c>
      <c r="AV27" s="98">
        <f t="shared" si="10"/>
        <v>0.25279906194191426</v>
      </c>
      <c r="AW27" s="280">
        <f t="shared" si="11"/>
        <v>13</v>
      </c>
      <c r="AX27" s="398" t="s">
        <v>557</v>
      </c>
      <c r="AY27" s="284">
        <f>'[43]Lead Electric'!$C25</f>
        <v>0.21</v>
      </c>
      <c r="AZ27" s="288">
        <f>-AZ26*$AY27</f>
        <v>-4945818.6616350701</v>
      </c>
      <c r="BA27" s="288">
        <f>-BA26*$AY27</f>
        <v>-8399349.1163422894</v>
      </c>
      <c r="BB27" s="288">
        <f>+BA27-AZ27</f>
        <v>-3453530.4547072193</v>
      </c>
      <c r="BC27" s="288">
        <f>BA27</f>
        <v>-8399349.1163422894</v>
      </c>
      <c r="BD27" s="288">
        <f>+BC27-BA27</f>
        <v>0</v>
      </c>
      <c r="BE27" s="286">
        <f t="shared" si="12"/>
        <v>13</v>
      </c>
      <c r="BF27" s="154" t="s">
        <v>249</v>
      </c>
      <c r="BG27" s="215">
        <f>+FIT_E</f>
        <v>0.21</v>
      </c>
      <c r="BH27" s="484">
        <f>+$BG$27*BH25</f>
        <v>1190549.5001400001</v>
      </c>
      <c r="BI27" s="484">
        <f>+$BG$27*BI25</f>
        <v>1190549.5001400001</v>
      </c>
      <c r="BJ27" s="484">
        <f>+$BG$27*BJ25</f>
        <v>0</v>
      </c>
      <c r="BK27" s="484">
        <f>+$BG$27*BK25</f>
        <v>0</v>
      </c>
      <c r="BL27" s="484">
        <f>+$BG$27*BL25</f>
        <v>-1190549.5001400001</v>
      </c>
      <c r="BM27" s="95">
        <v>14</v>
      </c>
      <c r="BN27" s="7"/>
      <c r="BO27" s="7"/>
      <c r="BP27" s="1030"/>
      <c r="BQ27" s="1030"/>
      <c r="BR27" s="1030"/>
      <c r="BS27" s="1030"/>
      <c r="BT27" s="1030"/>
      <c r="BU27" s="280">
        <f t="shared" si="13"/>
        <v>13</v>
      </c>
      <c r="BV27" s="7"/>
      <c r="BX27" s="108"/>
      <c r="BY27" s="108"/>
      <c r="BZ27" s="108"/>
      <c r="CA27" s="108"/>
      <c r="CB27" s="108"/>
      <c r="CC27" s="165">
        <f t="shared" si="0"/>
        <v>14</v>
      </c>
      <c r="CD27" s="287"/>
      <c r="CE27" s="287"/>
      <c r="CF27" s="287"/>
      <c r="CG27" s="287"/>
      <c r="CH27" s="287"/>
      <c r="CI27" s="287"/>
      <c r="CJ27" s="287"/>
    </row>
    <row r="28" spans="1:88" ht="16.5" thickTop="1" thickBot="1">
      <c r="A28" s="16">
        <f t="shared" si="1"/>
        <v>14</v>
      </c>
      <c r="B28" s="111" t="s">
        <v>540</v>
      </c>
      <c r="C28" s="7"/>
      <c r="D28" s="121">
        <f>+'[7]Lead E'!D22</f>
        <v>876514.03</v>
      </c>
      <c r="E28" s="121">
        <f>+'[7]Lead E'!E22</f>
        <v>876514.03</v>
      </c>
      <c r="F28" s="121">
        <f>+E28-D28</f>
        <v>0</v>
      </c>
      <c r="G28" s="121">
        <f>'[44]Lead E'!$G$22</f>
        <v>876514.03</v>
      </c>
      <c r="H28" s="253">
        <f>+G28-E28</f>
        <v>0</v>
      </c>
      <c r="I28" s="280"/>
      <c r="J28" s="1038" t="s">
        <v>85</v>
      </c>
      <c r="K28" s="1038"/>
      <c r="L28" s="1041">
        <f>-L27*0.21</f>
        <v>-163303.48970952773</v>
      </c>
      <c r="M28" s="1041">
        <f>-M27*0.21</f>
        <v>-154863.40675282545</v>
      </c>
      <c r="N28" s="1042">
        <f t="shared" ref="N28" si="17">M28-L28</f>
        <v>8440.0829567022738</v>
      </c>
      <c r="Y28" s="287"/>
      <c r="Z28" s="287"/>
      <c r="AA28" s="287"/>
      <c r="AB28" s="287"/>
      <c r="AC28" s="287"/>
      <c r="AD28" s="287"/>
      <c r="AE28" s="287"/>
      <c r="AF28" s="287"/>
      <c r="AG28" s="280"/>
      <c r="AO28" s="280">
        <f t="shared" si="7"/>
        <v>14</v>
      </c>
      <c r="AP28" s="97" t="s">
        <v>243</v>
      </c>
      <c r="AQ28" s="97"/>
      <c r="AR28" s="98">
        <f>+'[39]Lead E'!D26</f>
        <v>193459.84</v>
      </c>
      <c r="AS28" s="157">
        <f t="shared" si="8"/>
        <v>193459.84</v>
      </c>
      <c r="AT28" s="157">
        <f t="shared" si="9"/>
        <v>0</v>
      </c>
      <c r="AU28" s="98">
        <f>+'[39]Lead E'!G26</f>
        <v>193459.2403868956</v>
      </c>
      <c r="AV28" s="98">
        <f t="shared" si="10"/>
        <v>-0.59961310439393856</v>
      </c>
      <c r="AW28" s="280">
        <f t="shared" si="11"/>
        <v>14</v>
      </c>
      <c r="AX28" s="398" t="s">
        <v>575</v>
      </c>
      <c r="AY28" s="284">
        <f>'[43]Lead Electric'!$C26</f>
        <v>0.12000000000000002</v>
      </c>
      <c r="AZ28" s="288">
        <f>-AZ26*$AY28</f>
        <v>-2826182.0923628975</v>
      </c>
      <c r="BA28" s="288">
        <f>-BA26*$AY28</f>
        <v>-4799628.0664813099</v>
      </c>
      <c r="BB28" s="288">
        <f>+BA28-AZ28</f>
        <v>-1973445.9741184125</v>
      </c>
      <c r="BC28" s="288">
        <f>-BC26*$AY28</f>
        <v>-4799628.0664813099</v>
      </c>
      <c r="BD28" s="288">
        <f>+BC28-BA28</f>
        <v>0</v>
      </c>
      <c r="BE28" s="286">
        <f t="shared" si="12"/>
        <v>14</v>
      </c>
      <c r="BF28" s="245" t="s">
        <v>95</v>
      </c>
      <c r="BG28" s="245"/>
      <c r="BH28" s="482">
        <f>-BH25--BH27</f>
        <v>-4478733.8338600006</v>
      </c>
      <c r="BI28" s="482">
        <f>-BI25--BI27</f>
        <v>-4478733.8338600006</v>
      </c>
      <c r="BJ28" s="482">
        <f>-BJ25--BJ27</f>
        <v>0</v>
      </c>
      <c r="BK28" s="482">
        <f>-BK25--BK27</f>
        <v>0</v>
      </c>
      <c r="BL28" s="482">
        <f>-BL25--BL27</f>
        <v>4478733.8338600006</v>
      </c>
      <c r="BM28" s="95">
        <v>15</v>
      </c>
      <c r="BN28" s="7" t="s">
        <v>128</v>
      </c>
      <c r="BO28" s="112">
        <f>FIT_E</f>
        <v>0.21</v>
      </c>
      <c r="BP28" s="1031">
        <f t="shared" ref="BP28:BS28" si="18">-BP26*$BO$28</f>
        <v>0</v>
      </c>
      <c r="BQ28" s="1031">
        <f t="shared" si="18"/>
        <v>0</v>
      </c>
      <c r="BR28" s="1031">
        <f t="shared" si="18"/>
        <v>0</v>
      </c>
      <c r="BS28" s="1031">
        <f t="shared" si="18"/>
        <v>-77824.414474127334</v>
      </c>
      <c r="BT28" s="1031">
        <f>-BT26*$BO$28</f>
        <v>-77824.414474127334</v>
      </c>
      <c r="BU28" s="280">
        <f t="shared" si="13"/>
        <v>14</v>
      </c>
      <c r="BV28" s="7" t="s">
        <v>128</v>
      </c>
      <c r="BW28" s="215">
        <f>+FIT_E</f>
        <v>0.21</v>
      </c>
      <c r="BX28" s="249">
        <f t="shared" ref="BX28:CA28" si="19">-BX26*$BW$28</f>
        <v>0</v>
      </c>
      <c r="BY28" s="249">
        <f t="shared" si="19"/>
        <v>0</v>
      </c>
      <c r="BZ28" s="249">
        <f t="shared" si="19"/>
        <v>0</v>
      </c>
      <c r="CA28" s="249">
        <f t="shared" si="19"/>
        <v>-648911.83455000003</v>
      </c>
      <c r="CB28" s="249">
        <f>-CB26*$BW$28</f>
        <v>-648911.83455000003</v>
      </c>
      <c r="CC28" s="165">
        <f t="shared" si="0"/>
        <v>15</v>
      </c>
      <c r="CD28" s="287"/>
      <c r="CE28" s="287"/>
      <c r="CF28" s="287"/>
      <c r="CG28" s="287"/>
      <c r="CH28" s="287"/>
      <c r="CI28" s="287"/>
      <c r="CJ28" s="287"/>
    </row>
    <row r="29" spans="1:88" ht="16.5" thickTop="1" thickBot="1">
      <c r="A29" s="16">
        <f t="shared" si="1"/>
        <v>15</v>
      </c>
      <c r="B29" s="111" t="s">
        <v>541</v>
      </c>
      <c r="C29" s="7"/>
      <c r="D29" s="121">
        <f>+'[7]Lead E'!D23</f>
        <v>-7201724.9500000002</v>
      </c>
      <c r="E29" s="121">
        <f>+'[7]Lead E'!E23</f>
        <v>-7201724.9500000002</v>
      </c>
      <c r="F29" s="121">
        <f>+E29-D29</f>
        <v>0</v>
      </c>
      <c r="G29" s="121">
        <f>'[44]Lead E'!$G$23</f>
        <v>-8666881.7085096519</v>
      </c>
      <c r="H29" s="253">
        <f>+G29-E29</f>
        <v>-1465156.7585096518</v>
      </c>
      <c r="I29" s="280"/>
      <c r="J29" s="1038" t="s">
        <v>821</v>
      </c>
      <c r="K29" s="1038"/>
      <c r="L29" s="1043">
        <f>-L27-L28</f>
        <v>-614332.17557393771</v>
      </c>
      <c r="M29" s="1043">
        <f>-M27-M28</f>
        <v>-582581.38730824809</v>
      </c>
      <c r="N29" s="1043">
        <f>M29-L29</f>
        <v>31750.788265689625</v>
      </c>
      <c r="AG29" s="280"/>
      <c r="AO29" s="280">
        <f t="shared" si="7"/>
        <v>15</v>
      </c>
      <c r="AP29" s="97" t="s">
        <v>244</v>
      </c>
      <c r="AQ29" s="97"/>
      <c r="AR29" s="98">
        <f>+'[39]Lead E'!D27</f>
        <v>-530083.09</v>
      </c>
      <c r="AS29" s="157">
        <f t="shared" si="8"/>
        <v>-530083.09</v>
      </c>
      <c r="AT29" s="157">
        <f t="shared" si="9"/>
        <v>0</v>
      </c>
      <c r="AU29" s="98">
        <f>+'[39]Lead E'!G27</f>
        <v>-530083.1594999989</v>
      </c>
      <c r="AV29" s="98">
        <f t="shared" si="10"/>
        <v>-6.9499998935498297E-2</v>
      </c>
      <c r="AW29" s="280">
        <f t="shared" si="11"/>
        <v>15</v>
      </c>
      <c r="AX29" s="398" t="s">
        <v>95</v>
      </c>
      <c r="AY29" s="283"/>
      <c r="AZ29" s="401">
        <f>-AZ26-AZ27-AZ28</f>
        <v>-15779516.682359507</v>
      </c>
      <c r="BA29" s="401">
        <f>-BA26-BA27-BA28</f>
        <v>-26797923.371187303</v>
      </c>
      <c r="BB29" s="401">
        <f>-BB26-BB27-BB28</f>
        <v>-11018406.688827798</v>
      </c>
      <c r="BC29" s="401">
        <f>-BC26-BC27-BC28</f>
        <v>-26797923.371187303</v>
      </c>
      <c r="BD29" s="401">
        <f>-BD26-BD27-BD28</f>
        <v>0</v>
      </c>
      <c r="BM29" s="95">
        <v>16</v>
      </c>
      <c r="BN29" s="7" t="s">
        <v>95</v>
      </c>
      <c r="BO29" s="7"/>
      <c r="BP29" s="1028">
        <f t="shared" ref="BP29:BS29" si="20">-BP26-BP28</f>
        <v>0</v>
      </c>
      <c r="BQ29" s="1028">
        <f t="shared" si="20"/>
        <v>0</v>
      </c>
      <c r="BR29" s="1028">
        <f t="shared" si="20"/>
        <v>0</v>
      </c>
      <c r="BS29" s="1028">
        <f t="shared" si="20"/>
        <v>-292768.03540266951</v>
      </c>
      <c r="BT29" s="1028">
        <f>-BT26-BT28</f>
        <v>-292768.03540266951</v>
      </c>
      <c r="BU29" s="280">
        <f t="shared" si="13"/>
        <v>15</v>
      </c>
      <c r="BV29" s="7" t="s">
        <v>95</v>
      </c>
      <c r="BX29" s="54">
        <f t="shared" ref="BX29:CA29" si="21">-BX26-BX28</f>
        <v>0</v>
      </c>
      <c r="BY29" s="54">
        <f t="shared" si="21"/>
        <v>0</v>
      </c>
      <c r="BZ29" s="54">
        <f t="shared" si="21"/>
        <v>0</v>
      </c>
      <c r="CA29" s="54">
        <f t="shared" si="21"/>
        <v>-2441144.5204499997</v>
      </c>
      <c r="CB29" s="54">
        <f>-CB26-CB28</f>
        <v>-2441144.5204499997</v>
      </c>
      <c r="CC29" s="165">
        <f t="shared" si="0"/>
        <v>16</v>
      </c>
      <c r="CD29" s="287"/>
      <c r="CE29" s="287"/>
      <c r="CF29" s="287"/>
      <c r="CG29" s="287"/>
      <c r="CH29" s="287"/>
      <c r="CI29" s="287"/>
      <c r="CJ29" s="287"/>
    </row>
    <row r="30" spans="1:88" ht="15.75" thickTop="1">
      <c r="A30" s="16">
        <f t="shared" si="1"/>
        <v>16</v>
      </c>
      <c r="B30" s="111" t="s">
        <v>542</v>
      </c>
      <c r="C30" s="7"/>
      <c r="D30" s="121">
        <f>+'[7]Lead E'!D24</f>
        <v>0</v>
      </c>
      <c r="E30" s="121">
        <f>+'[7]Lead E'!E24</f>
        <v>4958988.8</v>
      </c>
      <c r="F30" s="121">
        <f>+E30-D30</f>
        <v>4958988.8</v>
      </c>
      <c r="G30" s="971">
        <f>'[7]Lead E'!$G$24</f>
        <v>3913458.436219302</v>
      </c>
      <c r="H30" s="253">
        <f>+G30-E30</f>
        <v>-1045530.3637806978</v>
      </c>
      <c r="I30" s="280"/>
      <c r="J30" s="1038" t="s">
        <v>822</v>
      </c>
      <c r="K30" s="1038"/>
      <c r="L30" s="1043">
        <f>-L29/'COC, Def, ConvF'!$M$20</f>
        <v>817604.08577530936</v>
      </c>
      <c r="M30" s="1043">
        <f>-M29/'COC, Def, ConvF'!$M$20</f>
        <v>775347.50986283668</v>
      </c>
      <c r="N30" s="1043">
        <f>-N29/'COC, Def, ConvF'!$M$20</f>
        <v>-42256.575912472668</v>
      </c>
      <c r="AG30" s="280"/>
      <c r="AO30" s="280">
        <f t="shared" si="7"/>
        <v>16</v>
      </c>
      <c r="AP30" s="97" t="s">
        <v>359</v>
      </c>
      <c r="AQ30" s="97"/>
      <c r="AR30" s="440">
        <f>+'[39]Lead E'!D28</f>
        <v>-5453015.8817438316</v>
      </c>
      <c r="AS30" s="157">
        <f t="shared" si="8"/>
        <v>-5453015.8817438316</v>
      </c>
      <c r="AT30" s="157">
        <f t="shared" si="9"/>
        <v>0</v>
      </c>
      <c r="AU30" s="98">
        <f>+'[39]Lead E'!G28</f>
        <v>-1559296.9123478986</v>
      </c>
      <c r="AV30" s="98">
        <f t="shared" si="10"/>
        <v>3893718.9693959327</v>
      </c>
      <c r="AW30" s="280">
        <f t="shared" si="11"/>
        <v>16</v>
      </c>
      <c r="AX30" s="282"/>
      <c r="BM30" s="98"/>
      <c r="BU30" s="280"/>
      <c r="CC30" s="165">
        <f t="shared" si="0"/>
        <v>17</v>
      </c>
      <c r="CD30" s="287"/>
      <c r="CE30" s="287"/>
      <c r="CF30" s="287"/>
      <c r="CG30" s="287"/>
      <c r="CH30" s="287"/>
      <c r="CI30" s="287"/>
      <c r="CJ30" s="287"/>
    </row>
    <row r="31" spans="1:88">
      <c r="A31" s="16">
        <f t="shared" si="1"/>
        <v>17</v>
      </c>
      <c r="B31" s="111" t="s">
        <v>537</v>
      </c>
      <c r="C31" s="7"/>
      <c r="D31" s="465">
        <f>SUM(D24:D30)</f>
        <v>807863553.20999873</v>
      </c>
      <c r="E31" s="465">
        <f>SUM(E24:E30)</f>
        <v>818050747.00878263</v>
      </c>
      <c r="F31" s="465">
        <f>SUM(F24:F30)</f>
        <v>10187193.798784032</v>
      </c>
      <c r="G31" s="465">
        <f>SUM(G24:G30)</f>
        <v>803157962.49530232</v>
      </c>
      <c r="H31" s="465">
        <f>SUM(H24:H30)</f>
        <v>-14892784.513480505</v>
      </c>
      <c r="I31" s="280"/>
      <c r="J31" s="1038" t="s">
        <v>805</v>
      </c>
      <c r="K31" s="1038"/>
      <c r="L31" s="1038"/>
      <c r="M31" s="1038"/>
      <c r="N31" s="1044">
        <f>N30-'Detailed Summary'!BE68</f>
        <v>-2.255546860396862E-10</v>
      </c>
      <c r="AG31" s="280"/>
      <c r="AO31" s="280">
        <f t="shared" si="7"/>
        <v>17</v>
      </c>
      <c r="AP31" s="97" t="s">
        <v>245</v>
      </c>
      <c r="AQ31" s="97"/>
      <c r="AR31" s="102">
        <f>SUM(AR16:AR30)</f>
        <v>172315554.79825622</v>
      </c>
      <c r="AS31" s="392">
        <f>SUM(AS16:AS30)</f>
        <v>172315554.79825622</v>
      </c>
      <c r="AT31" s="392">
        <f>SUM(AT16:AT30)</f>
        <v>0</v>
      </c>
      <c r="AU31" s="392">
        <f>SUM(AU16:AU30)</f>
        <v>148923662.89445901</v>
      </c>
      <c r="AV31" s="392">
        <f>SUM(AV16:AV30)</f>
        <v>-23391891.903797135</v>
      </c>
      <c r="AW31" s="280">
        <f t="shared" si="11"/>
        <v>17</v>
      </c>
      <c r="AX31" s="397" t="s">
        <v>74</v>
      </c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2"/>
      <c r="BQ31" s="102"/>
      <c r="BR31" s="102"/>
      <c r="BS31" s="102"/>
      <c r="BT31" s="102"/>
      <c r="BU31" s="280"/>
      <c r="BV31" s="102"/>
      <c r="BW31" s="102"/>
      <c r="BX31" s="102"/>
      <c r="BY31" s="102"/>
      <c r="BZ31" s="102"/>
      <c r="CA31" s="102"/>
      <c r="CB31" s="102"/>
      <c r="CC31" s="165">
        <f t="shared" si="0"/>
        <v>18</v>
      </c>
      <c r="CD31" s="287"/>
      <c r="CE31" s="287"/>
      <c r="CF31" s="287"/>
      <c r="CG31" s="287"/>
      <c r="CH31" s="287"/>
      <c r="CI31" s="287"/>
      <c r="CJ31" s="287"/>
    </row>
    <row r="32" spans="1:88">
      <c r="A32" s="16">
        <f t="shared" si="1"/>
        <v>18</v>
      </c>
      <c r="B32" s="70" t="s">
        <v>341</v>
      </c>
      <c r="C32" s="70"/>
      <c r="D32" s="70"/>
      <c r="E32" s="70"/>
      <c r="F32" s="70"/>
      <c r="G32" s="70"/>
      <c r="H32" s="253">
        <f>+G32-E32</f>
        <v>0</v>
      </c>
      <c r="I32" s="280"/>
      <c r="AG32" s="280"/>
      <c r="AO32" s="280">
        <f t="shared" si="7"/>
        <v>18</v>
      </c>
      <c r="AP32" s="100"/>
      <c r="AQ32" s="100"/>
      <c r="AR32" s="100"/>
      <c r="AS32" s="157">
        <f>+AR32</f>
        <v>0</v>
      </c>
      <c r="AU32" s="100"/>
      <c r="AV32" s="100"/>
      <c r="AW32" s="280">
        <f t="shared" si="11"/>
        <v>18</v>
      </c>
      <c r="AX32" s="398" t="s">
        <v>558</v>
      </c>
      <c r="AY32" s="102"/>
      <c r="AZ32" s="288">
        <f t="shared" ref="AZ32:BA34" si="22">-AZ26</f>
        <v>-23551517.436357476</v>
      </c>
      <c r="BA32" s="288">
        <f t="shared" si="22"/>
        <v>-39996900.554010905</v>
      </c>
      <c r="BB32" s="381">
        <f>BA32-AZ32</f>
        <v>-16445383.11765343</v>
      </c>
      <c r="BC32" s="288">
        <f>-BC26</f>
        <v>-39996900.554010905</v>
      </c>
      <c r="BD32" s="288">
        <f>-BD26</f>
        <v>0</v>
      </c>
      <c r="BF32" s="116"/>
      <c r="BG32" s="116"/>
      <c r="BH32" s="116"/>
      <c r="BI32" s="116"/>
      <c r="BJ32" s="116"/>
      <c r="BK32" s="116"/>
      <c r="BL32" s="116"/>
      <c r="BM32" s="116"/>
      <c r="BN32" s="703" t="s">
        <v>828</v>
      </c>
      <c r="BO32" s="703"/>
      <c r="BP32" s="704" t="s">
        <v>815</v>
      </c>
      <c r="BQ32" s="704" t="s">
        <v>745</v>
      </c>
      <c r="BR32" s="704" t="s">
        <v>796</v>
      </c>
      <c r="BS32" s="116"/>
      <c r="BT32" s="116"/>
      <c r="BU32" s="116"/>
      <c r="BV32" s="703" t="s">
        <v>828</v>
      </c>
      <c r="BW32" s="703"/>
      <c r="BX32" s="704" t="s">
        <v>815</v>
      </c>
      <c r="BY32" s="704" t="s">
        <v>745</v>
      </c>
      <c r="BZ32" s="704" t="s">
        <v>796</v>
      </c>
      <c r="CA32" s="116"/>
      <c r="CB32" s="116"/>
      <c r="CC32" s="165">
        <f t="shared" si="0"/>
        <v>19</v>
      </c>
      <c r="CD32" s="287"/>
      <c r="CE32" s="287"/>
      <c r="CF32" s="287"/>
      <c r="CG32" s="287"/>
      <c r="CH32" s="287"/>
      <c r="CI32" s="287"/>
      <c r="CJ32" s="287"/>
    </row>
    <row r="33" spans="1:88">
      <c r="A33" s="16">
        <f t="shared" si="1"/>
        <v>19</v>
      </c>
      <c r="B33" s="122" t="s">
        <v>543</v>
      </c>
      <c r="C33" s="70">
        <f>+'COC, Def, ConvF'!$L$14</f>
        <v>3.8733999999999998E-2</v>
      </c>
      <c r="D33" s="123">
        <f>-$C$33*D29</f>
        <v>278951.6142133</v>
      </c>
      <c r="E33" s="123">
        <f>-$C$33*E29</f>
        <v>278951.6142133</v>
      </c>
      <c r="F33" s="123">
        <f>-$C$33*F29</f>
        <v>0</v>
      </c>
      <c r="G33" s="123">
        <f>-$C$33*G29</f>
        <v>335702.99609741283</v>
      </c>
      <c r="H33" s="123">
        <f>-$C$33*H29</f>
        <v>56751.381884112845</v>
      </c>
      <c r="I33" s="280"/>
      <c r="AG33" s="280"/>
      <c r="AO33" s="280">
        <f t="shared" si="7"/>
        <v>19</v>
      </c>
      <c r="AP33" s="100"/>
      <c r="AQ33" s="100"/>
      <c r="AR33" s="100"/>
      <c r="AS33" s="157">
        <f>+AR33</f>
        <v>0</v>
      </c>
      <c r="AU33" s="100"/>
      <c r="AV33" s="100"/>
      <c r="AW33" s="280">
        <f t="shared" si="11"/>
        <v>19</v>
      </c>
      <c r="AX33" s="400" t="s">
        <v>559</v>
      </c>
      <c r="AY33" s="116"/>
      <c r="AZ33" s="314">
        <f t="shared" si="22"/>
        <v>4945818.6616350701</v>
      </c>
      <c r="BA33" s="314">
        <f t="shared" si="22"/>
        <v>8399349.1163422894</v>
      </c>
      <c r="BB33" s="314">
        <f>+BA33-AZ33</f>
        <v>3453530.4547072193</v>
      </c>
      <c r="BC33" s="314">
        <f>BA33</f>
        <v>8399349.1163422894</v>
      </c>
      <c r="BD33" s="314">
        <f>+BC33-BA33</f>
        <v>0</v>
      </c>
      <c r="BF33" s="116"/>
      <c r="BG33" s="116"/>
      <c r="BH33" s="116"/>
      <c r="BI33" s="116"/>
      <c r="BJ33" s="116"/>
      <c r="BK33" s="116"/>
      <c r="BL33" s="116"/>
      <c r="BM33" s="116"/>
      <c r="BN33" s="694" t="s">
        <v>754</v>
      </c>
      <c r="BO33" s="703"/>
      <c r="BP33" s="695">
        <f>BT26</f>
        <v>370592.44987679686</v>
      </c>
      <c r="BQ33" s="695">
        <v>0</v>
      </c>
      <c r="BR33" s="695">
        <f>BQ33-BP33</f>
        <v>-370592.44987679686</v>
      </c>
      <c r="BS33" s="116"/>
      <c r="BT33" s="116"/>
      <c r="BU33" s="116"/>
      <c r="BV33" s="694" t="s">
        <v>754</v>
      </c>
      <c r="BW33" s="703"/>
      <c r="BX33" s="695">
        <f>CB26</f>
        <v>3090056.355</v>
      </c>
      <c r="BY33" s="695">
        <f>CB23</f>
        <v>3090056.355</v>
      </c>
      <c r="BZ33" s="695">
        <f>BY33-BX33</f>
        <v>0</v>
      </c>
      <c r="CA33" s="116"/>
      <c r="CB33" s="116"/>
      <c r="CC33" s="165">
        <f>+CC30+1</f>
        <v>18</v>
      </c>
      <c r="CD33" s="287"/>
      <c r="CE33" s="287"/>
      <c r="CF33" s="287"/>
      <c r="CG33" s="287"/>
      <c r="CH33" s="287"/>
      <c r="CI33" s="287"/>
      <c r="CJ33" s="287"/>
    </row>
    <row r="34" spans="1:88">
      <c r="A34" s="16">
        <f t="shared" si="1"/>
        <v>20</v>
      </c>
      <c r="B34" s="111" t="s">
        <v>544</v>
      </c>
      <c r="C34" s="70"/>
      <c r="D34" s="466">
        <f>SUM(D31:D33)</f>
        <v>808142504.82421207</v>
      </c>
      <c r="E34" s="466">
        <f>SUM(E31:E33)</f>
        <v>818329698.62299597</v>
      </c>
      <c r="F34" s="466">
        <f>SUM(F31:F33)</f>
        <v>10187193.798784032</v>
      </c>
      <c r="G34" s="466">
        <f>SUM(G31:G33)</f>
        <v>803493665.49139977</v>
      </c>
      <c r="H34" s="466">
        <f>SUM(H31:H33)</f>
        <v>-14836033.131596392</v>
      </c>
      <c r="I34" s="280"/>
      <c r="AG34" s="280"/>
      <c r="AO34" s="280">
        <f t="shared" si="7"/>
        <v>20</v>
      </c>
      <c r="AP34" s="384" t="s">
        <v>115</v>
      </c>
      <c r="AQ34" s="384"/>
      <c r="AR34" s="98"/>
      <c r="AS34" s="157">
        <f>+AR34</f>
        <v>0</v>
      </c>
      <c r="AU34" s="98"/>
      <c r="AV34" s="98"/>
      <c r="AW34" s="280">
        <f t="shared" si="11"/>
        <v>20</v>
      </c>
      <c r="AX34" s="400" t="s">
        <v>576</v>
      </c>
      <c r="AY34" s="287"/>
      <c r="AZ34" s="314">
        <f t="shared" si="22"/>
        <v>2826182.0923628975</v>
      </c>
      <c r="BA34" s="314">
        <f t="shared" si="22"/>
        <v>4799628.0664813099</v>
      </c>
      <c r="BB34" s="314">
        <f>+BA34-AZ34</f>
        <v>1973445.9741184125</v>
      </c>
      <c r="BC34" s="314">
        <f>BA34</f>
        <v>4799628.0664813099</v>
      </c>
      <c r="BD34" s="314">
        <f>+BC34-BA34</f>
        <v>0</v>
      </c>
      <c r="BF34" s="98"/>
      <c r="BG34" s="98"/>
      <c r="BH34" s="98"/>
      <c r="BI34" s="98"/>
      <c r="BJ34" s="98"/>
      <c r="BK34" s="98"/>
      <c r="BL34" s="98"/>
      <c r="BM34" s="98"/>
      <c r="BN34" s="705" t="s">
        <v>85</v>
      </c>
      <c r="BO34" s="703"/>
      <c r="BP34" s="706">
        <f>-BP33*0.21</f>
        <v>-77824.414474127334</v>
      </c>
      <c r="BQ34" s="695">
        <v>0</v>
      </c>
      <c r="BR34" s="695">
        <f>BQ34-BP34</f>
        <v>77824.414474127334</v>
      </c>
      <c r="BS34" s="98"/>
      <c r="BT34" s="98"/>
      <c r="BU34" s="98"/>
      <c r="BV34" s="705" t="s">
        <v>85</v>
      </c>
      <c r="BW34" s="703"/>
      <c r="BX34" s="706">
        <f>-BX33*0.21</f>
        <v>-648911.83455000003</v>
      </c>
      <c r="BY34" s="695">
        <f>CB28</f>
        <v>-648911.83455000003</v>
      </c>
      <c r="BZ34" s="695">
        <f>BY34-BX34</f>
        <v>0</v>
      </c>
      <c r="CA34" s="98"/>
      <c r="CB34" s="98"/>
      <c r="CC34" s="165">
        <f>+CC33+1</f>
        <v>19</v>
      </c>
      <c r="CD34" s="287"/>
      <c r="CE34" s="287"/>
      <c r="CF34" s="287"/>
      <c r="CG34" s="287"/>
      <c r="CH34" s="287"/>
      <c r="CI34" s="287"/>
      <c r="CJ34" s="287"/>
    </row>
    <row r="35" spans="1:88" ht="15.75" thickBot="1">
      <c r="A35" s="16">
        <f t="shared" si="1"/>
        <v>21</v>
      </c>
      <c r="B35" s="122" t="s">
        <v>341</v>
      </c>
      <c r="C35" s="70"/>
      <c r="D35" s="12"/>
      <c r="E35" s="12"/>
      <c r="F35" s="12"/>
      <c r="G35" s="12"/>
      <c r="H35" s="12"/>
      <c r="I35" s="280"/>
      <c r="AG35" s="280"/>
      <c r="AO35" s="280">
        <f t="shared" si="7"/>
        <v>21</v>
      </c>
      <c r="AP35" s="97" t="s">
        <v>113</v>
      </c>
      <c r="AQ35" s="97"/>
      <c r="AR35" s="385" t="s">
        <v>246</v>
      </c>
      <c r="AS35" s="157"/>
      <c r="AT35" s="157"/>
      <c r="AU35" s="386"/>
      <c r="AV35" s="60"/>
      <c r="AW35" s="280">
        <f t="shared" si="11"/>
        <v>21</v>
      </c>
      <c r="AX35" s="398" t="s">
        <v>397</v>
      </c>
      <c r="AZ35" s="289">
        <f>SUM(AZ32:AZ34)</f>
        <v>-15779516.682359507</v>
      </c>
      <c r="BA35" s="289">
        <f>SUM(BA32:BA34)</f>
        <v>-26797923.371187303</v>
      </c>
      <c r="BB35" s="289">
        <f>SUM(BB32:BB34)</f>
        <v>-11018406.688827798</v>
      </c>
      <c r="BC35" s="289">
        <f>SUM(BC32:BC34)</f>
        <v>-26797923.371187303</v>
      </c>
      <c r="BD35" s="289">
        <f>SUM(BD32:BD34)</f>
        <v>0</v>
      </c>
      <c r="BF35" s="60"/>
      <c r="BG35" s="60"/>
      <c r="BH35" s="60"/>
      <c r="BI35" s="60"/>
      <c r="BJ35" s="60"/>
      <c r="BK35" s="60"/>
      <c r="BL35" s="60"/>
      <c r="BM35" s="60"/>
      <c r="BN35" s="705" t="s">
        <v>194</v>
      </c>
      <c r="BO35" s="703"/>
      <c r="BP35" s="706">
        <f>-BP33-BP34</f>
        <v>-292768.03540266951</v>
      </c>
      <c r="BQ35" s="695">
        <v>0</v>
      </c>
      <c r="BR35" s="695">
        <f>BQ35-BP35</f>
        <v>292768.03540266951</v>
      </c>
      <c r="BS35" s="60"/>
      <c r="BT35" s="60"/>
      <c r="BU35" s="60"/>
      <c r="BV35" s="705" t="s">
        <v>194</v>
      </c>
      <c r="BW35" s="703"/>
      <c r="BX35" s="706">
        <f>-BX33-BX34</f>
        <v>-2441144.5204499997</v>
      </c>
      <c r="BY35" s="706">
        <f>-BY33-BY34</f>
        <v>-2441144.5204499997</v>
      </c>
      <c r="BZ35" s="695">
        <f>BY35-BX35</f>
        <v>0</v>
      </c>
      <c r="CA35" s="60"/>
      <c r="CB35" s="60"/>
      <c r="CC35" s="287"/>
      <c r="CD35" s="287"/>
      <c r="CE35" s="287"/>
      <c r="CF35" s="287"/>
      <c r="CG35" s="287"/>
      <c r="CH35" s="287"/>
      <c r="CI35" s="287"/>
      <c r="CJ35" s="287"/>
    </row>
    <row r="36" spans="1:88" ht="15.75" thickTop="1">
      <c r="A36" s="16">
        <f t="shared" si="1"/>
        <v>22</v>
      </c>
      <c r="B36" s="70" t="s">
        <v>545</v>
      </c>
      <c r="C36" s="53">
        <v>0.21</v>
      </c>
      <c r="D36" s="12">
        <f>-D34*$C$36</f>
        <v>-169709926.01308453</v>
      </c>
      <c r="E36" s="12">
        <f>-E34*$C$36</f>
        <v>-171849236.71082914</v>
      </c>
      <c r="F36" s="12">
        <f>-F34*$C$36</f>
        <v>-2139310.6977446466</v>
      </c>
      <c r="G36" s="12">
        <f>-G34*$C$36</f>
        <v>-168733669.75319394</v>
      </c>
      <c r="H36" s="12">
        <f>-H34*$C$36</f>
        <v>3115566.957635242</v>
      </c>
      <c r="I36" s="280"/>
      <c r="AG36" s="280"/>
      <c r="AO36" s="280">
        <f t="shared" si="7"/>
        <v>22</v>
      </c>
      <c r="AP36" s="97" t="s">
        <v>114</v>
      </c>
      <c r="AQ36" s="97"/>
      <c r="AR36" s="385" t="s">
        <v>246</v>
      </c>
      <c r="AS36" s="157"/>
      <c r="AT36" s="157"/>
      <c r="AU36" s="386"/>
      <c r="AV36" s="60"/>
      <c r="AW36" s="280"/>
      <c r="AX36" s="98"/>
      <c r="AY36" s="98"/>
      <c r="BF36" s="60"/>
      <c r="BG36" s="60"/>
      <c r="BH36" s="60"/>
      <c r="BI36" s="60"/>
      <c r="BJ36" s="60"/>
      <c r="BK36" s="60"/>
      <c r="BL36" s="60"/>
      <c r="BM36" s="60"/>
      <c r="BN36" s="703" t="s">
        <v>822</v>
      </c>
      <c r="BO36" s="703"/>
      <c r="BP36" s="714">
        <f>-BP35/'COC, Def, ConvF'!$M$20</f>
        <v>389639.92355764855</v>
      </c>
      <c r="BQ36" s="695">
        <v>0</v>
      </c>
      <c r="BR36" s="695">
        <f>BQ36-BP36</f>
        <v>-389639.92355764855</v>
      </c>
      <c r="BS36" s="60"/>
      <c r="BT36" s="60"/>
      <c r="BU36" s="60"/>
      <c r="BV36" s="703" t="s">
        <v>822</v>
      </c>
      <c r="BW36" s="703"/>
      <c r="BX36" s="706">
        <f>-BX35/'COC, Def, ConvF'!$M$20</f>
        <v>3248877.09490924</v>
      </c>
      <c r="BY36" s="706">
        <f>-BY35/'COC, Def, ConvF'!$M$20</f>
        <v>3248877.09490924</v>
      </c>
      <c r="BZ36" s="695">
        <f>BY36-BX36</f>
        <v>0</v>
      </c>
      <c r="CA36" s="60"/>
      <c r="CB36" s="60"/>
      <c r="CC36" s="287"/>
      <c r="CD36" s="287"/>
      <c r="CE36" s="287"/>
      <c r="CF36" s="287"/>
      <c r="CG36" s="287"/>
      <c r="CH36" s="287"/>
      <c r="CI36" s="287"/>
      <c r="CJ36" s="287"/>
    </row>
    <row r="37" spans="1:88" ht="15.75" thickBot="1">
      <c r="A37" s="16">
        <f t="shared" si="1"/>
        <v>23</v>
      </c>
      <c r="B37" s="70" t="s">
        <v>546</v>
      </c>
      <c r="C37" s="70"/>
      <c r="D37" s="161">
        <f>-D34-D36</f>
        <v>-638432578.81112754</v>
      </c>
      <c r="E37" s="161">
        <f>-E34-E36</f>
        <v>-646480461.91216683</v>
      </c>
      <c r="F37" s="161">
        <f>-F34-F36</f>
        <v>-8047883.1010393854</v>
      </c>
      <c r="G37" s="161">
        <f>-G34-G36</f>
        <v>-634759995.73820579</v>
      </c>
      <c r="H37" s="161">
        <f>-H34-H36</f>
        <v>11720466.17396115</v>
      </c>
      <c r="I37" s="280"/>
      <c r="AG37" s="280"/>
      <c r="AO37" s="280">
        <f t="shared" si="7"/>
        <v>23</v>
      </c>
      <c r="AP37" s="97" t="s">
        <v>233</v>
      </c>
      <c r="AQ37" s="97"/>
      <c r="AR37" s="98">
        <f>+'[39]Lead E'!D35</f>
        <v>2885052</v>
      </c>
      <c r="AS37" s="157">
        <f>+AR37</f>
        <v>2885052</v>
      </c>
      <c r="AT37" s="157">
        <f>+AS37-AR37</f>
        <v>0</v>
      </c>
      <c r="AU37" s="98">
        <f>+'[39]Lead E'!G35</f>
        <v>2885052</v>
      </c>
      <c r="AV37" s="98">
        <f>+AU37-AS37</f>
        <v>0</v>
      </c>
      <c r="AW37" s="280"/>
      <c r="AX37" s="60"/>
      <c r="AY37" s="60"/>
      <c r="AZ37" s="60"/>
      <c r="BA37" s="60"/>
      <c r="BB37" s="60"/>
      <c r="BC37" s="60"/>
      <c r="BD37" s="60"/>
      <c r="BF37" s="98"/>
      <c r="BG37" s="98"/>
      <c r="BH37" s="98"/>
      <c r="BI37" s="98"/>
      <c r="BJ37" s="98"/>
      <c r="BK37" s="98"/>
      <c r="BL37" s="98"/>
      <c r="BM37" s="98"/>
      <c r="BN37" s="703"/>
      <c r="BO37" s="703"/>
      <c r="BP37" s="703"/>
      <c r="BQ37" s="695"/>
      <c r="BR37" s="695"/>
      <c r="BS37" s="98"/>
      <c r="BT37" s="98"/>
      <c r="BU37" s="98"/>
      <c r="BV37" s="703"/>
      <c r="BW37" s="703"/>
      <c r="BX37" s="703"/>
      <c r="BY37" s="695"/>
      <c r="BZ37" s="695"/>
      <c r="CA37" s="98"/>
      <c r="CB37" s="98"/>
      <c r="CC37" s="287"/>
      <c r="CD37" s="287"/>
      <c r="CE37" s="287"/>
      <c r="CF37" s="287"/>
      <c r="CG37" s="287"/>
      <c r="CH37" s="287"/>
      <c r="CI37" s="287"/>
      <c r="CJ37" s="287"/>
    </row>
    <row r="38" spans="1:88" ht="15.75" thickTop="1">
      <c r="A38" s="280"/>
      <c r="I38" s="280"/>
      <c r="AG38" s="280"/>
      <c r="AO38" s="280">
        <f t="shared" si="7"/>
        <v>24</v>
      </c>
      <c r="AP38" s="97" t="s">
        <v>234</v>
      </c>
      <c r="AQ38" s="97"/>
      <c r="AR38" s="385" t="s">
        <v>246</v>
      </c>
      <c r="AS38" s="157"/>
      <c r="AT38" s="157"/>
      <c r="AU38" s="60"/>
      <c r="AV38" s="60"/>
      <c r="AW38" s="280"/>
      <c r="AX38" s="60"/>
      <c r="AY38" s="60"/>
      <c r="AZ38" s="60"/>
      <c r="BA38" s="60"/>
      <c r="BB38" s="60"/>
      <c r="BC38" s="60"/>
      <c r="BD38" s="60"/>
      <c r="BF38" s="60"/>
      <c r="BG38" s="60"/>
      <c r="BH38" s="60"/>
      <c r="BI38" s="60"/>
      <c r="BJ38" s="60"/>
      <c r="BK38" s="60"/>
      <c r="BL38" s="60"/>
      <c r="BM38" s="60"/>
      <c r="BN38" s="703" t="s">
        <v>798</v>
      </c>
      <c r="BO38" s="703"/>
      <c r="BP38" s="707">
        <f>BT20</f>
        <v>11899759.55273651</v>
      </c>
      <c r="BQ38" s="708">
        <v>0</v>
      </c>
      <c r="BR38" s="695">
        <f>BQ38-BP38</f>
        <v>-11899759.55273651</v>
      </c>
      <c r="BS38" s="60"/>
      <c r="BT38" s="60"/>
      <c r="BU38" s="60"/>
      <c r="BV38" s="703" t="s">
        <v>798</v>
      </c>
      <c r="BW38" s="703"/>
      <c r="BX38" s="1053">
        <f>CB17+CB18</f>
        <v>4381542.8268333329</v>
      </c>
      <c r="BY38" s="708">
        <f>CB20</f>
        <v>4644660.6473233327</v>
      </c>
      <c r="BZ38" s="695">
        <f>BY38-BX38</f>
        <v>263117.82048999984</v>
      </c>
      <c r="CA38" s="60"/>
      <c r="CB38" s="60"/>
      <c r="CC38" s="287"/>
      <c r="CD38" s="287"/>
      <c r="CE38" s="287"/>
      <c r="CF38" s="287"/>
      <c r="CG38" s="287"/>
      <c r="CH38" s="287"/>
      <c r="CI38" s="287"/>
      <c r="CJ38" s="287"/>
    </row>
    <row r="39" spans="1:88">
      <c r="A39" s="620"/>
      <c r="B39" s="725"/>
      <c r="C39" s="654"/>
      <c r="D39" s="724"/>
      <c r="E39" s="724"/>
      <c r="F39" s="724"/>
      <c r="G39" s="724"/>
      <c r="I39" s="280"/>
      <c r="AG39" s="280"/>
      <c r="AO39" s="280">
        <f t="shared" si="7"/>
        <v>25</v>
      </c>
      <c r="AP39" s="97" t="s">
        <v>236</v>
      </c>
      <c r="AQ39" s="97"/>
      <c r="AR39" s="385" t="s">
        <v>246</v>
      </c>
      <c r="AS39" s="157"/>
      <c r="AT39" s="157"/>
      <c r="AU39" s="60"/>
      <c r="AV39" s="60"/>
      <c r="AW39" s="280"/>
      <c r="AX39" s="98"/>
      <c r="AY39" s="98"/>
      <c r="AZ39" s="98"/>
      <c r="BA39" s="98"/>
      <c r="BB39" s="98"/>
      <c r="BC39" s="98"/>
      <c r="BD39" s="98"/>
      <c r="BF39" s="60"/>
      <c r="BG39" s="60"/>
      <c r="BH39" s="60"/>
      <c r="BI39" s="60"/>
      <c r="BJ39" s="60"/>
      <c r="BK39" s="60"/>
      <c r="BL39" s="60"/>
      <c r="BM39" s="60"/>
      <c r="BN39" s="703" t="s">
        <v>806</v>
      </c>
      <c r="BO39" s="703"/>
      <c r="BP39" s="709">
        <v>7.6200000000000004E-2</v>
      </c>
      <c r="BQ39" s="708">
        <v>0</v>
      </c>
      <c r="BR39" s="695"/>
      <c r="BS39" s="60"/>
      <c r="BT39" s="60"/>
      <c r="BU39" s="60"/>
      <c r="BV39" s="703" t="s">
        <v>806</v>
      </c>
      <c r="BW39" s="703"/>
      <c r="BX39" s="709">
        <v>7.6200000000000004E-2</v>
      </c>
      <c r="BY39" s="712">
        <f>'COC, Def, ConvF'!H14</f>
        <v>7.3300000000000004E-2</v>
      </c>
      <c r="BZ39" s="695"/>
      <c r="CA39" s="60"/>
      <c r="CB39" s="60"/>
      <c r="CC39" s="287"/>
      <c r="CD39" s="287"/>
      <c r="CE39" s="287"/>
      <c r="CF39" s="287"/>
      <c r="CG39" s="287"/>
      <c r="CH39" s="287"/>
      <c r="CI39" s="287"/>
      <c r="CJ39" s="287"/>
    </row>
    <row r="40" spans="1:88">
      <c r="A40" s="620"/>
      <c r="B40" s="620"/>
      <c r="C40" s="654"/>
      <c r="D40" s="715"/>
      <c r="E40" s="723"/>
      <c r="F40" s="723"/>
      <c r="G40" s="723"/>
      <c r="H40" s="260"/>
      <c r="I40" s="280"/>
      <c r="AG40" s="280"/>
      <c r="AO40" s="280">
        <f t="shared" si="7"/>
        <v>26</v>
      </c>
      <c r="AP40" s="97" t="s">
        <v>237</v>
      </c>
      <c r="AQ40" s="97"/>
      <c r="AR40" s="385" t="s">
        <v>246</v>
      </c>
      <c r="AS40" s="157"/>
      <c r="AT40" s="157"/>
      <c r="AU40" s="60"/>
      <c r="AV40" s="60"/>
      <c r="AW40" s="280"/>
      <c r="AX40" s="60"/>
      <c r="AY40" s="60"/>
      <c r="AZ40" s="60"/>
      <c r="BA40" s="60"/>
      <c r="BB40" s="60"/>
      <c r="BC40" s="60"/>
      <c r="BD40" s="60"/>
      <c r="BF40" s="60"/>
      <c r="BG40" s="60"/>
      <c r="BH40" s="60"/>
      <c r="BI40" s="60"/>
      <c r="BJ40" s="60"/>
      <c r="BK40" s="60"/>
      <c r="BL40" s="60"/>
      <c r="BM40" s="60"/>
      <c r="BN40" s="703" t="s">
        <v>816</v>
      </c>
      <c r="BO40" s="703"/>
      <c r="BP40" s="710">
        <f>BP38*BP39</f>
        <v>906761.67791852204</v>
      </c>
      <c r="BQ40" s="708">
        <f>BQ38*BQ39</f>
        <v>0</v>
      </c>
      <c r="BR40" s="695">
        <f>BQ40-BP40</f>
        <v>-906761.67791852204</v>
      </c>
      <c r="BS40" s="60"/>
      <c r="BT40" s="60"/>
      <c r="BU40" s="60"/>
      <c r="BV40" s="703" t="s">
        <v>816</v>
      </c>
      <c r="BW40" s="703"/>
      <c r="BX40" s="710">
        <f>BX38*BX39</f>
        <v>333873.56340469996</v>
      </c>
      <c r="BY40" s="708">
        <f>BY38*BY39</f>
        <v>340453.62544880033</v>
      </c>
      <c r="BZ40" s="695">
        <f>BY40-BX40</f>
        <v>6580.0620441003703</v>
      </c>
      <c r="CA40" s="60"/>
      <c r="CB40" s="60"/>
    </row>
    <row r="41" spans="1:88">
      <c r="A41" s="620"/>
      <c r="B41" s="620"/>
      <c r="C41" s="654"/>
      <c r="D41" s="715"/>
      <c r="E41" s="723"/>
      <c r="F41" s="723"/>
      <c r="G41" s="723"/>
      <c r="H41" s="260"/>
      <c r="I41" s="280"/>
      <c r="AG41" s="280"/>
      <c r="AO41" s="280">
        <f t="shared" si="7"/>
        <v>27</v>
      </c>
      <c r="AP41" s="97" t="s">
        <v>238</v>
      </c>
      <c r="AQ41" s="97"/>
      <c r="AR41" s="98">
        <f>+'[39]Lead E'!D39</f>
        <v>687420</v>
      </c>
      <c r="AS41" s="157">
        <f t="shared" ref="AS41:AS48" si="23">+AR41</f>
        <v>687420</v>
      </c>
      <c r="AT41" s="157">
        <f t="shared" ref="AT41:AT48" si="24">+AS41-AR41</f>
        <v>0</v>
      </c>
      <c r="AU41" s="98">
        <f>+'[39]Lead E'!G39</f>
        <v>687420</v>
      </c>
      <c r="AV41" s="98">
        <f t="shared" ref="AV41:AV48" si="25">+AU41-AS41</f>
        <v>0</v>
      </c>
      <c r="AW41" s="280"/>
      <c r="AX41" s="60"/>
      <c r="AY41" s="60"/>
      <c r="AZ41" s="60"/>
      <c r="BA41" s="60"/>
      <c r="BB41" s="60"/>
      <c r="BC41" s="60"/>
      <c r="BD41" s="60"/>
      <c r="BF41" s="98"/>
      <c r="BG41" s="98"/>
      <c r="BH41" s="98"/>
      <c r="BI41" s="98"/>
      <c r="BJ41" s="98"/>
      <c r="BK41" s="98"/>
      <c r="BL41" s="98"/>
      <c r="BM41" s="98"/>
      <c r="BN41" s="703" t="s">
        <v>829</v>
      </c>
      <c r="BO41" s="703"/>
      <c r="BP41" s="711">
        <f>BP40/'COC, Def, ConvF'!$M$20</f>
        <v>1206793.461530864</v>
      </c>
      <c r="BQ41" s="708">
        <v>0</v>
      </c>
      <c r="BR41" s="695">
        <f>BQ41-BP41</f>
        <v>-1206793.461530864</v>
      </c>
      <c r="BS41" s="98"/>
      <c r="BT41" s="98"/>
      <c r="BU41" s="98"/>
      <c r="BV41" s="703" t="s">
        <v>829</v>
      </c>
      <c r="BW41" s="703"/>
      <c r="BX41" s="714">
        <f>BX40/'COC, Def, ConvF'!$M$20</f>
        <v>444346.56107181305</v>
      </c>
      <c r="BY41" s="714">
        <f>BY40/'COC, Def, ConvF'!$M$20</f>
        <v>453103.85203884629</v>
      </c>
      <c r="BZ41" s="695">
        <f>BY41-BX41</f>
        <v>8757.2909670332447</v>
      </c>
      <c r="CA41" s="98"/>
      <c r="CB41" s="98"/>
    </row>
    <row r="42" spans="1:88">
      <c r="A42" s="620"/>
      <c r="B42" s="620"/>
      <c r="C42" s="650"/>
      <c r="D42" s="653"/>
      <c r="E42" s="723"/>
      <c r="F42" s="723"/>
      <c r="G42" s="723"/>
      <c r="I42" s="280"/>
      <c r="AG42" s="280"/>
      <c r="AO42" s="280">
        <f t="shared" si="7"/>
        <v>28</v>
      </c>
      <c r="AP42" s="97" t="s">
        <v>239</v>
      </c>
      <c r="AQ42" s="97"/>
      <c r="AR42" s="98">
        <f>+'[39]Lead E'!D40</f>
        <v>561126.34087998548</v>
      </c>
      <c r="AS42" s="157">
        <f t="shared" si="23"/>
        <v>561126.34087998548</v>
      </c>
      <c r="AT42" s="157">
        <f t="shared" si="24"/>
        <v>0</v>
      </c>
      <c r="AU42" s="98">
        <f>+'[39]Lead E'!G40</f>
        <v>0</v>
      </c>
      <c r="AV42" s="98">
        <f t="shared" si="25"/>
        <v>-561126.34087998548</v>
      </c>
      <c r="AW42" s="280"/>
      <c r="AX42" s="60"/>
      <c r="AY42" s="60"/>
      <c r="AZ42" s="60"/>
      <c r="BA42" s="60"/>
      <c r="BB42" s="60"/>
      <c r="BC42" s="60"/>
      <c r="BD42" s="60"/>
      <c r="BF42" s="98"/>
      <c r="BG42" s="98"/>
      <c r="BH42" s="98"/>
      <c r="BI42" s="98"/>
      <c r="BJ42" s="98"/>
      <c r="BK42" s="98"/>
      <c r="BL42" s="98"/>
      <c r="BM42" s="98"/>
      <c r="BN42" s="703"/>
      <c r="BO42" s="703"/>
      <c r="BP42" s="703"/>
      <c r="BQ42" s="695"/>
      <c r="BR42" s="695"/>
      <c r="BS42" s="98"/>
      <c r="BT42" s="98"/>
      <c r="BU42" s="98"/>
      <c r="BV42" s="703"/>
      <c r="BW42" s="703"/>
      <c r="BX42" s="703"/>
      <c r="BY42" s="695"/>
      <c r="BZ42" s="695"/>
      <c r="CA42" s="98"/>
      <c r="CB42" s="98"/>
    </row>
    <row r="43" spans="1:88">
      <c r="A43" s="619"/>
      <c r="B43" s="619"/>
      <c r="C43" s="881"/>
      <c r="D43" s="882"/>
      <c r="E43" s="883"/>
      <c r="F43" s="883"/>
      <c r="G43" s="883"/>
      <c r="AG43" s="280"/>
      <c r="AO43" s="280">
        <f t="shared" si="7"/>
        <v>29</v>
      </c>
      <c r="AP43" s="97" t="s">
        <v>240</v>
      </c>
      <c r="AQ43" s="97"/>
      <c r="AR43" s="98">
        <f>+'[39]Lead E'!D41</f>
        <v>2203436.1529896799</v>
      </c>
      <c r="AS43" s="157">
        <f t="shared" si="23"/>
        <v>2203436.1529896799</v>
      </c>
      <c r="AT43" s="157">
        <f t="shared" si="24"/>
        <v>0</v>
      </c>
      <c r="AU43" s="98">
        <f>+'[39]Lead E'!G41</f>
        <v>0</v>
      </c>
      <c r="AV43" s="98">
        <f t="shared" si="25"/>
        <v>-2203436.1529896799</v>
      </c>
      <c r="AW43" s="280"/>
      <c r="AX43" s="98"/>
      <c r="AY43" s="98"/>
      <c r="AZ43" s="98"/>
      <c r="BA43" s="98"/>
      <c r="BB43" s="98"/>
      <c r="BC43" s="98"/>
      <c r="BD43" s="98"/>
      <c r="BF43" s="98"/>
      <c r="BG43" s="98"/>
      <c r="BH43" s="98"/>
      <c r="BI43" s="98"/>
      <c r="BJ43" s="98"/>
      <c r="BK43" s="98"/>
      <c r="BL43" s="98"/>
      <c r="BM43" s="98"/>
      <c r="BN43" s="703" t="s">
        <v>823</v>
      </c>
      <c r="BO43" s="703"/>
      <c r="BP43" s="706">
        <f>BP36+BP41</f>
        <v>1596433.3850885127</v>
      </c>
      <c r="BQ43" s="706">
        <f>BQ36+BQ41</f>
        <v>0</v>
      </c>
      <c r="BR43" s="706">
        <f>BR36+BR41</f>
        <v>-1596433.3850885127</v>
      </c>
      <c r="BS43" s="98"/>
      <c r="BT43" s="98"/>
      <c r="BU43" s="98"/>
      <c r="BV43" s="703" t="s">
        <v>823</v>
      </c>
      <c r="BW43" s="703"/>
      <c r="BX43" s="706">
        <f>BX36+BX41</f>
        <v>3693223.6559810531</v>
      </c>
      <c r="BY43" s="706">
        <f>BY36+BY41</f>
        <v>3701980.9469480864</v>
      </c>
      <c r="BZ43" s="706">
        <f>BZ36+BZ41</f>
        <v>8757.2909670332447</v>
      </c>
      <c r="CA43" s="98"/>
      <c r="CB43" s="98"/>
    </row>
    <row r="44" spans="1:88">
      <c r="A44" s="619"/>
      <c r="B44" s="619"/>
      <c r="C44" s="881"/>
      <c r="D44" s="882"/>
      <c r="E44" s="883"/>
      <c r="F44" s="883"/>
      <c r="G44" s="883"/>
      <c r="AG44" s="280"/>
      <c r="AO44" s="280">
        <f>AO43+1</f>
        <v>30</v>
      </c>
      <c r="AP44" s="97" t="s">
        <v>241</v>
      </c>
      <c r="AQ44" s="97"/>
      <c r="AR44" s="98">
        <f>+'[39]Lead E'!D42</f>
        <v>4520422.508572978</v>
      </c>
      <c r="AS44" s="157">
        <f t="shared" si="23"/>
        <v>4520422.508572978</v>
      </c>
      <c r="AT44" s="157">
        <f t="shared" si="24"/>
        <v>0</v>
      </c>
      <c r="AU44" s="98">
        <f>+'[39]Lead E'!G42</f>
        <v>0</v>
      </c>
      <c r="AV44" s="98">
        <f t="shared" si="25"/>
        <v>-4520422.508572978</v>
      </c>
      <c r="AW44" s="280"/>
      <c r="AX44" s="98"/>
      <c r="AY44" s="98"/>
      <c r="AZ44" s="98"/>
      <c r="BA44" s="98"/>
      <c r="BB44" s="98"/>
      <c r="BC44" s="98"/>
      <c r="BD44" s="98"/>
      <c r="BF44" s="98"/>
      <c r="BG44" s="98"/>
      <c r="BH44" s="98"/>
      <c r="BI44" s="98"/>
      <c r="BJ44" s="98"/>
      <c r="BK44" s="98"/>
      <c r="BL44" s="98"/>
      <c r="BM44" s="98"/>
      <c r="BN44" s="703"/>
      <c r="BO44" s="703"/>
      <c r="BP44" s="706"/>
      <c r="BQ44" s="706"/>
      <c r="BR44" s="706"/>
      <c r="BS44" s="98"/>
      <c r="BT44" s="98"/>
      <c r="BU44" s="98"/>
      <c r="BV44" s="703"/>
      <c r="BW44" s="703"/>
      <c r="BX44" s="706"/>
      <c r="BY44" s="706"/>
      <c r="BZ44" s="706"/>
      <c r="CA44" s="98"/>
      <c r="CB44" s="98"/>
    </row>
    <row r="45" spans="1:88">
      <c r="A45" s="718"/>
      <c r="B45" s="718"/>
      <c r="C45" s="721"/>
      <c r="D45" s="719"/>
      <c r="E45" s="726"/>
      <c r="F45" s="726"/>
      <c r="G45" s="726"/>
      <c r="AG45" s="280"/>
      <c r="AO45" s="280">
        <f>AO44+1</f>
        <v>31</v>
      </c>
      <c r="AP45" s="97" t="s">
        <v>242</v>
      </c>
      <c r="AQ45" s="97"/>
      <c r="AR45" s="98">
        <f>+'[39]Lead E'!D43</f>
        <v>-400029</v>
      </c>
      <c r="AS45" s="157">
        <f t="shared" si="23"/>
        <v>-400029</v>
      </c>
      <c r="AT45" s="157">
        <f t="shared" si="24"/>
        <v>0</v>
      </c>
      <c r="AU45" s="98">
        <f>+'[39]Lead E'!G43</f>
        <v>0</v>
      </c>
      <c r="AV45" s="98">
        <f t="shared" si="25"/>
        <v>400029</v>
      </c>
      <c r="AW45" s="280"/>
      <c r="AX45" s="98"/>
      <c r="AY45" s="98"/>
      <c r="AZ45" s="98"/>
      <c r="BA45" s="98"/>
      <c r="BB45" s="98"/>
      <c r="BC45" s="98"/>
      <c r="BD45" s="98"/>
      <c r="BF45" s="98"/>
      <c r="BG45" s="98"/>
      <c r="BH45" s="98"/>
      <c r="BI45" s="98"/>
      <c r="BJ45" s="98"/>
      <c r="BK45" s="98"/>
      <c r="BL45" s="98"/>
      <c r="BM45" s="98"/>
      <c r="BN45" s="703"/>
      <c r="BO45" s="703"/>
      <c r="BP45" s="706"/>
      <c r="BQ45" s="706"/>
      <c r="BR45" s="706"/>
      <c r="BS45" s="98"/>
      <c r="BT45" s="98"/>
      <c r="BU45" s="98"/>
      <c r="BV45" s="703"/>
      <c r="BW45" s="703"/>
      <c r="BX45" s="706"/>
      <c r="BY45" s="706"/>
      <c r="BZ45" s="706"/>
      <c r="CA45" s="98"/>
      <c r="CB45" s="98"/>
    </row>
    <row r="46" spans="1:88">
      <c r="A46" s="620"/>
      <c r="B46" s="620"/>
      <c r="C46" s="650"/>
      <c r="D46" s="716"/>
      <c r="E46" s="716"/>
      <c r="F46" s="716"/>
      <c r="G46" s="716"/>
      <c r="AG46" s="280"/>
      <c r="AO46" s="280">
        <f t="shared" si="7"/>
        <v>32</v>
      </c>
      <c r="AP46" s="97" t="s">
        <v>243</v>
      </c>
      <c r="AQ46" s="97"/>
      <c r="AR46" s="98">
        <f>+'[39]Lead E'!D44</f>
        <v>-1381856</v>
      </c>
      <c r="AS46" s="157">
        <f t="shared" si="23"/>
        <v>-1381856</v>
      </c>
      <c r="AT46" s="157">
        <f t="shared" si="24"/>
        <v>0</v>
      </c>
      <c r="AU46" s="98">
        <f>+'[39]Lead E'!G44</f>
        <v>0</v>
      </c>
      <c r="AV46" s="98">
        <f t="shared" si="25"/>
        <v>1381856</v>
      </c>
      <c r="AW46" s="280"/>
      <c r="AX46" s="98"/>
      <c r="AY46" s="98"/>
      <c r="AZ46" s="98"/>
      <c r="BA46" s="98"/>
      <c r="BB46" s="98"/>
      <c r="BC46" s="98"/>
      <c r="BD46" s="98"/>
      <c r="BF46" s="98"/>
      <c r="BG46" s="98"/>
      <c r="BH46" s="98"/>
      <c r="BI46" s="98"/>
      <c r="BJ46" s="98"/>
      <c r="BK46" s="98"/>
      <c r="BL46" s="98"/>
      <c r="BM46" s="98"/>
      <c r="BN46" s="703"/>
      <c r="BO46" s="703"/>
      <c r="BP46" s="706"/>
      <c r="BQ46" s="706"/>
      <c r="BR46" s="706"/>
      <c r="BS46" s="98"/>
      <c r="BT46" s="98"/>
      <c r="BU46" s="98"/>
      <c r="BV46" s="703"/>
      <c r="BW46" s="703"/>
      <c r="BX46" s="706"/>
      <c r="BY46" s="706"/>
      <c r="BZ46" s="706"/>
      <c r="CA46" s="98"/>
      <c r="CB46" s="98"/>
    </row>
    <row r="47" spans="1:88">
      <c r="A47" s="620"/>
      <c r="B47" s="717"/>
      <c r="C47" s="650"/>
      <c r="D47" s="653"/>
      <c r="E47" s="650"/>
      <c r="F47" s="650"/>
      <c r="G47" s="722"/>
      <c r="AG47" s="280"/>
      <c r="AO47" s="280">
        <f t="shared" si="7"/>
        <v>33</v>
      </c>
      <c r="AP47" s="97" t="s">
        <v>496</v>
      </c>
      <c r="AQ47" s="97"/>
      <c r="AR47" s="98">
        <f>+'[39]Lead E'!D45</f>
        <v>6689176.5497812955</v>
      </c>
      <c r="AS47" s="157">
        <f t="shared" si="23"/>
        <v>6689176.5497812955</v>
      </c>
      <c r="AT47" s="157">
        <f t="shared" si="24"/>
        <v>0</v>
      </c>
      <c r="AU47" s="98">
        <f>+'[39]Lead E'!G45</f>
        <v>4459451.03318753</v>
      </c>
      <c r="AV47" s="98">
        <f t="shared" si="25"/>
        <v>-2229725.5165937655</v>
      </c>
      <c r="AW47" s="280"/>
      <c r="AX47" s="98"/>
      <c r="AY47" s="98"/>
      <c r="AZ47" s="98"/>
      <c r="BA47" s="98"/>
      <c r="BB47" s="98"/>
      <c r="BC47" s="98"/>
      <c r="BD47" s="98"/>
      <c r="BF47" s="98"/>
      <c r="BG47" s="98"/>
      <c r="BH47" s="98"/>
      <c r="BI47" s="98"/>
      <c r="BJ47" s="98"/>
      <c r="BK47" s="98"/>
      <c r="BL47" s="98"/>
      <c r="BM47" s="98"/>
      <c r="BN47" s="703" t="s">
        <v>805</v>
      </c>
      <c r="BO47" s="703"/>
      <c r="BP47" s="706"/>
      <c r="BQ47" s="695"/>
      <c r="BR47" s="695">
        <f>BR43-'Detailed Summary'!BI68</f>
        <v>0</v>
      </c>
      <c r="BS47" s="98"/>
      <c r="BT47" s="98"/>
      <c r="BU47" s="98"/>
      <c r="BV47" s="703" t="s">
        <v>805</v>
      </c>
      <c r="BW47" s="703"/>
      <c r="BX47" s="706"/>
      <c r="BY47" s="695"/>
      <c r="BZ47" s="695">
        <f>BZ43-'Detailed Summary'!BJ68</f>
        <v>0</v>
      </c>
      <c r="CA47" s="98"/>
      <c r="CB47" s="98"/>
    </row>
    <row r="48" spans="1:88">
      <c r="A48" s="620"/>
      <c r="B48" s="725"/>
      <c r="C48" s="650"/>
      <c r="D48" s="653"/>
      <c r="E48" s="650"/>
      <c r="F48" s="650"/>
      <c r="G48" s="650"/>
      <c r="AG48" s="280"/>
      <c r="AO48" s="280">
        <f t="shared" ref="AO48:AO63" si="26">AO47+1</f>
        <v>34</v>
      </c>
      <c r="AP48" s="97" t="s">
        <v>495</v>
      </c>
      <c r="AQ48" s="97"/>
      <c r="AR48" s="98">
        <f>+'[39]Lead E'!D46</f>
        <v>3786308</v>
      </c>
      <c r="AS48" s="157">
        <f t="shared" si="23"/>
        <v>3786308</v>
      </c>
      <c r="AT48" s="157">
        <f t="shared" si="24"/>
        <v>0</v>
      </c>
      <c r="AU48" s="98">
        <f>+'[39]Lead E'!G46</f>
        <v>0</v>
      </c>
      <c r="AV48" s="98">
        <f t="shared" si="25"/>
        <v>-3786308</v>
      </c>
      <c r="AW48" s="280"/>
      <c r="AX48" s="98"/>
      <c r="AY48" s="98"/>
      <c r="AZ48" s="98"/>
      <c r="BA48" s="98"/>
      <c r="BB48" s="98"/>
      <c r="BC48" s="98"/>
      <c r="BD48" s="98"/>
      <c r="BF48" s="98"/>
      <c r="BG48" s="98"/>
      <c r="BH48" s="98"/>
      <c r="BI48" s="98"/>
      <c r="BJ48" s="98"/>
      <c r="BK48" s="98"/>
      <c r="BL48" s="98"/>
      <c r="BM48" s="98"/>
      <c r="BN48" s="98"/>
      <c r="BO48" s="98"/>
      <c r="BP48" s="98"/>
      <c r="BQ48" s="98"/>
      <c r="BR48" s="98"/>
      <c r="BS48" s="98"/>
      <c r="BT48" s="98"/>
      <c r="BU48" s="98"/>
      <c r="BV48" s="98"/>
      <c r="BW48" s="98"/>
      <c r="BX48" s="98"/>
      <c r="BY48" s="98"/>
      <c r="BZ48" s="98"/>
      <c r="CA48" s="98"/>
      <c r="CB48" s="98"/>
    </row>
    <row r="49" spans="1:80">
      <c r="A49" s="720"/>
      <c r="B49" s="654"/>
      <c r="C49" s="650"/>
      <c r="D49" s="728"/>
      <c r="E49" s="651"/>
      <c r="F49" s="651"/>
      <c r="G49" s="651"/>
      <c r="H49" s="729"/>
      <c r="AG49" s="280"/>
      <c r="AO49" s="280">
        <f t="shared" si="26"/>
        <v>35</v>
      </c>
      <c r="AP49" s="154" t="s">
        <v>247</v>
      </c>
      <c r="AQ49" s="154"/>
      <c r="AR49" s="467">
        <f>SUM(AR35:AR48)</f>
        <v>19551056.552223939</v>
      </c>
      <c r="AS49" s="467">
        <f>SUM(AS35:AS48)</f>
        <v>19551056.552223939</v>
      </c>
      <c r="AT49" s="467">
        <f>SUM(AT35:AT48)</f>
        <v>0</v>
      </c>
      <c r="AU49" s="467">
        <f>SUM(AU35:AU48)</f>
        <v>8031923.03318753</v>
      </c>
      <c r="AV49" s="467">
        <f>SUM(AV35:AV48)</f>
        <v>-11519133.519036409</v>
      </c>
      <c r="AW49" s="280"/>
      <c r="AX49" s="98"/>
      <c r="AY49" s="98"/>
      <c r="AZ49" s="98"/>
      <c r="BA49" s="98"/>
      <c r="BB49" s="98"/>
      <c r="BC49" s="98"/>
      <c r="BD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8"/>
      <c r="BQ49" s="98"/>
      <c r="BR49" s="98"/>
      <c r="BS49" s="98"/>
      <c r="BT49" s="98"/>
      <c r="BU49" s="98"/>
      <c r="BV49" s="98"/>
      <c r="BW49" s="98"/>
      <c r="BX49" s="98"/>
      <c r="BY49" s="98"/>
      <c r="BZ49" s="98"/>
      <c r="CA49" s="98"/>
      <c r="CB49" s="98"/>
    </row>
    <row r="50" spans="1:80">
      <c r="B50" s="720"/>
      <c r="C50" s="650"/>
      <c r="D50" s="727"/>
      <c r="E50" s="653"/>
      <c r="F50" s="653"/>
      <c r="G50" s="653"/>
      <c r="H50" s="715"/>
      <c r="AG50" s="280"/>
      <c r="AO50" s="280">
        <f t="shared" si="26"/>
        <v>36</v>
      </c>
      <c r="AP50" s="100"/>
      <c r="AQ50" s="100"/>
      <c r="AR50" s="100"/>
      <c r="AU50" s="100"/>
      <c r="AV50" s="100"/>
      <c r="AW50" s="280"/>
      <c r="AX50" s="98"/>
      <c r="AY50" s="98"/>
      <c r="AZ50" s="98"/>
      <c r="BA50" s="98"/>
      <c r="BB50" s="98"/>
      <c r="BC50" s="98"/>
      <c r="BD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8"/>
      <c r="BR50" s="98"/>
      <c r="BS50" s="98"/>
      <c r="BT50" s="98"/>
      <c r="BU50" s="98"/>
      <c r="BV50" s="98"/>
      <c r="BW50" s="98"/>
      <c r="BX50" s="98"/>
      <c r="BY50" s="98"/>
      <c r="BZ50" s="98"/>
      <c r="CA50" s="98"/>
      <c r="CB50" s="98"/>
    </row>
    <row r="51" spans="1:80">
      <c r="AG51" s="280"/>
      <c r="AO51" s="280">
        <f t="shared" si="26"/>
        <v>37</v>
      </c>
      <c r="AP51" s="154" t="s">
        <v>248</v>
      </c>
      <c r="AQ51" s="154"/>
      <c r="AR51" s="100"/>
      <c r="AU51" s="387"/>
      <c r="AV51" s="61">
        <f>AV49</f>
        <v>-11519133.519036409</v>
      </c>
      <c r="AW51" s="280"/>
      <c r="AX51" s="98"/>
      <c r="AY51" s="98"/>
      <c r="AZ51" s="98"/>
      <c r="BA51" s="98"/>
      <c r="BB51" s="98"/>
      <c r="BC51" s="98"/>
      <c r="BD51" s="98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</row>
    <row r="52" spans="1:80">
      <c r="B52" s="725"/>
      <c r="D52" s="728"/>
      <c r="E52" s="722"/>
      <c r="F52" s="722"/>
      <c r="G52" s="722"/>
      <c r="H52" s="722"/>
      <c r="AG52" s="280"/>
      <c r="AO52" s="280">
        <f t="shared" si="26"/>
        <v>38</v>
      </c>
      <c r="AP52" s="154"/>
      <c r="AQ52" s="154"/>
      <c r="AR52" s="100"/>
      <c r="AU52" s="387"/>
      <c r="AV52" s="62"/>
      <c r="AW52" s="280"/>
      <c r="AX52" s="98"/>
      <c r="AY52" s="98"/>
      <c r="AZ52" s="98"/>
      <c r="BA52" s="98"/>
      <c r="BB52" s="98"/>
      <c r="BC52" s="98"/>
      <c r="BD52" s="98"/>
      <c r="BF52" s="100"/>
      <c r="BG52" s="100"/>
      <c r="BH52" s="100"/>
      <c r="BI52" s="100"/>
      <c r="BJ52" s="100"/>
      <c r="BK52" s="100"/>
      <c r="BL52" s="100"/>
      <c r="BM52" s="100"/>
      <c r="BN52" s="100"/>
      <c r="BO52" s="100"/>
      <c r="BP52" s="100"/>
      <c r="BQ52" s="100"/>
      <c r="BR52" s="100"/>
      <c r="BS52" s="100"/>
      <c r="BT52" s="100"/>
      <c r="BU52" s="100"/>
      <c r="BV52" s="100"/>
      <c r="BW52" s="100"/>
      <c r="BX52" s="100"/>
      <c r="BY52" s="100"/>
      <c r="BZ52" s="100"/>
      <c r="CA52" s="100"/>
      <c r="CB52" s="100"/>
    </row>
    <row r="53" spans="1:80">
      <c r="B53" s="654"/>
      <c r="D53" s="727"/>
      <c r="AG53" s="280"/>
      <c r="AO53" s="280">
        <f t="shared" si="26"/>
        <v>39</v>
      </c>
      <c r="AP53" s="154" t="s">
        <v>249</v>
      </c>
      <c r="AQ53" s="259">
        <v>0.21</v>
      </c>
      <c r="AR53" s="100"/>
      <c r="AV53" s="468">
        <f>-AV51*AQ53</f>
        <v>2419018.0389976455</v>
      </c>
      <c r="AW53" s="280"/>
      <c r="AX53" s="63"/>
      <c r="AY53" s="63"/>
      <c r="AZ53" s="63"/>
      <c r="BA53" s="63"/>
      <c r="BB53" s="63"/>
      <c r="BC53" s="63"/>
      <c r="BD53" s="63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</row>
    <row r="54" spans="1:80">
      <c r="AG54" s="280"/>
      <c r="AO54" s="280">
        <f t="shared" si="26"/>
        <v>40</v>
      </c>
      <c r="AP54" s="154"/>
      <c r="AQ54" s="154"/>
      <c r="AR54" s="100"/>
      <c r="AS54" s="154"/>
      <c r="AU54" s="154"/>
      <c r="AV54" s="154"/>
      <c r="AW54" s="280"/>
      <c r="AX54" s="100"/>
      <c r="AY54" s="100"/>
      <c r="AZ54" s="100"/>
      <c r="BA54" s="100"/>
      <c r="BB54" s="100"/>
      <c r="BC54" s="100"/>
      <c r="BD54" s="100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</row>
    <row r="55" spans="1:80" ht="15.75" thickBot="1">
      <c r="B55" s="996"/>
      <c r="C55" s="997"/>
      <c r="D55" s="998"/>
      <c r="E55" s="997"/>
      <c r="F55" s="997"/>
      <c r="G55" s="997"/>
      <c r="H55" s="996"/>
      <c r="AG55" s="280"/>
      <c r="AO55" s="280">
        <f t="shared" si="26"/>
        <v>41</v>
      </c>
      <c r="AP55" s="154" t="s">
        <v>95</v>
      </c>
      <c r="AQ55" s="154"/>
      <c r="AR55" s="100"/>
      <c r="AS55" s="154"/>
      <c r="AU55" s="102"/>
      <c r="AV55" s="388">
        <f>-AV51-AV53</f>
        <v>9100115.4800387621</v>
      </c>
      <c r="AW55" s="280"/>
      <c r="AX55" s="61"/>
      <c r="AY55" s="61"/>
      <c r="AZ55" s="61"/>
      <c r="BA55" s="61"/>
      <c r="BB55" s="61"/>
      <c r="BC55" s="61"/>
      <c r="BD55" s="61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</row>
    <row r="56" spans="1:80" ht="15.75" thickTop="1">
      <c r="B56" s="996"/>
      <c r="C56" s="997"/>
      <c r="D56" s="999"/>
      <c r="E56" s="1000"/>
      <c r="F56" s="1000"/>
      <c r="G56" s="1000"/>
      <c r="H56" s="1001"/>
      <c r="AG56" s="280"/>
      <c r="AO56" s="280">
        <f t="shared" si="26"/>
        <v>42</v>
      </c>
      <c r="AW56" s="280"/>
      <c r="AX56" s="62"/>
      <c r="AY56" s="62"/>
      <c r="AZ56" s="62"/>
      <c r="BA56" s="62"/>
      <c r="BB56" s="62"/>
      <c r="BC56" s="62"/>
      <c r="BD56" s="62"/>
      <c r="BF56" s="154"/>
      <c r="BG56" s="154"/>
      <c r="BH56" s="154"/>
      <c r="BI56" s="154"/>
      <c r="BJ56" s="154"/>
      <c r="BK56" s="154"/>
      <c r="BL56" s="154"/>
      <c r="BM56" s="154"/>
      <c r="BN56" s="154"/>
      <c r="BO56" s="154"/>
      <c r="BP56" s="154"/>
      <c r="BQ56" s="154"/>
      <c r="BR56" s="154"/>
      <c r="BS56" s="154"/>
      <c r="BT56" s="154"/>
      <c r="BU56" s="154"/>
      <c r="BV56" s="154"/>
      <c r="BW56" s="154"/>
      <c r="BX56" s="154"/>
      <c r="BY56" s="154"/>
      <c r="BZ56" s="154"/>
      <c r="CA56" s="154"/>
      <c r="CB56" s="154"/>
    </row>
    <row r="57" spans="1:80">
      <c r="AG57" s="280"/>
      <c r="AO57" s="280">
        <f t="shared" si="26"/>
        <v>43</v>
      </c>
      <c r="AP57" s="400" t="s">
        <v>602</v>
      </c>
      <c r="AQ57" s="400"/>
      <c r="AW57" s="280"/>
      <c r="AX57" s="45"/>
      <c r="AY57" s="45"/>
      <c r="AZ57" s="45"/>
      <c r="BA57" s="45"/>
      <c r="BB57" s="45"/>
      <c r="BC57" s="45"/>
      <c r="BD57" s="45"/>
      <c r="BF57" s="102"/>
      <c r="BG57" s="102"/>
      <c r="BH57" s="102"/>
      <c r="BI57" s="102"/>
      <c r="BJ57" s="102"/>
      <c r="BK57" s="102"/>
      <c r="BL57" s="102"/>
      <c r="BM57" s="102"/>
      <c r="BN57" s="102"/>
      <c r="BO57" s="102"/>
      <c r="BP57" s="102"/>
      <c r="BQ57" s="102"/>
      <c r="BR57" s="102"/>
      <c r="BS57" s="102"/>
      <c r="BT57" s="102"/>
      <c r="BU57" s="102"/>
      <c r="BV57" s="102"/>
      <c r="BW57" s="102"/>
      <c r="BX57" s="102"/>
      <c r="BY57" s="102"/>
      <c r="BZ57" s="102"/>
      <c r="CA57" s="102"/>
      <c r="CB57" s="102"/>
    </row>
    <row r="58" spans="1:80">
      <c r="AO58" s="280">
        <f t="shared" si="26"/>
        <v>44</v>
      </c>
      <c r="AP58" s="400" t="s">
        <v>603</v>
      </c>
      <c r="AQ58" s="400"/>
      <c r="AW58" s="280"/>
      <c r="AX58" s="154"/>
      <c r="AY58" s="154"/>
      <c r="AZ58" s="154"/>
      <c r="BA58" s="154"/>
      <c r="BB58" s="154"/>
      <c r="BC58" s="154"/>
      <c r="BD58" s="154"/>
    </row>
    <row r="59" spans="1:80">
      <c r="AO59" s="280">
        <f t="shared" si="26"/>
        <v>45</v>
      </c>
      <c r="AP59" s="400"/>
      <c r="AQ59" s="400"/>
      <c r="AW59" s="280"/>
      <c r="AX59" s="102"/>
      <c r="AY59" s="102"/>
      <c r="AZ59" s="102"/>
      <c r="BA59" s="102"/>
      <c r="BB59" s="102"/>
      <c r="BC59" s="102"/>
      <c r="BD59" s="102"/>
    </row>
    <row r="60" spans="1:80">
      <c r="AO60" s="280">
        <f t="shared" si="26"/>
        <v>46</v>
      </c>
      <c r="AP60" s="400" t="s">
        <v>604</v>
      </c>
      <c r="AW60" s="280"/>
    </row>
    <row r="61" spans="1:80">
      <c r="AO61" s="280">
        <f t="shared" si="26"/>
        <v>47</v>
      </c>
      <c r="AP61" s="400" t="s">
        <v>605</v>
      </c>
      <c r="AQ61" s="400"/>
      <c r="AR61" s="98">
        <f>'[39]Lead E'!$D$59</f>
        <v>-31039847.298310034</v>
      </c>
      <c r="AW61" s="280"/>
    </row>
    <row r="62" spans="1:80">
      <c r="AO62" s="280">
        <f t="shared" si="26"/>
        <v>48</v>
      </c>
      <c r="AP62" s="400" t="s">
        <v>606</v>
      </c>
      <c r="AQ62" s="400"/>
      <c r="AR62" s="98">
        <f>'[39]Lead E'!$D$60</f>
        <v>7647955.3945128955</v>
      </c>
      <c r="AW62" s="280"/>
    </row>
    <row r="63" spans="1:80" ht="15.75" thickBot="1">
      <c r="AO63" s="280">
        <f t="shared" si="26"/>
        <v>49</v>
      </c>
      <c r="AP63" s="400" t="s">
        <v>607</v>
      </c>
      <c r="AQ63" s="400"/>
      <c r="AR63" s="175">
        <f>SUM(AR61:AR62)</f>
        <v>-23391891.903797138</v>
      </c>
      <c r="AW63" s="280"/>
    </row>
    <row r="64" spans="1:80" ht="15.75" thickTop="1">
      <c r="AO64" s="280"/>
      <c r="AP64" s="400"/>
      <c r="AQ64" s="400"/>
      <c r="AW64" s="280"/>
    </row>
    <row r="65" spans="2:49">
      <c r="AW65" s="280"/>
    </row>
    <row r="66" spans="2:49">
      <c r="AW66" s="280"/>
    </row>
    <row r="67" spans="2:49">
      <c r="B67" s="286" t="str">
        <f>UPPER(B38)</f>
        <v/>
      </c>
      <c r="AW67" s="280"/>
    </row>
    <row r="68" spans="2:49">
      <c r="B68" s="286" t="str">
        <f>UPPER(B39)</f>
        <v/>
      </c>
      <c r="AO68" s="389"/>
      <c r="AP68" s="390"/>
      <c r="AQ68" s="390"/>
      <c r="AR68" s="390"/>
      <c r="AS68" s="390"/>
      <c r="AT68" s="390"/>
      <c r="AU68" s="390"/>
      <c r="AV68" s="390"/>
    </row>
    <row r="69" spans="2:49">
      <c r="B69" s="286" t="str">
        <f>UPPER(B40)</f>
        <v/>
      </c>
    </row>
  </sheetData>
  <conditionalFormatting sqref="AU1:CJ1 A1:AR1">
    <cfRule type="cellIs" dxfId="5" priority="5" operator="equal">
      <formula>0</formula>
    </cfRule>
    <cfRule type="cellIs" dxfId="4" priority="6" operator="notEqual">
      <formula>0</formula>
    </cfRule>
  </conditionalFormatting>
  <conditionalFormatting sqref="AS1">
    <cfRule type="cellIs" dxfId="3" priority="3" operator="equal">
      <formula>0</formula>
    </cfRule>
    <cfRule type="cellIs" dxfId="2" priority="4" operator="notEqual">
      <formula>0</formula>
    </cfRule>
  </conditionalFormatting>
  <conditionalFormatting sqref="AT1">
    <cfRule type="cellIs" dxfId="1" priority="1" operator="equal">
      <formula>0</formula>
    </cfRule>
    <cfRule type="cellIs" dxfId="0" priority="2" operator="notEqual">
      <formula>0</formula>
    </cfRule>
  </conditionalFormatting>
  <pageMargins left="0.7" right="0.38" top="0.75" bottom="0.75" header="0.3" footer="0.3"/>
  <pageSetup scale="59" orientation="portrait" r:id="rId1"/>
  <headerFooter>
    <oddHeader xml:space="preserve">&amp;R&amp;"Times New Roman,Regular"&amp;9Exh. JL-2r
Dockets UE 190529 / UG-190530 and 
UE-190274 / UG-190275 (consol.)
Page &amp;P of &amp;N&amp;11 
</oddHeader>
  </headerFooter>
  <colBreaks count="9" manualBreakCount="9">
    <brk id="8" max="58" man="1"/>
    <brk id="16" max="1048575" man="1"/>
    <brk id="24" max="1048575" man="1"/>
    <brk id="32" max="1048575" man="1"/>
    <brk id="40" max="1048575" man="1"/>
    <brk id="48" max="1048575" man="1"/>
    <brk id="56" max="1048575" man="1"/>
    <brk id="64" max="1048575" man="1"/>
    <brk id="72" max="104857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U70"/>
  <sheetViews>
    <sheetView view="pageLayout" zoomScaleNormal="100" workbookViewId="0">
      <selection activeCell="I2" sqref="I2"/>
    </sheetView>
  </sheetViews>
  <sheetFormatPr defaultColWidth="9.140625" defaultRowHeight="12.75"/>
  <cols>
    <col min="1" max="1" width="4.5703125" style="595" customWidth="1"/>
    <col min="2" max="2" width="6.7109375" style="596" bestFit="1" customWidth="1"/>
    <col min="3" max="3" width="3.7109375" style="596" bestFit="1" customWidth="1"/>
    <col min="4" max="4" width="56.28515625" style="595" bestFit="1" customWidth="1"/>
    <col min="5" max="5" width="14.140625" style="595" bestFit="1" customWidth="1"/>
    <col min="6" max="6" width="15.5703125" style="595" bestFit="1" customWidth="1"/>
    <col min="7" max="7" width="15.5703125" style="595" customWidth="1"/>
    <col min="8" max="9" width="13.7109375" style="595" customWidth="1"/>
    <col min="10" max="10" width="12.42578125" style="595" bestFit="1" customWidth="1"/>
    <col min="11" max="11" width="13.140625" style="595" bestFit="1" customWidth="1"/>
    <col min="12" max="12" width="12.28515625" style="595" bestFit="1" customWidth="1"/>
    <col min="13" max="16384" width="9.140625" style="595"/>
  </cols>
  <sheetData>
    <row r="1" spans="1:73" ht="13.5" thickBot="1"/>
    <row r="2" spans="1:73" ht="19.5" thickBot="1">
      <c r="A2" s="597" t="s">
        <v>232</v>
      </c>
      <c r="J2" s="598" t="s">
        <v>733</v>
      </c>
      <c r="K2" s="599"/>
    </row>
    <row r="3" spans="1:73" ht="18.75">
      <c r="A3" s="597" t="s">
        <v>701</v>
      </c>
    </row>
    <row r="4" spans="1:73" ht="19.5" thickBot="1">
      <c r="A4" s="597" t="s">
        <v>702</v>
      </c>
      <c r="J4" s="600" t="s">
        <v>703</v>
      </c>
      <c r="K4" s="600" t="s">
        <v>704</v>
      </c>
    </row>
    <row r="5" spans="1:73" ht="18.75">
      <c r="A5" s="597" t="s">
        <v>705</v>
      </c>
      <c r="J5" s="601" t="s">
        <v>706</v>
      </c>
      <c r="K5" s="601" t="s">
        <v>706</v>
      </c>
    </row>
    <row r="6" spans="1:73" ht="15.75" thickBot="1">
      <c r="J6" s="602">
        <v>0</v>
      </c>
      <c r="K6" s="602">
        <f>1-J6</f>
        <v>1</v>
      </c>
    </row>
    <row r="7" spans="1:73" ht="15">
      <c r="J7" s="601" t="s">
        <v>707</v>
      </c>
      <c r="K7" s="601" t="s">
        <v>707</v>
      </c>
    </row>
    <row r="8" spans="1:73" ht="15.75" thickBot="1">
      <c r="J8" s="603">
        <f>1-K8</f>
        <v>4.4198051735896859E-2</v>
      </c>
      <c r="K8" s="981">
        <f>'[7]Power Cost Bridge to A-1'!$K$8</f>
        <v>0.95580194826410314</v>
      </c>
    </row>
    <row r="9" spans="1:73">
      <c r="E9" s="596" t="s">
        <v>708</v>
      </c>
      <c r="F9" s="596" t="s">
        <v>709</v>
      </c>
      <c r="G9" s="979" t="s">
        <v>791</v>
      </c>
      <c r="H9" s="596" t="s">
        <v>710</v>
      </c>
      <c r="I9" s="596" t="s">
        <v>710</v>
      </c>
      <c r="J9" s="596" t="s">
        <v>711</v>
      </c>
    </row>
    <row r="10" spans="1:73" ht="38.25">
      <c r="A10" s="595" t="s">
        <v>712</v>
      </c>
      <c r="B10" s="596" t="s">
        <v>713</v>
      </c>
      <c r="C10" s="596" t="s">
        <v>677</v>
      </c>
      <c r="D10" s="595" t="s">
        <v>122</v>
      </c>
      <c r="E10" s="596" t="s">
        <v>714</v>
      </c>
      <c r="F10" s="596" t="s">
        <v>715</v>
      </c>
      <c r="G10" s="980" t="s">
        <v>792</v>
      </c>
      <c r="H10" s="596" t="s">
        <v>716</v>
      </c>
      <c r="I10" s="596" t="s">
        <v>717</v>
      </c>
      <c r="J10" s="596" t="s">
        <v>718</v>
      </c>
    </row>
    <row r="11" spans="1:73">
      <c r="A11" s="596">
        <v>1</v>
      </c>
      <c r="E11" s="604"/>
      <c r="F11" s="604"/>
      <c r="G11" s="604"/>
      <c r="H11" s="604"/>
      <c r="I11" s="604"/>
      <c r="J11" s="604"/>
      <c r="K11" s="604"/>
      <c r="L11" s="604"/>
      <c r="M11" s="604"/>
      <c r="N11" s="604"/>
      <c r="O11" s="604"/>
      <c r="P11" s="604"/>
      <c r="Q11" s="604"/>
      <c r="R11" s="604"/>
      <c r="S11" s="604"/>
      <c r="T11" s="604"/>
      <c r="U11" s="604"/>
      <c r="V11" s="604"/>
      <c r="W11" s="604"/>
      <c r="X11" s="604"/>
      <c r="Y11" s="604"/>
      <c r="Z11" s="604"/>
      <c r="AA11" s="604"/>
      <c r="AB11" s="604"/>
      <c r="AC11" s="604"/>
      <c r="AD11" s="604"/>
      <c r="AE11" s="604"/>
      <c r="AF11" s="604"/>
      <c r="AG11" s="604"/>
      <c r="AH11" s="604"/>
      <c r="AI11" s="604"/>
      <c r="AJ11" s="604"/>
      <c r="AK11" s="604"/>
      <c r="AL11" s="604"/>
      <c r="AM11" s="604"/>
      <c r="AN11" s="604"/>
      <c r="AO11" s="604"/>
      <c r="AP11" s="604"/>
      <c r="AQ11" s="604"/>
      <c r="AR11" s="604"/>
      <c r="AS11" s="604"/>
      <c r="AT11" s="604"/>
      <c r="AU11" s="604"/>
      <c r="AV11" s="604"/>
      <c r="AW11" s="604"/>
      <c r="AX11" s="604"/>
      <c r="AY11" s="604"/>
      <c r="AZ11" s="604"/>
      <c r="BA11" s="604"/>
      <c r="BB11" s="604"/>
      <c r="BC11" s="604"/>
      <c r="BD11" s="604"/>
      <c r="BE11" s="604"/>
      <c r="BF11" s="604"/>
      <c r="BG11" s="604"/>
      <c r="BH11" s="604"/>
      <c r="BI11" s="604"/>
      <c r="BJ11" s="604"/>
      <c r="BK11" s="604"/>
      <c r="BL11" s="604"/>
      <c r="BM11" s="604"/>
      <c r="BN11" s="604"/>
      <c r="BO11" s="604"/>
      <c r="BP11" s="604"/>
      <c r="BQ11" s="604"/>
      <c r="BR11" s="604"/>
      <c r="BS11" s="604"/>
      <c r="BT11" s="604"/>
      <c r="BU11" s="604"/>
    </row>
    <row r="12" spans="1:73">
      <c r="A12" s="596">
        <f>+A11+1</f>
        <v>2</v>
      </c>
      <c r="D12" s="605" t="s">
        <v>719</v>
      </c>
      <c r="E12" s="604"/>
      <c r="F12" s="604"/>
      <c r="G12" s="604"/>
      <c r="H12" s="604"/>
      <c r="I12" s="604"/>
      <c r="J12" s="604"/>
      <c r="K12" s="604"/>
      <c r="L12" s="606"/>
      <c r="M12" s="604"/>
      <c r="N12" s="604"/>
      <c r="O12" s="604"/>
      <c r="P12" s="604"/>
      <c r="Q12" s="604"/>
      <c r="R12" s="604"/>
      <c r="S12" s="604"/>
      <c r="T12" s="604"/>
      <c r="U12" s="604"/>
      <c r="V12" s="604"/>
      <c r="W12" s="604"/>
      <c r="X12" s="604"/>
      <c r="Y12" s="604"/>
      <c r="Z12" s="604"/>
      <c r="AA12" s="604"/>
      <c r="AB12" s="604"/>
      <c r="AC12" s="604"/>
      <c r="AD12" s="604"/>
      <c r="AE12" s="604"/>
      <c r="AF12" s="604"/>
      <c r="AG12" s="604"/>
      <c r="AH12" s="604"/>
      <c r="AI12" s="604"/>
      <c r="AJ12" s="604"/>
      <c r="AK12" s="604"/>
      <c r="AL12" s="604"/>
      <c r="AM12" s="604"/>
      <c r="AN12" s="604"/>
      <c r="AO12" s="604"/>
      <c r="AP12" s="604"/>
      <c r="AQ12" s="604"/>
      <c r="AR12" s="604"/>
      <c r="AS12" s="604"/>
      <c r="AT12" s="604"/>
      <c r="AU12" s="604"/>
      <c r="AV12" s="604"/>
      <c r="AW12" s="604"/>
      <c r="AX12" s="604"/>
      <c r="AY12" s="604"/>
      <c r="AZ12" s="604"/>
      <c r="BA12" s="604"/>
      <c r="BB12" s="604"/>
      <c r="BC12" s="604"/>
      <c r="BD12" s="604"/>
      <c r="BE12" s="604"/>
      <c r="BF12" s="604"/>
      <c r="BG12" s="604"/>
      <c r="BH12" s="604"/>
      <c r="BI12" s="604"/>
      <c r="BJ12" s="604"/>
      <c r="BK12" s="604"/>
      <c r="BL12" s="604"/>
      <c r="BM12" s="604"/>
      <c r="BN12" s="604"/>
      <c r="BO12" s="604"/>
      <c r="BP12" s="604"/>
      <c r="BQ12" s="604"/>
      <c r="BR12" s="604"/>
      <c r="BS12" s="604"/>
      <c r="BT12" s="604"/>
      <c r="BU12" s="604"/>
    </row>
    <row r="13" spans="1:73">
      <c r="A13" s="596">
        <f t="shared" ref="A13:A28" si="0">+A12+1</f>
        <v>3</v>
      </c>
      <c r="B13" s="607">
        <v>501</v>
      </c>
      <c r="C13" s="607" t="s">
        <v>644</v>
      </c>
      <c r="D13" s="595" t="s">
        <v>530</v>
      </c>
      <c r="E13" s="604">
        <f>+'[7]Power Cost Bridge to A-1'!E13</f>
        <v>79334191.840000004</v>
      </c>
      <c r="F13" s="604">
        <f>'[7]Power Cost Bridge to A-1'!$F$13</f>
        <v>37522331.508872844</v>
      </c>
      <c r="G13" s="604"/>
      <c r="H13" s="604"/>
      <c r="I13" s="604"/>
      <c r="J13" s="604">
        <f t="shared" ref="J13:J20" si="1">SUM(F13:I13)</f>
        <v>37522331.508872844</v>
      </c>
      <c r="K13" s="604">
        <f t="shared" ref="K13:K20" si="2">IF(C13="v",J13*$K$8,J13*$K$6)</f>
        <v>35863917.55959221</v>
      </c>
      <c r="L13" s="606"/>
      <c r="M13" s="604"/>
      <c r="N13" s="604"/>
      <c r="O13" s="604"/>
      <c r="P13" s="604"/>
      <c r="Q13" s="604"/>
      <c r="R13" s="604"/>
      <c r="S13" s="604"/>
      <c r="T13" s="604"/>
      <c r="U13" s="604"/>
      <c r="V13" s="604"/>
      <c r="W13" s="604"/>
      <c r="X13" s="604"/>
      <c r="Y13" s="604"/>
      <c r="Z13" s="604"/>
      <c r="AA13" s="604"/>
      <c r="AB13" s="604"/>
      <c r="AC13" s="604"/>
      <c r="AD13" s="604"/>
      <c r="AE13" s="604"/>
      <c r="AF13" s="604"/>
      <c r="AG13" s="604"/>
      <c r="AH13" s="604"/>
      <c r="AI13" s="604"/>
      <c r="AJ13" s="604"/>
      <c r="AK13" s="604"/>
      <c r="AL13" s="604"/>
      <c r="AM13" s="604"/>
      <c r="AN13" s="604"/>
      <c r="AO13" s="604"/>
      <c r="AP13" s="604"/>
      <c r="AQ13" s="604"/>
      <c r="AR13" s="604"/>
      <c r="AS13" s="604"/>
      <c r="AT13" s="604"/>
      <c r="AU13" s="604"/>
      <c r="AV13" s="604"/>
      <c r="AW13" s="604"/>
      <c r="AX13" s="604"/>
      <c r="AY13" s="604"/>
      <c r="AZ13" s="604"/>
      <c r="BA13" s="604"/>
      <c r="BB13" s="604"/>
      <c r="BC13" s="604"/>
      <c r="BD13" s="604"/>
      <c r="BE13" s="604"/>
      <c r="BF13" s="604"/>
      <c r="BG13" s="604"/>
      <c r="BH13" s="604"/>
      <c r="BI13" s="604"/>
      <c r="BJ13" s="604"/>
      <c r="BK13" s="604"/>
      <c r="BL13" s="604"/>
      <c r="BM13" s="604"/>
      <c r="BN13" s="604"/>
      <c r="BO13" s="604"/>
      <c r="BP13" s="604"/>
      <c r="BQ13" s="604"/>
      <c r="BR13" s="604"/>
      <c r="BS13" s="604"/>
      <c r="BT13" s="604"/>
      <c r="BU13" s="604"/>
    </row>
    <row r="14" spans="1:73">
      <c r="A14" s="596">
        <f>+A13+1</f>
        <v>4</v>
      </c>
      <c r="B14" s="607">
        <v>547</v>
      </c>
      <c r="C14" s="607" t="s">
        <v>644</v>
      </c>
      <c r="D14" s="595" t="s">
        <v>531</v>
      </c>
      <c r="E14" s="604">
        <f>+'[7]Power Cost Bridge to A-1'!E14</f>
        <v>125903300.81000002</v>
      </c>
      <c r="F14" s="604">
        <f>'[7]Power Cost Bridge to A-1'!$F$14</f>
        <v>158776937.34331971</v>
      </c>
      <c r="G14" s="604"/>
      <c r="H14" s="604"/>
      <c r="I14" s="604"/>
      <c r="J14" s="604">
        <f t="shared" si="1"/>
        <v>158776937.34331971</v>
      </c>
      <c r="K14" s="604">
        <f t="shared" si="2"/>
        <v>151759306.05215243</v>
      </c>
      <c r="L14" s="606"/>
      <c r="M14" s="604"/>
      <c r="N14" s="604"/>
      <c r="O14" s="604"/>
      <c r="P14" s="604"/>
      <c r="Q14" s="604"/>
      <c r="R14" s="604"/>
      <c r="S14" s="604"/>
      <c r="T14" s="604"/>
      <c r="U14" s="604"/>
      <c r="V14" s="604"/>
      <c r="W14" s="604"/>
      <c r="X14" s="604"/>
      <c r="Y14" s="604"/>
      <c r="Z14" s="604"/>
      <c r="AA14" s="604"/>
      <c r="AB14" s="604"/>
      <c r="AC14" s="604"/>
      <c r="AD14" s="604"/>
      <c r="AE14" s="604"/>
      <c r="AF14" s="604"/>
      <c r="AG14" s="604"/>
      <c r="AH14" s="604"/>
      <c r="AI14" s="604"/>
      <c r="AJ14" s="604"/>
      <c r="AK14" s="604"/>
      <c r="AL14" s="604"/>
      <c r="AM14" s="604"/>
      <c r="AN14" s="604"/>
      <c r="AO14" s="604"/>
      <c r="AP14" s="604"/>
      <c r="AQ14" s="604"/>
      <c r="AR14" s="604"/>
      <c r="AS14" s="604"/>
      <c r="AT14" s="604"/>
      <c r="AU14" s="604"/>
      <c r="AV14" s="604"/>
      <c r="AW14" s="604"/>
      <c r="AX14" s="604"/>
      <c r="AY14" s="604"/>
      <c r="AZ14" s="604"/>
      <c r="BA14" s="604"/>
      <c r="BB14" s="604"/>
      <c r="BC14" s="604"/>
      <c r="BD14" s="604"/>
      <c r="BE14" s="604"/>
      <c r="BF14" s="604"/>
      <c r="BG14" s="604"/>
      <c r="BH14" s="604"/>
      <c r="BI14" s="604"/>
      <c r="BJ14" s="604"/>
      <c r="BK14" s="604"/>
      <c r="BL14" s="604"/>
      <c r="BM14" s="604"/>
      <c r="BN14" s="604"/>
      <c r="BO14" s="604"/>
      <c r="BP14" s="604"/>
      <c r="BQ14" s="604"/>
      <c r="BR14" s="604"/>
      <c r="BS14" s="604"/>
      <c r="BT14" s="604"/>
      <c r="BU14" s="604"/>
    </row>
    <row r="15" spans="1:73">
      <c r="A15" s="596">
        <f t="shared" si="0"/>
        <v>5</v>
      </c>
      <c r="B15" s="607">
        <v>555</v>
      </c>
      <c r="C15" s="607" t="s">
        <v>644</v>
      </c>
      <c r="D15" s="595" t="s">
        <v>532</v>
      </c>
      <c r="E15" s="604">
        <f>+'[7]Power Cost Bridge to A-1'!E15</f>
        <v>589447114.29878294</v>
      </c>
      <c r="F15" s="604">
        <f>'[7]Power Cost Bridge to A-1'!$F$15</f>
        <v>440945657.25193882</v>
      </c>
      <c r="G15" s="604"/>
      <c r="H15" s="604"/>
      <c r="I15" s="604"/>
      <c r="J15" s="604">
        <f t="shared" si="1"/>
        <v>440945657.25193882</v>
      </c>
      <c r="K15" s="604">
        <f t="shared" si="2"/>
        <v>421456718.2799986</v>
      </c>
      <c r="L15" s="606"/>
      <c r="M15" s="604"/>
      <c r="N15" s="604"/>
      <c r="O15" s="604"/>
      <c r="P15" s="604"/>
      <c r="Q15" s="604"/>
      <c r="R15" s="604"/>
      <c r="S15" s="604"/>
      <c r="T15" s="604"/>
      <c r="U15" s="604"/>
      <c r="V15" s="604"/>
      <c r="W15" s="604"/>
      <c r="X15" s="604"/>
      <c r="Y15" s="604"/>
      <c r="Z15" s="604"/>
      <c r="AA15" s="604"/>
      <c r="AB15" s="604"/>
      <c r="AC15" s="604"/>
      <c r="AD15" s="604"/>
      <c r="AE15" s="604"/>
      <c r="AF15" s="604"/>
      <c r="AG15" s="604"/>
      <c r="AH15" s="604"/>
      <c r="AI15" s="604"/>
      <c r="AJ15" s="604"/>
      <c r="AK15" s="604"/>
      <c r="AL15" s="604"/>
      <c r="AM15" s="604"/>
      <c r="AN15" s="604"/>
      <c r="AO15" s="604"/>
      <c r="AP15" s="604"/>
      <c r="AQ15" s="604"/>
      <c r="AR15" s="604"/>
      <c r="AS15" s="604"/>
      <c r="AT15" s="604"/>
      <c r="AU15" s="604"/>
      <c r="AV15" s="604"/>
      <c r="AW15" s="604"/>
      <c r="AX15" s="604"/>
      <c r="AY15" s="604"/>
      <c r="AZ15" s="604"/>
      <c r="BA15" s="604"/>
      <c r="BB15" s="604"/>
      <c r="BC15" s="604"/>
      <c r="BD15" s="604"/>
      <c r="BE15" s="604"/>
      <c r="BF15" s="604"/>
      <c r="BG15" s="604"/>
      <c r="BH15" s="604"/>
      <c r="BI15" s="604"/>
      <c r="BJ15" s="604"/>
      <c r="BK15" s="604"/>
      <c r="BL15" s="604"/>
      <c r="BM15" s="604"/>
      <c r="BN15" s="604"/>
      <c r="BO15" s="604"/>
      <c r="BP15" s="604"/>
      <c r="BQ15" s="604"/>
      <c r="BR15" s="604"/>
      <c r="BS15" s="604"/>
      <c r="BT15" s="604"/>
      <c r="BU15" s="604"/>
    </row>
    <row r="16" spans="1:73">
      <c r="A16" s="596">
        <f t="shared" si="0"/>
        <v>6</v>
      </c>
      <c r="B16" s="607">
        <v>557</v>
      </c>
      <c r="C16" s="607" t="s">
        <v>639</v>
      </c>
      <c r="D16" s="595" t="s">
        <v>533</v>
      </c>
      <c r="E16" s="604">
        <f>+'[7]Power Cost Bridge to A-1'!E16</f>
        <v>11072849.4899999</v>
      </c>
      <c r="F16" s="614">
        <f>'[7]Power Cost Bridge to A-1'!$F$16</f>
        <v>9989396.959999999</v>
      </c>
      <c r="G16" s="626"/>
      <c r="H16" s="604">
        <f>'[7]Power Cost Bridge to A-1'!$H$16</f>
        <v>-1833483.02</v>
      </c>
      <c r="I16" s="604">
        <f>'[7]Power Cost Bridge to A-1'!$I$16</f>
        <v>-323117.56</v>
      </c>
      <c r="J16" s="604">
        <f t="shared" si="1"/>
        <v>7832796.3799999999</v>
      </c>
      <c r="K16" s="604">
        <f t="shared" si="2"/>
        <v>7832796.3799999999</v>
      </c>
      <c r="L16" s="606"/>
      <c r="M16" s="604"/>
      <c r="N16" s="604"/>
      <c r="O16" s="604"/>
      <c r="P16" s="604"/>
      <c r="Q16" s="604"/>
      <c r="R16" s="604"/>
      <c r="S16" s="604"/>
      <c r="T16" s="604"/>
      <c r="U16" s="604"/>
      <c r="V16" s="604"/>
      <c r="W16" s="604"/>
      <c r="X16" s="604"/>
      <c r="Y16" s="604"/>
      <c r="Z16" s="604"/>
      <c r="AA16" s="604"/>
      <c r="AB16" s="604"/>
      <c r="AC16" s="604"/>
      <c r="AD16" s="604"/>
      <c r="AE16" s="604"/>
      <c r="AF16" s="604"/>
      <c r="AG16" s="604"/>
      <c r="AH16" s="604"/>
      <c r="AI16" s="604"/>
      <c r="AJ16" s="604"/>
      <c r="AK16" s="604"/>
      <c r="AL16" s="604"/>
      <c r="AM16" s="604"/>
      <c r="AN16" s="604"/>
      <c r="AO16" s="604"/>
      <c r="AP16" s="604"/>
      <c r="AQ16" s="604"/>
      <c r="AR16" s="604"/>
      <c r="AS16" s="604"/>
      <c r="AT16" s="604"/>
      <c r="AU16" s="604"/>
      <c r="AV16" s="604"/>
      <c r="AW16" s="604"/>
      <c r="AX16" s="604"/>
      <c r="AY16" s="604"/>
      <c r="AZ16" s="604"/>
      <c r="BA16" s="604"/>
      <c r="BB16" s="604"/>
      <c r="BC16" s="604"/>
      <c r="BD16" s="604"/>
      <c r="BE16" s="604"/>
      <c r="BF16" s="604"/>
      <c r="BG16" s="604"/>
      <c r="BH16" s="604"/>
      <c r="BI16" s="604"/>
      <c r="BJ16" s="604"/>
      <c r="BK16" s="604"/>
      <c r="BL16" s="604"/>
      <c r="BM16" s="604"/>
      <c r="BN16" s="604"/>
      <c r="BO16" s="604"/>
      <c r="BP16" s="604"/>
      <c r="BQ16" s="604"/>
      <c r="BR16" s="604"/>
      <c r="BS16" s="604"/>
      <c r="BT16" s="604"/>
      <c r="BU16" s="604"/>
    </row>
    <row r="17" spans="1:73">
      <c r="A17" s="596">
        <f t="shared" si="0"/>
        <v>7</v>
      </c>
      <c r="B17" s="607">
        <v>557</v>
      </c>
      <c r="C17" s="607" t="s">
        <v>644</v>
      </c>
      <c r="D17" s="595" t="s">
        <v>720</v>
      </c>
      <c r="E17" s="604">
        <f>+'[7]Power Cost Bridge to A-1'!E17</f>
        <v>446665.22</v>
      </c>
      <c r="F17" s="604">
        <f>'[7]Power Cost Bridge to A-1'!$F$17</f>
        <v>446665.22</v>
      </c>
      <c r="G17" s="604"/>
      <c r="H17" s="604"/>
      <c r="I17" s="604"/>
      <c r="J17" s="604">
        <f t="shared" si="1"/>
        <v>446665.22</v>
      </c>
      <c r="K17" s="604">
        <f t="shared" si="2"/>
        <v>426923.48749781423</v>
      </c>
      <c r="L17" s="606"/>
      <c r="M17" s="604"/>
      <c r="N17" s="604"/>
      <c r="O17" s="604"/>
      <c r="P17" s="604"/>
      <c r="Q17" s="604"/>
      <c r="R17" s="604"/>
      <c r="S17" s="604"/>
      <c r="T17" s="604"/>
      <c r="U17" s="604"/>
      <c r="V17" s="604"/>
      <c r="W17" s="604"/>
      <c r="X17" s="604"/>
      <c r="Y17" s="604"/>
      <c r="Z17" s="604"/>
      <c r="AA17" s="604"/>
      <c r="AB17" s="604"/>
      <c r="AC17" s="604"/>
      <c r="AD17" s="604"/>
      <c r="AE17" s="604"/>
      <c r="AF17" s="604"/>
      <c r="AG17" s="604"/>
      <c r="AH17" s="604"/>
      <c r="AI17" s="604"/>
      <c r="AJ17" s="604"/>
      <c r="AK17" s="604"/>
      <c r="AL17" s="604"/>
      <c r="AM17" s="604"/>
      <c r="AN17" s="604"/>
      <c r="AO17" s="604"/>
      <c r="AP17" s="604"/>
      <c r="AQ17" s="604"/>
      <c r="AR17" s="604"/>
      <c r="AS17" s="604"/>
      <c r="AT17" s="604"/>
      <c r="AU17" s="604"/>
      <c r="AV17" s="604"/>
      <c r="AW17" s="604"/>
      <c r="AX17" s="604"/>
      <c r="AY17" s="604"/>
      <c r="AZ17" s="604"/>
      <c r="BA17" s="604"/>
      <c r="BB17" s="604"/>
      <c r="BC17" s="604"/>
      <c r="BD17" s="604"/>
      <c r="BE17" s="604"/>
      <c r="BF17" s="604"/>
      <c r="BG17" s="604"/>
      <c r="BH17" s="604"/>
      <c r="BI17" s="604"/>
      <c r="BJ17" s="604"/>
      <c r="BK17" s="604"/>
      <c r="BL17" s="604"/>
      <c r="BM17" s="604"/>
      <c r="BN17" s="604"/>
      <c r="BO17" s="604"/>
      <c r="BP17" s="604"/>
      <c r="BQ17" s="604"/>
      <c r="BR17" s="604"/>
      <c r="BS17" s="604"/>
      <c r="BT17" s="604"/>
      <c r="BU17" s="604"/>
    </row>
    <row r="18" spans="1:73">
      <c r="A18" s="596">
        <f t="shared" si="0"/>
        <v>8</v>
      </c>
      <c r="B18" s="607">
        <v>565</v>
      </c>
      <c r="C18" s="607" t="s">
        <v>644</v>
      </c>
      <c r="D18" s="595" t="s">
        <v>534</v>
      </c>
      <c r="E18" s="604">
        <f>+'[7]Power Cost Bridge to A-1'!E18</f>
        <v>115807777.5999999</v>
      </c>
      <c r="F18" s="604">
        <f>'[7]Power Cost Bridge to A-1'!$F$18</f>
        <v>117746905.14478698</v>
      </c>
      <c r="G18" s="604"/>
      <c r="H18" s="604"/>
      <c r="I18" s="604"/>
      <c r="J18" s="604">
        <f t="shared" si="1"/>
        <v>117746905.14478698</v>
      </c>
      <c r="K18" s="608">
        <f t="shared" si="2"/>
        <v>112542721.33945595</v>
      </c>
      <c r="L18" s="606"/>
      <c r="M18" s="604"/>
      <c r="N18" s="604"/>
      <c r="O18" s="604"/>
      <c r="P18" s="604"/>
      <c r="Q18" s="604"/>
      <c r="R18" s="604"/>
      <c r="S18" s="604"/>
      <c r="T18" s="604"/>
      <c r="U18" s="604"/>
      <c r="V18" s="604"/>
      <c r="W18" s="604"/>
      <c r="X18" s="604"/>
      <c r="Y18" s="604"/>
      <c r="Z18" s="604"/>
      <c r="AA18" s="604"/>
      <c r="AB18" s="604"/>
      <c r="AC18" s="604"/>
      <c r="AD18" s="604"/>
      <c r="AE18" s="604"/>
      <c r="AF18" s="604"/>
      <c r="AG18" s="604"/>
      <c r="AH18" s="604"/>
      <c r="AI18" s="604"/>
      <c r="AJ18" s="604"/>
      <c r="AK18" s="604"/>
      <c r="AL18" s="604"/>
      <c r="AM18" s="604"/>
      <c r="AN18" s="604"/>
      <c r="AO18" s="604"/>
      <c r="AP18" s="604"/>
      <c r="AQ18" s="604"/>
      <c r="AR18" s="604"/>
      <c r="AS18" s="604"/>
      <c r="AT18" s="604"/>
      <c r="AU18" s="604"/>
      <c r="AV18" s="604"/>
      <c r="AW18" s="604"/>
      <c r="AX18" s="604"/>
      <c r="AY18" s="604"/>
      <c r="AZ18" s="604"/>
      <c r="BA18" s="604"/>
      <c r="BB18" s="604"/>
      <c r="BC18" s="604"/>
      <c r="BD18" s="604"/>
      <c r="BE18" s="604"/>
      <c r="BF18" s="604"/>
      <c r="BG18" s="604"/>
      <c r="BH18" s="604"/>
      <c r="BI18" s="604"/>
      <c r="BJ18" s="604"/>
      <c r="BK18" s="604"/>
      <c r="BL18" s="604"/>
      <c r="BM18" s="604"/>
      <c r="BN18" s="604"/>
      <c r="BO18" s="604"/>
      <c r="BP18" s="604"/>
      <c r="BQ18" s="604"/>
      <c r="BR18" s="604"/>
      <c r="BS18" s="604"/>
      <c r="BT18" s="604"/>
      <c r="BU18" s="604"/>
    </row>
    <row r="19" spans="1:73">
      <c r="A19" s="596">
        <f t="shared" si="0"/>
        <v>9</v>
      </c>
      <c r="B19" s="607">
        <v>447</v>
      </c>
      <c r="C19" s="607" t="s">
        <v>644</v>
      </c>
      <c r="D19" s="595" t="s">
        <v>535</v>
      </c>
      <c r="E19" s="604">
        <f>+'[7]Power Cost Bridge to A-1'!E19</f>
        <v>-155333122.24000001</v>
      </c>
      <c r="F19" s="604">
        <f>'[7]Power Cost Bridge to A-1'!$F$19</f>
        <v>-7308528.820576041</v>
      </c>
      <c r="G19" s="604"/>
      <c r="H19" s="604"/>
      <c r="I19" s="604"/>
      <c r="J19" s="604">
        <f t="shared" si="1"/>
        <v>-7308528.820576041</v>
      </c>
      <c r="K19" s="604">
        <f t="shared" si="2"/>
        <v>-6985506.0856509283</v>
      </c>
      <c r="L19" s="606"/>
      <c r="M19" s="604"/>
      <c r="N19" s="604"/>
      <c r="O19" s="604"/>
      <c r="P19" s="604"/>
      <c r="Q19" s="604"/>
      <c r="R19" s="604"/>
      <c r="S19" s="604"/>
      <c r="T19" s="604"/>
      <c r="U19" s="604"/>
      <c r="V19" s="604"/>
      <c r="W19" s="604"/>
      <c r="X19" s="604"/>
      <c r="Y19" s="604"/>
      <c r="Z19" s="604"/>
      <c r="AA19" s="604"/>
      <c r="AB19" s="604"/>
      <c r="AC19" s="604"/>
      <c r="AD19" s="604"/>
      <c r="AE19" s="604"/>
      <c r="AF19" s="604"/>
      <c r="AG19" s="604"/>
      <c r="AH19" s="604"/>
      <c r="AI19" s="604"/>
      <c r="AJ19" s="604"/>
      <c r="AK19" s="604"/>
      <c r="AL19" s="604"/>
      <c r="AM19" s="604"/>
      <c r="AN19" s="604"/>
      <c r="AO19" s="604"/>
      <c r="AP19" s="604"/>
      <c r="AQ19" s="604"/>
      <c r="AR19" s="604"/>
      <c r="AS19" s="604"/>
      <c r="AT19" s="604"/>
      <c r="AU19" s="604"/>
      <c r="AV19" s="604"/>
      <c r="AW19" s="604"/>
      <c r="AX19" s="604"/>
      <c r="AY19" s="604"/>
      <c r="AZ19" s="604"/>
      <c r="BA19" s="604"/>
      <c r="BB19" s="604"/>
      <c r="BC19" s="604"/>
      <c r="BD19" s="604"/>
      <c r="BE19" s="604"/>
      <c r="BF19" s="604"/>
      <c r="BG19" s="604"/>
      <c r="BH19" s="604"/>
      <c r="BI19" s="604"/>
      <c r="BJ19" s="604"/>
      <c r="BK19" s="604"/>
      <c r="BL19" s="604"/>
      <c r="BM19" s="604"/>
      <c r="BN19" s="604"/>
      <c r="BO19" s="604"/>
      <c r="BP19" s="604"/>
      <c r="BQ19" s="604"/>
      <c r="BR19" s="604"/>
      <c r="BS19" s="604"/>
      <c r="BT19" s="604"/>
      <c r="BU19" s="604"/>
    </row>
    <row r="20" spans="1:73">
      <c r="A20" s="596">
        <f t="shared" si="0"/>
        <v>10</v>
      </c>
      <c r="B20" s="607">
        <v>456</v>
      </c>
      <c r="C20" s="607" t="s">
        <v>644</v>
      </c>
      <c r="D20" s="595" t="s">
        <v>536</v>
      </c>
      <c r="E20" s="604">
        <f>+'[7]Power Cost Bridge to A-1'!E20</f>
        <v>-69470811.980000019</v>
      </c>
      <c r="F20" s="604">
        <f>'[7]Power Cost Bridge to A-1'!$F$20</f>
        <v>-23130919.670903567</v>
      </c>
      <c r="G20" s="604"/>
      <c r="H20" s="604"/>
      <c r="I20" s="604"/>
      <c r="J20" s="604">
        <f t="shared" si="1"/>
        <v>-23130919.670903567</v>
      </c>
      <c r="K20" s="604">
        <f t="shared" si="2"/>
        <v>-22108578.086590096</v>
      </c>
      <c r="L20" s="606"/>
      <c r="M20" s="604"/>
      <c r="N20" s="604"/>
      <c r="O20" s="604"/>
      <c r="P20" s="604"/>
      <c r="Q20" s="604"/>
      <c r="R20" s="604"/>
      <c r="S20" s="604"/>
      <c r="T20" s="604"/>
      <c r="U20" s="604"/>
      <c r="V20" s="604"/>
      <c r="W20" s="604"/>
      <c r="X20" s="604"/>
      <c r="Y20" s="604"/>
      <c r="Z20" s="604"/>
      <c r="AA20" s="604"/>
      <c r="AB20" s="604"/>
      <c r="AC20" s="604"/>
      <c r="AD20" s="604"/>
      <c r="AE20" s="604"/>
      <c r="AF20" s="604"/>
      <c r="AG20" s="604"/>
      <c r="AH20" s="604"/>
      <c r="AI20" s="604"/>
      <c r="AJ20" s="604"/>
      <c r="AK20" s="604"/>
      <c r="AL20" s="604"/>
      <c r="AM20" s="604"/>
      <c r="AN20" s="604"/>
      <c r="AO20" s="604"/>
      <c r="AP20" s="604"/>
      <c r="AQ20" s="604"/>
      <c r="AR20" s="604"/>
      <c r="AS20" s="604"/>
      <c r="AT20" s="604"/>
      <c r="AU20" s="604"/>
      <c r="AV20" s="604"/>
      <c r="AW20" s="604"/>
      <c r="AX20" s="604"/>
      <c r="AY20" s="604"/>
      <c r="AZ20" s="604"/>
      <c r="BA20" s="604"/>
      <c r="BB20" s="604"/>
      <c r="BC20" s="604"/>
      <c r="BD20" s="604"/>
      <c r="BE20" s="604"/>
      <c r="BF20" s="604"/>
      <c r="BG20" s="604"/>
      <c r="BH20" s="604"/>
      <c r="BI20" s="604"/>
      <c r="BJ20" s="604"/>
      <c r="BK20" s="604"/>
      <c r="BL20" s="604"/>
      <c r="BM20" s="604"/>
      <c r="BN20" s="604"/>
      <c r="BO20" s="604"/>
      <c r="BP20" s="604"/>
      <c r="BQ20" s="604"/>
      <c r="BR20" s="604"/>
      <c r="BS20" s="604"/>
      <c r="BT20" s="604"/>
      <c r="BU20" s="604"/>
    </row>
    <row r="21" spans="1:73">
      <c r="A21" s="596">
        <f t="shared" si="0"/>
        <v>11</v>
      </c>
      <c r="B21" s="607"/>
      <c r="C21" s="607"/>
      <c r="D21" s="609" t="s">
        <v>142</v>
      </c>
      <c r="E21" s="610">
        <f t="shared" ref="E21:K21" si="3">SUM(E13:E20)</f>
        <v>697207965.03878272</v>
      </c>
      <c r="F21" s="610">
        <f t="shared" si="3"/>
        <v>734988444.93743873</v>
      </c>
      <c r="G21" s="610"/>
      <c r="H21" s="610">
        <f t="shared" si="3"/>
        <v>-1833483.02</v>
      </c>
      <c r="I21" s="610">
        <f t="shared" si="3"/>
        <v>-323117.56</v>
      </c>
      <c r="J21" s="610">
        <f t="shared" si="3"/>
        <v>732831844.35743868</v>
      </c>
      <c r="K21" s="610">
        <f t="shared" si="3"/>
        <v>700788298.92645597</v>
      </c>
      <c r="L21" s="606"/>
      <c r="M21" s="604"/>
      <c r="N21" s="604"/>
      <c r="O21" s="604"/>
      <c r="P21" s="604"/>
      <c r="Q21" s="604"/>
      <c r="R21" s="604"/>
      <c r="S21" s="604"/>
      <c r="T21" s="604"/>
      <c r="U21" s="604"/>
      <c r="V21" s="604"/>
      <c r="W21" s="604"/>
      <c r="X21" s="604"/>
      <c r="Y21" s="604"/>
      <c r="Z21" s="604"/>
      <c r="AA21" s="604"/>
      <c r="AB21" s="604"/>
      <c r="AC21" s="604"/>
      <c r="AD21" s="604"/>
      <c r="AE21" s="604"/>
      <c r="AF21" s="604"/>
      <c r="AG21" s="604"/>
      <c r="AH21" s="604"/>
      <c r="AI21" s="604"/>
      <c r="AJ21" s="604"/>
      <c r="AK21" s="604"/>
      <c r="AL21" s="604"/>
      <c r="AM21" s="604"/>
      <c r="AN21" s="604"/>
      <c r="AO21" s="604"/>
      <c r="AP21" s="604"/>
      <c r="AQ21" s="604"/>
      <c r="AR21" s="604"/>
      <c r="AS21" s="604"/>
      <c r="AT21" s="604"/>
      <c r="AU21" s="604"/>
      <c r="AV21" s="604"/>
      <c r="AW21" s="604"/>
      <c r="AX21" s="604"/>
      <c r="AY21" s="604"/>
      <c r="AZ21" s="604"/>
      <c r="BA21" s="604"/>
      <c r="BB21" s="604"/>
      <c r="BC21" s="604"/>
      <c r="BD21" s="604"/>
      <c r="BE21" s="604"/>
      <c r="BF21" s="604"/>
      <c r="BG21" s="604"/>
      <c r="BH21" s="604"/>
      <c r="BI21" s="604"/>
      <c r="BJ21" s="604"/>
      <c r="BK21" s="604"/>
      <c r="BL21" s="604"/>
      <c r="BM21" s="604"/>
      <c r="BN21" s="604"/>
      <c r="BO21" s="604"/>
      <c r="BP21" s="604"/>
      <c r="BQ21" s="604"/>
      <c r="BR21" s="604"/>
      <c r="BS21" s="604"/>
      <c r="BT21" s="604"/>
      <c r="BU21" s="604"/>
    </row>
    <row r="22" spans="1:73">
      <c r="A22" s="596">
        <f t="shared" si="0"/>
        <v>12</v>
      </c>
      <c r="B22" s="607"/>
      <c r="C22" s="607"/>
      <c r="D22" s="625"/>
      <c r="E22" s="611">
        <f>+'[7]Restating=&gt;'!D21-E21</f>
        <v>0</v>
      </c>
      <c r="F22" s="611">
        <f>+'[7]PKW RY PC1'!$D$17*1000-F21</f>
        <v>0</v>
      </c>
      <c r="G22" s="611"/>
      <c r="H22" s="604"/>
      <c r="I22" s="604"/>
      <c r="J22" s="611">
        <f>+F21+H21+I21-J21</f>
        <v>0</v>
      </c>
      <c r="K22" s="604"/>
      <c r="L22" s="606"/>
      <c r="M22" s="604"/>
      <c r="N22" s="604"/>
      <c r="O22" s="604"/>
      <c r="P22" s="604"/>
      <c r="Q22" s="604"/>
      <c r="R22" s="604"/>
      <c r="S22" s="604"/>
      <c r="T22" s="604"/>
      <c r="U22" s="604"/>
      <c r="V22" s="604"/>
      <c r="W22" s="604"/>
      <c r="X22" s="604"/>
      <c r="Y22" s="604"/>
      <c r="Z22" s="604"/>
      <c r="AA22" s="604"/>
      <c r="AB22" s="604"/>
      <c r="AC22" s="604"/>
      <c r="AD22" s="604"/>
      <c r="AE22" s="604"/>
      <c r="AF22" s="604"/>
      <c r="AG22" s="604"/>
      <c r="AH22" s="604"/>
      <c r="AI22" s="604"/>
      <c r="AJ22" s="604"/>
      <c r="AK22" s="604"/>
      <c r="AL22" s="604"/>
      <c r="AM22" s="604"/>
      <c r="AN22" s="604"/>
      <c r="AO22" s="604"/>
      <c r="AP22" s="604"/>
      <c r="AQ22" s="604"/>
      <c r="AR22" s="604"/>
      <c r="AS22" s="604"/>
      <c r="AT22" s="604"/>
      <c r="AU22" s="604"/>
      <c r="AV22" s="604"/>
      <c r="AW22" s="604"/>
      <c r="AX22" s="604"/>
      <c r="AY22" s="604"/>
      <c r="AZ22" s="604"/>
      <c r="BA22" s="604"/>
      <c r="BB22" s="604"/>
      <c r="BC22" s="604"/>
      <c r="BD22" s="604"/>
      <c r="BE22" s="604"/>
      <c r="BF22" s="604"/>
      <c r="BG22" s="604"/>
      <c r="BH22" s="604"/>
      <c r="BI22" s="604"/>
      <c r="BJ22" s="604"/>
      <c r="BK22" s="604"/>
      <c r="BL22" s="604"/>
      <c r="BM22" s="604"/>
      <c r="BN22" s="604"/>
      <c r="BO22" s="604"/>
      <c r="BP22" s="604"/>
      <c r="BQ22" s="604"/>
      <c r="BR22" s="604"/>
      <c r="BS22" s="604"/>
      <c r="BT22" s="604"/>
      <c r="BU22" s="604"/>
    </row>
    <row r="23" spans="1:73">
      <c r="A23" s="596">
        <f t="shared" si="0"/>
        <v>13</v>
      </c>
      <c r="B23" s="607"/>
      <c r="C23" s="607"/>
      <c r="D23" s="605" t="s">
        <v>538</v>
      </c>
      <c r="E23" s="604"/>
      <c r="F23" s="604"/>
      <c r="G23" s="604"/>
      <c r="H23" s="604"/>
      <c r="I23" s="604"/>
      <c r="J23" s="604"/>
      <c r="K23" s="604"/>
      <c r="L23" s="606"/>
      <c r="M23" s="604"/>
      <c r="N23" s="604"/>
      <c r="O23" s="604"/>
      <c r="P23" s="604"/>
      <c r="Q23" s="604"/>
      <c r="R23" s="604"/>
      <c r="S23" s="604"/>
      <c r="T23" s="604"/>
      <c r="U23" s="604"/>
      <c r="V23" s="604"/>
      <c r="W23" s="604"/>
      <c r="X23" s="604"/>
      <c r="Y23" s="604"/>
      <c r="Z23" s="604"/>
      <c r="AA23" s="604"/>
      <c r="AB23" s="604"/>
      <c r="AC23" s="604"/>
      <c r="AD23" s="604"/>
      <c r="AE23" s="604"/>
      <c r="AF23" s="604"/>
      <c r="AG23" s="604"/>
      <c r="AH23" s="604"/>
      <c r="AI23" s="604"/>
      <c r="AJ23" s="604"/>
      <c r="AK23" s="604"/>
      <c r="AL23" s="604"/>
      <c r="AM23" s="604"/>
      <c r="AN23" s="604"/>
      <c r="AO23" s="604"/>
      <c r="AP23" s="604"/>
      <c r="AQ23" s="604"/>
      <c r="AR23" s="604"/>
      <c r="AS23" s="604"/>
      <c r="AT23" s="604"/>
      <c r="AU23" s="604"/>
      <c r="AV23" s="604"/>
      <c r="AW23" s="604"/>
      <c r="AX23" s="604"/>
      <c r="AY23" s="604"/>
      <c r="AZ23" s="604"/>
      <c r="BA23" s="604"/>
      <c r="BB23" s="604"/>
      <c r="BC23" s="604"/>
      <c r="BD23" s="604"/>
      <c r="BE23" s="604"/>
      <c r="BF23" s="604"/>
      <c r="BG23" s="604"/>
      <c r="BH23" s="604"/>
      <c r="BI23" s="604"/>
      <c r="BJ23" s="604"/>
      <c r="BK23" s="604"/>
      <c r="BL23" s="604"/>
      <c r="BM23" s="604"/>
      <c r="BN23" s="604"/>
      <c r="BO23" s="604"/>
      <c r="BP23" s="604"/>
      <c r="BQ23" s="604"/>
      <c r="BR23" s="604"/>
      <c r="BS23" s="604"/>
      <c r="BT23" s="604"/>
      <c r="BU23" s="604"/>
    </row>
    <row r="24" spans="1:73">
      <c r="A24" s="596">
        <f t="shared" si="0"/>
        <v>14</v>
      </c>
      <c r="B24" s="607" t="s">
        <v>721</v>
      </c>
      <c r="C24" s="607" t="s">
        <v>639</v>
      </c>
      <c r="D24" s="612" t="s">
        <v>539</v>
      </c>
      <c r="E24" s="604">
        <f>+'[7]Power Cost Bridge to A-1'!E24</f>
        <v>127167992.89</v>
      </c>
      <c r="F24" s="604">
        <f>'[7]Power Cost Bridge to A-1'!$F$24</f>
        <v>114532804.40863667</v>
      </c>
      <c r="G24" s="978">
        <f>'Staff Colstrip Outage'!F14+'Staff Colstrip Outage'!F15</f>
        <v>-525033.3274999999</v>
      </c>
      <c r="H24" s="604">
        <f>'[7]Power Cost Bridge to A-1'!$H$24</f>
        <v>-6141737.9100000001</v>
      </c>
      <c r="I24" s="604">
        <f>'[7]Power Cost Bridge to A-1'!$I$24</f>
        <v>-1619460.36</v>
      </c>
      <c r="J24" s="604">
        <f>SUM(F24:I24)</f>
        <v>106246572.81113668</v>
      </c>
      <c r="K24" s="604">
        <f>IF(C24="v",J24*$K$8,J24*$K$6)</f>
        <v>106246572.81113668</v>
      </c>
      <c r="L24" s="606"/>
      <c r="M24" s="604"/>
      <c r="N24" s="604"/>
      <c r="O24" s="604"/>
      <c r="P24" s="604"/>
      <c r="Q24" s="604"/>
      <c r="R24" s="604"/>
      <c r="S24" s="604"/>
      <c r="T24" s="604"/>
      <c r="U24" s="604"/>
      <c r="V24" s="604"/>
      <c r="W24" s="604"/>
      <c r="X24" s="604"/>
      <c r="Y24" s="604"/>
      <c r="Z24" s="604"/>
      <c r="AA24" s="604"/>
      <c r="AB24" s="604"/>
      <c r="AC24" s="604"/>
      <c r="AD24" s="604"/>
      <c r="AE24" s="604"/>
      <c r="AF24" s="604"/>
      <c r="AG24" s="604"/>
      <c r="AH24" s="604"/>
      <c r="AI24" s="604"/>
      <c r="AJ24" s="604"/>
      <c r="AK24" s="604"/>
      <c r="AL24" s="604"/>
      <c r="AM24" s="604"/>
      <c r="AN24" s="604"/>
      <c r="AO24" s="604"/>
      <c r="AP24" s="604"/>
      <c r="AQ24" s="604"/>
      <c r="AR24" s="604"/>
      <c r="AS24" s="604"/>
      <c r="AT24" s="604"/>
      <c r="AU24" s="604"/>
      <c r="AV24" s="604"/>
      <c r="AW24" s="604"/>
      <c r="AX24" s="604"/>
      <c r="AY24" s="604"/>
      <c r="AZ24" s="604"/>
      <c r="BA24" s="604"/>
      <c r="BB24" s="604"/>
      <c r="BC24" s="604"/>
      <c r="BD24" s="604"/>
      <c r="BE24" s="604"/>
      <c r="BF24" s="604"/>
      <c r="BG24" s="604"/>
      <c r="BH24" s="604"/>
      <c r="BI24" s="604"/>
      <c r="BJ24" s="604"/>
      <c r="BK24" s="604"/>
      <c r="BL24" s="604"/>
      <c r="BM24" s="604"/>
      <c r="BN24" s="604"/>
      <c r="BO24" s="604"/>
      <c r="BP24" s="604"/>
      <c r="BQ24" s="604"/>
      <c r="BR24" s="604"/>
      <c r="BS24" s="604"/>
      <c r="BT24" s="604"/>
      <c r="BU24" s="604"/>
    </row>
    <row r="25" spans="1:73">
      <c r="A25" s="596">
        <f t="shared" si="0"/>
        <v>15</v>
      </c>
      <c r="B25" s="607" t="s">
        <v>721</v>
      </c>
      <c r="C25" s="607" t="s">
        <v>639</v>
      </c>
      <c r="D25" s="609" t="s">
        <v>722</v>
      </c>
      <c r="E25" s="604">
        <f>+'[7]Power Cost Bridge to A-1'!E25</f>
        <v>876514.03</v>
      </c>
      <c r="F25" s="604">
        <f>'[7]Power Cost Bridge to A-1'!$F$25</f>
        <v>876514.03</v>
      </c>
      <c r="G25" s="604"/>
      <c r="H25" s="604"/>
      <c r="I25" s="604"/>
      <c r="J25" s="604">
        <f>SUM(F25:I25)</f>
        <v>876514.03</v>
      </c>
      <c r="K25" s="604">
        <f>IF(C25="v",J25*$K$8,J25*$K$6)</f>
        <v>876514.03</v>
      </c>
      <c r="L25" s="606"/>
      <c r="M25" s="604"/>
      <c r="N25" s="604"/>
      <c r="O25" s="604"/>
      <c r="P25" s="604"/>
      <c r="Q25" s="604"/>
      <c r="R25" s="604"/>
      <c r="S25" s="604"/>
      <c r="T25" s="604"/>
      <c r="U25" s="604"/>
      <c r="V25" s="604"/>
      <c r="W25" s="604"/>
      <c r="X25" s="604"/>
      <c r="Y25" s="604"/>
      <c r="Z25" s="604"/>
      <c r="AA25" s="604"/>
      <c r="AB25" s="604"/>
      <c r="AC25" s="604"/>
      <c r="AD25" s="604"/>
      <c r="AE25" s="604"/>
      <c r="AF25" s="604"/>
      <c r="AG25" s="604"/>
      <c r="AH25" s="604"/>
      <c r="AI25" s="604"/>
      <c r="AJ25" s="604"/>
      <c r="AK25" s="604"/>
      <c r="AL25" s="604"/>
      <c r="AM25" s="604"/>
      <c r="AN25" s="604"/>
      <c r="AO25" s="604"/>
      <c r="AP25" s="604"/>
      <c r="AQ25" s="604"/>
      <c r="AR25" s="604"/>
      <c r="AS25" s="604"/>
      <c r="AT25" s="604"/>
      <c r="AU25" s="604"/>
      <c r="AV25" s="604"/>
      <c r="AW25" s="604"/>
      <c r="AX25" s="604"/>
      <c r="AY25" s="604"/>
      <c r="AZ25" s="604"/>
      <c r="BA25" s="604"/>
      <c r="BB25" s="604"/>
      <c r="BC25" s="604"/>
      <c r="BD25" s="604"/>
      <c r="BE25" s="604"/>
      <c r="BF25" s="604"/>
      <c r="BG25" s="604"/>
      <c r="BH25" s="604"/>
      <c r="BI25" s="604"/>
      <c r="BJ25" s="604"/>
      <c r="BK25" s="604"/>
      <c r="BL25" s="604"/>
      <c r="BM25" s="604"/>
      <c r="BN25" s="604"/>
      <c r="BO25" s="604"/>
      <c r="BP25" s="604"/>
      <c r="BQ25" s="604"/>
      <c r="BR25" s="604"/>
      <c r="BS25" s="604"/>
      <c r="BT25" s="604"/>
      <c r="BU25" s="604"/>
    </row>
    <row r="26" spans="1:73">
      <c r="A26" s="596">
        <f t="shared" si="0"/>
        <v>16</v>
      </c>
      <c r="B26" s="607" t="s">
        <v>723</v>
      </c>
      <c r="C26" s="607" t="s">
        <v>639</v>
      </c>
      <c r="D26" s="609" t="s">
        <v>724</v>
      </c>
      <c r="E26" s="604">
        <f>+'[7]Power Cost Bridge to A-1'!E26</f>
        <v>-7201724.9500000002</v>
      </c>
      <c r="F26" s="604">
        <f>'[7]Power Cost Bridge to A-1'!$F$26</f>
        <v>-8666881.7085096519</v>
      </c>
      <c r="G26" s="608"/>
      <c r="H26" s="608"/>
      <c r="I26" s="604"/>
      <c r="J26" s="604">
        <f>SUM(F26:I26)</f>
        <v>-8666881.7085096519</v>
      </c>
      <c r="K26" s="604">
        <f>IF(C26="v",J26*$K$8,J26*$K$6)</f>
        <v>-8666881.7085096519</v>
      </c>
      <c r="L26" s="606"/>
      <c r="M26" s="604"/>
      <c r="N26" s="604"/>
      <c r="O26" s="604"/>
      <c r="P26" s="604"/>
      <c r="Q26" s="604"/>
      <c r="R26" s="604"/>
      <c r="S26" s="604"/>
      <c r="T26" s="604"/>
      <c r="U26" s="604"/>
      <c r="V26" s="604"/>
      <c r="W26" s="604"/>
      <c r="X26" s="604"/>
      <c r="Y26" s="604"/>
      <c r="Z26" s="604"/>
      <c r="AA26" s="604"/>
      <c r="AB26" s="604"/>
      <c r="AC26" s="604"/>
      <c r="AD26" s="604"/>
      <c r="AE26" s="604"/>
      <c r="AF26" s="604"/>
      <c r="AG26" s="604"/>
      <c r="AH26" s="604"/>
      <c r="AI26" s="604"/>
      <c r="AJ26" s="604"/>
      <c r="AK26" s="604"/>
      <c r="AL26" s="604"/>
      <c r="AM26" s="604"/>
      <c r="AN26" s="604"/>
      <c r="AO26" s="604"/>
      <c r="AP26" s="604"/>
      <c r="AQ26" s="604"/>
      <c r="AR26" s="604"/>
      <c r="AS26" s="604"/>
      <c r="AT26" s="604"/>
      <c r="AU26" s="604"/>
      <c r="AV26" s="604"/>
      <c r="AW26" s="604"/>
      <c r="AX26" s="604"/>
      <c r="AY26" s="604"/>
      <c r="AZ26" s="604"/>
      <c r="BA26" s="604"/>
      <c r="BB26" s="604"/>
      <c r="BC26" s="604"/>
      <c r="BD26" s="604"/>
      <c r="BE26" s="604"/>
      <c r="BF26" s="604"/>
      <c r="BG26" s="604"/>
      <c r="BH26" s="604"/>
      <c r="BI26" s="604"/>
      <c r="BJ26" s="604"/>
      <c r="BK26" s="604"/>
      <c r="BL26" s="604"/>
      <c r="BM26" s="604"/>
      <c r="BN26" s="604"/>
      <c r="BO26" s="604"/>
      <c r="BP26" s="604"/>
      <c r="BQ26" s="604"/>
      <c r="BR26" s="604"/>
      <c r="BS26" s="604"/>
      <c r="BT26" s="604"/>
      <c r="BU26" s="604"/>
    </row>
    <row r="27" spans="1:73">
      <c r="A27" s="596">
        <f t="shared" si="0"/>
        <v>17</v>
      </c>
      <c r="B27" s="607" t="s">
        <v>725</v>
      </c>
      <c r="C27" s="607" t="s">
        <v>644</v>
      </c>
      <c r="D27" s="609" t="s">
        <v>726</v>
      </c>
      <c r="E27" s="604">
        <f>+'[7]Power Cost Bridge to A-1'!E27</f>
        <v>0</v>
      </c>
      <c r="F27" s="978">
        <f>'[7]Power Cost Bridge to A-1'!$F$27</f>
        <v>4094424</v>
      </c>
      <c r="G27" s="608"/>
      <c r="H27" s="604"/>
      <c r="I27" s="604"/>
      <c r="J27" s="604">
        <f>SUM(F27:I27)</f>
        <v>4094424</v>
      </c>
      <c r="K27" s="604">
        <f>IF(C27="v",J27*$K$8,J27*$K$6)</f>
        <v>3913458.436219302</v>
      </c>
      <c r="L27" s="606"/>
      <c r="M27" s="604"/>
      <c r="N27" s="604"/>
      <c r="O27" s="604"/>
      <c r="P27" s="604"/>
      <c r="Q27" s="604"/>
      <c r="R27" s="604"/>
      <c r="S27" s="604"/>
      <c r="T27" s="604"/>
      <c r="U27" s="604"/>
      <c r="V27" s="604"/>
      <c r="W27" s="604"/>
      <c r="X27" s="604"/>
      <c r="Y27" s="604"/>
      <c r="Z27" s="604"/>
      <c r="AA27" s="604"/>
      <c r="AB27" s="604"/>
      <c r="AC27" s="604"/>
      <c r="AD27" s="604"/>
      <c r="AE27" s="604"/>
      <c r="AF27" s="604"/>
      <c r="AG27" s="604"/>
      <c r="AH27" s="604"/>
      <c r="AI27" s="604"/>
      <c r="AJ27" s="604"/>
      <c r="AK27" s="604"/>
      <c r="AL27" s="604"/>
      <c r="AM27" s="604"/>
      <c r="AN27" s="604"/>
      <c r="AO27" s="604"/>
      <c r="AP27" s="604"/>
      <c r="AQ27" s="604"/>
      <c r="AR27" s="604"/>
      <c r="AS27" s="604"/>
      <c r="AT27" s="604"/>
      <c r="AU27" s="604"/>
      <c r="AV27" s="604"/>
      <c r="AW27" s="604"/>
      <c r="AX27" s="604"/>
      <c r="AY27" s="604"/>
      <c r="AZ27" s="604"/>
      <c r="BA27" s="604"/>
      <c r="BB27" s="604"/>
      <c r="BC27" s="604"/>
      <c r="BD27" s="604"/>
      <c r="BE27" s="604"/>
      <c r="BF27" s="604"/>
      <c r="BG27" s="604"/>
      <c r="BH27" s="604"/>
      <c r="BI27" s="604"/>
      <c r="BJ27" s="604"/>
      <c r="BK27" s="604"/>
      <c r="BL27" s="604"/>
      <c r="BM27" s="604"/>
      <c r="BN27" s="604"/>
      <c r="BO27" s="604"/>
      <c r="BP27" s="604"/>
      <c r="BQ27" s="604"/>
      <c r="BR27" s="604"/>
      <c r="BS27" s="604"/>
      <c r="BT27" s="604"/>
      <c r="BU27" s="604"/>
    </row>
    <row r="28" spans="1:73" ht="13.5" thickBot="1">
      <c r="A28" s="596">
        <f t="shared" si="0"/>
        <v>18</v>
      </c>
      <c r="B28" s="607"/>
      <c r="C28" s="607"/>
      <c r="D28" s="609" t="s">
        <v>97</v>
      </c>
      <c r="E28" s="613">
        <f t="shared" ref="E28:J28" si="4">SUM(E21:E27)</f>
        <v>818050747.00878263</v>
      </c>
      <c r="F28" s="613">
        <f t="shared" si="4"/>
        <v>845825305.6675657</v>
      </c>
      <c r="G28" s="613">
        <f t="shared" si="4"/>
        <v>-525033.3274999999</v>
      </c>
      <c r="H28" s="613">
        <f t="shared" si="4"/>
        <v>-7975220.9299999997</v>
      </c>
      <c r="I28" s="613">
        <f t="shared" si="4"/>
        <v>-1942577.9200000002</v>
      </c>
      <c r="J28" s="613">
        <f t="shared" si="4"/>
        <v>835382473.49006569</v>
      </c>
      <c r="K28" s="613">
        <f>SUM(K21:K27)</f>
        <v>803157962.49530232</v>
      </c>
      <c r="L28" s="606"/>
      <c r="M28" s="604"/>
      <c r="N28" s="604"/>
      <c r="O28" s="604"/>
      <c r="P28" s="604"/>
      <c r="Q28" s="604"/>
      <c r="R28" s="604"/>
      <c r="S28" s="604"/>
      <c r="T28" s="604"/>
      <c r="U28" s="604"/>
      <c r="V28" s="604"/>
      <c r="W28" s="604"/>
      <c r="X28" s="604"/>
      <c r="Y28" s="604"/>
      <c r="Z28" s="604"/>
      <c r="AA28" s="604"/>
      <c r="AB28" s="604"/>
      <c r="AC28" s="604"/>
      <c r="AD28" s="604"/>
      <c r="AE28" s="604"/>
      <c r="AF28" s="604"/>
      <c r="AG28" s="604"/>
      <c r="AH28" s="604"/>
      <c r="AI28" s="604"/>
      <c r="AJ28" s="604"/>
      <c r="AK28" s="604"/>
      <c r="AL28" s="604"/>
      <c r="AM28" s="604"/>
      <c r="AN28" s="604"/>
      <c r="AO28" s="604"/>
      <c r="AP28" s="604"/>
      <c r="AQ28" s="604"/>
      <c r="AR28" s="604"/>
      <c r="AS28" s="604"/>
      <c r="AT28" s="604"/>
      <c r="AU28" s="604"/>
      <c r="AV28" s="604"/>
      <c r="AW28" s="604"/>
      <c r="AX28" s="604"/>
      <c r="AY28" s="604"/>
      <c r="AZ28" s="604"/>
      <c r="BA28" s="604"/>
      <c r="BB28" s="604"/>
      <c r="BC28" s="604"/>
      <c r="BD28" s="604"/>
      <c r="BE28" s="604"/>
      <c r="BF28" s="604"/>
      <c r="BG28" s="604"/>
      <c r="BH28" s="604"/>
      <c r="BI28" s="604"/>
      <c r="BJ28" s="604"/>
      <c r="BK28" s="604"/>
      <c r="BL28" s="604"/>
      <c r="BM28" s="604"/>
      <c r="BN28" s="604"/>
      <c r="BO28" s="604"/>
      <c r="BP28" s="604"/>
      <c r="BQ28" s="604"/>
      <c r="BR28" s="604"/>
      <c r="BS28" s="604"/>
      <c r="BT28" s="604"/>
      <c r="BU28" s="604"/>
    </row>
    <row r="29" spans="1:73" ht="13.5" thickTop="1">
      <c r="B29" s="607"/>
      <c r="C29" s="607"/>
      <c r="E29" s="606"/>
      <c r="F29" s="606"/>
      <c r="G29" s="120"/>
      <c r="H29" s="606"/>
      <c r="I29" s="606"/>
      <c r="J29" s="606"/>
      <c r="K29" s="606"/>
      <c r="L29" s="606"/>
      <c r="M29" s="604"/>
      <c r="N29" s="604"/>
      <c r="O29" s="604"/>
      <c r="P29" s="604"/>
      <c r="Q29" s="604"/>
      <c r="R29" s="604"/>
      <c r="S29" s="604"/>
      <c r="T29" s="604"/>
      <c r="U29" s="604"/>
      <c r="V29" s="604"/>
      <c r="W29" s="604"/>
      <c r="X29" s="604"/>
      <c r="Y29" s="604"/>
      <c r="Z29" s="604"/>
      <c r="AA29" s="604"/>
      <c r="AB29" s="604"/>
      <c r="AC29" s="604"/>
      <c r="AD29" s="604"/>
      <c r="AE29" s="604"/>
      <c r="AF29" s="604"/>
      <c r="AG29" s="604"/>
      <c r="AH29" s="604"/>
      <c r="AI29" s="604"/>
      <c r="AJ29" s="604"/>
      <c r="AK29" s="604"/>
      <c r="AL29" s="604"/>
      <c r="AM29" s="604"/>
      <c r="AN29" s="604"/>
      <c r="AO29" s="604"/>
      <c r="AP29" s="604"/>
      <c r="AQ29" s="604"/>
      <c r="AR29" s="604"/>
      <c r="AS29" s="604"/>
      <c r="AT29" s="604"/>
      <c r="AU29" s="604"/>
      <c r="AV29" s="604"/>
      <c r="AW29" s="604"/>
      <c r="AX29" s="604"/>
      <c r="AY29" s="604"/>
      <c r="AZ29" s="604"/>
      <c r="BA29" s="604"/>
      <c r="BB29" s="604"/>
      <c r="BC29" s="604"/>
      <c r="BD29" s="604"/>
      <c r="BE29" s="604"/>
      <c r="BF29" s="604"/>
      <c r="BG29" s="604"/>
      <c r="BH29" s="604"/>
      <c r="BI29" s="604"/>
      <c r="BJ29" s="604"/>
      <c r="BK29" s="604"/>
      <c r="BL29" s="604"/>
      <c r="BM29" s="604"/>
      <c r="BN29" s="604"/>
      <c r="BO29" s="604"/>
      <c r="BP29" s="604"/>
      <c r="BQ29" s="604"/>
      <c r="BR29" s="604"/>
      <c r="BS29" s="604"/>
      <c r="BT29" s="604"/>
      <c r="BU29" s="604"/>
    </row>
    <row r="30" spans="1:73">
      <c r="B30" s="607"/>
      <c r="C30" s="607"/>
      <c r="E30" s="604"/>
      <c r="F30" s="604"/>
      <c r="G30" s="604"/>
      <c r="H30" s="604"/>
      <c r="I30" s="604"/>
      <c r="J30" s="604"/>
      <c r="K30" s="604"/>
      <c r="L30" s="606"/>
      <c r="M30" s="604"/>
      <c r="N30" s="604"/>
      <c r="O30" s="604"/>
      <c r="P30" s="604"/>
      <c r="Q30" s="604"/>
      <c r="R30" s="604"/>
      <c r="S30" s="604"/>
      <c r="T30" s="604"/>
      <c r="U30" s="604"/>
      <c r="V30" s="604"/>
      <c r="W30" s="604"/>
      <c r="X30" s="604"/>
      <c r="Y30" s="604"/>
      <c r="Z30" s="604"/>
      <c r="AA30" s="604"/>
      <c r="AB30" s="604"/>
      <c r="AC30" s="604"/>
      <c r="AD30" s="604"/>
      <c r="AE30" s="604"/>
      <c r="AF30" s="604"/>
      <c r="AG30" s="604"/>
      <c r="AH30" s="604"/>
      <c r="AI30" s="604"/>
      <c r="AJ30" s="604"/>
      <c r="AK30" s="604"/>
      <c r="AL30" s="604"/>
      <c r="AM30" s="604"/>
      <c r="AN30" s="604"/>
      <c r="AO30" s="604"/>
      <c r="AP30" s="604"/>
      <c r="AQ30" s="604"/>
      <c r="AR30" s="604"/>
      <c r="AS30" s="604"/>
      <c r="AT30" s="604"/>
      <c r="AU30" s="604"/>
      <c r="AV30" s="604"/>
      <c r="AW30" s="604"/>
      <c r="AX30" s="604"/>
      <c r="AY30" s="604"/>
      <c r="AZ30" s="604"/>
      <c r="BA30" s="604"/>
      <c r="BB30" s="604"/>
      <c r="BC30" s="604"/>
      <c r="BD30" s="604"/>
      <c r="BE30" s="604"/>
      <c r="BF30" s="604"/>
      <c r="BG30" s="604"/>
      <c r="BH30" s="604"/>
      <c r="BI30" s="604"/>
      <c r="BJ30" s="604"/>
      <c r="BK30" s="604"/>
      <c r="BL30" s="604"/>
      <c r="BM30" s="604"/>
      <c r="BN30" s="604"/>
      <c r="BO30" s="604"/>
      <c r="BP30" s="604"/>
      <c r="BQ30" s="604"/>
      <c r="BR30" s="604"/>
      <c r="BS30" s="604"/>
      <c r="BT30" s="604"/>
      <c r="BU30" s="604"/>
    </row>
    <row r="31" spans="1:73">
      <c r="A31" s="606"/>
      <c r="B31" s="606"/>
      <c r="C31" s="606"/>
      <c r="D31" s="606"/>
      <c r="E31" s="606"/>
      <c r="F31" s="606"/>
      <c r="G31" s="120"/>
      <c r="H31" s="606"/>
      <c r="I31" s="606"/>
      <c r="J31" s="606"/>
      <c r="K31" s="606"/>
      <c r="L31" s="606"/>
      <c r="M31" s="604"/>
      <c r="N31" s="604"/>
      <c r="O31" s="604"/>
      <c r="P31" s="604"/>
      <c r="Q31" s="604"/>
      <c r="R31" s="604"/>
      <c r="S31" s="604"/>
      <c r="T31" s="604"/>
      <c r="U31" s="604"/>
      <c r="V31" s="604"/>
      <c r="W31" s="604"/>
      <c r="X31" s="604"/>
      <c r="Y31" s="604"/>
      <c r="Z31" s="604"/>
      <c r="AA31" s="604"/>
      <c r="AB31" s="604"/>
      <c r="AC31" s="604"/>
      <c r="AD31" s="604"/>
      <c r="AE31" s="604"/>
      <c r="AF31" s="604"/>
      <c r="AG31" s="604"/>
      <c r="AH31" s="604"/>
      <c r="AI31" s="604"/>
      <c r="AJ31" s="604"/>
      <c r="AK31" s="604"/>
      <c r="AL31" s="604"/>
      <c r="AM31" s="604"/>
      <c r="AN31" s="604"/>
      <c r="AO31" s="604"/>
      <c r="AP31" s="604"/>
      <c r="AQ31" s="604"/>
      <c r="AR31" s="604"/>
      <c r="AS31" s="604"/>
      <c r="AT31" s="604"/>
      <c r="AU31" s="604"/>
      <c r="AV31" s="604"/>
      <c r="AW31" s="604"/>
      <c r="AX31" s="604"/>
      <c r="AY31" s="604"/>
      <c r="AZ31" s="604"/>
      <c r="BA31" s="604"/>
      <c r="BB31" s="604"/>
      <c r="BC31" s="604"/>
      <c r="BD31" s="604"/>
      <c r="BE31" s="604"/>
      <c r="BF31" s="604"/>
      <c r="BG31" s="604"/>
      <c r="BH31" s="604"/>
      <c r="BI31" s="604"/>
      <c r="BJ31" s="604"/>
      <c r="BK31" s="604"/>
      <c r="BL31" s="604"/>
      <c r="BM31" s="604"/>
      <c r="BN31" s="604"/>
      <c r="BO31" s="604"/>
      <c r="BP31" s="604"/>
      <c r="BQ31" s="604"/>
      <c r="BR31" s="604"/>
      <c r="BS31" s="604"/>
      <c r="BT31" s="604"/>
      <c r="BU31" s="604"/>
    </row>
    <row r="32" spans="1:73">
      <c r="A32" s="606"/>
      <c r="B32" s="606"/>
      <c r="C32" s="606"/>
      <c r="D32" s="606"/>
      <c r="E32" s="606"/>
      <c r="F32" s="606"/>
      <c r="G32" s="120"/>
      <c r="H32" s="606"/>
      <c r="I32" s="606"/>
      <c r="J32" s="606"/>
      <c r="K32" s="606"/>
      <c r="L32" s="606"/>
      <c r="M32" s="604"/>
      <c r="N32" s="604"/>
      <c r="O32" s="604"/>
      <c r="P32" s="604"/>
      <c r="Q32" s="604"/>
      <c r="R32" s="604"/>
      <c r="S32" s="604"/>
      <c r="T32" s="604"/>
      <c r="U32" s="604"/>
      <c r="V32" s="604"/>
      <c r="W32" s="604"/>
      <c r="X32" s="604"/>
      <c r="Y32" s="604"/>
      <c r="Z32" s="604"/>
      <c r="AA32" s="604"/>
      <c r="AB32" s="604"/>
      <c r="AC32" s="604"/>
      <c r="AD32" s="604"/>
      <c r="AE32" s="604"/>
      <c r="AF32" s="604"/>
      <c r="AG32" s="604"/>
      <c r="AH32" s="604"/>
      <c r="AI32" s="604"/>
      <c r="AJ32" s="604"/>
      <c r="AK32" s="604"/>
      <c r="AL32" s="604"/>
      <c r="AM32" s="604"/>
      <c r="AN32" s="604"/>
      <c r="AO32" s="604"/>
      <c r="AP32" s="604"/>
      <c r="AQ32" s="604"/>
      <c r="AR32" s="604"/>
      <c r="AS32" s="604"/>
      <c r="AT32" s="604"/>
      <c r="AU32" s="604"/>
      <c r="AV32" s="604"/>
      <c r="AW32" s="604"/>
      <c r="AX32" s="604"/>
      <c r="AY32" s="604"/>
      <c r="AZ32" s="604"/>
      <c r="BA32" s="604"/>
      <c r="BB32" s="604"/>
      <c r="BC32" s="604"/>
      <c r="BD32" s="604"/>
      <c r="BE32" s="604"/>
      <c r="BF32" s="604"/>
      <c r="BG32" s="604"/>
      <c r="BH32" s="604"/>
      <c r="BI32" s="604"/>
      <c r="BJ32" s="604"/>
      <c r="BK32" s="604"/>
      <c r="BL32" s="604"/>
      <c r="BM32" s="604"/>
      <c r="BN32" s="604"/>
      <c r="BO32" s="604"/>
      <c r="BP32" s="604"/>
      <c r="BQ32" s="604"/>
      <c r="BR32" s="604"/>
      <c r="BS32" s="604"/>
      <c r="BT32" s="604"/>
      <c r="BU32" s="604"/>
    </row>
    <row r="33" spans="1:73">
      <c r="A33" s="606"/>
      <c r="B33" s="606"/>
      <c r="C33" s="606"/>
      <c r="D33" s="606"/>
      <c r="E33" s="606"/>
      <c r="F33" s="606"/>
      <c r="G33" s="120"/>
      <c r="H33" s="606"/>
      <c r="I33" s="606"/>
      <c r="J33" s="606"/>
      <c r="K33" s="606"/>
      <c r="L33" s="606"/>
      <c r="M33" s="604"/>
      <c r="N33" s="604"/>
      <c r="O33" s="604"/>
      <c r="P33" s="604"/>
      <c r="Q33" s="604"/>
      <c r="R33" s="604"/>
      <c r="S33" s="604"/>
      <c r="T33" s="604"/>
      <c r="U33" s="604"/>
      <c r="V33" s="604"/>
      <c r="W33" s="604"/>
      <c r="X33" s="604"/>
      <c r="Y33" s="604"/>
      <c r="Z33" s="604"/>
      <c r="AA33" s="604"/>
      <c r="AB33" s="604"/>
      <c r="AC33" s="604"/>
      <c r="AD33" s="604"/>
      <c r="AE33" s="604"/>
      <c r="AF33" s="604"/>
      <c r="AG33" s="604"/>
      <c r="AH33" s="604"/>
      <c r="AI33" s="604"/>
      <c r="AJ33" s="604"/>
      <c r="AK33" s="604"/>
      <c r="AL33" s="604"/>
      <c r="AM33" s="604"/>
      <c r="AN33" s="604"/>
      <c r="AO33" s="604"/>
      <c r="AP33" s="604"/>
      <c r="AQ33" s="604"/>
      <c r="AR33" s="604"/>
      <c r="AS33" s="604"/>
      <c r="AT33" s="604"/>
      <c r="AU33" s="604"/>
      <c r="AV33" s="604"/>
      <c r="AW33" s="604"/>
      <c r="AX33" s="604"/>
      <c r="AY33" s="604"/>
      <c r="AZ33" s="604"/>
      <c r="BA33" s="604"/>
      <c r="BB33" s="604"/>
      <c r="BC33" s="604"/>
      <c r="BD33" s="604"/>
      <c r="BE33" s="604"/>
      <c r="BF33" s="604"/>
      <c r="BG33" s="604"/>
      <c r="BH33" s="604"/>
      <c r="BI33" s="604"/>
      <c r="BJ33" s="604"/>
      <c r="BK33" s="604"/>
      <c r="BL33" s="604"/>
      <c r="BM33" s="604"/>
      <c r="BN33" s="604"/>
      <c r="BO33" s="604"/>
      <c r="BP33" s="604"/>
      <c r="BQ33" s="604"/>
      <c r="BR33" s="604"/>
      <c r="BS33" s="604"/>
      <c r="BT33" s="604"/>
      <c r="BU33" s="604"/>
    </row>
    <row r="34" spans="1:73">
      <c r="A34" s="606"/>
      <c r="B34" s="606"/>
      <c r="C34" s="606"/>
      <c r="D34" s="606"/>
      <c r="E34" s="606"/>
      <c r="F34" s="606"/>
      <c r="G34" s="120"/>
      <c r="H34" s="606"/>
      <c r="I34" s="606"/>
      <c r="J34" s="606"/>
      <c r="K34" s="606"/>
      <c r="L34" s="606"/>
      <c r="M34" s="604"/>
      <c r="N34" s="604"/>
      <c r="O34" s="604"/>
      <c r="P34" s="604"/>
      <c r="Q34" s="604"/>
      <c r="R34" s="604"/>
      <c r="S34" s="604"/>
      <c r="T34" s="604"/>
      <c r="U34" s="604"/>
      <c r="V34" s="604"/>
      <c r="W34" s="604"/>
      <c r="X34" s="604"/>
      <c r="Y34" s="604"/>
      <c r="Z34" s="604"/>
      <c r="AA34" s="604"/>
      <c r="AB34" s="604"/>
      <c r="AC34" s="604"/>
      <c r="AD34" s="604"/>
      <c r="AE34" s="604"/>
      <c r="AF34" s="604"/>
      <c r="AG34" s="604"/>
      <c r="AH34" s="604"/>
      <c r="AI34" s="604"/>
      <c r="AJ34" s="604"/>
      <c r="AK34" s="604"/>
      <c r="AL34" s="604"/>
      <c r="AM34" s="604"/>
      <c r="AN34" s="604"/>
      <c r="AO34" s="604"/>
      <c r="AP34" s="604"/>
      <c r="AQ34" s="604"/>
      <c r="AR34" s="604"/>
      <c r="AS34" s="604"/>
      <c r="AT34" s="604"/>
      <c r="AU34" s="604"/>
      <c r="AV34" s="604"/>
      <c r="AW34" s="604"/>
      <c r="AX34" s="604"/>
      <c r="AY34" s="604"/>
      <c r="AZ34" s="604"/>
      <c r="BA34" s="604"/>
      <c r="BB34" s="604"/>
      <c r="BC34" s="604"/>
      <c r="BD34" s="604"/>
      <c r="BE34" s="604"/>
      <c r="BF34" s="604"/>
      <c r="BG34" s="604"/>
      <c r="BH34" s="604"/>
      <c r="BI34" s="604"/>
      <c r="BJ34" s="604"/>
      <c r="BK34" s="604"/>
      <c r="BL34" s="604"/>
      <c r="BM34" s="604"/>
      <c r="BN34" s="604"/>
      <c r="BO34" s="604"/>
      <c r="BP34" s="604"/>
      <c r="BQ34" s="604"/>
      <c r="BR34" s="604"/>
      <c r="BS34" s="604"/>
      <c r="BT34" s="604"/>
      <c r="BU34" s="604"/>
    </row>
    <row r="35" spans="1:73">
      <c r="A35" s="606"/>
      <c r="B35" s="606"/>
      <c r="C35" s="606"/>
      <c r="D35" s="606"/>
      <c r="E35" s="606"/>
      <c r="F35" s="606"/>
      <c r="G35" s="120"/>
      <c r="H35" s="606"/>
      <c r="I35" s="606"/>
      <c r="J35" s="606"/>
      <c r="K35" s="606"/>
      <c r="L35" s="606"/>
      <c r="M35" s="604"/>
      <c r="N35" s="604"/>
      <c r="O35" s="604"/>
      <c r="P35" s="604"/>
      <c r="Q35" s="604"/>
      <c r="R35" s="604"/>
      <c r="S35" s="604"/>
      <c r="T35" s="604"/>
      <c r="U35" s="604"/>
      <c r="V35" s="604"/>
      <c r="W35" s="604"/>
      <c r="X35" s="604"/>
      <c r="Y35" s="604"/>
      <c r="Z35" s="604"/>
      <c r="AA35" s="604"/>
      <c r="AB35" s="604"/>
      <c r="AC35" s="604"/>
      <c r="AD35" s="604"/>
      <c r="AE35" s="604"/>
      <c r="AF35" s="604"/>
      <c r="AG35" s="604"/>
      <c r="AH35" s="604"/>
      <c r="AI35" s="604"/>
      <c r="AJ35" s="604"/>
      <c r="AK35" s="604"/>
      <c r="AL35" s="604"/>
      <c r="AM35" s="604"/>
      <c r="AN35" s="604"/>
      <c r="AO35" s="604"/>
      <c r="AP35" s="604"/>
      <c r="AQ35" s="604"/>
      <c r="AR35" s="604"/>
      <c r="AS35" s="604"/>
      <c r="AT35" s="604"/>
      <c r="AU35" s="604"/>
      <c r="AV35" s="604"/>
      <c r="AW35" s="604"/>
      <c r="AX35" s="604"/>
      <c r="AY35" s="604"/>
      <c r="AZ35" s="604"/>
      <c r="BA35" s="604"/>
      <c r="BB35" s="604"/>
      <c r="BC35" s="604"/>
      <c r="BD35" s="604"/>
      <c r="BE35" s="604"/>
      <c r="BF35" s="604"/>
      <c r="BG35" s="604"/>
      <c r="BH35" s="604"/>
      <c r="BI35" s="604"/>
      <c r="BJ35" s="604"/>
      <c r="BK35" s="604"/>
      <c r="BL35" s="604"/>
      <c r="BM35" s="604"/>
      <c r="BN35" s="604"/>
      <c r="BO35" s="604"/>
      <c r="BP35" s="604"/>
      <c r="BQ35" s="604"/>
      <c r="BR35" s="604"/>
      <c r="BS35" s="604"/>
      <c r="BT35" s="604"/>
      <c r="BU35" s="604"/>
    </row>
    <row r="36" spans="1:73">
      <c r="A36" s="606"/>
      <c r="B36" s="606"/>
      <c r="C36" s="606"/>
      <c r="D36" s="606"/>
      <c r="E36" s="606"/>
      <c r="F36" s="606"/>
      <c r="G36" s="120"/>
      <c r="H36" s="606"/>
      <c r="I36" s="606"/>
      <c r="J36" s="606"/>
      <c r="K36" s="606"/>
      <c r="L36" s="604"/>
      <c r="M36" s="604"/>
      <c r="N36" s="604"/>
      <c r="O36" s="604"/>
      <c r="P36" s="604"/>
      <c r="Q36" s="604"/>
      <c r="R36" s="604"/>
      <c r="S36" s="604"/>
      <c r="T36" s="604"/>
      <c r="U36" s="604"/>
      <c r="V36" s="604"/>
      <c r="W36" s="604"/>
      <c r="X36" s="604"/>
      <c r="Y36" s="604"/>
      <c r="Z36" s="604"/>
      <c r="AA36" s="604"/>
      <c r="AB36" s="604"/>
      <c r="AC36" s="604"/>
      <c r="AD36" s="604"/>
      <c r="AE36" s="604"/>
      <c r="AF36" s="604"/>
      <c r="AG36" s="604"/>
      <c r="AH36" s="604"/>
      <c r="AI36" s="604"/>
      <c r="AJ36" s="604"/>
      <c r="AK36" s="604"/>
      <c r="AL36" s="604"/>
      <c r="AM36" s="604"/>
      <c r="AN36" s="604"/>
      <c r="AO36" s="604"/>
      <c r="AP36" s="604"/>
      <c r="AQ36" s="604"/>
      <c r="AR36" s="604"/>
      <c r="AS36" s="604"/>
      <c r="AT36" s="604"/>
      <c r="AU36" s="604"/>
      <c r="AV36" s="604"/>
      <c r="AW36" s="604"/>
      <c r="AX36" s="604"/>
      <c r="AY36" s="604"/>
      <c r="AZ36" s="604"/>
      <c r="BA36" s="604"/>
      <c r="BB36" s="604"/>
      <c r="BC36" s="604"/>
      <c r="BD36" s="604"/>
      <c r="BE36" s="604"/>
      <c r="BF36" s="604"/>
      <c r="BG36" s="604"/>
      <c r="BH36" s="604"/>
      <c r="BI36" s="604"/>
      <c r="BJ36" s="604"/>
      <c r="BK36" s="604"/>
      <c r="BL36" s="604"/>
      <c r="BM36" s="604"/>
      <c r="BN36" s="604"/>
      <c r="BO36" s="604"/>
      <c r="BP36" s="604"/>
      <c r="BQ36" s="604"/>
      <c r="BR36" s="604"/>
      <c r="BS36" s="604"/>
      <c r="BT36" s="604"/>
      <c r="BU36" s="604"/>
    </row>
    <row r="37" spans="1:73">
      <c r="A37" s="606"/>
      <c r="B37" s="606"/>
      <c r="C37" s="606"/>
      <c r="D37" s="606"/>
      <c r="E37" s="606"/>
      <c r="F37" s="606"/>
      <c r="G37" s="120"/>
      <c r="H37" s="606"/>
      <c r="I37" s="606"/>
      <c r="J37" s="606"/>
      <c r="K37" s="606"/>
      <c r="L37" s="604"/>
      <c r="M37" s="604"/>
      <c r="N37" s="604"/>
      <c r="O37" s="604"/>
      <c r="P37" s="604"/>
      <c r="Q37" s="604"/>
      <c r="R37" s="604"/>
      <c r="S37" s="604"/>
      <c r="T37" s="604"/>
      <c r="U37" s="604"/>
      <c r="V37" s="604"/>
      <c r="W37" s="604"/>
      <c r="X37" s="604"/>
      <c r="Y37" s="604"/>
      <c r="Z37" s="604"/>
      <c r="AA37" s="604"/>
      <c r="AB37" s="604"/>
      <c r="AC37" s="604"/>
      <c r="AD37" s="604"/>
      <c r="AE37" s="604"/>
      <c r="AF37" s="604"/>
      <c r="AG37" s="604"/>
      <c r="AH37" s="604"/>
      <c r="AI37" s="604"/>
      <c r="AJ37" s="604"/>
      <c r="AK37" s="604"/>
      <c r="AL37" s="604"/>
      <c r="AM37" s="604"/>
      <c r="AN37" s="604"/>
      <c r="AO37" s="604"/>
      <c r="AP37" s="604"/>
      <c r="AQ37" s="604"/>
      <c r="AR37" s="604"/>
      <c r="AS37" s="604"/>
      <c r="AT37" s="604"/>
      <c r="AU37" s="604"/>
      <c r="AV37" s="604"/>
      <c r="AW37" s="604"/>
      <c r="AX37" s="604"/>
      <c r="AY37" s="604"/>
      <c r="AZ37" s="604"/>
      <c r="BA37" s="604"/>
      <c r="BB37" s="604"/>
      <c r="BC37" s="604"/>
      <c r="BD37" s="604"/>
      <c r="BE37" s="604"/>
      <c r="BF37" s="604"/>
      <c r="BG37" s="604"/>
      <c r="BH37" s="604"/>
      <c r="BI37" s="604"/>
      <c r="BJ37" s="604"/>
      <c r="BK37" s="604"/>
      <c r="BL37" s="604"/>
      <c r="BM37" s="604"/>
      <c r="BN37" s="604"/>
      <c r="BO37" s="604"/>
      <c r="BP37" s="604"/>
      <c r="BQ37" s="604"/>
      <c r="BR37" s="604"/>
      <c r="BS37" s="604"/>
      <c r="BT37" s="604"/>
      <c r="BU37" s="604"/>
    </row>
    <row r="38" spans="1:73">
      <c r="A38" s="606"/>
      <c r="B38" s="606"/>
      <c r="C38" s="606"/>
      <c r="D38" s="606"/>
      <c r="E38" s="606"/>
      <c r="F38" s="606"/>
      <c r="G38" s="120"/>
      <c r="H38" s="606"/>
      <c r="I38" s="606"/>
      <c r="J38" s="606"/>
      <c r="K38" s="606"/>
      <c r="L38" s="604"/>
      <c r="M38" s="604"/>
      <c r="N38" s="604"/>
      <c r="O38" s="604"/>
      <c r="P38" s="604"/>
      <c r="Q38" s="604"/>
      <c r="R38" s="604"/>
      <c r="S38" s="604"/>
      <c r="T38" s="604"/>
      <c r="U38" s="604"/>
      <c r="V38" s="604"/>
      <c r="W38" s="604"/>
      <c r="X38" s="604"/>
      <c r="Y38" s="604"/>
      <c r="Z38" s="604"/>
      <c r="AA38" s="604"/>
      <c r="AB38" s="604"/>
      <c r="AC38" s="604"/>
      <c r="AD38" s="604"/>
      <c r="AE38" s="604"/>
      <c r="AF38" s="604"/>
      <c r="AG38" s="604"/>
      <c r="AH38" s="604"/>
      <c r="AI38" s="604"/>
      <c r="AJ38" s="604"/>
      <c r="AK38" s="604"/>
      <c r="AL38" s="604"/>
      <c r="AM38" s="604"/>
      <c r="AN38" s="604"/>
      <c r="AO38" s="604"/>
      <c r="AP38" s="604"/>
      <c r="AQ38" s="604"/>
      <c r="AR38" s="604"/>
      <c r="AS38" s="604"/>
      <c r="AT38" s="604"/>
      <c r="AU38" s="604"/>
      <c r="AV38" s="604"/>
      <c r="AW38" s="604"/>
      <c r="AX38" s="604"/>
      <c r="AY38" s="604"/>
      <c r="AZ38" s="604"/>
      <c r="BA38" s="604"/>
      <c r="BB38" s="604"/>
      <c r="BC38" s="604"/>
      <c r="BD38" s="604"/>
      <c r="BE38" s="604"/>
      <c r="BF38" s="604"/>
      <c r="BG38" s="604"/>
      <c r="BH38" s="604"/>
      <c r="BI38" s="604"/>
      <c r="BJ38" s="604"/>
      <c r="BK38" s="604"/>
      <c r="BL38" s="604"/>
      <c r="BM38" s="604"/>
      <c r="BN38" s="604"/>
      <c r="BO38" s="604"/>
      <c r="BP38" s="604"/>
      <c r="BQ38" s="604"/>
      <c r="BR38" s="604"/>
      <c r="BS38" s="604"/>
      <c r="BT38" s="604"/>
      <c r="BU38" s="604"/>
    </row>
    <row r="39" spans="1:73">
      <c r="A39" s="606"/>
      <c r="B39" s="606"/>
      <c r="C39" s="606"/>
      <c r="D39" s="606"/>
      <c r="E39" s="606"/>
      <c r="F39" s="606"/>
      <c r="G39" s="120"/>
      <c r="H39" s="606"/>
      <c r="I39" s="606"/>
      <c r="J39" s="606"/>
      <c r="K39" s="606"/>
      <c r="L39" s="604"/>
      <c r="M39" s="604"/>
      <c r="N39" s="604"/>
      <c r="O39" s="604"/>
      <c r="P39" s="604"/>
      <c r="Q39" s="604"/>
      <c r="R39" s="604"/>
      <c r="S39" s="604"/>
      <c r="T39" s="604"/>
      <c r="U39" s="604"/>
      <c r="V39" s="604"/>
      <c r="W39" s="604"/>
      <c r="X39" s="604"/>
      <c r="Y39" s="604"/>
      <c r="Z39" s="604"/>
      <c r="AA39" s="604"/>
      <c r="AB39" s="604"/>
      <c r="AC39" s="604"/>
      <c r="AD39" s="604"/>
      <c r="AE39" s="604"/>
      <c r="AF39" s="604"/>
      <c r="AG39" s="604"/>
      <c r="AH39" s="604"/>
      <c r="AI39" s="604"/>
      <c r="AJ39" s="604"/>
      <c r="AK39" s="604"/>
      <c r="AL39" s="604"/>
      <c r="AM39" s="604"/>
      <c r="AN39" s="604"/>
      <c r="AO39" s="604"/>
      <c r="AP39" s="604"/>
      <c r="AQ39" s="604"/>
      <c r="AR39" s="604"/>
      <c r="AS39" s="604"/>
      <c r="AT39" s="604"/>
      <c r="AU39" s="604"/>
      <c r="AV39" s="604"/>
      <c r="AW39" s="604"/>
      <c r="AX39" s="604"/>
      <c r="AY39" s="604"/>
      <c r="AZ39" s="604"/>
      <c r="BA39" s="604"/>
      <c r="BB39" s="604"/>
      <c r="BC39" s="604"/>
      <c r="BD39" s="604"/>
      <c r="BE39" s="604"/>
      <c r="BF39" s="604"/>
      <c r="BG39" s="604"/>
      <c r="BH39" s="604"/>
      <c r="BI39" s="604"/>
      <c r="BJ39" s="604"/>
      <c r="BK39" s="604"/>
      <c r="BL39" s="604"/>
      <c r="BM39" s="604"/>
      <c r="BN39" s="604"/>
      <c r="BO39" s="604"/>
      <c r="BP39" s="604"/>
      <c r="BQ39" s="604"/>
      <c r="BR39" s="604"/>
      <c r="BS39" s="604"/>
      <c r="BT39" s="604"/>
      <c r="BU39" s="604"/>
    </row>
    <row r="40" spans="1:73">
      <c r="A40" s="606"/>
      <c r="B40" s="606"/>
      <c r="C40" s="606"/>
      <c r="D40" s="606"/>
      <c r="E40" s="606"/>
      <c r="F40" s="606"/>
      <c r="G40" s="120"/>
      <c r="H40" s="606"/>
      <c r="I40" s="606"/>
      <c r="J40" s="606"/>
      <c r="K40" s="606"/>
      <c r="L40" s="604"/>
      <c r="M40" s="604"/>
      <c r="N40" s="604"/>
      <c r="O40" s="604"/>
      <c r="P40" s="604"/>
      <c r="Q40" s="604"/>
      <c r="R40" s="604"/>
      <c r="S40" s="604"/>
      <c r="T40" s="604"/>
      <c r="U40" s="604"/>
      <c r="V40" s="604"/>
      <c r="W40" s="604"/>
      <c r="X40" s="604"/>
      <c r="Y40" s="604"/>
      <c r="Z40" s="604"/>
      <c r="AA40" s="604"/>
      <c r="AB40" s="604"/>
      <c r="AC40" s="604"/>
      <c r="AD40" s="604"/>
      <c r="AE40" s="604"/>
      <c r="AF40" s="604"/>
      <c r="AG40" s="604"/>
      <c r="AH40" s="604"/>
      <c r="AI40" s="604"/>
      <c r="AJ40" s="604"/>
      <c r="AK40" s="604"/>
      <c r="AL40" s="604"/>
      <c r="AM40" s="604"/>
      <c r="AN40" s="604"/>
      <c r="AO40" s="604"/>
      <c r="AP40" s="604"/>
      <c r="AQ40" s="604"/>
      <c r="AR40" s="604"/>
      <c r="AS40" s="604"/>
      <c r="AT40" s="604"/>
      <c r="AU40" s="604"/>
      <c r="AV40" s="604"/>
      <c r="AW40" s="604"/>
      <c r="AX40" s="604"/>
      <c r="AY40" s="604"/>
      <c r="AZ40" s="604"/>
      <c r="BA40" s="604"/>
      <c r="BB40" s="604"/>
      <c r="BC40" s="604"/>
      <c r="BD40" s="604"/>
      <c r="BE40" s="604"/>
      <c r="BF40" s="604"/>
      <c r="BG40" s="604"/>
      <c r="BH40" s="604"/>
      <c r="BI40" s="604"/>
      <c r="BJ40" s="604"/>
      <c r="BK40" s="604"/>
      <c r="BL40" s="604"/>
      <c r="BM40" s="604"/>
      <c r="BN40" s="604"/>
      <c r="BO40" s="604"/>
      <c r="BP40" s="604"/>
      <c r="BQ40" s="604"/>
      <c r="BR40" s="604"/>
      <c r="BS40" s="604"/>
      <c r="BT40" s="604"/>
      <c r="BU40" s="604"/>
    </row>
    <row r="41" spans="1:73">
      <c r="A41" s="606"/>
      <c r="B41" s="606"/>
      <c r="C41" s="606"/>
      <c r="D41" s="606"/>
      <c r="E41" s="606"/>
      <c r="F41" s="606"/>
      <c r="G41" s="120"/>
      <c r="H41" s="606"/>
      <c r="I41" s="606"/>
      <c r="J41" s="606"/>
      <c r="K41" s="606"/>
      <c r="L41" s="604"/>
      <c r="M41" s="604"/>
      <c r="N41" s="604"/>
      <c r="O41" s="604"/>
      <c r="P41" s="604"/>
      <c r="Q41" s="604"/>
      <c r="R41" s="604"/>
      <c r="S41" s="604"/>
      <c r="T41" s="604"/>
      <c r="U41" s="604"/>
      <c r="V41" s="604"/>
      <c r="W41" s="604"/>
      <c r="X41" s="604"/>
      <c r="Y41" s="604"/>
      <c r="Z41" s="604"/>
      <c r="AA41" s="604"/>
      <c r="AB41" s="604"/>
      <c r="AC41" s="604"/>
      <c r="AD41" s="604"/>
      <c r="AE41" s="604"/>
      <c r="AF41" s="604"/>
      <c r="AG41" s="604"/>
      <c r="AH41" s="604"/>
      <c r="AI41" s="604"/>
      <c r="AJ41" s="604"/>
      <c r="AK41" s="604"/>
      <c r="AL41" s="604"/>
      <c r="AM41" s="604"/>
      <c r="AN41" s="604"/>
      <c r="AO41" s="604"/>
      <c r="AP41" s="604"/>
      <c r="AQ41" s="604"/>
      <c r="AR41" s="604"/>
      <c r="AS41" s="604"/>
      <c r="AT41" s="604"/>
      <c r="AU41" s="604"/>
      <c r="AV41" s="604"/>
      <c r="AW41" s="604"/>
      <c r="AX41" s="604"/>
      <c r="AY41" s="604"/>
      <c r="AZ41" s="604"/>
      <c r="BA41" s="604"/>
      <c r="BB41" s="604"/>
      <c r="BC41" s="604"/>
      <c r="BD41" s="604"/>
      <c r="BE41" s="604"/>
      <c r="BF41" s="604"/>
      <c r="BG41" s="604"/>
      <c r="BH41" s="604"/>
      <c r="BI41" s="604"/>
      <c r="BJ41" s="604"/>
      <c r="BK41" s="604"/>
      <c r="BL41" s="604"/>
      <c r="BM41" s="604"/>
      <c r="BN41" s="604"/>
      <c r="BO41" s="604"/>
      <c r="BP41" s="604"/>
      <c r="BQ41" s="604"/>
      <c r="BR41" s="604"/>
      <c r="BS41" s="604"/>
      <c r="BT41" s="604"/>
      <c r="BU41" s="604"/>
    </row>
    <row r="42" spans="1:73">
      <c r="A42" s="606"/>
      <c r="B42" s="606"/>
      <c r="C42" s="606"/>
      <c r="D42" s="606"/>
      <c r="E42" s="606"/>
      <c r="F42" s="606"/>
      <c r="G42" s="120"/>
      <c r="H42" s="606"/>
      <c r="I42" s="606"/>
      <c r="J42" s="606"/>
      <c r="K42" s="606"/>
      <c r="L42" s="604"/>
      <c r="M42" s="604"/>
      <c r="N42" s="604"/>
      <c r="O42" s="604"/>
      <c r="P42" s="604"/>
      <c r="Q42" s="604"/>
      <c r="R42" s="604"/>
      <c r="S42" s="604"/>
      <c r="T42" s="604"/>
      <c r="U42" s="604"/>
      <c r="V42" s="604"/>
      <c r="W42" s="604"/>
      <c r="X42" s="604"/>
      <c r="Y42" s="604"/>
      <c r="Z42" s="604"/>
      <c r="AA42" s="604"/>
      <c r="AB42" s="604"/>
      <c r="AC42" s="604"/>
      <c r="AD42" s="604"/>
      <c r="AE42" s="604"/>
      <c r="AF42" s="604"/>
      <c r="AG42" s="604"/>
      <c r="AH42" s="604"/>
      <c r="AI42" s="604"/>
      <c r="AJ42" s="604"/>
      <c r="AK42" s="604"/>
      <c r="AL42" s="604"/>
      <c r="AM42" s="604"/>
      <c r="AN42" s="604"/>
      <c r="AO42" s="604"/>
      <c r="AP42" s="604"/>
      <c r="AQ42" s="604"/>
      <c r="AR42" s="604"/>
      <c r="AS42" s="604"/>
      <c r="AT42" s="604"/>
      <c r="AU42" s="604"/>
      <c r="AV42" s="604"/>
      <c r="AW42" s="604"/>
      <c r="AX42" s="604"/>
      <c r="AY42" s="604"/>
      <c r="AZ42" s="604"/>
      <c r="BA42" s="604"/>
      <c r="BB42" s="604"/>
      <c r="BC42" s="604"/>
      <c r="BD42" s="604"/>
      <c r="BE42" s="604"/>
      <c r="BF42" s="604"/>
      <c r="BG42" s="604"/>
      <c r="BH42" s="604"/>
      <c r="BI42" s="604"/>
      <c r="BJ42" s="604"/>
      <c r="BK42" s="604"/>
      <c r="BL42" s="604"/>
      <c r="BM42" s="604"/>
      <c r="BN42" s="604"/>
      <c r="BO42" s="604"/>
      <c r="BP42" s="604"/>
      <c r="BQ42" s="604"/>
      <c r="BR42" s="604"/>
      <c r="BS42" s="604"/>
      <c r="BT42" s="604"/>
      <c r="BU42" s="604"/>
    </row>
    <row r="43" spans="1:73">
      <c r="A43" s="606"/>
      <c r="B43" s="606"/>
      <c r="C43" s="606"/>
      <c r="D43" s="606"/>
      <c r="E43" s="606"/>
      <c r="F43" s="606"/>
      <c r="G43" s="120"/>
      <c r="H43" s="606"/>
      <c r="I43" s="606"/>
      <c r="J43" s="606"/>
      <c r="K43" s="606"/>
      <c r="L43" s="604"/>
      <c r="M43" s="604"/>
      <c r="N43" s="604"/>
      <c r="O43" s="604"/>
      <c r="P43" s="604"/>
      <c r="Q43" s="604"/>
      <c r="R43" s="604"/>
      <c r="S43" s="604"/>
      <c r="T43" s="604"/>
      <c r="U43" s="604"/>
      <c r="V43" s="604"/>
      <c r="W43" s="604"/>
      <c r="X43" s="604"/>
      <c r="Y43" s="604"/>
      <c r="Z43" s="604"/>
      <c r="AA43" s="604"/>
      <c r="AB43" s="604"/>
      <c r="AC43" s="604"/>
      <c r="AD43" s="604"/>
      <c r="AE43" s="604"/>
      <c r="AF43" s="604"/>
      <c r="AG43" s="604"/>
      <c r="AH43" s="604"/>
      <c r="AI43" s="604"/>
      <c r="AJ43" s="604"/>
      <c r="AK43" s="604"/>
      <c r="AL43" s="604"/>
      <c r="AM43" s="604"/>
      <c r="AN43" s="604"/>
      <c r="AO43" s="604"/>
      <c r="AP43" s="604"/>
      <c r="AQ43" s="604"/>
      <c r="AR43" s="604"/>
      <c r="AS43" s="604"/>
      <c r="AT43" s="604"/>
      <c r="AU43" s="604"/>
      <c r="AV43" s="604"/>
      <c r="AW43" s="604"/>
      <c r="AX43" s="604"/>
      <c r="AY43" s="604"/>
      <c r="AZ43" s="604"/>
      <c r="BA43" s="604"/>
      <c r="BB43" s="604"/>
      <c r="BC43" s="604"/>
      <c r="BD43" s="604"/>
      <c r="BE43" s="604"/>
      <c r="BF43" s="604"/>
      <c r="BG43" s="604"/>
      <c r="BH43" s="604"/>
      <c r="BI43" s="604"/>
      <c r="BJ43" s="604"/>
      <c r="BK43" s="604"/>
      <c r="BL43" s="604"/>
      <c r="BM43" s="604"/>
      <c r="BN43" s="604"/>
      <c r="BO43" s="604"/>
      <c r="BP43" s="604"/>
      <c r="BQ43" s="604"/>
      <c r="BR43" s="604"/>
      <c r="BS43" s="604"/>
      <c r="BT43" s="604"/>
      <c r="BU43" s="604"/>
    </row>
    <row r="44" spans="1:73">
      <c r="A44" s="606"/>
      <c r="B44" s="606"/>
      <c r="C44" s="606"/>
      <c r="D44" s="606"/>
      <c r="E44" s="606"/>
      <c r="F44" s="606"/>
      <c r="G44" s="120"/>
      <c r="H44" s="606"/>
      <c r="I44" s="606"/>
      <c r="J44" s="606"/>
      <c r="K44" s="606"/>
      <c r="L44" s="604"/>
      <c r="M44" s="604"/>
      <c r="N44" s="604"/>
      <c r="O44" s="604"/>
      <c r="P44" s="604"/>
      <c r="Q44" s="604"/>
      <c r="R44" s="604"/>
      <c r="S44" s="604"/>
      <c r="T44" s="604"/>
      <c r="U44" s="604"/>
      <c r="V44" s="604"/>
      <c r="W44" s="604"/>
      <c r="X44" s="604"/>
      <c r="Y44" s="604"/>
      <c r="Z44" s="604"/>
      <c r="AA44" s="604"/>
      <c r="AB44" s="604"/>
      <c r="AC44" s="604"/>
      <c r="AD44" s="604"/>
      <c r="AE44" s="604"/>
      <c r="AF44" s="604"/>
      <c r="AG44" s="604"/>
      <c r="AH44" s="604"/>
      <c r="AI44" s="604"/>
      <c r="AJ44" s="604"/>
      <c r="AK44" s="604"/>
      <c r="AL44" s="604"/>
      <c r="AM44" s="604"/>
      <c r="AN44" s="604"/>
      <c r="AO44" s="604"/>
      <c r="AP44" s="604"/>
      <c r="AQ44" s="604"/>
      <c r="AR44" s="604"/>
      <c r="AS44" s="604"/>
      <c r="AT44" s="604"/>
      <c r="AU44" s="604"/>
      <c r="AV44" s="604"/>
      <c r="AW44" s="604"/>
      <c r="AX44" s="604"/>
      <c r="AY44" s="604"/>
      <c r="AZ44" s="604"/>
      <c r="BA44" s="604"/>
      <c r="BB44" s="604"/>
      <c r="BC44" s="604"/>
      <c r="BD44" s="604"/>
      <c r="BE44" s="604"/>
      <c r="BF44" s="604"/>
      <c r="BG44" s="604"/>
      <c r="BH44" s="604"/>
      <c r="BI44" s="604"/>
      <c r="BJ44" s="604"/>
      <c r="BK44" s="604"/>
      <c r="BL44" s="604"/>
      <c r="BM44" s="604"/>
      <c r="BN44" s="604"/>
      <c r="BO44" s="604"/>
      <c r="BP44" s="604"/>
      <c r="BQ44" s="604"/>
      <c r="BR44" s="604"/>
      <c r="BS44" s="604"/>
      <c r="BT44" s="604"/>
      <c r="BU44" s="604"/>
    </row>
    <row r="45" spans="1:73">
      <c r="A45" s="606"/>
      <c r="B45" s="606"/>
      <c r="C45" s="606"/>
      <c r="D45" s="606"/>
      <c r="E45" s="606"/>
      <c r="F45" s="606"/>
      <c r="G45" s="120"/>
      <c r="H45" s="606"/>
      <c r="I45" s="606"/>
      <c r="J45" s="606"/>
      <c r="K45" s="606"/>
      <c r="L45" s="604"/>
      <c r="M45" s="604"/>
      <c r="N45" s="604"/>
      <c r="O45" s="604"/>
      <c r="P45" s="604"/>
      <c r="Q45" s="604"/>
      <c r="R45" s="604"/>
      <c r="S45" s="604"/>
      <c r="T45" s="604"/>
      <c r="U45" s="604"/>
      <c r="V45" s="604"/>
      <c r="W45" s="604"/>
      <c r="X45" s="604"/>
      <c r="Y45" s="604"/>
      <c r="Z45" s="604"/>
      <c r="AA45" s="604"/>
      <c r="AB45" s="604"/>
      <c r="AC45" s="604"/>
      <c r="AD45" s="604"/>
      <c r="AE45" s="604"/>
      <c r="AF45" s="604"/>
      <c r="AG45" s="604"/>
      <c r="AH45" s="604"/>
      <c r="AI45" s="604"/>
      <c r="AJ45" s="604"/>
      <c r="AK45" s="604"/>
      <c r="AL45" s="604"/>
      <c r="AM45" s="604"/>
      <c r="AN45" s="604"/>
      <c r="AO45" s="604"/>
      <c r="AP45" s="604"/>
      <c r="AQ45" s="604"/>
      <c r="AR45" s="604"/>
      <c r="AS45" s="604"/>
      <c r="AT45" s="604"/>
      <c r="AU45" s="604"/>
      <c r="AV45" s="604"/>
      <c r="AW45" s="604"/>
      <c r="AX45" s="604"/>
      <c r="AY45" s="604"/>
      <c r="AZ45" s="604"/>
      <c r="BA45" s="604"/>
      <c r="BB45" s="604"/>
      <c r="BC45" s="604"/>
      <c r="BD45" s="604"/>
      <c r="BE45" s="604"/>
      <c r="BF45" s="604"/>
      <c r="BG45" s="604"/>
      <c r="BH45" s="604"/>
      <c r="BI45" s="604"/>
      <c r="BJ45" s="604"/>
      <c r="BK45" s="604"/>
      <c r="BL45" s="604"/>
      <c r="BM45" s="604"/>
      <c r="BN45" s="604"/>
      <c r="BO45" s="604"/>
      <c r="BP45" s="604"/>
      <c r="BQ45" s="604"/>
      <c r="BR45" s="604"/>
      <c r="BS45" s="604"/>
      <c r="BT45" s="604"/>
      <c r="BU45" s="604"/>
    </row>
    <row r="46" spans="1:73">
      <c r="A46" s="606"/>
      <c r="B46" s="606"/>
      <c r="C46" s="606"/>
      <c r="D46" s="606"/>
      <c r="E46" s="606"/>
      <c r="F46" s="606"/>
      <c r="G46" s="120"/>
      <c r="H46" s="606"/>
      <c r="I46" s="606"/>
      <c r="J46" s="606"/>
      <c r="K46" s="606"/>
      <c r="L46" s="604"/>
      <c r="M46" s="604"/>
      <c r="N46" s="604"/>
      <c r="O46" s="604"/>
      <c r="P46" s="604"/>
      <c r="Q46" s="604"/>
      <c r="R46" s="604"/>
      <c r="S46" s="604"/>
      <c r="T46" s="604"/>
      <c r="U46" s="604"/>
      <c r="V46" s="604"/>
      <c r="W46" s="604"/>
      <c r="X46" s="604"/>
      <c r="Y46" s="604"/>
      <c r="Z46" s="604"/>
      <c r="AA46" s="604"/>
      <c r="AB46" s="604"/>
      <c r="AC46" s="604"/>
      <c r="AD46" s="604"/>
      <c r="AE46" s="604"/>
      <c r="AF46" s="604"/>
      <c r="AG46" s="604"/>
      <c r="AH46" s="604"/>
      <c r="AI46" s="604"/>
      <c r="AJ46" s="604"/>
      <c r="AK46" s="604"/>
      <c r="AL46" s="604"/>
      <c r="AM46" s="604"/>
      <c r="AN46" s="604"/>
      <c r="AO46" s="604"/>
      <c r="AP46" s="604"/>
      <c r="AQ46" s="604"/>
      <c r="AR46" s="604"/>
      <c r="AS46" s="604"/>
      <c r="AT46" s="604"/>
      <c r="AU46" s="604"/>
      <c r="AV46" s="604"/>
      <c r="AW46" s="604"/>
      <c r="AX46" s="604"/>
      <c r="AY46" s="604"/>
      <c r="AZ46" s="604"/>
      <c r="BA46" s="604"/>
      <c r="BB46" s="604"/>
      <c r="BC46" s="604"/>
      <c r="BD46" s="604"/>
      <c r="BE46" s="604"/>
      <c r="BF46" s="604"/>
      <c r="BG46" s="604"/>
      <c r="BH46" s="604"/>
      <c r="BI46" s="604"/>
      <c r="BJ46" s="604"/>
      <c r="BK46" s="604"/>
      <c r="BL46" s="604"/>
      <c r="BM46" s="604"/>
      <c r="BN46" s="604"/>
      <c r="BO46" s="604"/>
      <c r="BP46" s="604"/>
      <c r="BQ46" s="604"/>
      <c r="BR46" s="604"/>
      <c r="BS46" s="604"/>
      <c r="BT46" s="604"/>
      <c r="BU46" s="604"/>
    </row>
    <row r="47" spans="1:73">
      <c r="A47" s="606"/>
      <c r="B47" s="606"/>
      <c r="C47" s="606"/>
      <c r="D47" s="606"/>
      <c r="E47" s="606"/>
      <c r="F47" s="606"/>
      <c r="G47" s="120"/>
      <c r="H47" s="606"/>
      <c r="I47" s="606"/>
      <c r="J47" s="606"/>
      <c r="K47" s="606"/>
      <c r="L47" s="604"/>
      <c r="M47" s="604"/>
      <c r="N47" s="604"/>
      <c r="O47" s="604"/>
      <c r="P47" s="604"/>
      <c r="Q47" s="604"/>
      <c r="R47" s="604"/>
      <c r="S47" s="604"/>
      <c r="T47" s="604"/>
      <c r="U47" s="604"/>
      <c r="V47" s="604"/>
      <c r="W47" s="604"/>
      <c r="X47" s="604"/>
      <c r="Y47" s="604"/>
      <c r="Z47" s="604"/>
      <c r="AA47" s="604"/>
      <c r="AB47" s="604"/>
      <c r="AC47" s="604"/>
      <c r="AD47" s="604"/>
      <c r="AE47" s="604"/>
      <c r="AF47" s="604"/>
      <c r="AG47" s="604"/>
      <c r="AH47" s="604"/>
      <c r="AI47" s="604"/>
      <c r="AJ47" s="604"/>
      <c r="AK47" s="604"/>
      <c r="AL47" s="604"/>
      <c r="AM47" s="604"/>
      <c r="AN47" s="604"/>
      <c r="AO47" s="604"/>
      <c r="AP47" s="604"/>
      <c r="AQ47" s="604"/>
      <c r="AR47" s="604"/>
      <c r="AS47" s="604"/>
      <c r="AT47" s="604"/>
      <c r="AU47" s="604"/>
      <c r="AV47" s="604"/>
      <c r="AW47" s="604"/>
      <c r="AX47" s="604"/>
      <c r="AY47" s="604"/>
      <c r="AZ47" s="604"/>
      <c r="BA47" s="604"/>
      <c r="BB47" s="604"/>
      <c r="BC47" s="604"/>
      <c r="BD47" s="604"/>
      <c r="BE47" s="604"/>
      <c r="BF47" s="604"/>
      <c r="BG47" s="604"/>
      <c r="BH47" s="604"/>
      <c r="BI47" s="604"/>
      <c r="BJ47" s="604"/>
      <c r="BK47" s="604"/>
      <c r="BL47" s="604"/>
      <c r="BM47" s="604"/>
      <c r="BN47" s="604"/>
      <c r="BO47" s="604"/>
      <c r="BP47" s="604"/>
      <c r="BQ47" s="604"/>
      <c r="BR47" s="604"/>
      <c r="BS47" s="604"/>
      <c r="BT47" s="604"/>
      <c r="BU47" s="604"/>
    </row>
    <row r="48" spans="1:73">
      <c r="A48" s="606"/>
      <c r="B48" s="606"/>
      <c r="C48" s="606"/>
      <c r="D48" s="606"/>
      <c r="E48" s="606"/>
      <c r="F48" s="606"/>
      <c r="G48" s="120"/>
      <c r="H48" s="606"/>
      <c r="I48" s="606"/>
      <c r="J48" s="606"/>
      <c r="K48" s="606"/>
      <c r="L48" s="604"/>
      <c r="M48" s="604"/>
      <c r="N48" s="604"/>
      <c r="O48" s="604"/>
      <c r="P48" s="604"/>
      <c r="Q48" s="604"/>
      <c r="R48" s="604"/>
      <c r="S48" s="604"/>
      <c r="T48" s="604"/>
      <c r="U48" s="604"/>
      <c r="V48" s="604"/>
      <c r="W48" s="604"/>
      <c r="X48" s="604"/>
      <c r="Y48" s="604"/>
      <c r="Z48" s="604"/>
      <c r="AA48" s="604"/>
      <c r="AB48" s="604"/>
      <c r="AC48" s="604"/>
      <c r="AD48" s="604"/>
      <c r="AE48" s="604"/>
      <c r="AF48" s="604"/>
      <c r="AG48" s="604"/>
      <c r="AH48" s="604"/>
      <c r="AI48" s="604"/>
      <c r="AJ48" s="604"/>
      <c r="AK48" s="604"/>
      <c r="AL48" s="604"/>
      <c r="AM48" s="604"/>
      <c r="AN48" s="604"/>
      <c r="AO48" s="604"/>
      <c r="AP48" s="604"/>
      <c r="AQ48" s="604"/>
      <c r="AR48" s="604"/>
      <c r="AS48" s="604"/>
      <c r="AT48" s="604"/>
      <c r="AU48" s="604"/>
      <c r="AV48" s="604"/>
      <c r="AW48" s="604"/>
      <c r="AX48" s="604"/>
      <c r="AY48" s="604"/>
      <c r="AZ48" s="604"/>
      <c r="BA48" s="604"/>
      <c r="BB48" s="604"/>
      <c r="BC48" s="604"/>
      <c r="BD48" s="604"/>
      <c r="BE48" s="604"/>
      <c r="BF48" s="604"/>
      <c r="BG48" s="604"/>
      <c r="BH48" s="604"/>
      <c r="BI48" s="604"/>
      <c r="BJ48" s="604"/>
      <c r="BK48" s="604"/>
      <c r="BL48" s="604"/>
      <c r="BM48" s="604"/>
      <c r="BN48" s="604"/>
      <c r="BO48" s="604"/>
      <c r="BP48" s="604"/>
      <c r="BQ48" s="604"/>
      <c r="BR48" s="604"/>
      <c r="BS48" s="604"/>
      <c r="BT48" s="604"/>
      <c r="BU48" s="604"/>
    </row>
    <row r="49" spans="1:73">
      <c r="A49" s="606"/>
      <c r="B49" s="606"/>
      <c r="C49" s="606"/>
      <c r="D49" s="606"/>
      <c r="E49" s="606"/>
      <c r="F49" s="606"/>
      <c r="G49" s="120"/>
      <c r="H49" s="606"/>
      <c r="I49" s="606"/>
      <c r="J49" s="606"/>
      <c r="K49" s="606"/>
      <c r="L49" s="604"/>
      <c r="M49" s="604"/>
      <c r="N49" s="604"/>
      <c r="O49" s="604"/>
      <c r="P49" s="604"/>
      <c r="Q49" s="604"/>
      <c r="R49" s="604"/>
      <c r="S49" s="604"/>
      <c r="T49" s="604"/>
      <c r="U49" s="604"/>
      <c r="V49" s="604"/>
      <c r="W49" s="604"/>
      <c r="X49" s="604"/>
      <c r="Y49" s="604"/>
      <c r="Z49" s="604"/>
      <c r="AA49" s="604"/>
      <c r="AB49" s="604"/>
      <c r="AC49" s="604"/>
      <c r="AD49" s="604"/>
      <c r="AE49" s="604"/>
      <c r="AF49" s="604"/>
      <c r="AG49" s="604"/>
      <c r="AH49" s="604"/>
      <c r="AI49" s="604"/>
      <c r="AJ49" s="604"/>
      <c r="AK49" s="604"/>
      <c r="AL49" s="604"/>
      <c r="AM49" s="604"/>
      <c r="AN49" s="604"/>
      <c r="AO49" s="604"/>
      <c r="AP49" s="604"/>
      <c r="AQ49" s="604"/>
      <c r="AR49" s="604"/>
      <c r="AS49" s="604"/>
      <c r="AT49" s="604"/>
      <c r="AU49" s="604"/>
      <c r="AV49" s="604"/>
      <c r="AW49" s="604"/>
      <c r="AX49" s="604"/>
      <c r="AY49" s="604"/>
      <c r="AZ49" s="604"/>
      <c r="BA49" s="604"/>
      <c r="BB49" s="604"/>
      <c r="BC49" s="604"/>
      <c r="BD49" s="604"/>
      <c r="BE49" s="604"/>
      <c r="BF49" s="604"/>
      <c r="BG49" s="604"/>
      <c r="BH49" s="604"/>
      <c r="BI49" s="604"/>
      <c r="BJ49" s="604"/>
      <c r="BK49" s="604"/>
      <c r="BL49" s="604"/>
      <c r="BM49" s="604"/>
      <c r="BN49" s="604"/>
      <c r="BO49" s="604"/>
      <c r="BP49" s="604"/>
      <c r="BQ49" s="604"/>
      <c r="BR49" s="604"/>
      <c r="BS49" s="604"/>
      <c r="BT49" s="604"/>
      <c r="BU49" s="604"/>
    </row>
    <row r="50" spans="1:73">
      <c r="A50" s="606"/>
      <c r="B50" s="606"/>
      <c r="C50" s="606"/>
      <c r="D50" s="606"/>
      <c r="E50" s="606"/>
      <c r="F50" s="606"/>
      <c r="G50" s="120"/>
      <c r="H50" s="606"/>
      <c r="I50" s="606"/>
      <c r="J50" s="606"/>
      <c r="K50" s="606"/>
      <c r="L50" s="604"/>
      <c r="M50" s="604"/>
      <c r="N50" s="604"/>
      <c r="O50" s="604"/>
      <c r="P50" s="604"/>
      <c r="Q50" s="604"/>
      <c r="R50" s="604"/>
      <c r="S50" s="604"/>
      <c r="T50" s="604"/>
      <c r="U50" s="604"/>
      <c r="V50" s="604"/>
      <c r="W50" s="604"/>
      <c r="X50" s="604"/>
      <c r="Y50" s="604"/>
      <c r="Z50" s="604"/>
      <c r="AA50" s="604"/>
      <c r="AB50" s="604"/>
      <c r="AC50" s="604"/>
      <c r="AD50" s="604"/>
      <c r="AE50" s="604"/>
      <c r="AF50" s="604"/>
      <c r="AG50" s="604"/>
      <c r="AH50" s="604"/>
      <c r="AI50" s="604"/>
      <c r="AJ50" s="604"/>
      <c r="AK50" s="604"/>
      <c r="AL50" s="604"/>
      <c r="AM50" s="604"/>
      <c r="AN50" s="604"/>
      <c r="AO50" s="604"/>
      <c r="AP50" s="604"/>
      <c r="AQ50" s="604"/>
      <c r="AR50" s="604"/>
      <c r="AS50" s="604"/>
      <c r="AT50" s="604"/>
      <c r="AU50" s="604"/>
      <c r="AV50" s="604"/>
      <c r="AW50" s="604"/>
      <c r="AX50" s="604"/>
      <c r="AY50" s="604"/>
      <c r="AZ50" s="604"/>
      <c r="BA50" s="604"/>
      <c r="BB50" s="604"/>
      <c r="BC50" s="604"/>
      <c r="BD50" s="604"/>
      <c r="BE50" s="604"/>
      <c r="BF50" s="604"/>
      <c r="BG50" s="604"/>
      <c r="BH50" s="604"/>
      <c r="BI50" s="604"/>
      <c r="BJ50" s="604"/>
      <c r="BK50" s="604"/>
      <c r="BL50" s="604"/>
      <c r="BM50" s="604"/>
      <c r="BN50" s="604"/>
      <c r="BO50" s="604"/>
      <c r="BP50" s="604"/>
      <c r="BQ50" s="604"/>
      <c r="BR50" s="604"/>
      <c r="BS50" s="604"/>
      <c r="BT50" s="604"/>
      <c r="BU50" s="604"/>
    </row>
    <row r="51" spans="1:73">
      <c r="A51" s="606"/>
      <c r="B51" s="606"/>
      <c r="C51" s="606"/>
      <c r="D51" s="606"/>
      <c r="E51" s="606"/>
      <c r="F51" s="606"/>
      <c r="G51" s="120"/>
      <c r="H51" s="606"/>
      <c r="I51" s="606"/>
      <c r="J51" s="606"/>
      <c r="K51" s="606"/>
      <c r="L51" s="604"/>
      <c r="M51" s="604"/>
      <c r="N51" s="604"/>
      <c r="O51" s="604"/>
      <c r="P51" s="604"/>
      <c r="Q51" s="604"/>
      <c r="R51" s="604"/>
      <c r="S51" s="604"/>
      <c r="T51" s="604"/>
      <c r="U51" s="604"/>
      <c r="V51" s="604"/>
      <c r="W51" s="604"/>
      <c r="X51" s="604"/>
      <c r="Y51" s="604"/>
      <c r="Z51" s="604"/>
      <c r="AA51" s="604"/>
      <c r="AB51" s="604"/>
      <c r="AC51" s="604"/>
      <c r="AD51" s="604"/>
      <c r="AE51" s="604"/>
      <c r="AF51" s="604"/>
      <c r="AG51" s="604"/>
      <c r="AH51" s="604"/>
      <c r="AI51" s="604"/>
      <c r="AJ51" s="604"/>
      <c r="AK51" s="604"/>
      <c r="AL51" s="604"/>
      <c r="AM51" s="604"/>
      <c r="AN51" s="604"/>
      <c r="AO51" s="604"/>
      <c r="AP51" s="604"/>
      <c r="AQ51" s="604"/>
      <c r="AR51" s="604"/>
      <c r="AS51" s="604"/>
      <c r="AT51" s="604"/>
      <c r="AU51" s="604"/>
      <c r="AV51" s="604"/>
      <c r="AW51" s="604"/>
      <c r="AX51" s="604"/>
      <c r="AY51" s="604"/>
      <c r="AZ51" s="604"/>
      <c r="BA51" s="604"/>
      <c r="BB51" s="604"/>
      <c r="BC51" s="604"/>
      <c r="BD51" s="604"/>
      <c r="BE51" s="604"/>
      <c r="BF51" s="604"/>
      <c r="BG51" s="604"/>
      <c r="BH51" s="604"/>
      <c r="BI51" s="604"/>
      <c r="BJ51" s="604"/>
      <c r="BK51" s="604"/>
      <c r="BL51" s="604"/>
      <c r="BM51" s="604"/>
      <c r="BN51" s="604"/>
      <c r="BO51" s="604"/>
      <c r="BP51" s="604"/>
      <c r="BQ51" s="604"/>
      <c r="BR51" s="604"/>
      <c r="BS51" s="604"/>
      <c r="BT51" s="604"/>
      <c r="BU51" s="604"/>
    </row>
    <row r="52" spans="1:73">
      <c r="A52" s="606"/>
      <c r="B52" s="606"/>
      <c r="C52" s="606"/>
      <c r="D52" s="606"/>
      <c r="E52" s="606"/>
      <c r="F52" s="606"/>
      <c r="G52" s="120"/>
      <c r="H52" s="606"/>
      <c r="I52" s="606"/>
      <c r="J52" s="606"/>
      <c r="K52" s="606"/>
      <c r="L52" s="604"/>
      <c r="M52" s="604"/>
      <c r="N52" s="604"/>
      <c r="O52" s="604"/>
      <c r="P52" s="604"/>
      <c r="Q52" s="604"/>
      <c r="R52" s="604"/>
      <c r="S52" s="604"/>
      <c r="T52" s="604"/>
      <c r="U52" s="604"/>
      <c r="V52" s="604"/>
      <c r="W52" s="604"/>
      <c r="X52" s="604"/>
      <c r="Y52" s="604"/>
      <c r="Z52" s="604"/>
      <c r="AA52" s="604"/>
      <c r="AB52" s="604"/>
      <c r="AC52" s="604"/>
      <c r="AD52" s="604"/>
      <c r="AE52" s="604"/>
      <c r="AF52" s="604"/>
      <c r="AG52" s="604"/>
      <c r="AH52" s="604"/>
      <c r="AI52" s="604"/>
      <c r="AJ52" s="604"/>
      <c r="AK52" s="604"/>
      <c r="AL52" s="604"/>
      <c r="AM52" s="604"/>
      <c r="AN52" s="604"/>
      <c r="AO52" s="604"/>
      <c r="AP52" s="604"/>
      <c r="AQ52" s="604"/>
      <c r="AR52" s="604"/>
      <c r="AS52" s="604"/>
      <c r="AT52" s="604"/>
      <c r="AU52" s="604"/>
      <c r="AV52" s="604"/>
      <c r="AW52" s="604"/>
      <c r="AX52" s="604"/>
      <c r="AY52" s="604"/>
      <c r="AZ52" s="604"/>
      <c r="BA52" s="604"/>
      <c r="BB52" s="604"/>
      <c r="BC52" s="604"/>
      <c r="BD52" s="604"/>
      <c r="BE52" s="604"/>
      <c r="BF52" s="604"/>
      <c r="BG52" s="604"/>
      <c r="BH52" s="604"/>
      <c r="BI52" s="604"/>
      <c r="BJ52" s="604"/>
      <c r="BK52" s="604"/>
      <c r="BL52" s="604"/>
      <c r="BM52" s="604"/>
      <c r="BN52" s="604"/>
      <c r="BO52" s="604"/>
      <c r="BP52" s="604"/>
      <c r="BQ52" s="604"/>
      <c r="BR52" s="604"/>
      <c r="BS52" s="604"/>
      <c r="BT52" s="604"/>
      <c r="BU52" s="604"/>
    </row>
    <row r="53" spans="1:73">
      <c r="A53" s="606"/>
      <c r="B53" s="606"/>
      <c r="C53" s="606"/>
      <c r="D53" s="606"/>
      <c r="E53" s="606"/>
      <c r="F53" s="606"/>
      <c r="G53" s="120"/>
      <c r="H53" s="606"/>
      <c r="I53" s="606"/>
      <c r="J53" s="606"/>
      <c r="K53" s="606"/>
      <c r="L53" s="604"/>
      <c r="M53" s="604"/>
      <c r="N53" s="604"/>
      <c r="O53" s="604"/>
      <c r="P53" s="604"/>
      <c r="Q53" s="604"/>
      <c r="R53" s="604"/>
      <c r="S53" s="604"/>
      <c r="T53" s="604"/>
      <c r="U53" s="604"/>
      <c r="V53" s="604"/>
      <c r="W53" s="604"/>
      <c r="X53" s="604"/>
      <c r="Y53" s="604"/>
      <c r="Z53" s="604"/>
      <c r="AA53" s="604"/>
      <c r="AB53" s="604"/>
      <c r="AC53" s="604"/>
      <c r="AD53" s="604"/>
      <c r="AE53" s="604"/>
      <c r="AF53" s="604"/>
      <c r="AG53" s="604"/>
      <c r="AH53" s="604"/>
      <c r="AI53" s="604"/>
      <c r="AJ53" s="604"/>
      <c r="AK53" s="604"/>
      <c r="AL53" s="604"/>
      <c r="AM53" s="604"/>
      <c r="AN53" s="604"/>
      <c r="AO53" s="604"/>
      <c r="AP53" s="604"/>
      <c r="AQ53" s="604"/>
      <c r="AR53" s="604"/>
      <c r="AS53" s="604"/>
      <c r="AT53" s="604"/>
      <c r="AU53" s="604"/>
      <c r="AV53" s="604"/>
      <c r="AW53" s="604"/>
      <c r="AX53" s="604"/>
      <c r="AY53" s="604"/>
      <c r="AZ53" s="604"/>
      <c r="BA53" s="604"/>
      <c r="BB53" s="604"/>
      <c r="BC53" s="604"/>
      <c r="BD53" s="604"/>
      <c r="BE53" s="604"/>
      <c r="BF53" s="604"/>
      <c r="BG53" s="604"/>
      <c r="BH53" s="604"/>
      <c r="BI53" s="604"/>
      <c r="BJ53" s="604"/>
      <c r="BK53" s="604"/>
      <c r="BL53" s="604"/>
      <c r="BM53" s="604"/>
      <c r="BN53" s="604"/>
      <c r="BO53" s="604"/>
      <c r="BP53" s="604"/>
      <c r="BQ53" s="604"/>
      <c r="BR53" s="604"/>
      <c r="BS53" s="604"/>
      <c r="BT53" s="604"/>
      <c r="BU53" s="604"/>
    </row>
    <row r="54" spans="1:73">
      <c r="A54" s="606"/>
      <c r="B54" s="606"/>
      <c r="C54" s="606"/>
      <c r="D54" s="606"/>
      <c r="E54" s="606"/>
      <c r="F54" s="606"/>
      <c r="G54" s="120"/>
      <c r="H54" s="606"/>
      <c r="I54" s="606"/>
      <c r="J54" s="606"/>
      <c r="K54" s="606"/>
      <c r="L54" s="604"/>
      <c r="M54" s="604"/>
      <c r="N54" s="604"/>
      <c r="O54" s="604"/>
      <c r="P54" s="604"/>
      <c r="Q54" s="604"/>
      <c r="R54" s="604"/>
      <c r="S54" s="604"/>
      <c r="T54" s="604"/>
      <c r="U54" s="604"/>
      <c r="V54" s="604"/>
      <c r="W54" s="604"/>
      <c r="X54" s="604"/>
      <c r="Y54" s="604"/>
      <c r="Z54" s="604"/>
      <c r="AA54" s="604"/>
      <c r="AB54" s="604"/>
      <c r="AC54" s="604"/>
      <c r="AD54" s="604"/>
      <c r="AE54" s="604"/>
      <c r="AF54" s="604"/>
      <c r="AG54" s="604"/>
      <c r="AH54" s="604"/>
      <c r="AI54" s="604"/>
      <c r="AJ54" s="604"/>
      <c r="AK54" s="604"/>
      <c r="AL54" s="604"/>
      <c r="AM54" s="604"/>
      <c r="AN54" s="604"/>
      <c r="AO54" s="604"/>
      <c r="AP54" s="604"/>
      <c r="AQ54" s="604"/>
      <c r="AR54" s="604"/>
      <c r="AS54" s="604"/>
      <c r="AT54" s="604"/>
      <c r="AU54" s="604"/>
      <c r="AV54" s="604"/>
      <c r="AW54" s="604"/>
      <c r="AX54" s="604"/>
      <c r="AY54" s="604"/>
      <c r="AZ54" s="604"/>
      <c r="BA54" s="604"/>
      <c r="BB54" s="604"/>
      <c r="BC54" s="604"/>
      <c r="BD54" s="604"/>
      <c r="BE54" s="604"/>
      <c r="BF54" s="604"/>
      <c r="BG54" s="604"/>
      <c r="BH54" s="604"/>
      <c r="BI54" s="604"/>
      <c r="BJ54" s="604"/>
      <c r="BK54" s="604"/>
      <c r="BL54" s="604"/>
      <c r="BM54" s="604"/>
      <c r="BN54" s="604"/>
      <c r="BO54" s="604"/>
      <c r="BP54" s="604"/>
      <c r="BQ54" s="604"/>
      <c r="BR54" s="604"/>
      <c r="BS54" s="604"/>
      <c r="BT54" s="604"/>
      <c r="BU54" s="604"/>
    </row>
    <row r="55" spans="1:73">
      <c r="A55" s="606"/>
      <c r="B55" s="606"/>
      <c r="C55" s="606"/>
      <c r="D55" s="606"/>
      <c r="E55" s="606"/>
      <c r="F55" s="606"/>
      <c r="G55" s="120"/>
      <c r="H55" s="606"/>
      <c r="I55" s="606"/>
      <c r="J55" s="606"/>
      <c r="K55" s="606"/>
      <c r="L55" s="604"/>
      <c r="M55" s="604"/>
      <c r="N55" s="604"/>
      <c r="O55" s="604"/>
      <c r="P55" s="604"/>
      <c r="Q55" s="604"/>
      <c r="R55" s="604"/>
      <c r="S55" s="604"/>
      <c r="T55" s="604"/>
      <c r="U55" s="604"/>
      <c r="V55" s="604"/>
      <c r="W55" s="604"/>
      <c r="X55" s="604"/>
      <c r="Y55" s="604"/>
      <c r="Z55" s="604"/>
      <c r="AA55" s="604"/>
      <c r="AB55" s="604"/>
      <c r="AC55" s="604"/>
      <c r="AD55" s="604"/>
      <c r="AE55" s="604"/>
      <c r="AF55" s="604"/>
      <c r="AG55" s="604"/>
      <c r="AH55" s="604"/>
      <c r="AI55" s="604"/>
      <c r="AJ55" s="604"/>
      <c r="AK55" s="604"/>
      <c r="AL55" s="604"/>
      <c r="AM55" s="604"/>
      <c r="AN55" s="604"/>
      <c r="AO55" s="604"/>
      <c r="AP55" s="604"/>
      <c r="AQ55" s="604"/>
      <c r="AR55" s="604"/>
      <c r="AS55" s="604"/>
      <c r="AT55" s="604"/>
      <c r="AU55" s="604"/>
      <c r="AV55" s="604"/>
      <c r="AW55" s="604"/>
      <c r="AX55" s="604"/>
      <c r="AY55" s="604"/>
      <c r="AZ55" s="604"/>
      <c r="BA55" s="604"/>
      <c r="BB55" s="604"/>
      <c r="BC55" s="604"/>
      <c r="BD55" s="604"/>
      <c r="BE55" s="604"/>
      <c r="BF55" s="604"/>
      <c r="BG55" s="604"/>
      <c r="BH55" s="604"/>
      <c r="BI55" s="604"/>
      <c r="BJ55" s="604"/>
      <c r="BK55" s="604"/>
      <c r="BL55" s="604"/>
      <c r="BM55" s="604"/>
      <c r="BN55" s="604"/>
      <c r="BO55" s="604"/>
      <c r="BP55" s="604"/>
      <c r="BQ55" s="604"/>
      <c r="BR55" s="604"/>
      <c r="BS55" s="604"/>
      <c r="BT55" s="604"/>
      <c r="BU55" s="604"/>
    </row>
    <row r="56" spans="1:73">
      <c r="A56" s="606"/>
      <c r="B56" s="606"/>
      <c r="C56" s="606"/>
      <c r="D56" s="606"/>
      <c r="E56" s="606"/>
      <c r="F56" s="606"/>
      <c r="G56" s="120"/>
      <c r="H56" s="606"/>
      <c r="I56" s="606"/>
      <c r="J56" s="606"/>
      <c r="K56" s="606"/>
      <c r="L56" s="604"/>
      <c r="M56" s="604"/>
      <c r="N56" s="604"/>
      <c r="O56" s="604"/>
      <c r="P56" s="604"/>
      <c r="Q56" s="604"/>
      <c r="R56" s="604"/>
      <c r="S56" s="604"/>
      <c r="T56" s="604"/>
      <c r="U56" s="604"/>
      <c r="V56" s="604"/>
      <c r="W56" s="604"/>
      <c r="X56" s="604"/>
      <c r="Y56" s="604"/>
      <c r="Z56" s="604"/>
      <c r="AA56" s="604"/>
      <c r="AB56" s="604"/>
      <c r="AC56" s="604"/>
      <c r="AD56" s="604"/>
      <c r="AE56" s="604"/>
      <c r="AF56" s="604"/>
      <c r="AG56" s="604"/>
      <c r="AH56" s="604"/>
      <c r="AI56" s="604"/>
      <c r="AJ56" s="604"/>
      <c r="AK56" s="604"/>
      <c r="AL56" s="604"/>
      <c r="AM56" s="604"/>
      <c r="AN56" s="604"/>
      <c r="AO56" s="604"/>
      <c r="AP56" s="604"/>
      <c r="AQ56" s="604"/>
      <c r="AR56" s="604"/>
      <c r="AS56" s="604"/>
      <c r="AT56" s="604"/>
      <c r="AU56" s="604"/>
      <c r="AV56" s="604"/>
      <c r="AW56" s="604"/>
      <c r="AX56" s="604"/>
      <c r="AY56" s="604"/>
      <c r="AZ56" s="604"/>
      <c r="BA56" s="604"/>
      <c r="BB56" s="604"/>
      <c r="BC56" s="604"/>
      <c r="BD56" s="604"/>
      <c r="BE56" s="604"/>
      <c r="BF56" s="604"/>
      <c r="BG56" s="604"/>
      <c r="BH56" s="604"/>
      <c r="BI56" s="604"/>
      <c r="BJ56" s="604"/>
      <c r="BK56" s="604"/>
      <c r="BL56" s="604"/>
      <c r="BM56" s="604"/>
      <c r="BN56" s="604"/>
      <c r="BO56" s="604"/>
      <c r="BP56" s="604"/>
      <c r="BQ56" s="604"/>
      <c r="BR56" s="604"/>
      <c r="BS56" s="604"/>
      <c r="BT56" s="604"/>
      <c r="BU56" s="604"/>
    </row>
    <row r="57" spans="1:73">
      <c r="A57" s="606"/>
      <c r="B57" s="606"/>
      <c r="C57" s="606"/>
      <c r="D57" s="606"/>
      <c r="E57" s="606"/>
      <c r="F57" s="606"/>
      <c r="G57" s="120"/>
      <c r="H57" s="606"/>
      <c r="I57" s="606"/>
      <c r="J57" s="606"/>
      <c r="K57" s="606"/>
      <c r="L57" s="604"/>
      <c r="M57" s="604"/>
      <c r="N57" s="604"/>
      <c r="O57" s="604"/>
      <c r="P57" s="604"/>
      <c r="Q57" s="604"/>
      <c r="R57" s="604"/>
      <c r="S57" s="604"/>
      <c r="T57" s="604"/>
      <c r="U57" s="604"/>
      <c r="V57" s="604"/>
      <c r="W57" s="604"/>
      <c r="X57" s="604"/>
      <c r="Y57" s="604"/>
      <c r="Z57" s="604"/>
      <c r="AA57" s="604"/>
      <c r="AB57" s="604"/>
      <c r="AC57" s="604"/>
      <c r="AD57" s="604"/>
      <c r="AE57" s="604"/>
      <c r="AF57" s="604"/>
      <c r="AG57" s="604"/>
      <c r="AH57" s="604"/>
      <c r="AI57" s="604"/>
      <c r="AJ57" s="604"/>
      <c r="AK57" s="604"/>
      <c r="AL57" s="604"/>
      <c r="AM57" s="604"/>
      <c r="AN57" s="604"/>
      <c r="AO57" s="604"/>
      <c r="AP57" s="604"/>
      <c r="AQ57" s="604"/>
      <c r="AR57" s="604"/>
      <c r="AS57" s="604"/>
      <c r="AT57" s="604"/>
      <c r="AU57" s="604"/>
      <c r="AV57" s="604"/>
      <c r="AW57" s="604"/>
      <c r="AX57" s="604"/>
      <c r="AY57" s="604"/>
      <c r="AZ57" s="604"/>
      <c r="BA57" s="604"/>
      <c r="BB57" s="604"/>
      <c r="BC57" s="604"/>
      <c r="BD57" s="604"/>
      <c r="BE57" s="604"/>
      <c r="BF57" s="604"/>
      <c r="BG57" s="604"/>
      <c r="BH57" s="604"/>
      <c r="BI57" s="604"/>
      <c r="BJ57" s="604"/>
      <c r="BK57" s="604"/>
      <c r="BL57" s="604"/>
      <c r="BM57" s="604"/>
      <c r="BN57" s="604"/>
      <c r="BO57" s="604"/>
      <c r="BP57" s="604"/>
      <c r="BQ57" s="604"/>
      <c r="BR57" s="604"/>
      <c r="BS57" s="604"/>
      <c r="BT57" s="604"/>
      <c r="BU57" s="604"/>
    </row>
    <row r="58" spans="1:73">
      <c r="A58" s="606"/>
      <c r="B58" s="606"/>
      <c r="C58" s="606"/>
      <c r="D58" s="606"/>
      <c r="E58" s="606"/>
      <c r="F58" s="606"/>
      <c r="G58" s="120"/>
      <c r="H58" s="606"/>
      <c r="I58" s="606"/>
      <c r="J58" s="606"/>
      <c r="K58" s="606"/>
      <c r="L58" s="604"/>
      <c r="M58" s="604"/>
      <c r="N58" s="604"/>
      <c r="O58" s="604"/>
      <c r="P58" s="604"/>
      <c r="Q58" s="604"/>
      <c r="R58" s="604"/>
      <c r="S58" s="604"/>
      <c r="T58" s="604"/>
      <c r="U58" s="604"/>
      <c r="V58" s="604"/>
      <c r="W58" s="604"/>
      <c r="X58" s="604"/>
      <c r="Y58" s="604"/>
      <c r="Z58" s="604"/>
      <c r="AA58" s="604"/>
      <c r="AB58" s="604"/>
      <c r="AC58" s="604"/>
      <c r="AD58" s="604"/>
      <c r="AE58" s="604"/>
      <c r="AF58" s="604"/>
      <c r="AG58" s="604"/>
      <c r="AH58" s="604"/>
      <c r="AI58" s="604"/>
      <c r="AJ58" s="604"/>
      <c r="AK58" s="604"/>
      <c r="AL58" s="604"/>
      <c r="AM58" s="604"/>
      <c r="AN58" s="604"/>
      <c r="AO58" s="604"/>
      <c r="AP58" s="604"/>
      <c r="AQ58" s="604"/>
      <c r="AR58" s="604"/>
      <c r="AS58" s="604"/>
      <c r="AT58" s="604"/>
      <c r="AU58" s="604"/>
      <c r="AV58" s="604"/>
      <c r="AW58" s="604"/>
      <c r="AX58" s="604"/>
      <c r="AY58" s="604"/>
      <c r="AZ58" s="604"/>
      <c r="BA58" s="604"/>
      <c r="BB58" s="604"/>
      <c r="BC58" s="604"/>
      <c r="BD58" s="604"/>
      <c r="BE58" s="604"/>
      <c r="BF58" s="604"/>
      <c r="BG58" s="604"/>
      <c r="BH58" s="604"/>
      <c r="BI58" s="604"/>
      <c r="BJ58" s="604"/>
      <c r="BK58" s="604"/>
      <c r="BL58" s="604"/>
      <c r="BM58" s="604"/>
      <c r="BN58" s="604"/>
      <c r="BO58" s="604"/>
      <c r="BP58" s="604"/>
      <c r="BQ58" s="604"/>
      <c r="BR58" s="604"/>
      <c r="BS58" s="604"/>
      <c r="BT58" s="604"/>
      <c r="BU58" s="604"/>
    </row>
    <row r="59" spans="1:73">
      <c r="A59" s="606"/>
      <c r="B59" s="606"/>
      <c r="C59" s="606"/>
      <c r="D59" s="606"/>
      <c r="E59" s="606"/>
      <c r="F59" s="606"/>
      <c r="G59" s="120"/>
      <c r="H59" s="606"/>
      <c r="I59" s="606"/>
      <c r="J59" s="606"/>
      <c r="K59" s="606"/>
      <c r="L59" s="604"/>
      <c r="M59" s="604"/>
      <c r="N59" s="604"/>
      <c r="O59" s="604"/>
      <c r="P59" s="604"/>
      <c r="Q59" s="604"/>
      <c r="R59" s="604"/>
      <c r="S59" s="604"/>
      <c r="T59" s="604"/>
      <c r="U59" s="604"/>
      <c r="V59" s="604"/>
      <c r="W59" s="604"/>
      <c r="X59" s="604"/>
      <c r="Y59" s="604"/>
      <c r="Z59" s="604"/>
      <c r="AA59" s="604"/>
      <c r="AB59" s="604"/>
      <c r="AC59" s="604"/>
      <c r="AD59" s="604"/>
      <c r="AE59" s="604"/>
      <c r="AF59" s="604"/>
      <c r="AG59" s="604"/>
      <c r="AH59" s="604"/>
      <c r="AI59" s="604"/>
      <c r="AJ59" s="604"/>
      <c r="AK59" s="604"/>
      <c r="AL59" s="604"/>
      <c r="AM59" s="604"/>
      <c r="AN59" s="604"/>
      <c r="AO59" s="604"/>
      <c r="AP59" s="604"/>
      <c r="AQ59" s="604"/>
      <c r="AR59" s="604"/>
      <c r="AS59" s="604"/>
      <c r="AT59" s="604"/>
      <c r="AU59" s="604"/>
      <c r="AV59" s="604"/>
      <c r="AW59" s="604"/>
      <c r="AX59" s="604"/>
      <c r="AY59" s="604"/>
      <c r="AZ59" s="604"/>
      <c r="BA59" s="604"/>
      <c r="BB59" s="604"/>
      <c r="BC59" s="604"/>
      <c r="BD59" s="604"/>
      <c r="BE59" s="604"/>
      <c r="BF59" s="604"/>
      <c r="BG59" s="604"/>
      <c r="BH59" s="604"/>
      <c r="BI59" s="604"/>
      <c r="BJ59" s="604"/>
      <c r="BK59" s="604"/>
      <c r="BL59" s="604"/>
      <c r="BM59" s="604"/>
      <c r="BN59" s="604"/>
      <c r="BO59" s="604"/>
      <c r="BP59" s="604"/>
      <c r="BQ59" s="604"/>
      <c r="BR59" s="604"/>
      <c r="BS59" s="604"/>
      <c r="BT59" s="604"/>
      <c r="BU59" s="604"/>
    </row>
    <row r="60" spans="1:73">
      <c r="A60" s="606"/>
      <c r="B60" s="606"/>
      <c r="C60" s="606"/>
      <c r="D60" s="606"/>
      <c r="E60" s="606"/>
      <c r="F60" s="606"/>
      <c r="G60" s="120"/>
      <c r="H60" s="606"/>
      <c r="I60" s="606"/>
      <c r="J60" s="606"/>
      <c r="K60" s="606"/>
      <c r="L60" s="604"/>
      <c r="M60" s="604"/>
      <c r="N60" s="604"/>
      <c r="O60" s="604"/>
      <c r="P60" s="604"/>
      <c r="Q60" s="604"/>
      <c r="R60" s="604"/>
      <c r="S60" s="604"/>
      <c r="T60" s="604"/>
      <c r="U60" s="604"/>
      <c r="V60" s="604"/>
      <c r="W60" s="604"/>
      <c r="X60" s="604"/>
      <c r="Y60" s="604"/>
      <c r="Z60" s="604"/>
      <c r="AA60" s="604"/>
      <c r="AB60" s="604"/>
      <c r="AC60" s="604"/>
      <c r="AD60" s="604"/>
      <c r="AE60" s="604"/>
      <c r="AF60" s="604"/>
      <c r="AG60" s="604"/>
      <c r="AH60" s="604"/>
      <c r="AI60" s="604"/>
      <c r="AJ60" s="604"/>
      <c r="AK60" s="604"/>
      <c r="AL60" s="604"/>
      <c r="AM60" s="604"/>
      <c r="AN60" s="604"/>
      <c r="AO60" s="604"/>
      <c r="AP60" s="604"/>
      <c r="AQ60" s="604"/>
      <c r="AR60" s="604"/>
      <c r="AS60" s="604"/>
      <c r="AT60" s="604"/>
      <c r="AU60" s="604"/>
      <c r="AV60" s="604"/>
      <c r="AW60" s="604"/>
      <c r="AX60" s="604"/>
      <c r="AY60" s="604"/>
      <c r="AZ60" s="604"/>
      <c r="BA60" s="604"/>
      <c r="BB60" s="604"/>
      <c r="BC60" s="604"/>
      <c r="BD60" s="604"/>
      <c r="BE60" s="604"/>
      <c r="BF60" s="604"/>
      <c r="BG60" s="604"/>
      <c r="BH60" s="604"/>
      <c r="BI60" s="604"/>
      <c r="BJ60" s="604"/>
      <c r="BK60" s="604"/>
      <c r="BL60" s="604"/>
      <c r="BM60" s="604"/>
      <c r="BN60" s="604"/>
      <c r="BO60" s="604"/>
      <c r="BP60" s="604"/>
      <c r="BQ60" s="604"/>
      <c r="BR60" s="604"/>
      <c r="BS60" s="604"/>
      <c r="BT60" s="604"/>
      <c r="BU60" s="604"/>
    </row>
    <row r="61" spans="1:73">
      <c r="A61" s="606"/>
      <c r="B61" s="606"/>
      <c r="C61" s="606"/>
      <c r="D61" s="606"/>
      <c r="E61" s="606"/>
      <c r="F61" s="606"/>
      <c r="G61" s="120"/>
      <c r="H61" s="606"/>
      <c r="I61" s="606"/>
      <c r="J61" s="606"/>
      <c r="K61" s="606"/>
      <c r="L61" s="604"/>
      <c r="M61" s="604"/>
      <c r="N61" s="604"/>
      <c r="O61" s="604"/>
      <c r="P61" s="604"/>
      <c r="Q61" s="604"/>
      <c r="R61" s="604"/>
      <c r="S61" s="604"/>
      <c r="T61" s="604"/>
      <c r="U61" s="604"/>
      <c r="V61" s="604"/>
      <c r="W61" s="604"/>
      <c r="X61" s="604"/>
      <c r="Y61" s="604"/>
      <c r="Z61" s="604"/>
      <c r="AA61" s="604"/>
      <c r="AB61" s="604"/>
      <c r="AC61" s="604"/>
      <c r="AD61" s="604"/>
      <c r="AE61" s="604"/>
      <c r="AF61" s="604"/>
      <c r="AG61" s="604"/>
      <c r="AH61" s="604"/>
      <c r="AI61" s="604"/>
      <c r="AJ61" s="604"/>
      <c r="AK61" s="604"/>
      <c r="AL61" s="604"/>
      <c r="AM61" s="604"/>
      <c r="AN61" s="604"/>
      <c r="AO61" s="604"/>
      <c r="AP61" s="604"/>
      <c r="AQ61" s="604"/>
      <c r="AR61" s="604"/>
      <c r="AS61" s="604"/>
      <c r="AT61" s="604"/>
      <c r="AU61" s="604"/>
      <c r="AV61" s="604"/>
      <c r="AW61" s="604"/>
      <c r="AX61" s="604"/>
      <c r="AY61" s="604"/>
      <c r="AZ61" s="604"/>
      <c r="BA61" s="604"/>
      <c r="BB61" s="604"/>
      <c r="BC61" s="604"/>
      <c r="BD61" s="604"/>
      <c r="BE61" s="604"/>
      <c r="BF61" s="604"/>
      <c r="BG61" s="604"/>
      <c r="BH61" s="604"/>
      <c r="BI61" s="604"/>
      <c r="BJ61" s="604"/>
      <c r="BK61" s="604"/>
      <c r="BL61" s="604"/>
      <c r="BM61" s="604"/>
      <c r="BN61" s="604"/>
      <c r="BO61" s="604"/>
      <c r="BP61" s="604"/>
      <c r="BQ61" s="604"/>
      <c r="BR61" s="604"/>
      <c r="BS61" s="604"/>
      <c r="BT61" s="604"/>
      <c r="BU61" s="604"/>
    </row>
    <row r="62" spans="1:73">
      <c r="A62" s="606"/>
      <c r="B62" s="606"/>
      <c r="C62" s="606"/>
      <c r="D62" s="606"/>
      <c r="E62" s="606"/>
      <c r="F62" s="606"/>
      <c r="G62" s="120"/>
      <c r="H62" s="606"/>
      <c r="I62" s="606"/>
      <c r="J62" s="606"/>
      <c r="K62" s="606"/>
      <c r="L62" s="604"/>
      <c r="M62" s="604"/>
      <c r="N62" s="604"/>
      <c r="O62" s="604"/>
      <c r="P62" s="604"/>
      <c r="Q62" s="604"/>
      <c r="R62" s="604"/>
      <c r="S62" s="604"/>
      <c r="T62" s="604"/>
      <c r="U62" s="604"/>
      <c r="V62" s="604"/>
      <c r="W62" s="604"/>
      <c r="X62" s="604"/>
      <c r="Y62" s="604"/>
      <c r="Z62" s="604"/>
      <c r="AA62" s="604"/>
      <c r="AB62" s="604"/>
      <c r="AC62" s="604"/>
      <c r="AD62" s="604"/>
      <c r="AE62" s="604"/>
      <c r="AF62" s="604"/>
      <c r="AG62" s="604"/>
      <c r="AH62" s="604"/>
      <c r="AI62" s="604"/>
      <c r="AJ62" s="604"/>
      <c r="AK62" s="604"/>
      <c r="AL62" s="604"/>
      <c r="AM62" s="604"/>
      <c r="AN62" s="604"/>
      <c r="AO62" s="604"/>
      <c r="AP62" s="604"/>
      <c r="AQ62" s="604"/>
      <c r="AR62" s="604"/>
      <c r="AS62" s="604"/>
      <c r="AT62" s="604"/>
      <c r="AU62" s="604"/>
      <c r="AV62" s="604"/>
      <c r="AW62" s="604"/>
      <c r="AX62" s="604"/>
      <c r="AY62" s="604"/>
      <c r="AZ62" s="604"/>
      <c r="BA62" s="604"/>
      <c r="BB62" s="604"/>
      <c r="BC62" s="604"/>
      <c r="BD62" s="604"/>
      <c r="BE62" s="604"/>
      <c r="BF62" s="604"/>
      <c r="BG62" s="604"/>
      <c r="BH62" s="604"/>
      <c r="BI62" s="604"/>
      <c r="BJ62" s="604"/>
      <c r="BK62" s="604"/>
      <c r="BL62" s="604"/>
      <c r="BM62" s="604"/>
      <c r="BN62" s="604"/>
      <c r="BO62" s="604"/>
      <c r="BP62" s="604"/>
      <c r="BQ62" s="604"/>
      <c r="BR62" s="604"/>
      <c r="BS62" s="604"/>
      <c r="BT62" s="604"/>
      <c r="BU62" s="604"/>
    </row>
    <row r="63" spans="1:73">
      <c r="A63" s="606"/>
      <c r="B63" s="606"/>
      <c r="C63" s="606"/>
      <c r="D63" s="606"/>
      <c r="E63" s="606"/>
      <c r="F63" s="606"/>
      <c r="G63" s="120"/>
      <c r="H63" s="606"/>
      <c r="I63" s="606"/>
      <c r="J63" s="606"/>
      <c r="K63" s="606"/>
      <c r="L63" s="604"/>
      <c r="M63" s="604"/>
      <c r="N63" s="604"/>
      <c r="O63" s="604"/>
      <c r="P63" s="604"/>
      <c r="Q63" s="604"/>
      <c r="R63" s="604"/>
      <c r="S63" s="604"/>
      <c r="T63" s="604"/>
      <c r="U63" s="604"/>
      <c r="V63" s="604"/>
      <c r="W63" s="604"/>
      <c r="X63" s="604"/>
      <c r="Y63" s="604"/>
      <c r="Z63" s="604"/>
      <c r="AA63" s="604"/>
      <c r="AB63" s="604"/>
      <c r="AC63" s="604"/>
      <c r="AD63" s="604"/>
      <c r="AE63" s="604"/>
      <c r="AF63" s="604"/>
      <c r="AG63" s="604"/>
      <c r="AH63" s="604"/>
      <c r="AI63" s="604"/>
      <c r="AJ63" s="604"/>
      <c r="AK63" s="604"/>
      <c r="AL63" s="604"/>
      <c r="AM63" s="604"/>
      <c r="AN63" s="604"/>
      <c r="AO63" s="604"/>
      <c r="AP63" s="604"/>
      <c r="AQ63" s="604"/>
      <c r="AR63" s="604"/>
      <c r="AS63" s="604"/>
      <c r="AT63" s="604"/>
      <c r="AU63" s="604"/>
      <c r="AV63" s="604"/>
      <c r="AW63" s="604"/>
      <c r="AX63" s="604"/>
      <c r="AY63" s="604"/>
      <c r="AZ63" s="604"/>
      <c r="BA63" s="604"/>
      <c r="BB63" s="604"/>
      <c r="BC63" s="604"/>
      <c r="BD63" s="604"/>
      <c r="BE63" s="604"/>
      <c r="BF63" s="604"/>
      <c r="BG63" s="604"/>
      <c r="BH63" s="604"/>
      <c r="BI63" s="604"/>
      <c r="BJ63" s="604"/>
      <c r="BK63" s="604"/>
      <c r="BL63" s="604"/>
      <c r="BM63" s="604"/>
      <c r="BN63" s="604"/>
      <c r="BO63" s="604"/>
      <c r="BP63" s="604"/>
      <c r="BQ63" s="604"/>
      <c r="BR63" s="604"/>
      <c r="BS63" s="604"/>
      <c r="BT63" s="604"/>
      <c r="BU63" s="604"/>
    </row>
    <row r="64" spans="1:73">
      <c r="A64" s="606"/>
      <c r="B64" s="606"/>
      <c r="C64" s="606"/>
      <c r="D64" s="606"/>
      <c r="E64" s="606"/>
      <c r="F64" s="606"/>
      <c r="G64" s="120"/>
      <c r="H64" s="606"/>
      <c r="I64" s="606"/>
      <c r="J64" s="606"/>
      <c r="K64" s="606"/>
      <c r="L64" s="604"/>
      <c r="M64" s="604"/>
      <c r="N64" s="604"/>
      <c r="O64" s="604"/>
      <c r="P64" s="604"/>
      <c r="Q64" s="604"/>
      <c r="R64" s="604"/>
      <c r="S64" s="604"/>
      <c r="T64" s="604"/>
      <c r="U64" s="604"/>
      <c r="V64" s="604"/>
      <c r="W64" s="604"/>
      <c r="X64" s="604"/>
      <c r="Y64" s="604"/>
      <c r="Z64" s="604"/>
      <c r="AA64" s="604"/>
      <c r="AB64" s="604"/>
      <c r="AC64" s="604"/>
      <c r="AD64" s="604"/>
      <c r="AE64" s="604"/>
      <c r="AF64" s="604"/>
      <c r="AG64" s="604"/>
      <c r="AH64" s="604"/>
      <c r="AI64" s="604"/>
      <c r="AJ64" s="604"/>
      <c r="AK64" s="604"/>
      <c r="AL64" s="604"/>
      <c r="AM64" s="604"/>
      <c r="AN64" s="604"/>
      <c r="AO64" s="604"/>
      <c r="AP64" s="604"/>
      <c r="AQ64" s="604"/>
      <c r="AR64" s="604"/>
      <c r="AS64" s="604"/>
      <c r="AT64" s="604"/>
      <c r="AU64" s="604"/>
      <c r="AV64" s="604"/>
      <c r="AW64" s="604"/>
      <c r="AX64" s="604"/>
      <c r="AY64" s="604"/>
      <c r="AZ64" s="604"/>
      <c r="BA64" s="604"/>
      <c r="BB64" s="604"/>
      <c r="BC64" s="604"/>
      <c r="BD64" s="604"/>
      <c r="BE64" s="604"/>
      <c r="BF64" s="604"/>
      <c r="BG64" s="604"/>
      <c r="BH64" s="604"/>
      <c r="BI64" s="604"/>
      <c r="BJ64" s="604"/>
      <c r="BK64" s="604"/>
      <c r="BL64" s="604"/>
      <c r="BM64" s="604"/>
      <c r="BN64" s="604"/>
      <c r="BO64" s="604"/>
      <c r="BP64" s="604"/>
      <c r="BQ64" s="604"/>
      <c r="BR64" s="604"/>
      <c r="BS64" s="604"/>
      <c r="BT64" s="604"/>
      <c r="BU64" s="604"/>
    </row>
    <row r="65" spans="1:11">
      <c r="A65" s="606"/>
      <c r="B65" s="606"/>
      <c r="C65" s="606"/>
      <c r="D65" s="606"/>
      <c r="E65" s="606"/>
      <c r="F65" s="606"/>
      <c r="G65" s="120"/>
      <c r="H65" s="606"/>
      <c r="I65" s="606"/>
      <c r="J65" s="606"/>
      <c r="K65" s="606"/>
    </row>
    <row r="66" spans="1:11">
      <c r="A66" s="606"/>
      <c r="B66" s="606"/>
      <c r="C66" s="606"/>
      <c r="D66" s="606"/>
      <c r="E66" s="606"/>
      <c r="F66" s="606"/>
      <c r="G66" s="120"/>
      <c r="H66" s="606"/>
      <c r="I66" s="606"/>
      <c r="J66" s="606"/>
      <c r="K66" s="606"/>
    </row>
    <row r="67" spans="1:11">
      <c r="A67" s="606"/>
      <c r="B67" s="606"/>
      <c r="C67" s="606"/>
      <c r="D67" s="606"/>
      <c r="E67" s="606"/>
      <c r="F67" s="606"/>
      <c r="G67" s="120"/>
      <c r="H67" s="606"/>
      <c r="I67" s="606"/>
      <c r="J67" s="606"/>
      <c r="K67" s="606"/>
    </row>
    <row r="68" spans="1:11">
      <c r="A68" s="606"/>
      <c r="B68" s="606"/>
      <c r="C68" s="606"/>
      <c r="D68" s="606"/>
      <c r="E68" s="606"/>
      <c r="F68" s="606"/>
      <c r="G68" s="120"/>
      <c r="H68" s="606"/>
      <c r="I68" s="606"/>
      <c r="J68" s="606"/>
      <c r="K68" s="606"/>
    </row>
    <row r="69" spans="1:11">
      <c r="A69" s="606"/>
      <c r="B69" s="606"/>
      <c r="C69" s="606"/>
      <c r="D69" s="606"/>
      <c r="E69" s="606"/>
      <c r="F69" s="606"/>
      <c r="G69" s="120"/>
      <c r="H69" s="606"/>
      <c r="I69" s="606"/>
      <c r="J69" s="606"/>
      <c r="K69" s="606"/>
    </row>
    <row r="70" spans="1:11">
      <c r="A70" s="606"/>
      <c r="B70" s="606"/>
      <c r="C70" s="606"/>
      <c r="D70" s="606"/>
      <c r="E70" s="606"/>
      <c r="F70" s="606"/>
      <c r="G70" s="120"/>
      <c r="H70" s="606"/>
      <c r="I70" s="606"/>
      <c r="J70" s="606"/>
      <c r="K70" s="606"/>
    </row>
  </sheetData>
  <pageMargins left="0.7" right="0.7" top="0.75" bottom="0.75" header="0.3" footer="0.3"/>
  <pageSetup scale="53" orientation="portrait" r:id="rId1"/>
  <headerFooter>
    <oddHeader xml:space="preserve">&amp;R&amp;"Times New Roman,Regular"&amp;9Exh. JL-2r
Dockets UE 190529 / UG-190530 and 
UE-190274 / UG-190275 (consol.)
Page &amp;P of &amp;N&amp;11 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3F11918DDF20D4BA4A5749D762E5D32" ma:contentTypeVersion="56" ma:contentTypeDescription="" ma:contentTypeScope="" ma:versionID="d3bdc57bd84affb646ba15ec73289e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Petition for Accounting Order</CaseType>
    <IndustryCode xmlns="dc463f71-b30c-4ab2-9473-d307f9d35888">150</IndustryCode>
    <CaseStatus xmlns="dc463f71-b30c-4ab2-9473-d307f9d35888">Closed</CaseStatus>
    <OpenedDate xmlns="dc463f71-b30c-4ab2-9473-d307f9d35888">2019-04-11T07:00:00+00:00</OpenedDate>
    <Date1 xmlns="dc463f71-b30c-4ab2-9473-d307f9d35888">2019-12-18T15:42:48+00:00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190275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309DF9B-387B-41FD-AB0C-C93F0FBAF7E0}"/>
</file>

<file path=customXml/itemProps2.xml><?xml version="1.0" encoding="utf-8"?>
<ds:datastoreItem xmlns:ds="http://schemas.openxmlformats.org/officeDocument/2006/customXml" ds:itemID="{EE885983-FC8F-4D4B-9B57-957766B57DA7}">
  <ds:schemaRefs>
    <ds:schemaRef ds:uri="http://purl.org/dc/dcmitype/"/>
    <ds:schemaRef ds:uri="a0689114-bdb9-4146-803a-240f5368dce0"/>
    <ds:schemaRef ds:uri="http://purl.org/dc/elements/1.1/"/>
    <ds:schemaRef ds:uri="http://www.w3.org/XML/1998/namespace"/>
    <ds:schemaRef ds:uri="http://purl.org/dc/terms/"/>
    <ds:schemaRef ds:uri="24f70c62-691b-492e-ba59-9d389529a9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sharepoint/v3/field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97C85EA-33DD-42DC-AC02-FE3873750D4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5A9EFAA-8118-421A-AB77-ABDCAF4867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52</vt:i4>
      </vt:variant>
    </vt:vector>
  </HeadingPairs>
  <TitlesOfParts>
    <vt:vector size="67" baseType="lpstr">
      <vt:lpstr>COC-Restating</vt:lpstr>
      <vt:lpstr>COC, Def, ConvF</vt:lpstr>
      <vt:lpstr>Staff CoC</vt:lpstr>
      <vt:lpstr>Summary</vt:lpstr>
      <vt:lpstr>Detailed Summary</vt:lpstr>
      <vt:lpstr>Exhibit A-1</vt:lpstr>
      <vt:lpstr>Common Adj</vt:lpstr>
      <vt:lpstr>Electric Adj</vt:lpstr>
      <vt:lpstr>Power Cost Bridge to A-1</vt:lpstr>
      <vt:lpstr>Staff Smart Burn</vt:lpstr>
      <vt:lpstr>Staff Colstrip Outage</vt:lpstr>
      <vt:lpstr>Staff Green Direct</vt:lpstr>
      <vt:lpstr>Staff Shuffleton</vt:lpstr>
      <vt:lpstr>DO NOT PRINT---&gt;</vt:lpstr>
      <vt:lpstr>Named Ranges E</vt:lpstr>
      <vt:lpstr>_AMAtoEOP_Depr_E</vt:lpstr>
      <vt:lpstr>_AMAtoEOP_RB_E</vt:lpstr>
      <vt:lpstr>_AMI_E</vt:lpstr>
      <vt:lpstr>_AnnualizeRent_E</vt:lpstr>
      <vt:lpstr>_BadDebt_E</vt:lpstr>
      <vt:lpstr>_CreditCardPmt_E</vt:lpstr>
      <vt:lpstr>_D_And_O_E</vt:lpstr>
      <vt:lpstr>_DefGain_E</vt:lpstr>
      <vt:lpstr>_EmplInsurance_E</vt:lpstr>
      <vt:lpstr>_EnvRemed_E</vt:lpstr>
      <vt:lpstr>_ExcTax_E</vt:lpstr>
      <vt:lpstr>_FIT_E</vt:lpstr>
      <vt:lpstr>_GTZ_E</vt:lpstr>
      <vt:lpstr>_HRTops</vt:lpstr>
      <vt:lpstr>_Incentives_E</vt:lpstr>
      <vt:lpstr>_InjAndDam_E</vt:lpstr>
      <vt:lpstr>_IntOnCustDeposits_E</vt:lpstr>
      <vt:lpstr>_Investment_E</vt:lpstr>
      <vt:lpstr>_PassThru_E</vt:lpstr>
      <vt:lpstr>_Pension_E</vt:lpstr>
      <vt:lpstr>_PropAndLiab_E</vt:lpstr>
      <vt:lpstr>_RateCaseExp_E</vt:lpstr>
      <vt:lpstr>_RevAndExp_E</vt:lpstr>
      <vt:lpstr>_TBOPI_E</vt:lpstr>
      <vt:lpstr>_TempNorm_E</vt:lpstr>
      <vt:lpstr>_UnprotcdFFIT_E</vt:lpstr>
      <vt:lpstr>_WageInc_E</vt:lpstr>
      <vt:lpstr>BD_E</vt:lpstr>
      <vt:lpstr>CASE_E</vt:lpstr>
      <vt:lpstr>Comp_E</vt:lpstr>
      <vt:lpstr>Conv_Factor_E</vt:lpstr>
      <vt:lpstr>COST_OF_CAPITAL_E</vt:lpstr>
      <vt:lpstr>DOCKETNUMBER_E</vt:lpstr>
      <vt:lpstr>EXHIBIT_E</vt:lpstr>
      <vt:lpstr>FF_E</vt:lpstr>
      <vt:lpstr>FIT_E</vt:lpstr>
      <vt:lpstr>'COC, Def, ConvF'!Print_Area</vt:lpstr>
      <vt:lpstr>'Common Adj'!Print_Area</vt:lpstr>
      <vt:lpstr>'Detailed Summary'!Print_Area</vt:lpstr>
      <vt:lpstr>'Electric Adj'!Print_Area</vt:lpstr>
      <vt:lpstr>'Exhibit A-1'!Print_Area</vt:lpstr>
      <vt:lpstr>'Staff Colstrip Outage'!Print_Area</vt:lpstr>
      <vt:lpstr>'Staff Green Direct'!Print_Area</vt:lpstr>
      <vt:lpstr>'Staff Shuffleton'!Print_Area</vt:lpstr>
      <vt:lpstr>'Staff Smart Burn'!Print_Area</vt:lpstr>
      <vt:lpstr>Summary!Print_Area</vt:lpstr>
      <vt:lpstr>'Detailed Summary'!Print_Titles</vt:lpstr>
      <vt:lpstr>Summary!Print_Titles</vt:lpstr>
      <vt:lpstr>RATE_Increase_E</vt:lpstr>
      <vt:lpstr>RY_E</vt:lpstr>
      <vt:lpstr>TESTYEAR_E</vt:lpstr>
      <vt:lpstr>UTN_E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 JL-2 Electric Model</dc:title>
  <dc:creator>MarvelousMarina</dc:creator>
  <dc:description/>
  <cp:lastModifiedBy>Liu, Jing (UTC)</cp:lastModifiedBy>
  <cp:lastPrinted>2019-11-21T22:14:22Z</cp:lastPrinted>
  <dcterms:created xsi:type="dcterms:W3CDTF">2015-07-22T17:29:58Z</dcterms:created>
  <dcterms:modified xsi:type="dcterms:W3CDTF">2019-12-17T18:02:40Z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NEW-PSE-WP-SEF-4.00E-ELECTRIC-MODEL-19GRC-05-2019.xlsx</vt:lpwstr>
  </property>
  <property fmtid="{D5CDD505-2E9C-101B-9397-08002B2CF9AE}" pid="3" name="ContentTypeId">
    <vt:lpwstr>0x0101006E56B4D1795A2E4DB2F0B01679ED314A0053F11918DDF20D4BA4A5749D762E5D32</vt:lpwstr>
  </property>
  <property fmtid="{D5CDD505-2E9C-101B-9397-08002B2CF9AE}" pid="4" name="kwsk">
    <vt:lpwstr/>
  </property>
  <property fmtid="{D5CDD505-2E9C-101B-9397-08002B2CF9AE}" pid="6" name="EfsecDocumentType">
    <vt:lpwstr>Documents</vt:lpwstr>
  </property>
  <property fmtid="{D5CDD505-2E9C-101B-9397-08002B2CF9AE}" pid="12" name="IsOfficialRecord">
    <vt:bool>false</vt:bool>
  </property>
  <property fmtid="{D5CDD505-2E9C-101B-9397-08002B2CF9AE}" pid="13" name="IsVisibleToEfsecCouncil">
    <vt:bool>false</vt:bool>
  </property>
  <property fmtid="{D5CDD505-2E9C-101B-9397-08002B2CF9AE}" pid="20" name="_docset_NoMedatataSyncRequired">
    <vt:lpwstr>False</vt:lpwstr>
  </property>
  <property fmtid="{D5CDD505-2E9C-101B-9397-08002B2CF9AE}" pid="21" name="IsEFSEC">
    <vt:bool>false</vt:bool>
  </property>
</Properties>
</file>