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1.xml" ContentType="application/vnd.openxmlformats-officedocument.spreadsheetml.worksheet+xml"/>
  <Override PartName="/xl/embeddings/oleObject2.bin" ContentType="application/vnd.openxmlformats-officedocument.oleObject"/>
  <Override PartName="/xl/drawings/drawing1.xml" ContentType="application/vnd.openxmlformats-officedocument.drawing+xml"/>
  <Override PartName="/xl/embeddings/oleObject1.bin" ContentType="application/vnd.openxmlformats-officedocument.oleObject"/>
  <Override PartName="/xl/worksheets/sheet3.xml" ContentType="application/vnd.openxmlformats-officedocument.spreadsheetml.worksheet+xml"/>
  <Override PartName="/xl/worksheets/sheet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comments3.xml" ContentType="application/vnd.openxmlformats-officedocument.spreadsheetml.comment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xl/comments2.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xl/comments8.xml" ContentType="application/vnd.openxmlformats-officedocument.spreadsheetml.comments+xml"/>
  <Override PartName="/xl/comments7.xml" ContentType="application/vnd.openxmlformats-officedocument.spreadsheetml.comments+xml"/>
  <Override PartName="/xl/comments6.xml" ContentType="application/vnd.openxmlformats-officedocument.spreadsheetml.comments+xml"/>
  <Override PartName="/xl/externalLinks/externalLink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720" windowHeight="7260" tabRatio="601"/>
  </bookViews>
  <sheets>
    <sheet name="Summary" sheetId="7" r:id="rId1"/>
    <sheet name="2111 Trks" sheetId="1" r:id="rId2"/>
    <sheet name="2111 Cont, DB" sheetId="6" r:id="rId3"/>
    <sheet name="2111 YW" sheetId="5" r:id="rId4"/>
    <sheet name="2111 Other" sheetId="4" r:id="rId5"/>
    <sheet name="Land" sheetId="11" r:id="rId6"/>
    <sheet name="2111 Trks - Orig" sheetId="14" r:id="rId7"/>
    <sheet name="2111 Other - Orig" sheetId="17" r:id="rId8"/>
    <sheet name="2131 Trks - Orig" sheetId="18" r:id="rId9"/>
    <sheet name="2131 Other - Orig" sheetId="21" r:id="rId10"/>
  </sheets>
  <externalReferences>
    <externalReference r:id="rId11"/>
    <externalReference r:id="rId12"/>
    <externalReference r:id="rId13"/>
    <externalReference r:id="rId14"/>
    <externalReference r:id="rId15"/>
    <externalReference r:id="rId16"/>
    <externalReference r:id="rId17"/>
  </externalReferences>
  <definedNames>
    <definedName name="NOTES">'2111 Trks'!#REF!</definedName>
    <definedName name="PAGE_1">'2111 Trks'!$D$1:$U$353</definedName>
    <definedName name="_xlnm.Print_Area" localSheetId="2">'2111 Cont, DB'!$A$1:$U$485</definedName>
    <definedName name="_xlnm.Print_Area" localSheetId="4">'2111 Other'!$A$1:$U$141</definedName>
    <definedName name="_xlnm.Print_Area" localSheetId="7">'2111 Other - Orig'!$A$1:$AG$113</definedName>
    <definedName name="_xlnm.Print_Area" localSheetId="1">'2111 Trks'!$A$1:$U$353</definedName>
    <definedName name="_xlnm.Print_Area" localSheetId="6">'2111 Trks - Orig'!$C$1:$AH$178</definedName>
    <definedName name="_xlnm.Print_Area" localSheetId="3">'2111 YW'!$A$1:$U$101</definedName>
    <definedName name="_xlnm.Print_Area" localSheetId="9">'2131 Other - Orig'!$C$1:$AH$31</definedName>
    <definedName name="_xlnm.Print_Area" localSheetId="8">'2131 Trks - Orig'!$A$1:$AH$74</definedName>
    <definedName name="_xlnm.Print_Area" localSheetId="0">Summary!$A$1:$H$62</definedName>
    <definedName name="Print_Area_MI" localSheetId="1">'2111 Trks'!$D$1:$U$353</definedName>
    <definedName name="Print_Area_MI" localSheetId="6">'2111 Trks - Orig'!$C$1:$AC$178</definedName>
    <definedName name="Print_Area_MI" localSheetId="8">'2131 Trks - Orig'!$C$1:$AC$12</definedName>
    <definedName name="_xlnm.Print_Titles" localSheetId="2">'2111 Cont, DB'!$1:$11</definedName>
    <definedName name="_xlnm.Print_Titles" localSheetId="4">'2111 Other'!$1:$11</definedName>
    <definedName name="_xlnm.Print_Titles" localSheetId="7">'2111 Other - Orig'!$1:$11</definedName>
    <definedName name="_xlnm.Print_Titles" localSheetId="1">'2111 Trks'!$1:$11</definedName>
    <definedName name="_xlnm.Print_Titles" localSheetId="6">'2111 Trks - Orig'!$1:$11</definedName>
    <definedName name="_xlnm.Print_Titles" localSheetId="3">'2111 YW'!$1:$12</definedName>
  </definedNames>
  <calcPr calcId="145621" iterate="1" concurrentManualCount="4"/>
</workbook>
</file>

<file path=xl/calcChain.xml><?xml version="1.0" encoding="utf-8"?>
<calcChain xmlns="http://schemas.openxmlformats.org/spreadsheetml/2006/main">
  <c r="V109" i="17" l="1"/>
  <c r="P109" i="17"/>
  <c r="O109" i="17"/>
  <c r="M109" i="17"/>
  <c r="R140" i="4"/>
  <c r="V15" i="7" l="1"/>
  <c r="U15" i="7"/>
  <c r="V11" i="7"/>
  <c r="U11" i="7"/>
  <c r="V55" i="7"/>
  <c r="U55" i="7"/>
  <c r="V56" i="7"/>
  <c r="U56" i="7"/>
  <c r="AJ57" i="7" l="1"/>
  <c r="AB57" i="7"/>
  <c r="AA57" i="7"/>
  <c r="M37" i="4" l="1"/>
  <c r="B56" i="7" s="1"/>
  <c r="M16" i="4"/>
  <c r="N16" i="4" s="1"/>
  <c r="O16" i="4" s="1"/>
  <c r="P16" i="4" s="1"/>
  <c r="K16" i="4"/>
  <c r="L16" i="4"/>
  <c r="K37" i="4"/>
  <c r="L37" i="4" s="1"/>
  <c r="N37" i="4" l="1"/>
  <c r="N95" i="5"/>
  <c r="O95" i="5" s="1"/>
  <c r="P95" i="5" s="1"/>
  <c r="K95" i="5"/>
  <c r="L95" i="5" s="1"/>
  <c r="O94" i="5"/>
  <c r="P94" i="5" s="1"/>
  <c r="N94" i="5"/>
  <c r="K94" i="5"/>
  <c r="L94" i="5" s="1"/>
  <c r="N93" i="5"/>
  <c r="O93" i="5" s="1"/>
  <c r="P93" i="5" s="1"/>
  <c r="K93" i="5"/>
  <c r="L93" i="5" s="1"/>
  <c r="N92" i="5"/>
  <c r="O92" i="5" s="1"/>
  <c r="P92" i="5" s="1"/>
  <c r="K92" i="5"/>
  <c r="L92" i="5" s="1"/>
  <c r="P138" i="4"/>
  <c r="N138" i="4"/>
  <c r="O138" i="4"/>
  <c r="M138" i="4"/>
  <c r="K136" i="4"/>
  <c r="L136" i="4" s="1"/>
  <c r="Q138" i="4" s="1"/>
  <c r="O37" i="4" l="1"/>
  <c r="P37" i="4" s="1"/>
  <c r="D56" i="7"/>
  <c r="U138" i="4"/>
  <c r="T138" i="4" l="1"/>
  <c r="S138" i="4"/>
  <c r="F89" i="7" l="1"/>
  <c r="F87" i="7"/>
  <c r="M482" i="6" l="1"/>
  <c r="B37" i="7" s="1"/>
  <c r="D482" i="6"/>
  <c r="D464" i="6"/>
  <c r="R464" i="6"/>
  <c r="M464" i="6"/>
  <c r="B31" i="7" s="1"/>
  <c r="U11" i="6"/>
  <c r="C38" i="7"/>
  <c r="R482" i="6"/>
  <c r="D434" i="6"/>
  <c r="R434" i="6"/>
  <c r="R423" i="6"/>
  <c r="N224" i="1"/>
  <c r="O224" i="1" s="1"/>
  <c r="P224" i="1" s="1"/>
  <c r="N204" i="1"/>
  <c r="O204" i="1" s="1"/>
  <c r="P204" i="1" s="1"/>
  <c r="N205" i="1"/>
  <c r="O205" i="1" s="1"/>
  <c r="P205" i="1" s="1"/>
  <c r="N206" i="1"/>
  <c r="O206" i="1" s="1"/>
  <c r="P206" i="1" s="1"/>
  <c r="N207" i="1"/>
  <c r="O207" i="1" s="1"/>
  <c r="P207" i="1" s="1"/>
  <c r="N208" i="1"/>
  <c r="O208" i="1" s="1"/>
  <c r="P208" i="1" s="1"/>
  <c r="N209" i="1"/>
  <c r="O209" i="1" s="1"/>
  <c r="P209" i="1" s="1"/>
  <c r="N210" i="1"/>
  <c r="O210" i="1" s="1"/>
  <c r="P210" i="1" s="1"/>
  <c r="N211" i="1"/>
  <c r="O211" i="1" s="1"/>
  <c r="P211" i="1" s="1"/>
  <c r="N212" i="1"/>
  <c r="O212" i="1" s="1"/>
  <c r="P212" i="1" s="1"/>
  <c r="N213" i="1"/>
  <c r="O213" i="1" s="1"/>
  <c r="P213" i="1" s="1"/>
  <c r="N214" i="1"/>
  <c r="O214" i="1" s="1"/>
  <c r="P214" i="1" s="1"/>
  <c r="N215" i="1"/>
  <c r="O215" i="1" s="1"/>
  <c r="P215" i="1" s="1"/>
  <c r="N216" i="1"/>
  <c r="O216" i="1" s="1"/>
  <c r="P216" i="1" s="1"/>
  <c r="N217" i="1"/>
  <c r="O217" i="1" s="1"/>
  <c r="P217" i="1" s="1"/>
  <c r="N218" i="1"/>
  <c r="O218" i="1" s="1"/>
  <c r="P218" i="1" s="1"/>
  <c r="N219" i="1"/>
  <c r="O219" i="1" s="1"/>
  <c r="P219" i="1" s="1"/>
  <c r="N220" i="1"/>
  <c r="O220" i="1" s="1"/>
  <c r="P220" i="1" s="1"/>
  <c r="N221" i="1"/>
  <c r="O221" i="1" s="1"/>
  <c r="P221" i="1" s="1"/>
  <c r="N222" i="1"/>
  <c r="O222" i="1" s="1"/>
  <c r="P222" i="1" s="1"/>
  <c r="N223" i="1"/>
  <c r="O223" i="1" s="1"/>
  <c r="P223" i="1" s="1"/>
  <c r="K204" i="1"/>
  <c r="L204" i="1" s="1"/>
  <c r="Q204" i="1" s="1"/>
  <c r="U204" i="1" s="1"/>
  <c r="K205" i="1"/>
  <c r="L205" i="1" s="1"/>
  <c r="Q205" i="1" s="1"/>
  <c r="K206" i="1"/>
  <c r="L206" i="1" s="1"/>
  <c r="Q206" i="1" s="1"/>
  <c r="K207" i="1"/>
  <c r="L207" i="1" s="1"/>
  <c r="Q207" i="1" s="1"/>
  <c r="K208" i="1"/>
  <c r="L208" i="1" s="1"/>
  <c r="Q208" i="1" s="1"/>
  <c r="K209" i="1"/>
  <c r="L209" i="1" s="1"/>
  <c r="Q209" i="1" s="1"/>
  <c r="K210" i="1"/>
  <c r="L210" i="1" s="1"/>
  <c r="Q210" i="1" s="1"/>
  <c r="K211" i="1"/>
  <c r="L211" i="1" s="1"/>
  <c r="Q211" i="1" s="1"/>
  <c r="K212" i="1"/>
  <c r="L212" i="1" s="1"/>
  <c r="Q212" i="1" s="1"/>
  <c r="K213" i="1"/>
  <c r="L213" i="1" s="1"/>
  <c r="Q213" i="1" s="1"/>
  <c r="K214" i="1"/>
  <c r="L214" i="1" s="1"/>
  <c r="Q214" i="1" s="1"/>
  <c r="K215" i="1"/>
  <c r="L215" i="1" s="1"/>
  <c r="Q215" i="1" s="1"/>
  <c r="K216" i="1"/>
  <c r="L216" i="1" s="1"/>
  <c r="Q216" i="1" s="1"/>
  <c r="K217" i="1"/>
  <c r="L217" i="1" s="1"/>
  <c r="Q217" i="1" s="1"/>
  <c r="K218" i="1"/>
  <c r="L218" i="1" s="1"/>
  <c r="Q218" i="1" s="1"/>
  <c r="K219" i="1"/>
  <c r="L219" i="1" s="1"/>
  <c r="Q219" i="1" s="1"/>
  <c r="K220" i="1"/>
  <c r="L220" i="1" s="1"/>
  <c r="Q220" i="1" s="1"/>
  <c r="K221" i="1"/>
  <c r="L221" i="1" s="1"/>
  <c r="K222" i="1"/>
  <c r="L222" i="1" s="1"/>
  <c r="K223" i="1"/>
  <c r="L223" i="1" s="1"/>
  <c r="K224" i="1"/>
  <c r="L224" i="1" s="1"/>
  <c r="J93" i="4"/>
  <c r="K93" i="4"/>
  <c r="L93" i="4" s="1"/>
  <c r="N94" i="4"/>
  <c r="O94" i="4" s="1"/>
  <c r="P94" i="4" s="1"/>
  <c r="K94" i="4"/>
  <c r="L94" i="4" s="1"/>
  <c r="N93" i="4"/>
  <c r="O93" i="4"/>
  <c r="P93" i="4" s="1"/>
  <c r="N92" i="4"/>
  <c r="O92" i="4" s="1"/>
  <c r="P92" i="4" s="1"/>
  <c r="K92" i="4"/>
  <c r="L92" i="4" s="1"/>
  <c r="N203" i="1"/>
  <c r="O203" i="1" s="1"/>
  <c r="P203" i="1" s="1"/>
  <c r="K203" i="1"/>
  <c r="L203" i="1" s="1"/>
  <c r="K202" i="1"/>
  <c r="L202" i="1" s="1"/>
  <c r="N202" i="1"/>
  <c r="O202" i="1" s="1"/>
  <c r="P202" i="1" s="1"/>
  <c r="N114" i="1"/>
  <c r="O114" i="1" s="1"/>
  <c r="P114" i="1" s="1"/>
  <c r="K114" i="1"/>
  <c r="L114" i="1" s="1"/>
  <c r="M388" i="6"/>
  <c r="K201" i="1"/>
  <c r="L201" i="1" s="1"/>
  <c r="N201" i="1"/>
  <c r="O201" i="1" s="1"/>
  <c r="P201" i="1" s="1"/>
  <c r="N200" i="1"/>
  <c r="O200" i="1" s="1"/>
  <c r="P200" i="1" s="1"/>
  <c r="K200" i="1"/>
  <c r="L200" i="1" s="1"/>
  <c r="N227" i="6"/>
  <c r="O227" i="6" s="1"/>
  <c r="P227" i="6" s="1"/>
  <c r="N226" i="6"/>
  <c r="O226" i="6" s="1"/>
  <c r="P226" i="6" s="1"/>
  <c r="K226" i="6"/>
  <c r="L226" i="6" s="1"/>
  <c r="K227" i="6"/>
  <c r="L227" i="6" s="1"/>
  <c r="N52" i="4"/>
  <c r="N199" i="1"/>
  <c r="O199" i="1" s="1"/>
  <c r="P199" i="1" s="1"/>
  <c r="K199" i="1"/>
  <c r="L199" i="1" s="1"/>
  <c r="N198" i="1"/>
  <c r="O198" i="1" s="1"/>
  <c r="P198" i="1" s="1"/>
  <c r="K198" i="1"/>
  <c r="L198" i="1" s="1"/>
  <c r="O25" i="7"/>
  <c r="N25" i="7"/>
  <c r="O45" i="7"/>
  <c r="N45" i="7"/>
  <c r="N98" i="1"/>
  <c r="O98" i="1" s="1"/>
  <c r="P98" i="1" s="1"/>
  <c r="K98" i="1"/>
  <c r="L98" i="1" s="1"/>
  <c r="N233" i="6"/>
  <c r="O233" i="6" s="1"/>
  <c r="P233" i="6" s="1"/>
  <c r="N234" i="6"/>
  <c r="O234" i="6" s="1"/>
  <c r="P234" i="6" s="1"/>
  <c r="N235" i="6"/>
  <c r="O235" i="6"/>
  <c r="P235" i="6" s="1"/>
  <c r="N236" i="6"/>
  <c r="O236" i="6" s="1"/>
  <c r="P236" i="6" s="1"/>
  <c r="N238" i="6"/>
  <c r="O238" i="6" s="1"/>
  <c r="P238" i="6" s="1"/>
  <c r="N239" i="6"/>
  <c r="O239" i="6" s="1"/>
  <c r="P239" i="6" s="1"/>
  <c r="N240" i="6"/>
  <c r="O240" i="6" s="1"/>
  <c r="P240" i="6" s="1"/>
  <c r="K233" i="6"/>
  <c r="L233" i="6" s="1"/>
  <c r="Q233" i="6" s="1"/>
  <c r="K234" i="6"/>
  <c r="L234" i="6" s="1"/>
  <c r="K235" i="6"/>
  <c r="L235" i="6" s="1"/>
  <c r="K236" i="6"/>
  <c r="L236" i="6" s="1"/>
  <c r="K237" i="6"/>
  <c r="L237" i="6" s="1"/>
  <c r="K238" i="6"/>
  <c r="L238" i="6" s="1"/>
  <c r="K239" i="6"/>
  <c r="L239" i="6" s="1"/>
  <c r="K240" i="6"/>
  <c r="L240" i="6" s="1"/>
  <c r="K241" i="6"/>
  <c r="L241" i="6" s="1"/>
  <c r="K242" i="6"/>
  <c r="L242" i="6" s="1"/>
  <c r="K243" i="6"/>
  <c r="L243" i="6" s="1"/>
  <c r="K244" i="6"/>
  <c r="L244" i="6" s="1"/>
  <c r="K245" i="6"/>
  <c r="L245" i="6" s="1"/>
  <c r="K246" i="6"/>
  <c r="L246" i="6" s="1"/>
  <c r="K247" i="6"/>
  <c r="L247" i="6" s="1"/>
  <c r="K248" i="6"/>
  <c r="L248" i="6" s="1"/>
  <c r="K249" i="6"/>
  <c r="L249" i="6" s="1"/>
  <c r="K250" i="6"/>
  <c r="L250" i="6" s="1"/>
  <c r="K251" i="6"/>
  <c r="L251" i="6" s="1"/>
  <c r="K252" i="6"/>
  <c r="L252" i="6" s="1"/>
  <c r="K253" i="6"/>
  <c r="L253" i="6" s="1"/>
  <c r="K254" i="6"/>
  <c r="L254" i="6" s="1"/>
  <c r="K255" i="6"/>
  <c r="L255" i="6" s="1"/>
  <c r="K256" i="6"/>
  <c r="L256" i="6" s="1"/>
  <c r="K257" i="6"/>
  <c r="L257" i="6" s="1"/>
  <c r="Q257" i="6" s="1"/>
  <c r="U257" i="6" s="1"/>
  <c r="K258" i="6"/>
  <c r="L258" i="6" s="1"/>
  <c r="K259" i="6"/>
  <c r="L259" i="6" s="1"/>
  <c r="K260" i="6"/>
  <c r="L260" i="6" s="1"/>
  <c r="K261" i="6"/>
  <c r="L261" i="6" s="1"/>
  <c r="K262" i="6"/>
  <c r="L262" i="6" s="1"/>
  <c r="K263" i="6"/>
  <c r="L263" i="6" s="1"/>
  <c r="K264" i="6"/>
  <c r="L264" i="6" s="1"/>
  <c r="K265" i="6"/>
  <c r="L265" i="6" s="1"/>
  <c r="K266" i="6"/>
  <c r="L266" i="6" s="1"/>
  <c r="K267" i="6"/>
  <c r="L267" i="6" s="1"/>
  <c r="K268" i="6"/>
  <c r="L268" i="6" s="1"/>
  <c r="K269" i="6"/>
  <c r="L269" i="6" s="1"/>
  <c r="K270" i="6"/>
  <c r="L270" i="6" s="1"/>
  <c r="K271" i="6"/>
  <c r="L271" i="6" s="1"/>
  <c r="K272" i="6"/>
  <c r="L272" i="6" s="1"/>
  <c r="K273" i="6"/>
  <c r="L273" i="6"/>
  <c r="K274" i="6"/>
  <c r="L274" i="6" s="1"/>
  <c r="K275" i="6"/>
  <c r="L275" i="6" s="1"/>
  <c r="K276" i="6"/>
  <c r="L276" i="6" s="1"/>
  <c r="K277" i="6"/>
  <c r="L277" i="6" s="1"/>
  <c r="K278" i="6"/>
  <c r="L278" i="6" s="1"/>
  <c r="K279" i="6"/>
  <c r="L279" i="6" s="1"/>
  <c r="K280" i="6"/>
  <c r="L280" i="6" s="1"/>
  <c r="K281" i="6"/>
  <c r="L281" i="6" s="1"/>
  <c r="K282" i="6"/>
  <c r="L282" i="6" s="1"/>
  <c r="K283" i="6"/>
  <c r="L283" i="6" s="1"/>
  <c r="K284" i="6"/>
  <c r="L284" i="6" s="1"/>
  <c r="K285" i="6"/>
  <c r="L285" i="6" s="1"/>
  <c r="K286" i="6"/>
  <c r="L286" i="6" s="1"/>
  <c r="K287" i="6"/>
  <c r="L287" i="6" s="1"/>
  <c r="K288" i="6"/>
  <c r="L288" i="6" s="1"/>
  <c r="K289" i="6"/>
  <c r="L289" i="6"/>
  <c r="K290" i="6"/>
  <c r="L290" i="6" s="1"/>
  <c r="K291" i="6"/>
  <c r="L291" i="6" s="1"/>
  <c r="K292" i="6"/>
  <c r="L292" i="6" s="1"/>
  <c r="K293" i="6"/>
  <c r="L293" i="6" s="1"/>
  <c r="K294" i="6"/>
  <c r="L294" i="6" s="1"/>
  <c r="K295" i="6"/>
  <c r="L295" i="6" s="1"/>
  <c r="K296" i="6"/>
  <c r="L296" i="6" s="1"/>
  <c r="K297" i="6"/>
  <c r="L297" i="6" s="1"/>
  <c r="Q297" i="6" s="1"/>
  <c r="K298" i="6"/>
  <c r="L298" i="6" s="1"/>
  <c r="K299" i="6"/>
  <c r="L299" i="6" s="1"/>
  <c r="K300" i="6"/>
  <c r="L300" i="6" s="1"/>
  <c r="K301" i="6"/>
  <c r="L301" i="6" s="1"/>
  <c r="K302" i="6"/>
  <c r="L302" i="6" s="1"/>
  <c r="K303" i="6"/>
  <c r="L303" i="6" s="1"/>
  <c r="K304" i="6"/>
  <c r="L304" i="6" s="1"/>
  <c r="K305" i="6"/>
  <c r="L305" i="6" s="1"/>
  <c r="K306" i="6"/>
  <c r="L306" i="6" s="1"/>
  <c r="K307" i="6"/>
  <c r="L307" i="6" s="1"/>
  <c r="K308" i="6"/>
  <c r="L308" i="6" s="1"/>
  <c r="K309" i="6"/>
  <c r="L309" i="6" s="1"/>
  <c r="K310" i="6"/>
  <c r="L310" i="6" s="1"/>
  <c r="K311" i="6"/>
  <c r="L311" i="6" s="1"/>
  <c r="K312" i="6"/>
  <c r="L312" i="6" s="1"/>
  <c r="K313" i="6"/>
  <c r="L313" i="6" s="1"/>
  <c r="K314" i="6"/>
  <c r="L314" i="6" s="1"/>
  <c r="K315" i="6"/>
  <c r="L315" i="6" s="1"/>
  <c r="K316" i="6"/>
  <c r="L316" i="6" s="1"/>
  <c r="K317" i="6"/>
  <c r="L317" i="6" s="1"/>
  <c r="K318" i="6"/>
  <c r="L318" i="6" s="1"/>
  <c r="K319" i="6"/>
  <c r="L319" i="6"/>
  <c r="K320" i="6"/>
  <c r="L320" i="6" s="1"/>
  <c r="K321" i="6"/>
  <c r="L321" i="6" s="1"/>
  <c r="K322" i="6"/>
  <c r="L322" i="6" s="1"/>
  <c r="K323" i="6"/>
  <c r="L323" i="6" s="1"/>
  <c r="K324" i="6"/>
  <c r="L324" i="6" s="1"/>
  <c r="K325" i="6"/>
  <c r="L325" i="6" s="1"/>
  <c r="K326" i="6"/>
  <c r="L326" i="6" s="1"/>
  <c r="K327" i="6"/>
  <c r="L327" i="6" s="1"/>
  <c r="K328" i="6"/>
  <c r="L328" i="6" s="1"/>
  <c r="K329" i="6"/>
  <c r="L329" i="6"/>
  <c r="K330" i="6"/>
  <c r="L330" i="6" s="1"/>
  <c r="K331" i="6"/>
  <c r="L331" i="6" s="1"/>
  <c r="K332" i="6"/>
  <c r="L332" i="6" s="1"/>
  <c r="K333" i="6"/>
  <c r="L333" i="6" s="1"/>
  <c r="K334" i="6"/>
  <c r="L334" i="6" s="1"/>
  <c r="K335" i="6"/>
  <c r="L335" i="6" s="1"/>
  <c r="K336" i="6"/>
  <c r="L336" i="6" s="1"/>
  <c r="K337" i="6"/>
  <c r="L337" i="6" s="1"/>
  <c r="K338" i="6"/>
  <c r="L338" i="6" s="1"/>
  <c r="K339" i="6"/>
  <c r="L339" i="6" s="1"/>
  <c r="K340" i="6"/>
  <c r="L340" i="6" s="1"/>
  <c r="K341" i="6"/>
  <c r="L341" i="6" s="1"/>
  <c r="K342" i="6"/>
  <c r="L342" i="6" s="1"/>
  <c r="K343" i="6"/>
  <c r="L343" i="6" s="1"/>
  <c r="K344" i="6"/>
  <c r="L344" i="6" s="1"/>
  <c r="K345" i="6"/>
  <c r="L345" i="6" s="1"/>
  <c r="Q345" i="6" s="1"/>
  <c r="K346" i="6"/>
  <c r="L346" i="6" s="1"/>
  <c r="K347" i="6"/>
  <c r="L347" i="6" s="1"/>
  <c r="K348" i="6"/>
  <c r="L348" i="6" s="1"/>
  <c r="K349" i="6"/>
  <c r="L349" i="6" s="1"/>
  <c r="K350" i="6"/>
  <c r="L350" i="6" s="1"/>
  <c r="K351" i="6"/>
  <c r="L351" i="6" s="1"/>
  <c r="K352" i="6"/>
  <c r="L352" i="6" s="1"/>
  <c r="K353" i="6"/>
  <c r="L353" i="6" s="1"/>
  <c r="K354" i="6"/>
  <c r="L354" i="6" s="1"/>
  <c r="K355" i="6"/>
  <c r="L355" i="6" s="1"/>
  <c r="K356" i="6"/>
  <c r="L356" i="6" s="1"/>
  <c r="K357" i="6"/>
  <c r="L357" i="6" s="1"/>
  <c r="K358" i="6"/>
  <c r="L358" i="6" s="1"/>
  <c r="K359" i="6"/>
  <c r="L359" i="6" s="1"/>
  <c r="K360" i="6"/>
  <c r="L360" i="6" s="1"/>
  <c r="K361" i="6"/>
  <c r="L361" i="6" s="1"/>
  <c r="K362" i="6"/>
  <c r="L362" i="6" s="1"/>
  <c r="K363" i="6"/>
  <c r="L363" i="6" s="1"/>
  <c r="K364" i="6"/>
  <c r="L364" i="6" s="1"/>
  <c r="K365" i="6"/>
  <c r="L365" i="6" s="1"/>
  <c r="K366" i="6"/>
  <c r="L366" i="6" s="1"/>
  <c r="K367" i="6"/>
  <c r="L367" i="6" s="1"/>
  <c r="K368" i="6"/>
  <c r="L368" i="6" s="1"/>
  <c r="K369" i="6"/>
  <c r="L369" i="6" s="1"/>
  <c r="K370" i="6"/>
  <c r="L370" i="6" s="1"/>
  <c r="K371" i="6"/>
  <c r="L371" i="6" s="1"/>
  <c r="K372" i="6"/>
  <c r="L372" i="6" s="1"/>
  <c r="K373" i="6"/>
  <c r="L373" i="6" s="1"/>
  <c r="K374" i="6"/>
  <c r="L374" i="6" s="1"/>
  <c r="K375" i="6"/>
  <c r="L375" i="6" s="1"/>
  <c r="K376" i="6"/>
  <c r="L376" i="6" s="1"/>
  <c r="K377" i="6"/>
  <c r="L377" i="6" s="1"/>
  <c r="K378" i="6"/>
  <c r="L378" i="6" s="1"/>
  <c r="D380" i="6"/>
  <c r="R380" i="6"/>
  <c r="D117" i="7"/>
  <c r="B99" i="7"/>
  <c r="C80" i="7"/>
  <c r="B97" i="7"/>
  <c r="B93" i="7"/>
  <c r="B95" i="7" s="1"/>
  <c r="B89" i="7"/>
  <c r="C87" i="7" s="1"/>
  <c r="N110" i="1"/>
  <c r="O110" i="1" s="1"/>
  <c r="P110" i="1" s="1"/>
  <c r="N109" i="1"/>
  <c r="O109" i="1" s="1"/>
  <c r="P109" i="1" s="1"/>
  <c r="K110" i="1"/>
  <c r="L110" i="1" s="1"/>
  <c r="K109" i="1"/>
  <c r="L109" i="1" s="1"/>
  <c r="N36" i="4"/>
  <c r="O36" i="4" s="1"/>
  <c r="P36" i="4" s="1"/>
  <c r="N35" i="4"/>
  <c r="O35" i="4" s="1"/>
  <c r="N34" i="4"/>
  <c r="O34" i="4" s="1"/>
  <c r="P34" i="4" s="1"/>
  <c r="N33" i="4"/>
  <c r="O33" i="4" s="1"/>
  <c r="P33" i="4" s="1"/>
  <c r="N32" i="4"/>
  <c r="O32" i="4" s="1"/>
  <c r="P32" i="4" s="1"/>
  <c r="N31" i="4"/>
  <c r="O31" i="4" s="1"/>
  <c r="P31" i="4" s="1"/>
  <c r="K31" i="4"/>
  <c r="L31" i="4" s="1"/>
  <c r="K32" i="4"/>
  <c r="L32" i="4" s="1"/>
  <c r="K33" i="4"/>
  <c r="L33" i="4" s="1"/>
  <c r="K34" i="4"/>
  <c r="L34" i="4" s="1"/>
  <c r="K35" i="4"/>
  <c r="L35" i="4" s="1"/>
  <c r="K36" i="4"/>
  <c r="L36" i="4" s="1"/>
  <c r="N3" i="4"/>
  <c r="N4" i="4"/>
  <c r="N5" i="4"/>
  <c r="N2" i="4"/>
  <c r="N3" i="5"/>
  <c r="N4" i="5"/>
  <c r="N5" i="5"/>
  <c r="N2" i="5"/>
  <c r="N3" i="6"/>
  <c r="N4" i="6"/>
  <c r="N5" i="6"/>
  <c r="N2" i="6"/>
  <c r="N371" i="6"/>
  <c r="O371" i="6" s="1"/>
  <c r="P371" i="6" s="1"/>
  <c r="N372" i="6"/>
  <c r="O372" i="6" s="1"/>
  <c r="P372" i="6" s="1"/>
  <c r="N373" i="6"/>
  <c r="O373" i="6" s="1"/>
  <c r="P373" i="6" s="1"/>
  <c r="N374" i="6"/>
  <c r="O374" i="6" s="1"/>
  <c r="P374" i="6" s="1"/>
  <c r="N375" i="6"/>
  <c r="O375" i="6" s="1"/>
  <c r="P375" i="6" s="1"/>
  <c r="N376" i="6"/>
  <c r="O376" i="6" s="1"/>
  <c r="P376" i="6" s="1"/>
  <c r="N377" i="6"/>
  <c r="O377" i="6" s="1"/>
  <c r="P377" i="6" s="1"/>
  <c r="N378" i="6"/>
  <c r="O378" i="6" s="1"/>
  <c r="P378" i="6" s="1"/>
  <c r="N127" i="4"/>
  <c r="O127" i="4" s="1"/>
  <c r="P127" i="4" s="1"/>
  <c r="N128" i="4"/>
  <c r="O128" i="4" s="1"/>
  <c r="P128" i="4" s="1"/>
  <c r="K128" i="4"/>
  <c r="L128" i="4" s="1"/>
  <c r="K127" i="4"/>
  <c r="L127" i="4"/>
  <c r="S11" i="4"/>
  <c r="N459" i="6"/>
  <c r="O459" i="6" s="1"/>
  <c r="P459" i="6" s="1"/>
  <c r="N460" i="6"/>
  <c r="O460" i="6" s="1"/>
  <c r="P460" i="6" s="1"/>
  <c r="N461" i="6"/>
  <c r="O461" i="6" s="1"/>
  <c r="P461" i="6" s="1"/>
  <c r="N462" i="6"/>
  <c r="O462" i="6" s="1"/>
  <c r="P462" i="6" s="1"/>
  <c r="K459" i="6"/>
  <c r="L459" i="6" s="1"/>
  <c r="K460" i="6"/>
  <c r="L460" i="6" s="1"/>
  <c r="Q460" i="6" s="1"/>
  <c r="S460" i="6" s="1"/>
  <c r="T460" i="6" s="1"/>
  <c r="U460" i="6" s="1"/>
  <c r="K461" i="6"/>
  <c r="L461" i="6" s="1"/>
  <c r="K462" i="6"/>
  <c r="L462" i="6" s="1"/>
  <c r="N96" i="1"/>
  <c r="O96" i="1" s="1"/>
  <c r="P96" i="1" s="1"/>
  <c r="N97" i="1"/>
  <c r="O97" i="1" s="1"/>
  <c r="P97" i="1" s="1"/>
  <c r="K96" i="1"/>
  <c r="L96" i="1" s="1"/>
  <c r="K97" i="1"/>
  <c r="L97" i="1" s="1"/>
  <c r="N95" i="1"/>
  <c r="O95" i="1" s="1"/>
  <c r="P95" i="1" s="1"/>
  <c r="K95" i="1"/>
  <c r="L95" i="1" s="1"/>
  <c r="K94" i="1"/>
  <c r="L94" i="1" s="1"/>
  <c r="N94" i="1"/>
  <c r="O94" i="1" s="1"/>
  <c r="P94" i="1" s="1"/>
  <c r="N197" i="1"/>
  <c r="O197" i="1" s="1"/>
  <c r="P197" i="1" s="1"/>
  <c r="K197" i="1"/>
  <c r="L197" i="1" s="1"/>
  <c r="N113" i="1"/>
  <c r="O113" i="1" s="1"/>
  <c r="P113" i="1" s="1"/>
  <c r="K113" i="1"/>
  <c r="L113" i="1" s="1"/>
  <c r="B57" i="7"/>
  <c r="R229" i="6"/>
  <c r="R271" i="1"/>
  <c r="T11" i="5"/>
  <c r="U11" i="5" s="1"/>
  <c r="N16" i="5"/>
  <c r="O16" i="5" s="1"/>
  <c r="P16" i="5" s="1"/>
  <c r="N17" i="5"/>
  <c r="O17" i="5" s="1"/>
  <c r="P17" i="5" s="1"/>
  <c r="N20" i="5"/>
  <c r="O20" i="5" s="1"/>
  <c r="P20" i="5" s="1"/>
  <c r="N21" i="5"/>
  <c r="O21" i="5" s="1"/>
  <c r="P21" i="5" s="1"/>
  <c r="N22" i="5"/>
  <c r="O22" i="5" s="1"/>
  <c r="P22" i="5" s="1"/>
  <c r="N23" i="5"/>
  <c r="O23" i="5" s="1"/>
  <c r="P23" i="5" s="1"/>
  <c r="N28" i="5"/>
  <c r="O28" i="5" s="1"/>
  <c r="P28" i="5" s="1"/>
  <c r="N29" i="5"/>
  <c r="O29" i="5" s="1"/>
  <c r="P29" i="5" s="1"/>
  <c r="N30" i="5"/>
  <c r="O30" i="5" s="1"/>
  <c r="P30" i="5" s="1"/>
  <c r="N31" i="5"/>
  <c r="O31" i="5" s="1"/>
  <c r="P31" i="5" s="1"/>
  <c r="N50" i="5"/>
  <c r="O50" i="5" s="1"/>
  <c r="P50" i="5" s="1"/>
  <c r="N51" i="5"/>
  <c r="O51" i="5" s="1"/>
  <c r="P51" i="5" s="1"/>
  <c r="N55" i="5"/>
  <c r="O55" i="5" s="1"/>
  <c r="P55" i="5" s="1"/>
  <c r="N70" i="5"/>
  <c r="O70" i="5" s="1"/>
  <c r="P70" i="5" s="1"/>
  <c r="N82" i="5"/>
  <c r="O82" i="5" s="1"/>
  <c r="P82" i="5" s="1"/>
  <c r="Q82" i="5" s="1"/>
  <c r="S82" i="5" s="1"/>
  <c r="T82" i="5" s="1"/>
  <c r="U82" i="5" s="1"/>
  <c r="N83" i="5"/>
  <c r="O83" i="5" s="1"/>
  <c r="P83" i="5" s="1"/>
  <c r="N13" i="5"/>
  <c r="O13" i="5" s="1"/>
  <c r="P13" i="5" s="1"/>
  <c r="K16" i="5"/>
  <c r="L16" i="5" s="1"/>
  <c r="K17" i="5"/>
  <c r="L17" i="5" s="1"/>
  <c r="K20" i="5"/>
  <c r="L20" i="5" s="1"/>
  <c r="Q20" i="5" s="1"/>
  <c r="K21" i="5"/>
  <c r="L21" i="5" s="1"/>
  <c r="K22" i="5"/>
  <c r="L22" i="5" s="1"/>
  <c r="K23" i="5"/>
  <c r="L23" i="5" s="1"/>
  <c r="K28" i="5"/>
  <c r="L28" i="5" s="1"/>
  <c r="K29" i="5"/>
  <c r="L29" i="5" s="1"/>
  <c r="K30" i="5"/>
  <c r="L30" i="5" s="1"/>
  <c r="K31" i="5"/>
  <c r="L31" i="5" s="1"/>
  <c r="K50" i="5"/>
  <c r="L50" i="5" s="1"/>
  <c r="Q50" i="5" s="1"/>
  <c r="K51" i="5"/>
  <c r="L51" i="5" s="1"/>
  <c r="K55" i="5"/>
  <c r="L55" i="5" s="1"/>
  <c r="K70" i="5"/>
  <c r="L70" i="5" s="1"/>
  <c r="K82" i="5"/>
  <c r="L82" i="5" s="1"/>
  <c r="K83" i="5"/>
  <c r="L83" i="5" s="1"/>
  <c r="K13" i="5"/>
  <c r="L13" i="5" s="1"/>
  <c r="R97" i="5"/>
  <c r="R100" i="5" s="1"/>
  <c r="N61" i="5"/>
  <c r="O61" i="5"/>
  <c r="P61" i="5" s="1"/>
  <c r="K61" i="5"/>
  <c r="L61" i="5" s="1"/>
  <c r="N446" i="6"/>
  <c r="O446" i="6" s="1"/>
  <c r="P446" i="6" s="1"/>
  <c r="N447" i="6"/>
  <c r="O447" i="6" s="1"/>
  <c r="P447" i="6" s="1"/>
  <c r="N448" i="6"/>
  <c r="O448" i="6" s="1"/>
  <c r="P448" i="6" s="1"/>
  <c r="N449" i="6"/>
  <c r="O449" i="6" s="1"/>
  <c r="P449" i="6" s="1"/>
  <c r="N450" i="6"/>
  <c r="O450" i="6" s="1"/>
  <c r="P450" i="6" s="1"/>
  <c r="N451" i="6"/>
  <c r="O451" i="6" s="1"/>
  <c r="P451" i="6" s="1"/>
  <c r="N452" i="6"/>
  <c r="O452" i="6" s="1"/>
  <c r="P452" i="6" s="1"/>
  <c r="N453" i="6"/>
  <c r="O453" i="6" s="1"/>
  <c r="P453" i="6" s="1"/>
  <c r="N475" i="6"/>
  <c r="O475" i="6" s="1"/>
  <c r="P475" i="6" s="1"/>
  <c r="N454" i="6"/>
  <c r="O454" i="6" s="1"/>
  <c r="P454" i="6" s="1"/>
  <c r="N455" i="6"/>
  <c r="O455" i="6" s="1"/>
  <c r="P455" i="6" s="1"/>
  <c r="N456" i="6"/>
  <c r="O456" i="6" s="1"/>
  <c r="P456" i="6" s="1"/>
  <c r="K446" i="6"/>
  <c r="L446" i="6" s="1"/>
  <c r="K447" i="6"/>
  <c r="L447" i="6" s="1"/>
  <c r="Q447" i="6" s="1"/>
  <c r="S447" i="6" s="1"/>
  <c r="K448" i="6"/>
  <c r="L448" i="6" s="1"/>
  <c r="K449" i="6"/>
  <c r="L449" i="6" s="1"/>
  <c r="K450" i="6"/>
  <c r="L450" i="6" s="1"/>
  <c r="K451" i="6"/>
  <c r="L451" i="6" s="1"/>
  <c r="Q451" i="6" s="1"/>
  <c r="S451" i="6" s="1"/>
  <c r="K452" i="6"/>
  <c r="L452" i="6" s="1"/>
  <c r="K453" i="6"/>
  <c r="L453" i="6" s="1"/>
  <c r="K475" i="6"/>
  <c r="L475" i="6" s="1"/>
  <c r="K454" i="6"/>
  <c r="L454" i="6" s="1"/>
  <c r="Q454" i="6" s="1"/>
  <c r="S454" i="6" s="1"/>
  <c r="T454" i="6" s="1"/>
  <c r="U454" i="6" s="1"/>
  <c r="K455" i="6"/>
  <c r="L455" i="6" s="1"/>
  <c r="K456" i="6"/>
  <c r="L456" i="6" s="1"/>
  <c r="P258" i="6"/>
  <c r="P259" i="6"/>
  <c r="P260" i="6"/>
  <c r="P261" i="6"/>
  <c r="N249" i="6"/>
  <c r="O249" i="6" s="1"/>
  <c r="P249" i="6" s="1"/>
  <c r="N250" i="6"/>
  <c r="O250" i="6" s="1"/>
  <c r="P250" i="6" s="1"/>
  <c r="N251" i="6"/>
  <c r="O251" i="6" s="1"/>
  <c r="P251" i="6" s="1"/>
  <c r="N252" i="6"/>
  <c r="O252" i="6" s="1"/>
  <c r="P252" i="6" s="1"/>
  <c r="N253" i="6"/>
  <c r="O253" i="6" s="1"/>
  <c r="P253" i="6" s="1"/>
  <c r="N254" i="6"/>
  <c r="O254" i="6" s="1"/>
  <c r="P254" i="6" s="1"/>
  <c r="N255" i="6"/>
  <c r="O255" i="6" s="1"/>
  <c r="P255" i="6" s="1"/>
  <c r="N256" i="6"/>
  <c r="O256" i="6" s="1"/>
  <c r="P256" i="6" s="1"/>
  <c r="N257" i="6"/>
  <c r="N258" i="6"/>
  <c r="N259" i="6"/>
  <c r="N260" i="6"/>
  <c r="N261" i="6"/>
  <c r="N262" i="6"/>
  <c r="O262" i="6" s="1"/>
  <c r="P262" i="6" s="1"/>
  <c r="Q262" i="6" s="1"/>
  <c r="N263" i="6"/>
  <c r="O263" i="6" s="1"/>
  <c r="P263" i="6" s="1"/>
  <c r="Q263" i="6" s="1"/>
  <c r="S263" i="6" s="1"/>
  <c r="N264" i="6"/>
  <c r="O264" i="6" s="1"/>
  <c r="P264" i="6" s="1"/>
  <c r="Q264" i="6" s="1"/>
  <c r="N265" i="6"/>
  <c r="O265" i="6" s="1"/>
  <c r="P265" i="6" s="1"/>
  <c r="N266" i="6"/>
  <c r="O266" i="6" s="1"/>
  <c r="P266" i="6" s="1"/>
  <c r="N267" i="6"/>
  <c r="O267" i="6" s="1"/>
  <c r="P267" i="6" s="1"/>
  <c r="N268" i="6"/>
  <c r="O268" i="6" s="1"/>
  <c r="P268" i="6" s="1"/>
  <c r="N269" i="6"/>
  <c r="O269" i="6" s="1"/>
  <c r="P269" i="6" s="1"/>
  <c r="N270" i="6"/>
  <c r="O270" i="6" s="1"/>
  <c r="P270" i="6" s="1"/>
  <c r="N271" i="6"/>
  <c r="O271" i="6" s="1"/>
  <c r="P271" i="6" s="1"/>
  <c r="N272" i="6"/>
  <c r="O272" i="6" s="1"/>
  <c r="P272" i="6" s="1"/>
  <c r="N273" i="6"/>
  <c r="O273" i="6"/>
  <c r="P273" i="6" s="1"/>
  <c r="N274" i="6"/>
  <c r="O274" i="6" s="1"/>
  <c r="P274" i="6" s="1"/>
  <c r="N275" i="6"/>
  <c r="O275" i="6" s="1"/>
  <c r="P275" i="6" s="1"/>
  <c r="N276" i="6"/>
  <c r="O276" i="6" s="1"/>
  <c r="P276" i="6" s="1"/>
  <c r="N277" i="6"/>
  <c r="O277" i="6" s="1"/>
  <c r="P277" i="6" s="1"/>
  <c r="Q277" i="6" s="1"/>
  <c r="S277" i="6" s="1"/>
  <c r="N278" i="6"/>
  <c r="O278" i="6" s="1"/>
  <c r="P278" i="6" s="1"/>
  <c r="Q278" i="6" s="1"/>
  <c r="S278" i="6" s="1"/>
  <c r="N279" i="6"/>
  <c r="O279" i="6"/>
  <c r="P279" i="6" s="1"/>
  <c r="N280" i="6"/>
  <c r="O280" i="6" s="1"/>
  <c r="P280" i="6" s="1"/>
  <c r="Q280" i="6" s="1"/>
  <c r="N281" i="6"/>
  <c r="O281" i="6" s="1"/>
  <c r="P281" i="6" s="1"/>
  <c r="Q281" i="6" s="1"/>
  <c r="N282" i="6"/>
  <c r="O282" i="6" s="1"/>
  <c r="P282" i="6" s="1"/>
  <c r="N283" i="6"/>
  <c r="O283" i="6" s="1"/>
  <c r="P283" i="6" s="1"/>
  <c r="N284" i="6"/>
  <c r="O284" i="6" s="1"/>
  <c r="P284" i="6" s="1"/>
  <c r="N285" i="6"/>
  <c r="O285" i="6" s="1"/>
  <c r="P285" i="6" s="1"/>
  <c r="N286" i="6"/>
  <c r="O286" i="6" s="1"/>
  <c r="P286" i="6" s="1"/>
  <c r="Q286" i="6" s="1"/>
  <c r="S286" i="6" s="1"/>
  <c r="N287" i="6"/>
  <c r="O287" i="6" s="1"/>
  <c r="P287" i="6" s="1"/>
  <c r="Q287" i="6" s="1"/>
  <c r="S287" i="6" s="1"/>
  <c r="T287" i="6" s="1"/>
  <c r="U287" i="6" s="1"/>
  <c r="N288" i="6"/>
  <c r="O288" i="6" s="1"/>
  <c r="P288" i="6" s="1"/>
  <c r="Q288" i="6" s="1"/>
  <c r="S288" i="6" s="1"/>
  <c r="N289" i="6"/>
  <c r="O289" i="6"/>
  <c r="P289" i="6" s="1"/>
  <c r="N290" i="6"/>
  <c r="O290" i="6" s="1"/>
  <c r="P290" i="6" s="1"/>
  <c r="N291" i="6"/>
  <c r="O291" i="6" s="1"/>
  <c r="P291" i="6" s="1"/>
  <c r="N292" i="6"/>
  <c r="O292" i="6" s="1"/>
  <c r="P292" i="6" s="1"/>
  <c r="N293" i="6"/>
  <c r="O293" i="6" s="1"/>
  <c r="P293" i="6" s="1"/>
  <c r="N294" i="6"/>
  <c r="O294" i="6" s="1"/>
  <c r="P294" i="6" s="1"/>
  <c r="Q294" i="6" s="1"/>
  <c r="S294" i="6" s="1"/>
  <c r="N295" i="6"/>
  <c r="O295" i="6"/>
  <c r="P295" i="6" s="1"/>
  <c r="Q295" i="6" s="1"/>
  <c r="N296" i="6"/>
  <c r="O296" i="6" s="1"/>
  <c r="P296" i="6" s="1"/>
  <c r="Q296" i="6" s="1"/>
  <c r="S296" i="6" s="1"/>
  <c r="T296" i="6" s="1"/>
  <c r="U296" i="6" s="1"/>
  <c r="N297" i="6"/>
  <c r="O297" i="6" s="1"/>
  <c r="P297" i="6" s="1"/>
  <c r="N298" i="6"/>
  <c r="O298" i="6" s="1"/>
  <c r="P298" i="6" s="1"/>
  <c r="N299" i="6"/>
  <c r="O299" i="6" s="1"/>
  <c r="P299" i="6" s="1"/>
  <c r="N300" i="6"/>
  <c r="O300" i="6" s="1"/>
  <c r="P300" i="6" s="1"/>
  <c r="Q300" i="6" s="1"/>
  <c r="S300" i="6" s="1"/>
  <c r="N301" i="6"/>
  <c r="O301" i="6" s="1"/>
  <c r="P301" i="6" s="1"/>
  <c r="N302" i="6"/>
  <c r="O302" i="6" s="1"/>
  <c r="P302" i="6" s="1"/>
  <c r="Q302" i="6" s="1"/>
  <c r="N303" i="6"/>
  <c r="O303" i="6" s="1"/>
  <c r="P303" i="6" s="1"/>
  <c r="Q303" i="6" s="1"/>
  <c r="S303" i="6" s="1"/>
  <c r="T303" i="6" s="1"/>
  <c r="U303" i="6" s="1"/>
  <c r="N304" i="6"/>
  <c r="O304" i="6" s="1"/>
  <c r="P304" i="6" s="1"/>
  <c r="Q304" i="6" s="1"/>
  <c r="S304" i="6" s="1"/>
  <c r="N305" i="6"/>
  <c r="O305" i="6" s="1"/>
  <c r="P305" i="6" s="1"/>
  <c r="N306" i="6"/>
  <c r="O306" i="6" s="1"/>
  <c r="P306" i="6" s="1"/>
  <c r="Q306" i="6" s="1"/>
  <c r="N307" i="6"/>
  <c r="O307" i="6" s="1"/>
  <c r="P307" i="6" s="1"/>
  <c r="N308" i="6"/>
  <c r="O308" i="6" s="1"/>
  <c r="P308" i="6" s="1"/>
  <c r="N309" i="6"/>
  <c r="O309" i="6" s="1"/>
  <c r="P309" i="6" s="1"/>
  <c r="N310" i="6"/>
  <c r="O310" i="6" s="1"/>
  <c r="P310" i="6" s="1"/>
  <c r="N311" i="6"/>
  <c r="O311" i="6" s="1"/>
  <c r="P311" i="6" s="1"/>
  <c r="N312" i="6"/>
  <c r="O312" i="6" s="1"/>
  <c r="P312" i="6" s="1"/>
  <c r="N313" i="6"/>
  <c r="O313" i="6"/>
  <c r="P313" i="6" s="1"/>
  <c r="N314" i="6"/>
  <c r="O314" i="6" s="1"/>
  <c r="P314" i="6" s="1"/>
  <c r="N315" i="6"/>
  <c r="O315" i="6" s="1"/>
  <c r="P315" i="6" s="1"/>
  <c r="N316" i="6"/>
  <c r="O316" i="6" s="1"/>
  <c r="P316" i="6" s="1"/>
  <c r="N317" i="6"/>
  <c r="O317" i="6" s="1"/>
  <c r="P317" i="6" s="1"/>
  <c r="N318" i="6"/>
  <c r="O318" i="6" s="1"/>
  <c r="P318" i="6" s="1"/>
  <c r="N319" i="6"/>
  <c r="O319" i="6" s="1"/>
  <c r="P319" i="6" s="1"/>
  <c r="N320" i="6"/>
  <c r="O320" i="6" s="1"/>
  <c r="P320" i="6" s="1"/>
  <c r="N321" i="6"/>
  <c r="O321" i="6" s="1"/>
  <c r="P321" i="6" s="1"/>
  <c r="Q321" i="6" s="1"/>
  <c r="N322" i="6"/>
  <c r="O322" i="6" s="1"/>
  <c r="P322" i="6" s="1"/>
  <c r="N323" i="6"/>
  <c r="O323" i="6" s="1"/>
  <c r="P323" i="6" s="1"/>
  <c r="N324" i="6"/>
  <c r="O324" i="6" s="1"/>
  <c r="P324" i="6" s="1"/>
  <c r="N325" i="6"/>
  <c r="O325" i="6" s="1"/>
  <c r="P325" i="6" s="1"/>
  <c r="N326" i="6"/>
  <c r="O326" i="6" s="1"/>
  <c r="P326" i="6" s="1"/>
  <c r="N327" i="6"/>
  <c r="O327" i="6" s="1"/>
  <c r="P327" i="6" s="1"/>
  <c r="N328" i="6"/>
  <c r="O328" i="6" s="1"/>
  <c r="P328" i="6" s="1"/>
  <c r="N329" i="6"/>
  <c r="O329" i="6" s="1"/>
  <c r="P329" i="6" s="1"/>
  <c r="Q329" i="6" s="1"/>
  <c r="S329" i="6" s="1"/>
  <c r="T329" i="6" s="1"/>
  <c r="U329" i="6" s="1"/>
  <c r="N330" i="6"/>
  <c r="O330" i="6" s="1"/>
  <c r="P330" i="6" s="1"/>
  <c r="N331" i="6"/>
  <c r="O331" i="6" s="1"/>
  <c r="P331" i="6" s="1"/>
  <c r="N332" i="6"/>
  <c r="O332" i="6" s="1"/>
  <c r="P332" i="6" s="1"/>
  <c r="N333" i="6"/>
  <c r="O333" i="6" s="1"/>
  <c r="P333" i="6" s="1"/>
  <c r="N334" i="6"/>
  <c r="O334" i="6" s="1"/>
  <c r="P334" i="6" s="1"/>
  <c r="N335" i="6"/>
  <c r="O335" i="6" s="1"/>
  <c r="P335" i="6" s="1"/>
  <c r="N336" i="6"/>
  <c r="O336" i="6" s="1"/>
  <c r="P336" i="6" s="1"/>
  <c r="N337" i="6"/>
  <c r="O337" i="6" s="1"/>
  <c r="P337" i="6" s="1"/>
  <c r="Q337" i="6" s="1"/>
  <c r="S337" i="6" s="1"/>
  <c r="N338" i="6"/>
  <c r="O338" i="6" s="1"/>
  <c r="P338" i="6" s="1"/>
  <c r="N339" i="6"/>
  <c r="O339" i="6" s="1"/>
  <c r="P339" i="6" s="1"/>
  <c r="N340" i="6"/>
  <c r="O340" i="6" s="1"/>
  <c r="P340" i="6" s="1"/>
  <c r="N341" i="6"/>
  <c r="O341" i="6" s="1"/>
  <c r="P341" i="6" s="1"/>
  <c r="N342" i="6"/>
  <c r="O342" i="6" s="1"/>
  <c r="P342" i="6" s="1"/>
  <c r="N343" i="6"/>
  <c r="O343" i="6" s="1"/>
  <c r="P343" i="6" s="1"/>
  <c r="Q343" i="6" s="1"/>
  <c r="N344" i="6"/>
  <c r="O344" i="6" s="1"/>
  <c r="P344" i="6" s="1"/>
  <c r="N345" i="6"/>
  <c r="O345" i="6"/>
  <c r="P345" i="6" s="1"/>
  <c r="N346" i="6"/>
  <c r="O346" i="6" s="1"/>
  <c r="P346" i="6" s="1"/>
  <c r="Q346" i="6" s="1"/>
  <c r="N347" i="6"/>
  <c r="O347" i="6" s="1"/>
  <c r="P347" i="6" s="1"/>
  <c r="Q347" i="6" s="1"/>
  <c r="S347" i="6" s="1"/>
  <c r="T347" i="6" s="1"/>
  <c r="U347" i="6" s="1"/>
  <c r="N348" i="6"/>
  <c r="O348" i="6" s="1"/>
  <c r="P348" i="6" s="1"/>
  <c r="Q348" i="6" s="1"/>
  <c r="S348" i="6" s="1"/>
  <c r="N349" i="6"/>
  <c r="O349" i="6" s="1"/>
  <c r="P349" i="6" s="1"/>
  <c r="N350" i="6"/>
  <c r="O350" i="6" s="1"/>
  <c r="P350" i="6" s="1"/>
  <c r="Q350" i="6" s="1"/>
  <c r="S350" i="6" s="1"/>
  <c r="N351" i="6"/>
  <c r="O351" i="6" s="1"/>
  <c r="P351" i="6" s="1"/>
  <c r="Q351" i="6" s="1"/>
  <c r="N352" i="6"/>
  <c r="O352" i="6" s="1"/>
  <c r="P352" i="6" s="1"/>
  <c r="Q352" i="6" s="1"/>
  <c r="S352" i="6" s="1"/>
  <c r="N353" i="6"/>
  <c r="O353" i="6"/>
  <c r="P353" i="6" s="1"/>
  <c r="N354" i="6"/>
  <c r="O354" i="6" s="1"/>
  <c r="P354" i="6" s="1"/>
  <c r="Q354" i="6" s="1"/>
  <c r="S354" i="6" s="1"/>
  <c r="N355" i="6"/>
  <c r="O355" i="6" s="1"/>
  <c r="P355" i="6" s="1"/>
  <c r="Q355" i="6" s="1"/>
  <c r="N356" i="6"/>
  <c r="O356" i="6" s="1"/>
  <c r="P356" i="6" s="1"/>
  <c r="N357" i="6"/>
  <c r="O357" i="6" s="1"/>
  <c r="P357" i="6" s="1"/>
  <c r="Q357" i="6" s="1"/>
  <c r="S357" i="6" s="1"/>
  <c r="T357" i="6" s="1"/>
  <c r="U357" i="6" s="1"/>
  <c r="N358" i="6"/>
  <c r="O358" i="6" s="1"/>
  <c r="P358" i="6" s="1"/>
  <c r="N359" i="6"/>
  <c r="O359" i="6" s="1"/>
  <c r="P359" i="6" s="1"/>
  <c r="Q359" i="6" s="1"/>
  <c r="N360" i="6"/>
  <c r="O360" i="6" s="1"/>
  <c r="P360" i="6" s="1"/>
  <c r="Q360" i="6" s="1"/>
  <c r="S360" i="6" s="1"/>
  <c r="T360" i="6" s="1"/>
  <c r="U360" i="6" s="1"/>
  <c r="N361" i="6"/>
  <c r="O361" i="6" s="1"/>
  <c r="P361" i="6" s="1"/>
  <c r="N362" i="6"/>
  <c r="O362" i="6" s="1"/>
  <c r="P362" i="6" s="1"/>
  <c r="Q362" i="6" s="1"/>
  <c r="N363" i="6"/>
  <c r="O363" i="6" s="1"/>
  <c r="P363" i="6" s="1"/>
  <c r="N364" i="6"/>
  <c r="O364" i="6" s="1"/>
  <c r="P364" i="6" s="1"/>
  <c r="Q364" i="6" s="1"/>
  <c r="S364" i="6" s="1"/>
  <c r="N365" i="6"/>
  <c r="O365" i="6" s="1"/>
  <c r="P365" i="6"/>
  <c r="N366" i="6"/>
  <c r="O366" i="6" s="1"/>
  <c r="P366" i="6" s="1"/>
  <c r="Q366" i="6" s="1"/>
  <c r="N367" i="6"/>
  <c r="O367" i="6"/>
  <c r="P367" i="6" s="1"/>
  <c r="N368" i="6"/>
  <c r="O368" i="6" s="1"/>
  <c r="P368" i="6" s="1"/>
  <c r="Q368" i="6" s="1"/>
  <c r="N369" i="6"/>
  <c r="O369" i="6" s="1"/>
  <c r="P369" i="6" s="1"/>
  <c r="Q369" i="6" s="1"/>
  <c r="S369" i="6" s="1"/>
  <c r="T369" i="6" s="1"/>
  <c r="U369" i="6" s="1"/>
  <c r="N370" i="6"/>
  <c r="O370" i="6" s="1"/>
  <c r="P370" i="6" s="1"/>
  <c r="N24" i="6"/>
  <c r="O24" i="6" s="1"/>
  <c r="P24" i="6" s="1"/>
  <c r="N25" i="6"/>
  <c r="O25" i="6" s="1"/>
  <c r="P25" i="6" s="1"/>
  <c r="N26" i="6"/>
  <c r="O26" i="6" s="1"/>
  <c r="P26" i="6" s="1"/>
  <c r="N27" i="6"/>
  <c r="O27" i="6" s="1"/>
  <c r="P27" i="6" s="1"/>
  <c r="N28" i="6"/>
  <c r="O28" i="6" s="1"/>
  <c r="P28" i="6" s="1"/>
  <c r="N41" i="6"/>
  <c r="O41" i="6" s="1"/>
  <c r="P41" i="6" s="1"/>
  <c r="N42" i="6"/>
  <c r="O42" i="6" s="1"/>
  <c r="P42" i="6" s="1"/>
  <c r="N43" i="6"/>
  <c r="O43" i="6" s="1"/>
  <c r="P43" i="6" s="1"/>
  <c r="N44" i="6"/>
  <c r="O44" i="6" s="1"/>
  <c r="P44" i="6" s="1"/>
  <c r="N45" i="6"/>
  <c r="O45" i="6" s="1"/>
  <c r="P45" i="6" s="1"/>
  <c r="N46" i="6"/>
  <c r="O46" i="6" s="1"/>
  <c r="P46" i="6" s="1"/>
  <c r="N47" i="6"/>
  <c r="O47" i="6" s="1"/>
  <c r="P47" i="6" s="1"/>
  <c r="N48" i="6"/>
  <c r="O48" i="6" s="1"/>
  <c r="P48" i="6" s="1"/>
  <c r="N59" i="6"/>
  <c r="O59" i="6" s="1"/>
  <c r="P59" i="6" s="1"/>
  <c r="N60" i="6"/>
  <c r="O60" i="6" s="1"/>
  <c r="P60" i="6" s="1"/>
  <c r="N61" i="6"/>
  <c r="O61" i="6" s="1"/>
  <c r="P61" i="6" s="1"/>
  <c r="N62" i="6"/>
  <c r="O62" i="6" s="1"/>
  <c r="P62" i="6" s="1"/>
  <c r="N63" i="6"/>
  <c r="O63" i="6" s="1"/>
  <c r="P63" i="6" s="1"/>
  <c r="N64" i="6"/>
  <c r="O64" i="6" s="1"/>
  <c r="P64" i="6" s="1"/>
  <c r="N65" i="6"/>
  <c r="O65" i="6" s="1"/>
  <c r="P65" i="6" s="1"/>
  <c r="N66" i="6"/>
  <c r="O66" i="6" s="1"/>
  <c r="P66" i="6" s="1"/>
  <c r="N82" i="6"/>
  <c r="O82" i="6" s="1"/>
  <c r="P82" i="6" s="1"/>
  <c r="N83" i="6"/>
  <c r="O83" i="6" s="1"/>
  <c r="P83" i="6" s="1"/>
  <c r="N84" i="6"/>
  <c r="O84" i="6"/>
  <c r="P84" i="6" s="1"/>
  <c r="N85" i="6"/>
  <c r="O85" i="6" s="1"/>
  <c r="P85" i="6" s="1"/>
  <c r="N86" i="6"/>
  <c r="O86" i="6" s="1"/>
  <c r="P86" i="6" s="1"/>
  <c r="N87" i="6"/>
  <c r="O87" i="6" s="1"/>
  <c r="P87" i="6" s="1"/>
  <c r="N88" i="6"/>
  <c r="O88" i="6" s="1"/>
  <c r="P88" i="6" s="1"/>
  <c r="N89" i="6"/>
  <c r="O89" i="6" s="1"/>
  <c r="P89" i="6" s="1"/>
  <c r="Q89" i="6" s="1"/>
  <c r="N90" i="6"/>
  <c r="O90" i="6" s="1"/>
  <c r="P90" i="6" s="1"/>
  <c r="N67" i="6"/>
  <c r="O67" i="6" s="1"/>
  <c r="P67" i="6" s="1"/>
  <c r="N68" i="6"/>
  <c r="O68" i="6" s="1"/>
  <c r="P68" i="6" s="1"/>
  <c r="N106" i="6"/>
  <c r="O106" i="6" s="1"/>
  <c r="P106" i="6" s="1"/>
  <c r="N107" i="6"/>
  <c r="O107" i="6" s="1"/>
  <c r="P107" i="6" s="1"/>
  <c r="N108" i="6"/>
  <c r="O108" i="6" s="1"/>
  <c r="P108" i="6" s="1"/>
  <c r="N109" i="6"/>
  <c r="O109" i="6" s="1"/>
  <c r="P109" i="6" s="1"/>
  <c r="N110" i="6"/>
  <c r="O110" i="6" s="1"/>
  <c r="P110" i="6" s="1"/>
  <c r="N121" i="6"/>
  <c r="O121" i="6"/>
  <c r="P121" i="6" s="1"/>
  <c r="N122" i="6"/>
  <c r="O122" i="6" s="1"/>
  <c r="P122" i="6" s="1"/>
  <c r="N123" i="6"/>
  <c r="O123" i="6" s="1"/>
  <c r="P123" i="6" s="1"/>
  <c r="N124" i="6"/>
  <c r="O124" i="6" s="1"/>
  <c r="P124" i="6" s="1"/>
  <c r="N125" i="6"/>
  <c r="O125" i="6" s="1"/>
  <c r="P125" i="6" s="1"/>
  <c r="N126" i="6"/>
  <c r="O126" i="6" s="1"/>
  <c r="P126" i="6" s="1"/>
  <c r="N127" i="6"/>
  <c r="O127" i="6" s="1"/>
  <c r="P127" i="6" s="1"/>
  <c r="N128" i="6"/>
  <c r="O128" i="6" s="1"/>
  <c r="P128" i="6" s="1"/>
  <c r="N129" i="6"/>
  <c r="O129" i="6" s="1"/>
  <c r="P129" i="6" s="1"/>
  <c r="N130" i="6"/>
  <c r="O130" i="6" s="1"/>
  <c r="P130" i="6" s="1"/>
  <c r="N132" i="6"/>
  <c r="O132" i="6" s="1"/>
  <c r="P132" i="6" s="1"/>
  <c r="N133" i="6"/>
  <c r="O133" i="6" s="1"/>
  <c r="P133" i="6" s="1"/>
  <c r="N134" i="6"/>
  <c r="O134" i="6" s="1"/>
  <c r="P134" i="6" s="1"/>
  <c r="N135" i="6"/>
  <c r="O135" i="6" s="1"/>
  <c r="P135" i="6" s="1"/>
  <c r="N182" i="6"/>
  <c r="O182" i="6" s="1"/>
  <c r="N183" i="6"/>
  <c r="O183" i="6" s="1"/>
  <c r="P183" i="6" s="1"/>
  <c r="N184" i="6"/>
  <c r="O184" i="6" s="1"/>
  <c r="P184" i="6" s="1"/>
  <c r="N185" i="6"/>
  <c r="O185" i="6" s="1"/>
  <c r="P185" i="6" s="1"/>
  <c r="N156" i="6"/>
  <c r="O156" i="6" s="1"/>
  <c r="P156" i="6" s="1"/>
  <c r="N174" i="6"/>
  <c r="O174" i="6"/>
  <c r="P174" i="6" s="1"/>
  <c r="N157" i="6"/>
  <c r="O157" i="6" s="1"/>
  <c r="P157" i="6" s="1"/>
  <c r="N91" i="6"/>
  <c r="O91" i="6" s="1"/>
  <c r="P91" i="6" s="1"/>
  <c r="N49" i="6"/>
  <c r="O49" i="6" s="1"/>
  <c r="P49" i="6" s="1"/>
  <c r="N50" i="6"/>
  <c r="O50" i="6" s="1"/>
  <c r="P50" i="6" s="1"/>
  <c r="N51" i="6"/>
  <c r="O51" i="6" s="1"/>
  <c r="P51" i="6" s="1"/>
  <c r="N92" i="6"/>
  <c r="O92" i="6" s="1"/>
  <c r="P92" i="6" s="1"/>
  <c r="N93" i="6"/>
  <c r="O93" i="6" s="1"/>
  <c r="P93" i="6" s="1"/>
  <c r="N111" i="6"/>
  <c r="O111" i="6" s="1"/>
  <c r="P111" i="6" s="1"/>
  <c r="N112" i="6"/>
  <c r="O112" i="6" s="1"/>
  <c r="P112" i="6" s="1"/>
  <c r="N113" i="6"/>
  <c r="O113" i="6" s="1"/>
  <c r="P113" i="6" s="1"/>
  <c r="N114" i="6"/>
  <c r="O114" i="6" s="1"/>
  <c r="P114" i="6" s="1"/>
  <c r="N115" i="6"/>
  <c r="O115" i="6" s="1"/>
  <c r="P115" i="6" s="1"/>
  <c r="N116" i="6"/>
  <c r="O116" i="6" s="1"/>
  <c r="P116" i="6" s="1"/>
  <c r="N136" i="6"/>
  <c r="O136" i="6" s="1"/>
  <c r="P136" i="6" s="1"/>
  <c r="N137" i="6"/>
  <c r="O137" i="6" s="1"/>
  <c r="P137" i="6" s="1"/>
  <c r="N138" i="6"/>
  <c r="O138" i="6" s="1"/>
  <c r="P138" i="6" s="1"/>
  <c r="N139" i="6"/>
  <c r="O139" i="6"/>
  <c r="P139" i="6" s="1"/>
  <c r="N140" i="6"/>
  <c r="O140" i="6" s="1"/>
  <c r="P140" i="6" s="1"/>
  <c r="N141" i="6"/>
  <c r="O141" i="6" s="1"/>
  <c r="P141" i="6" s="1"/>
  <c r="N142" i="6"/>
  <c r="O142" i="6" s="1"/>
  <c r="P142" i="6" s="1"/>
  <c r="N143" i="6"/>
  <c r="O143" i="6" s="1"/>
  <c r="P143" i="6" s="1"/>
  <c r="N144" i="6"/>
  <c r="O144" i="6" s="1"/>
  <c r="P144" i="6" s="1"/>
  <c r="N145" i="6"/>
  <c r="O145" i="6"/>
  <c r="P145" i="6" s="1"/>
  <c r="N146" i="6"/>
  <c r="O146" i="6" s="1"/>
  <c r="P146" i="6" s="1"/>
  <c r="N158" i="6"/>
  <c r="O158" i="6" s="1"/>
  <c r="P158" i="6" s="1"/>
  <c r="N159" i="6"/>
  <c r="O159" i="6" s="1"/>
  <c r="P159" i="6" s="1"/>
  <c r="N160" i="6"/>
  <c r="O160" i="6" s="1"/>
  <c r="P160" i="6" s="1"/>
  <c r="N161" i="6"/>
  <c r="O161" i="6" s="1"/>
  <c r="P161" i="6" s="1"/>
  <c r="N162" i="6"/>
  <c r="O162" i="6" s="1"/>
  <c r="P162" i="6" s="1"/>
  <c r="N163" i="6"/>
  <c r="O163" i="6" s="1"/>
  <c r="P163" i="6" s="1"/>
  <c r="N164" i="6"/>
  <c r="O164" i="6" s="1"/>
  <c r="P164" i="6" s="1"/>
  <c r="N165" i="6"/>
  <c r="O165" i="6" s="1"/>
  <c r="P165" i="6" s="1"/>
  <c r="N166" i="6"/>
  <c r="O166" i="6" s="1"/>
  <c r="P166" i="6" s="1"/>
  <c r="N167" i="6"/>
  <c r="O167" i="6" s="1"/>
  <c r="P167" i="6" s="1"/>
  <c r="N168" i="6"/>
  <c r="O168" i="6" s="1"/>
  <c r="P168" i="6" s="1"/>
  <c r="N169" i="6"/>
  <c r="O169" i="6" s="1"/>
  <c r="P169" i="6" s="1"/>
  <c r="N170" i="6"/>
  <c r="O170" i="6" s="1"/>
  <c r="P170" i="6" s="1"/>
  <c r="N171" i="6"/>
  <c r="O171" i="6" s="1"/>
  <c r="P171" i="6" s="1"/>
  <c r="N131" i="6"/>
  <c r="O131" i="6" s="1"/>
  <c r="P131" i="6" s="1"/>
  <c r="N175" i="6"/>
  <c r="O175" i="6"/>
  <c r="P175" i="6" s="1"/>
  <c r="N176" i="6"/>
  <c r="O176" i="6" s="1"/>
  <c r="P176" i="6" s="1"/>
  <c r="N177" i="6"/>
  <c r="O177" i="6"/>
  <c r="P177" i="6" s="1"/>
  <c r="N178" i="6"/>
  <c r="O178" i="6" s="1"/>
  <c r="P178" i="6" s="1"/>
  <c r="N179" i="6"/>
  <c r="O179" i="6" s="1"/>
  <c r="P179" i="6" s="1"/>
  <c r="N186" i="6"/>
  <c r="O186" i="6" s="1"/>
  <c r="P186" i="6" s="1"/>
  <c r="N187" i="6"/>
  <c r="O187" i="6" s="1"/>
  <c r="P187" i="6" s="1"/>
  <c r="N188" i="6"/>
  <c r="O188" i="6" s="1"/>
  <c r="P188" i="6" s="1"/>
  <c r="N189" i="6"/>
  <c r="O189" i="6" s="1"/>
  <c r="P189" i="6" s="1"/>
  <c r="N190" i="6"/>
  <c r="O190" i="6" s="1"/>
  <c r="P190" i="6" s="1"/>
  <c r="N191" i="6"/>
  <c r="O191" i="6" s="1"/>
  <c r="P191" i="6" s="1"/>
  <c r="N192" i="6"/>
  <c r="O192" i="6" s="1"/>
  <c r="P192" i="6" s="1"/>
  <c r="N193" i="6"/>
  <c r="O193" i="6" s="1"/>
  <c r="P193" i="6" s="1"/>
  <c r="N194" i="6"/>
  <c r="O194" i="6" s="1"/>
  <c r="P194" i="6" s="1"/>
  <c r="N195" i="6"/>
  <c r="O195" i="6" s="1"/>
  <c r="P195" i="6" s="1"/>
  <c r="N196" i="6"/>
  <c r="O196" i="6" s="1"/>
  <c r="P196" i="6" s="1"/>
  <c r="N197" i="6"/>
  <c r="O197" i="6" s="1"/>
  <c r="P197" i="6" s="1"/>
  <c r="N198" i="6"/>
  <c r="O198" i="6" s="1"/>
  <c r="P198" i="6" s="1"/>
  <c r="N199" i="6"/>
  <c r="O199" i="6" s="1"/>
  <c r="P199" i="6" s="1"/>
  <c r="N200" i="6"/>
  <c r="O200" i="6" s="1"/>
  <c r="P200" i="6" s="1"/>
  <c r="N201" i="6"/>
  <c r="O201" i="6" s="1"/>
  <c r="P201" i="6" s="1"/>
  <c r="N202" i="6"/>
  <c r="O202" i="6" s="1"/>
  <c r="P202" i="6" s="1"/>
  <c r="N215" i="6"/>
  <c r="O215" i="6" s="1"/>
  <c r="P215" i="6" s="1"/>
  <c r="N216" i="6"/>
  <c r="O216" i="6" s="1"/>
  <c r="P216" i="6" s="1"/>
  <c r="N217" i="6"/>
  <c r="O217" i="6" s="1"/>
  <c r="P217" i="6" s="1"/>
  <c r="N218" i="6"/>
  <c r="O218" i="6" s="1"/>
  <c r="P218" i="6" s="1"/>
  <c r="N219" i="6"/>
  <c r="O219" i="6" s="1"/>
  <c r="P219" i="6" s="1"/>
  <c r="N220" i="6"/>
  <c r="O220" i="6" s="1"/>
  <c r="P220" i="6" s="1"/>
  <c r="N248" i="6"/>
  <c r="O248" i="6" s="1"/>
  <c r="P248" i="6" s="1"/>
  <c r="K24" i="6"/>
  <c r="L24" i="6" s="1"/>
  <c r="Q24" i="6" s="1"/>
  <c r="K25" i="6"/>
  <c r="L25" i="6" s="1"/>
  <c r="Q25" i="6" s="1"/>
  <c r="S25" i="6" s="1"/>
  <c r="T25" i="6" s="1"/>
  <c r="K26" i="6"/>
  <c r="L26" i="6" s="1"/>
  <c r="Q26" i="6" s="1"/>
  <c r="S26" i="6" s="1"/>
  <c r="K27" i="6"/>
  <c r="L27" i="6" s="1"/>
  <c r="K28" i="6"/>
  <c r="L28" i="6"/>
  <c r="K41" i="6"/>
  <c r="L41" i="6" s="1"/>
  <c r="K42" i="6"/>
  <c r="L42" i="6"/>
  <c r="Q42" i="6" s="1"/>
  <c r="K43" i="6"/>
  <c r="L43" i="6" s="1"/>
  <c r="K44" i="6"/>
  <c r="L44" i="6" s="1"/>
  <c r="K45" i="6"/>
  <c r="L45" i="6" s="1"/>
  <c r="K46" i="6"/>
  <c r="L46" i="6" s="1"/>
  <c r="Q46" i="6" s="1"/>
  <c r="U46" i="6" s="1"/>
  <c r="K47" i="6"/>
  <c r="L47" i="6" s="1"/>
  <c r="K48" i="6"/>
  <c r="L48" i="6" s="1"/>
  <c r="K59" i="6"/>
  <c r="L59" i="6" s="1"/>
  <c r="K60" i="6"/>
  <c r="L60" i="6" s="1"/>
  <c r="K61" i="6"/>
  <c r="L61" i="6" s="1"/>
  <c r="K62" i="6"/>
  <c r="L62" i="6" s="1"/>
  <c r="K63" i="6"/>
  <c r="L63" i="6" s="1"/>
  <c r="K64" i="6"/>
  <c r="L64" i="6" s="1"/>
  <c r="K65" i="6"/>
  <c r="L65" i="6" s="1"/>
  <c r="K66" i="6"/>
  <c r="L66" i="6" s="1"/>
  <c r="K82" i="6"/>
  <c r="L82" i="6" s="1"/>
  <c r="K83" i="6"/>
  <c r="L83" i="6" s="1"/>
  <c r="K84" i="6"/>
  <c r="L84" i="6" s="1"/>
  <c r="K85" i="6"/>
  <c r="L85" i="6" s="1"/>
  <c r="K86" i="6"/>
  <c r="L86" i="6" s="1"/>
  <c r="K87" i="6"/>
  <c r="L87" i="6" s="1"/>
  <c r="K88" i="6"/>
  <c r="L88" i="6" s="1"/>
  <c r="K89" i="6"/>
  <c r="L89" i="6" s="1"/>
  <c r="K90" i="6"/>
  <c r="L90" i="6" s="1"/>
  <c r="K67" i="6"/>
  <c r="L67" i="6"/>
  <c r="K68" i="6"/>
  <c r="L68" i="6" s="1"/>
  <c r="K106" i="6"/>
  <c r="L106" i="6"/>
  <c r="K107" i="6"/>
  <c r="L107" i="6" s="1"/>
  <c r="Q107" i="6" s="1"/>
  <c r="S107" i="6" s="1"/>
  <c r="K108" i="6"/>
  <c r="L108" i="6" s="1"/>
  <c r="K109" i="6"/>
  <c r="L109" i="6" s="1"/>
  <c r="K110" i="6"/>
  <c r="L110" i="6" s="1"/>
  <c r="K121" i="6"/>
  <c r="L121" i="6" s="1"/>
  <c r="K122" i="6"/>
  <c r="L122" i="6" s="1"/>
  <c r="K123" i="6"/>
  <c r="L123" i="6" s="1"/>
  <c r="K124" i="6"/>
  <c r="L124" i="6" s="1"/>
  <c r="K125" i="6"/>
  <c r="L125" i="6" s="1"/>
  <c r="K126" i="6"/>
  <c r="L126" i="6" s="1"/>
  <c r="K127" i="6"/>
  <c r="L127" i="6" s="1"/>
  <c r="K128" i="6"/>
  <c r="L128" i="6" s="1"/>
  <c r="K129" i="6"/>
  <c r="L129" i="6" s="1"/>
  <c r="K130" i="6"/>
  <c r="L130" i="6" s="1"/>
  <c r="K132" i="6"/>
  <c r="L132" i="6" s="1"/>
  <c r="K133" i="6"/>
  <c r="L133" i="6" s="1"/>
  <c r="K134" i="6"/>
  <c r="L134" i="6" s="1"/>
  <c r="K135" i="6"/>
  <c r="L135" i="6" s="1"/>
  <c r="K182" i="6"/>
  <c r="L182" i="6" s="1"/>
  <c r="K183" i="6"/>
  <c r="L183" i="6" s="1"/>
  <c r="K184" i="6"/>
  <c r="L184" i="6" s="1"/>
  <c r="K185" i="6"/>
  <c r="L185" i="6" s="1"/>
  <c r="K156" i="6"/>
  <c r="L156" i="6" s="1"/>
  <c r="K174" i="6"/>
  <c r="L174" i="6" s="1"/>
  <c r="K157" i="6"/>
  <c r="L157" i="6" s="1"/>
  <c r="K91" i="6"/>
  <c r="L91" i="6" s="1"/>
  <c r="K49" i="6"/>
  <c r="L49" i="6" s="1"/>
  <c r="K50" i="6"/>
  <c r="L50" i="6" s="1"/>
  <c r="K51" i="6"/>
  <c r="L51" i="6" s="1"/>
  <c r="Q51" i="6" s="1"/>
  <c r="K92" i="6"/>
  <c r="L92" i="6" s="1"/>
  <c r="K93" i="6"/>
  <c r="L93" i="6"/>
  <c r="K111" i="6"/>
  <c r="L111" i="6" s="1"/>
  <c r="K112" i="6"/>
  <c r="L112" i="6"/>
  <c r="K113" i="6"/>
  <c r="L113" i="6" s="1"/>
  <c r="K114" i="6"/>
  <c r="L114" i="6" s="1"/>
  <c r="Q114" i="6" s="1"/>
  <c r="K115" i="6"/>
  <c r="L115" i="6" s="1"/>
  <c r="K116" i="6"/>
  <c r="L116" i="6" s="1"/>
  <c r="K136" i="6"/>
  <c r="L136" i="6" s="1"/>
  <c r="K137" i="6"/>
  <c r="L137" i="6" s="1"/>
  <c r="K138" i="6"/>
  <c r="L138" i="6" s="1"/>
  <c r="K139" i="6"/>
  <c r="L139" i="6" s="1"/>
  <c r="K140" i="6"/>
  <c r="L140" i="6" s="1"/>
  <c r="K141" i="6"/>
  <c r="L141" i="6" s="1"/>
  <c r="Q141" i="6" s="1"/>
  <c r="K142" i="6"/>
  <c r="L142" i="6" s="1"/>
  <c r="K143" i="6"/>
  <c r="L143" i="6" s="1"/>
  <c r="K144" i="6"/>
  <c r="L144" i="6" s="1"/>
  <c r="K145" i="6"/>
  <c r="L145" i="6" s="1"/>
  <c r="K146" i="6"/>
  <c r="L146" i="6" s="1"/>
  <c r="K158" i="6"/>
  <c r="L158" i="6" s="1"/>
  <c r="K159" i="6"/>
  <c r="L159" i="6" s="1"/>
  <c r="K160" i="6"/>
  <c r="L160" i="6" s="1"/>
  <c r="K161" i="6"/>
  <c r="L161" i="6" s="1"/>
  <c r="Q161" i="6" s="1"/>
  <c r="K162" i="6"/>
  <c r="L162" i="6" s="1"/>
  <c r="K163" i="6"/>
  <c r="L163" i="6" s="1"/>
  <c r="K164" i="6"/>
  <c r="L164" i="6" s="1"/>
  <c r="K165" i="6"/>
  <c r="L165" i="6" s="1"/>
  <c r="K166" i="6"/>
  <c r="L166" i="6" s="1"/>
  <c r="K167" i="6"/>
  <c r="L167" i="6" s="1"/>
  <c r="K168" i="6"/>
  <c r="L168" i="6" s="1"/>
  <c r="K169" i="6"/>
  <c r="L169" i="6" s="1"/>
  <c r="K170" i="6"/>
  <c r="L170" i="6" s="1"/>
  <c r="Q170" i="6" s="1"/>
  <c r="K171" i="6"/>
  <c r="L171" i="6" s="1"/>
  <c r="Q171" i="6" s="1"/>
  <c r="S171" i="6" s="1"/>
  <c r="K131" i="6"/>
  <c r="L131" i="6" s="1"/>
  <c r="Q131" i="6" s="1"/>
  <c r="S131" i="6" s="1"/>
  <c r="K175" i="6"/>
  <c r="L175" i="6" s="1"/>
  <c r="Q175" i="6" s="1"/>
  <c r="S175" i="6" s="1"/>
  <c r="K176" i="6"/>
  <c r="L176" i="6" s="1"/>
  <c r="K177" i="6"/>
  <c r="L177" i="6"/>
  <c r="K178" i="6"/>
  <c r="L178" i="6" s="1"/>
  <c r="K179" i="6"/>
  <c r="L179" i="6"/>
  <c r="K186" i="6"/>
  <c r="L186" i="6" s="1"/>
  <c r="K187" i="6"/>
  <c r="L187" i="6" s="1"/>
  <c r="K188" i="6"/>
  <c r="L188" i="6" s="1"/>
  <c r="Q188" i="6" s="1"/>
  <c r="K189" i="6"/>
  <c r="L189" i="6" s="1"/>
  <c r="K190" i="6"/>
  <c r="L190" i="6" s="1"/>
  <c r="K191" i="6"/>
  <c r="L191" i="6"/>
  <c r="K192" i="6"/>
  <c r="L192" i="6" s="1"/>
  <c r="K193" i="6"/>
  <c r="L193" i="6" s="1"/>
  <c r="Q193" i="6" s="1"/>
  <c r="S193" i="6" s="1"/>
  <c r="T193" i="6" s="1"/>
  <c r="K194" i="6"/>
  <c r="L194" i="6" s="1"/>
  <c r="K195" i="6"/>
  <c r="L195" i="6" s="1"/>
  <c r="Q195" i="6" s="1"/>
  <c r="S195" i="6" s="1"/>
  <c r="T195" i="6" s="1"/>
  <c r="K196" i="6"/>
  <c r="L196" i="6" s="1"/>
  <c r="K197" i="6"/>
  <c r="L197" i="6" s="1"/>
  <c r="Q197" i="6" s="1"/>
  <c r="S197" i="6" s="1"/>
  <c r="K198" i="6"/>
  <c r="L198" i="6" s="1"/>
  <c r="K199" i="6"/>
  <c r="L199" i="6" s="1"/>
  <c r="K200" i="6"/>
  <c r="L200" i="6" s="1"/>
  <c r="K201" i="6"/>
  <c r="L201" i="6"/>
  <c r="K202" i="6"/>
  <c r="L202" i="6" s="1"/>
  <c r="K215" i="6"/>
  <c r="L215" i="6" s="1"/>
  <c r="K216" i="6"/>
  <c r="L216" i="6" s="1"/>
  <c r="K217" i="6"/>
  <c r="L217" i="6" s="1"/>
  <c r="Q217" i="6" s="1"/>
  <c r="S217" i="6" s="1"/>
  <c r="K218" i="6"/>
  <c r="L218" i="6" s="1"/>
  <c r="K219" i="6"/>
  <c r="L219" i="6"/>
  <c r="K220" i="6"/>
  <c r="L220" i="6" s="1"/>
  <c r="M47" i="4"/>
  <c r="N47" i="4" s="1"/>
  <c r="M241" i="1"/>
  <c r="N241" i="1" s="1"/>
  <c r="M33" i="1"/>
  <c r="N33" i="1" s="1"/>
  <c r="N30" i="21"/>
  <c r="AH28" i="21"/>
  <c r="AD28" i="21"/>
  <c r="P28" i="21"/>
  <c r="P30" i="21" s="1"/>
  <c r="K28" i="21"/>
  <c r="AF28" i="21" s="1"/>
  <c r="AH22" i="21"/>
  <c r="AD22" i="21"/>
  <c r="N22" i="21"/>
  <c r="P22" i="21" s="1"/>
  <c r="Q22" i="21" s="1"/>
  <c r="K22" i="21"/>
  <c r="AF22" i="21" s="1"/>
  <c r="AH21" i="21"/>
  <c r="AD21" i="21"/>
  <c r="N21" i="21"/>
  <c r="P21" i="21" s="1"/>
  <c r="K21" i="21"/>
  <c r="AF21" i="21" s="1"/>
  <c r="AH20" i="21"/>
  <c r="AD20" i="21"/>
  <c r="P20" i="21"/>
  <c r="Q20" i="21" s="1"/>
  <c r="K20" i="21"/>
  <c r="AF20" i="21" s="1"/>
  <c r="R20" i="21" s="1"/>
  <c r="AH15" i="21"/>
  <c r="AD15" i="21"/>
  <c r="P15" i="21"/>
  <c r="M50" i="4" s="1"/>
  <c r="M51" i="4" s="1"/>
  <c r="K15" i="21"/>
  <c r="AF15" i="21"/>
  <c r="AH14" i="21"/>
  <c r="AD14" i="21"/>
  <c r="N14" i="21"/>
  <c r="P14" i="21" s="1"/>
  <c r="K14" i="21"/>
  <c r="AF14" i="21" s="1"/>
  <c r="P5" i="21"/>
  <c r="P3" i="21"/>
  <c r="D3" i="21"/>
  <c r="Y11" i="21" s="1"/>
  <c r="P2" i="21"/>
  <c r="AE1" i="21"/>
  <c r="X11" i="21" s="1"/>
  <c r="AA11" i="21" s="1"/>
  <c r="O74" i="18"/>
  <c r="AH70" i="18"/>
  <c r="AD70" i="18"/>
  <c r="S70" i="18"/>
  <c r="P70" i="18"/>
  <c r="M336" i="1" s="1"/>
  <c r="K70" i="18"/>
  <c r="AF70" i="18"/>
  <c r="AH69" i="18"/>
  <c r="AD69" i="18"/>
  <c r="X69" i="18" s="1"/>
  <c r="Y69" i="18" s="1"/>
  <c r="AA69" i="18" s="1"/>
  <c r="S69" i="18"/>
  <c r="P69" i="18"/>
  <c r="M332" i="1" s="1"/>
  <c r="M333" i="1" s="1"/>
  <c r="N333" i="1" s="1"/>
  <c r="Q69" i="18"/>
  <c r="K69" i="18"/>
  <c r="AF69" i="18" s="1"/>
  <c r="AH68" i="18"/>
  <c r="AE68" i="18"/>
  <c r="AD68" i="18"/>
  <c r="S68" i="18"/>
  <c r="N68" i="18"/>
  <c r="P68" i="18" s="1"/>
  <c r="Q68" i="18" s="1"/>
  <c r="K68" i="18"/>
  <c r="AF68" i="18" s="1"/>
  <c r="AH67" i="18"/>
  <c r="AE67" i="18"/>
  <c r="AD67" i="18"/>
  <c r="S67" i="18"/>
  <c r="P67" i="18"/>
  <c r="M327" i="1" s="1"/>
  <c r="N327" i="1" s="1"/>
  <c r="O327" i="1" s="1"/>
  <c r="P327" i="1" s="1"/>
  <c r="K67" i="18"/>
  <c r="AF67" i="18" s="1"/>
  <c r="AH66" i="18"/>
  <c r="AE66" i="18"/>
  <c r="AD66" i="18"/>
  <c r="S66" i="18"/>
  <c r="N66" i="18"/>
  <c r="K66" i="18"/>
  <c r="AF66" i="18"/>
  <c r="AH65" i="18"/>
  <c r="AE65" i="18"/>
  <c r="AD65" i="18"/>
  <c r="S65" i="18"/>
  <c r="P65" i="18"/>
  <c r="Q65" i="18"/>
  <c r="K65" i="18"/>
  <c r="AF65" i="18" s="1"/>
  <c r="AH60" i="18"/>
  <c r="AE60" i="18"/>
  <c r="AD60" i="18"/>
  <c r="S60" i="18"/>
  <c r="P60" i="18"/>
  <c r="Q60" i="18" s="1"/>
  <c r="K60" i="18"/>
  <c r="AF60" i="18" s="1"/>
  <c r="AH59" i="18"/>
  <c r="AE59" i="18"/>
  <c r="AD59" i="18"/>
  <c r="S59" i="18"/>
  <c r="P59" i="18"/>
  <c r="M312" i="1" s="1"/>
  <c r="K59" i="18"/>
  <c r="AF59" i="18"/>
  <c r="AH58" i="18"/>
  <c r="AE58" i="18"/>
  <c r="AD58" i="18"/>
  <c r="S58" i="18"/>
  <c r="N58" i="18"/>
  <c r="P58" i="18" s="1"/>
  <c r="K58" i="18"/>
  <c r="AF58" i="18" s="1"/>
  <c r="AH57" i="18"/>
  <c r="AE57" i="18"/>
  <c r="AD57" i="18"/>
  <c r="S57" i="18"/>
  <c r="P57" i="18"/>
  <c r="M302" i="1" s="1"/>
  <c r="N302" i="1" s="1"/>
  <c r="O302" i="1" s="1"/>
  <c r="P302" i="1" s="1"/>
  <c r="K57" i="18"/>
  <c r="AF57" i="18" s="1"/>
  <c r="AH56" i="18"/>
  <c r="AE56" i="18"/>
  <c r="AD56" i="18"/>
  <c r="S56" i="18"/>
  <c r="N56" i="18"/>
  <c r="P56" i="18"/>
  <c r="M296" i="1" s="1"/>
  <c r="Q56" i="18"/>
  <c r="K56" i="18"/>
  <c r="AF56" i="18" s="1"/>
  <c r="AH55" i="18"/>
  <c r="AE55" i="18"/>
  <c r="AD55" i="18"/>
  <c r="S55" i="18"/>
  <c r="N55" i="18"/>
  <c r="P55" i="18" s="1"/>
  <c r="K55" i="18"/>
  <c r="AF55" i="18" s="1"/>
  <c r="AH54" i="18"/>
  <c r="AE54" i="18"/>
  <c r="AD54" i="18"/>
  <c r="S54" i="18"/>
  <c r="N54" i="18"/>
  <c r="K54" i="18"/>
  <c r="AF54" i="18"/>
  <c r="AH53" i="18"/>
  <c r="AE53" i="18"/>
  <c r="AD53" i="18"/>
  <c r="S53" i="18"/>
  <c r="P53" i="18"/>
  <c r="M291" i="1" s="1"/>
  <c r="K53" i="18"/>
  <c r="AF53" i="18" s="1"/>
  <c r="AH52" i="18"/>
  <c r="AF52" i="18"/>
  <c r="AE52" i="18"/>
  <c r="AD52" i="18"/>
  <c r="S52" i="18"/>
  <c r="P52" i="18"/>
  <c r="M289" i="1" s="1"/>
  <c r="M290" i="1" s="1"/>
  <c r="K52" i="18"/>
  <c r="AC48" i="18"/>
  <c r="AB48" i="18"/>
  <c r="AA48" i="18"/>
  <c r="V48" i="18"/>
  <c r="R48" i="18"/>
  <c r="Q48" i="18"/>
  <c r="P48" i="18"/>
  <c r="N48" i="18"/>
  <c r="N42" i="18"/>
  <c r="AH40" i="18"/>
  <c r="AE40" i="18"/>
  <c r="AD40" i="18"/>
  <c r="S40" i="18"/>
  <c r="Q40" i="18"/>
  <c r="P40" i="18"/>
  <c r="K40" i="18"/>
  <c r="AF40" i="18" s="1"/>
  <c r="AH39" i="18"/>
  <c r="AE39" i="18"/>
  <c r="AD39" i="18"/>
  <c r="S39" i="18"/>
  <c r="P39" i="18"/>
  <c r="M256" i="1" s="1"/>
  <c r="M257" i="1" s="1"/>
  <c r="N257" i="1" s="1"/>
  <c r="K39" i="18"/>
  <c r="AF39" i="18" s="1"/>
  <c r="AH38" i="18"/>
  <c r="AE38" i="18"/>
  <c r="AD38" i="18"/>
  <c r="S38" i="18"/>
  <c r="P38" i="18"/>
  <c r="M244" i="1" s="1"/>
  <c r="M245" i="1" s="1"/>
  <c r="N245" i="1" s="1"/>
  <c r="K38" i="18"/>
  <c r="AF38" i="18"/>
  <c r="AH37" i="18"/>
  <c r="AE37" i="18"/>
  <c r="AD37" i="18"/>
  <c r="S37" i="18"/>
  <c r="P37" i="18"/>
  <c r="M242" i="1" s="1"/>
  <c r="K37" i="18"/>
  <c r="AF37" i="18" s="1"/>
  <c r="R37" i="18" s="1"/>
  <c r="AH36" i="18"/>
  <c r="AE36" i="18"/>
  <c r="AD36" i="18"/>
  <c r="S36" i="18"/>
  <c r="P36" i="18"/>
  <c r="Q36" i="18" s="1"/>
  <c r="K36" i="18"/>
  <c r="AF36" i="18" s="1"/>
  <c r="AH31" i="18"/>
  <c r="AE31" i="18"/>
  <c r="AD31" i="18"/>
  <c r="S31" i="18"/>
  <c r="P31" i="18"/>
  <c r="Q31" i="18" s="1"/>
  <c r="K31" i="18"/>
  <c r="AF31" i="18" s="1"/>
  <c r="AH30" i="18"/>
  <c r="AE30" i="18"/>
  <c r="AD30" i="18"/>
  <c r="S30" i="18"/>
  <c r="P30" i="18"/>
  <c r="Q30" i="18" s="1"/>
  <c r="K30" i="18"/>
  <c r="AF30" i="18"/>
  <c r="AH29" i="18"/>
  <c r="AE29" i="18"/>
  <c r="AD29" i="18"/>
  <c r="S29" i="18"/>
  <c r="P29" i="18"/>
  <c r="Q29" i="18" s="1"/>
  <c r="K29" i="18"/>
  <c r="AF29" i="18" s="1"/>
  <c r="AH28" i="18"/>
  <c r="AE28" i="18"/>
  <c r="AD28" i="18"/>
  <c r="S28" i="18"/>
  <c r="P28" i="18"/>
  <c r="Q28" i="18" s="1"/>
  <c r="K28" i="18"/>
  <c r="AF28" i="18" s="1"/>
  <c r="AH27" i="18"/>
  <c r="AE27" i="18"/>
  <c r="AD27" i="18"/>
  <c r="S27" i="18"/>
  <c r="P27" i="18"/>
  <c r="M62" i="1" s="1"/>
  <c r="K27" i="18"/>
  <c r="AF27" i="18" s="1"/>
  <c r="AH26" i="18"/>
  <c r="AE26" i="18"/>
  <c r="AD26" i="18"/>
  <c r="S26" i="18"/>
  <c r="P26" i="18"/>
  <c r="M58" i="1" s="1"/>
  <c r="M59" i="1" s="1"/>
  <c r="N59" i="1" s="1"/>
  <c r="K26" i="18"/>
  <c r="AF26" i="18"/>
  <c r="AH25" i="18"/>
  <c r="AE25" i="18"/>
  <c r="AD25" i="18"/>
  <c r="S25" i="18"/>
  <c r="P25" i="18"/>
  <c r="M56" i="1" s="1"/>
  <c r="M57" i="1" s="1"/>
  <c r="N57" i="1" s="1"/>
  <c r="K25" i="18"/>
  <c r="AF25" i="18"/>
  <c r="AH24" i="18"/>
  <c r="AF24" i="18"/>
  <c r="AE24" i="18"/>
  <c r="AD24" i="18"/>
  <c r="S24" i="18"/>
  <c r="P24" i="18"/>
  <c r="K24" i="18"/>
  <c r="AH23" i="18"/>
  <c r="AE23" i="18"/>
  <c r="AD23" i="18"/>
  <c r="S23" i="18"/>
  <c r="N23" i="18"/>
  <c r="P23" i="18"/>
  <c r="M42" i="1" s="1"/>
  <c r="K23" i="18"/>
  <c r="AF23" i="18" s="1"/>
  <c r="AH22" i="18"/>
  <c r="AF22" i="18"/>
  <c r="AE22" i="18"/>
  <c r="AD22" i="18"/>
  <c r="S22" i="18"/>
  <c r="N22" i="18"/>
  <c r="P22" i="18" s="1"/>
  <c r="K22" i="18"/>
  <c r="AH21" i="18"/>
  <c r="AF21" i="18"/>
  <c r="AE21" i="18"/>
  <c r="AD21" i="18"/>
  <c r="S21" i="18"/>
  <c r="Q21" i="18"/>
  <c r="P21" i="18"/>
  <c r="K21" i="18"/>
  <c r="AH20" i="18"/>
  <c r="AG20" i="18"/>
  <c r="AE20" i="18"/>
  <c r="AD20" i="18"/>
  <c r="S20" i="18"/>
  <c r="N20" i="18"/>
  <c r="K20" i="18"/>
  <c r="AF20" i="18"/>
  <c r="AH19" i="18"/>
  <c r="AF19" i="18"/>
  <c r="AE19" i="18"/>
  <c r="AD19" i="18"/>
  <c r="S19" i="18"/>
  <c r="P19" i="18"/>
  <c r="Q19" i="18" s="1"/>
  <c r="K19" i="18"/>
  <c r="AH18" i="18"/>
  <c r="AE18" i="18"/>
  <c r="AD18" i="18"/>
  <c r="S18" i="18"/>
  <c r="P18" i="18"/>
  <c r="M21" i="1" s="1"/>
  <c r="M22" i="1" s="1"/>
  <c r="N22" i="1" s="1"/>
  <c r="K18" i="18"/>
  <c r="AF18" i="18"/>
  <c r="AH17" i="18"/>
  <c r="AG17" i="18"/>
  <c r="AE17" i="18"/>
  <c r="AD17" i="18"/>
  <c r="S17" i="18"/>
  <c r="P17" i="18"/>
  <c r="Q17" i="18" s="1"/>
  <c r="K17" i="18"/>
  <c r="AF17" i="18" s="1"/>
  <c r="X17" i="18" s="1"/>
  <c r="Y17" i="18" s="1"/>
  <c r="AA17" i="18" s="1"/>
  <c r="AH16" i="18"/>
  <c r="AE16" i="18"/>
  <c r="AD16" i="18"/>
  <c r="S16" i="18"/>
  <c r="Q16" i="18"/>
  <c r="P16" i="18"/>
  <c r="K16" i="18"/>
  <c r="AF16" i="18" s="1"/>
  <c r="R16" i="18" s="1"/>
  <c r="AH15" i="18"/>
  <c r="AE15" i="18"/>
  <c r="AD15" i="18"/>
  <c r="S15" i="18"/>
  <c r="P15" i="18"/>
  <c r="Q15" i="18" s="1"/>
  <c r="K15" i="18"/>
  <c r="AF15" i="18" s="1"/>
  <c r="AH14" i="18"/>
  <c r="AE14" i="18"/>
  <c r="AD14" i="18"/>
  <c r="S14" i="18"/>
  <c r="P14" i="18"/>
  <c r="Q14" i="18" s="1"/>
  <c r="K14" i="18"/>
  <c r="AF14" i="18" s="1"/>
  <c r="AH13" i="18"/>
  <c r="AE13" i="18"/>
  <c r="AD13" i="18"/>
  <c r="S13" i="18"/>
  <c r="P13" i="18"/>
  <c r="M16" i="1" s="1"/>
  <c r="M17" i="1" s="1"/>
  <c r="N17" i="1" s="1"/>
  <c r="K13" i="18"/>
  <c r="AF13" i="18" s="1"/>
  <c r="AH12" i="18"/>
  <c r="AG12" i="18"/>
  <c r="AE12" i="18"/>
  <c r="AD12" i="18"/>
  <c r="S12" i="18"/>
  <c r="P12" i="18"/>
  <c r="M14" i="1" s="1"/>
  <c r="K12" i="18"/>
  <c r="AF12" i="18" s="1"/>
  <c r="P4" i="18"/>
  <c r="AG13" i="18" s="1"/>
  <c r="D3" i="18"/>
  <c r="Y11" i="18" s="1"/>
  <c r="AE1" i="18"/>
  <c r="X11" i="18" s="1"/>
  <c r="AA11" i="18" s="1"/>
  <c r="R388" i="6"/>
  <c r="R484" i="6" s="1"/>
  <c r="N101" i="4"/>
  <c r="O101" i="4" s="1"/>
  <c r="P101" i="4" s="1"/>
  <c r="N102" i="4"/>
  <c r="O102" i="4" s="1"/>
  <c r="P102" i="4" s="1"/>
  <c r="N103" i="4"/>
  <c r="O103" i="4" s="1"/>
  <c r="N106" i="4"/>
  <c r="O106" i="4" s="1"/>
  <c r="P106" i="4" s="1"/>
  <c r="N107" i="4"/>
  <c r="O107" i="4" s="1"/>
  <c r="P107" i="4" s="1"/>
  <c r="N108" i="4"/>
  <c r="O108" i="4" s="1"/>
  <c r="P108" i="4" s="1"/>
  <c r="N109" i="4"/>
  <c r="O109" i="4" s="1"/>
  <c r="P109" i="4" s="1"/>
  <c r="N110" i="4"/>
  <c r="O110" i="4" s="1"/>
  <c r="P110" i="4" s="1"/>
  <c r="N111" i="4"/>
  <c r="O111" i="4"/>
  <c r="P111" i="4" s="1"/>
  <c r="N113" i="4"/>
  <c r="O113" i="4" s="1"/>
  <c r="P113" i="4" s="1"/>
  <c r="N114" i="4"/>
  <c r="O114" i="4" s="1"/>
  <c r="P114" i="4" s="1"/>
  <c r="N115" i="4"/>
  <c r="O115" i="4" s="1"/>
  <c r="P115" i="4" s="1"/>
  <c r="N116" i="4"/>
  <c r="O116" i="4" s="1"/>
  <c r="P116" i="4" s="1"/>
  <c r="N117" i="4"/>
  <c r="O117" i="4"/>
  <c r="P117" i="4" s="1"/>
  <c r="N118" i="4"/>
  <c r="O118" i="4" s="1"/>
  <c r="P118" i="4" s="1"/>
  <c r="N119" i="4"/>
  <c r="O119" i="4" s="1"/>
  <c r="P119" i="4" s="1"/>
  <c r="N120" i="4"/>
  <c r="O120" i="4"/>
  <c r="P120" i="4" s="1"/>
  <c r="Q120" i="4" s="1"/>
  <c r="S120" i="4" s="1"/>
  <c r="N121" i="4"/>
  <c r="O121" i="4" s="1"/>
  <c r="P121" i="4" s="1"/>
  <c r="Q121" i="4" s="1"/>
  <c r="S121" i="4" s="1"/>
  <c r="N122" i="4"/>
  <c r="O122" i="4" s="1"/>
  <c r="P122" i="4" s="1"/>
  <c r="N123" i="4"/>
  <c r="O123" i="4" s="1"/>
  <c r="P123" i="4" s="1"/>
  <c r="Q123" i="4" s="1"/>
  <c r="S123" i="4" s="1"/>
  <c r="T123" i="4" s="1"/>
  <c r="N124" i="4"/>
  <c r="O124" i="4"/>
  <c r="P124" i="4" s="1"/>
  <c r="Q124" i="4" s="1"/>
  <c r="S124" i="4" s="1"/>
  <c r="N125" i="4"/>
  <c r="O125" i="4" s="1"/>
  <c r="P125" i="4" s="1"/>
  <c r="N126" i="4"/>
  <c r="O126" i="4" s="1"/>
  <c r="P126" i="4" s="1"/>
  <c r="N59" i="4"/>
  <c r="O59" i="4" s="1"/>
  <c r="P59" i="4" s="1"/>
  <c r="N60" i="4"/>
  <c r="O60" i="4" s="1"/>
  <c r="P60" i="4" s="1"/>
  <c r="N71" i="4"/>
  <c r="O71" i="4"/>
  <c r="P71" i="4" s="1"/>
  <c r="N73" i="4"/>
  <c r="O73" i="4" s="1"/>
  <c r="P73" i="4" s="1"/>
  <c r="N74" i="4"/>
  <c r="O74" i="4" s="1"/>
  <c r="P74" i="4" s="1"/>
  <c r="N76" i="4"/>
  <c r="O76" i="4" s="1"/>
  <c r="P76" i="4" s="1"/>
  <c r="N77" i="4"/>
  <c r="O77" i="4" s="1"/>
  <c r="P77" i="4" s="1"/>
  <c r="N78" i="4"/>
  <c r="O78" i="4"/>
  <c r="P78" i="4" s="1"/>
  <c r="N81" i="4"/>
  <c r="O81" i="4" s="1"/>
  <c r="P81" i="4" s="1"/>
  <c r="N82" i="4"/>
  <c r="O82" i="4"/>
  <c r="P82" i="4" s="1"/>
  <c r="N85" i="4"/>
  <c r="O85" i="4" s="1"/>
  <c r="P85" i="4" s="1"/>
  <c r="N86" i="4"/>
  <c r="O86" i="4" s="1"/>
  <c r="P86" i="4" s="1"/>
  <c r="N87" i="4"/>
  <c r="O87" i="4"/>
  <c r="P87" i="4" s="1"/>
  <c r="N88" i="4"/>
  <c r="O88" i="4" s="1"/>
  <c r="P88" i="4" s="1"/>
  <c r="N89" i="4"/>
  <c r="O89" i="4" s="1"/>
  <c r="P89" i="4" s="1"/>
  <c r="N90" i="4"/>
  <c r="O90" i="4" s="1"/>
  <c r="P90" i="4" s="1"/>
  <c r="N91" i="4"/>
  <c r="O91" i="4" s="1"/>
  <c r="P91" i="4" s="1"/>
  <c r="Q91" i="4" s="1"/>
  <c r="S91" i="4" s="1"/>
  <c r="N46" i="4"/>
  <c r="O46" i="4" s="1"/>
  <c r="P46" i="4" s="1"/>
  <c r="N50" i="4"/>
  <c r="O50" i="4" s="1"/>
  <c r="P50" i="4" s="1"/>
  <c r="N22" i="4"/>
  <c r="O22" i="4" s="1"/>
  <c r="N26" i="4"/>
  <c r="O26" i="4"/>
  <c r="P26" i="4" s="1"/>
  <c r="N27" i="4"/>
  <c r="O27" i="4" s="1"/>
  <c r="P27" i="4" s="1"/>
  <c r="N28" i="4"/>
  <c r="O28" i="4" s="1"/>
  <c r="P28" i="4" s="1"/>
  <c r="N21" i="4"/>
  <c r="O21" i="4" s="1"/>
  <c r="N15" i="4"/>
  <c r="O15" i="4" s="1"/>
  <c r="P15" i="4" s="1"/>
  <c r="Q15" i="4" s="1"/>
  <c r="S15" i="4" s="1"/>
  <c r="T15" i="4" s="1"/>
  <c r="R18" i="4"/>
  <c r="R39" i="4" s="1"/>
  <c r="R54" i="4"/>
  <c r="R96" i="4"/>
  <c r="R130" i="4"/>
  <c r="N15" i="5"/>
  <c r="N18" i="5"/>
  <c r="O18" i="5" s="1"/>
  <c r="P18" i="5" s="1"/>
  <c r="N19" i="5"/>
  <c r="O19" i="5" s="1"/>
  <c r="P19" i="5" s="1"/>
  <c r="N24" i="5"/>
  <c r="O24" i="5" s="1"/>
  <c r="P24" i="5" s="1"/>
  <c r="N25" i="5"/>
  <c r="O25" i="5" s="1"/>
  <c r="P25" i="5" s="1"/>
  <c r="N26" i="5"/>
  <c r="O26" i="5" s="1"/>
  <c r="P26" i="5" s="1"/>
  <c r="N27" i="5"/>
  <c r="O27" i="5" s="1"/>
  <c r="P27" i="5" s="1"/>
  <c r="N32" i="5"/>
  <c r="O32" i="5" s="1"/>
  <c r="P32" i="5" s="1"/>
  <c r="N33" i="5"/>
  <c r="O33" i="5" s="1"/>
  <c r="P33" i="5" s="1"/>
  <c r="N34" i="5"/>
  <c r="O34" i="5" s="1"/>
  <c r="P34" i="5" s="1"/>
  <c r="N35" i="5"/>
  <c r="O35" i="5" s="1"/>
  <c r="P35" i="5" s="1"/>
  <c r="N37" i="5"/>
  <c r="O37" i="5" s="1"/>
  <c r="P37" i="5" s="1"/>
  <c r="N39" i="5"/>
  <c r="O39" i="5"/>
  <c r="P39" i="5" s="1"/>
  <c r="N42" i="5"/>
  <c r="O42" i="5" s="1"/>
  <c r="P42" i="5" s="1"/>
  <c r="N43" i="5"/>
  <c r="O43" i="5" s="1"/>
  <c r="P43" i="5" s="1"/>
  <c r="N44" i="5"/>
  <c r="O44" i="5" s="1"/>
  <c r="P44" i="5" s="1"/>
  <c r="N46" i="5"/>
  <c r="O46" i="5" s="1"/>
  <c r="P46" i="5" s="1"/>
  <c r="N47" i="5"/>
  <c r="O47" i="5" s="1"/>
  <c r="P47" i="5" s="1"/>
  <c r="N52" i="5"/>
  <c r="O52" i="5" s="1"/>
  <c r="P52" i="5" s="1"/>
  <c r="N53" i="5"/>
  <c r="O53" i="5" s="1"/>
  <c r="P53" i="5" s="1"/>
  <c r="N54" i="5"/>
  <c r="O54" i="5" s="1"/>
  <c r="P54" i="5" s="1"/>
  <c r="N56" i="5"/>
  <c r="O56" i="5" s="1"/>
  <c r="P56" i="5" s="1"/>
  <c r="N57" i="5"/>
  <c r="O57" i="5" s="1"/>
  <c r="P57" i="5" s="1"/>
  <c r="N59" i="5"/>
  <c r="O59" i="5" s="1"/>
  <c r="P59" i="5" s="1"/>
  <c r="N60" i="5"/>
  <c r="O60" i="5" s="1"/>
  <c r="P60" i="5" s="1"/>
  <c r="N62" i="5"/>
  <c r="O62" i="5"/>
  <c r="P62" i="5" s="1"/>
  <c r="N63" i="5"/>
  <c r="O63" i="5" s="1"/>
  <c r="P63" i="5" s="1"/>
  <c r="N64" i="5"/>
  <c r="O64" i="5" s="1"/>
  <c r="P64" i="5" s="1"/>
  <c r="N65" i="5"/>
  <c r="O65" i="5" s="1"/>
  <c r="P65" i="5" s="1"/>
  <c r="Q65" i="5" s="1"/>
  <c r="S65" i="5" s="1"/>
  <c r="N66" i="5"/>
  <c r="O66" i="5" s="1"/>
  <c r="P66" i="5" s="1"/>
  <c r="N67" i="5"/>
  <c r="O67" i="5" s="1"/>
  <c r="P67" i="5" s="1"/>
  <c r="N68" i="5"/>
  <c r="O68" i="5" s="1"/>
  <c r="P68" i="5" s="1"/>
  <c r="N69" i="5"/>
  <c r="O69" i="5" s="1"/>
  <c r="P69" i="5" s="1"/>
  <c r="N71" i="5"/>
  <c r="O71" i="5" s="1"/>
  <c r="P71" i="5" s="1"/>
  <c r="N72" i="5"/>
  <c r="O72" i="5" s="1"/>
  <c r="P72" i="5" s="1"/>
  <c r="N73" i="5"/>
  <c r="O73" i="5" s="1"/>
  <c r="P73" i="5" s="1"/>
  <c r="N74" i="5"/>
  <c r="O74" i="5" s="1"/>
  <c r="P74" i="5" s="1"/>
  <c r="N75" i="5"/>
  <c r="O75" i="5"/>
  <c r="P75" i="5" s="1"/>
  <c r="N76" i="5"/>
  <c r="O76" i="5" s="1"/>
  <c r="P76" i="5" s="1"/>
  <c r="N77" i="5"/>
  <c r="O77" i="5" s="1"/>
  <c r="P77" i="5" s="1"/>
  <c r="N78" i="5"/>
  <c r="O78" i="5" s="1"/>
  <c r="P78" i="5" s="1"/>
  <c r="N79" i="5"/>
  <c r="O79" i="5" s="1"/>
  <c r="P79" i="5" s="1"/>
  <c r="N80" i="5"/>
  <c r="O80" i="5" s="1"/>
  <c r="P80" i="5" s="1"/>
  <c r="N81" i="5"/>
  <c r="O81" i="5" s="1"/>
  <c r="P81" i="5" s="1"/>
  <c r="N84" i="5"/>
  <c r="O84" i="5" s="1"/>
  <c r="P84" i="5" s="1"/>
  <c r="Q84" i="5" s="1"/>
  <c r="S84" i="5" s="1"/>
  <c r="T84" i="5" s="1"/>
  <c r="U84" i="5" s="1"/>
  <c r="N85" i="5"/>
  <c r="O85" i="5" s="1"/>
  <c r="P85" i="5" s="1"/>
  <c r="N86" i="5"/>
  <c r="O86" i="5" s="1"/>
  <c r="P86" i="5" s="1"/>
  <c r="N87" i="5"/>
  <c r="O87" i="5" s="1"/>
  <c r="P87" i="5" s="1"/>
  <c r="N88" i="5"/>
  <c r="O88" i="5"/>
  <c r="P88" i="5"/>
  <c r="N89" i="5"/>
  <c r="O89" i="5" s="1"/>
  <c r="P89" i="5" s="1"/>
  <c r="N90" i="5"/>
  <c r="O90" i="5" s="1"/>
  <c r="P90" i="5" s="1"/>
  <c r="N91" i="5"/>
  <c r="O91" i="5"/>
  <c r="P91" i="5" s="1"/>
  <c r="N14" i="5"/>
  <c r="O14" i="5" s="1"/>
  <c r="P14" i="5" s="1"/>
  <c r="N344" i="1"/>
  <c r="O344" i="1" s="1"/>
  <c r="P344" i="1" s="1"/>
  <c r="N332" i="1"/>
  <c r="O332" i="1" s="1"/>
  <c r="P332" i="1" s="1"/>
  <c r="N339" i="1"/>
  <c r="O339" i="1" s="1"/>
  <c r="P339" i="1" s="1"/>
  <c r="N286" i="1"/>
  <c r="O286" i="1" s="1"/>
  <c r="P286" i="1" s="1"/>
  <c r="N315" i="1"/>
  <c r="O315" i="1" s="1"/>
  <c r="P315" i="1" s="1"/>
  <c r="N285" i="1"/>
  <c r="O285" i="1" s="1"/>
  <c r="P285" i="1" s="1"/>
  <c r="N277" i="1"/>
  <c r="O277" i="1" s="1"/>
  <c r="P277" i="1" s="1"/>
  <c r="N276" i="1"/>
  <c r="O276" i="1" s="1"/>
  <c r="N262" i="1"/>
  <c r="O262" i="1" s="1"/>
  <c r="P262" i="1" s="1"/>
  <c r="N263" i="1"/>
  <c r="O263" i="1" s="1"/>
  <c r="P263" i="1" s="1"/>
  <c r="N240" i="1"/>
  <c r="O240" i="1" s="1"/>
  <c r="P240" i="1" s="1"/>
  <c r="N157" i="1"/>
  <c r="O157" i="1" s="1"/>
  <c r="P157" i="1" s="1"/>
  <c r="N158" i="1"/>
  <c r="O158" i="1" s="1"/>
  <c r="P158" i="1" s="1"/>
  <c r="N159" i="1"/>
  <c r="O159" i="1" s="1"/>
  <c r="P159" i="1" s="1"/>
  <c r="N160" i="1"/>
  <c r="O160" i="1" s="1"/>
  <c r="P160" i="1" s="1"/>
  <c r="N161" i="1"/>
  <c r="O161" i="1" s="1"/>
  <c r="P161" i="1" s="1"/>
  <c r="N162" i="1"/>
  <c r="O162" i="1" s="1"/>
  <c r="P162" i="1" s="1"/>
  <c r="N168" i="1"/>
  <c r="O168" i="1" s="1"/>
  <c r="P168" i="1" s="1"/>
  <c r="N172" i="1"/>
  <c r="O172" i="1" s="1"/>
  <c r="P172" i="1" s="1"/>
  <c r="N173" i="1"/>
  <c r="O173" i="1" s="1"/>
  <c r="P173" i="1" s="1"/>
  <c r="N258" i="1"/>
  <c r="O258" i="1" s="1"/>
  <c r="P258" i="1" s="1"/>
  <c r="N261" i="1"/>
  <c r="O261" i="1" s="1"/>
  <c r="P261" i="1" s="1"/>
  <c r="N180" i="1"/>
  <c r="O180" i="1" s="1"/>
  <c r="P180" i="1" s="1"/>
  <c r="N181" i="1"/>
  <c r="O181" i="1" s="1"/>
  <c r="P181" i="1" s="1"/>
  <c r="N182" i="1"/>
  <c r="O182" i="1" s="1"/>
  <c r="P182" i="1" s="1"/>
  <c r="N183" i="1"/>
  <c r="O183" i="1" s="1"/>
  <c r="P183" i="1" s="1"/>
  <c r="N184" i="1"/>
  <c r="O184" i="1" s="1"/>
  <c r="P184" i="1" s="1"/>
  <c r="N185" i="1"/>
  <c r="O185" i="1" s="1"/>
  <c r="P185" i="1" s="1"/>
  <c r="N186" i="1"/>
  <c r="O186" i="1" s="1"/>
  <c r="P186" i="1" s="1"/>
  <c r="N188" i="1"/>
  <c r="O188" i="1" s="1"/>
  <c r="P188" i="1" s="1"/>
  <c r="N189" i="1"/>
  <c r="O189" i="1" s="1"/>
  <c r="P189" i="1" s="1"/>
  <c r="N190" i="1"/>
  <c r="O190" i="1" s="1"/>
  <c r="P190" i="1" s="1"/>
  <c r="N191" i="1"/>
  <c r="O191" i="1" s="1"/>
  <c r="P191" i="1" s="1"/>
  <c r="N192" i="1"/>
  <c r="O192" i="1" s="1"/>
  <c r="P192" i="1" s="1"/>
  <c r="N193" i="1"/>
  <c r="O193" i="1" s="1"/>
  <c r="P193" i="1" s="1"/>
  <c r="N194" i="1"/>
  <c r="O194" i="1" s="1"/>
  <c r="P194" i="1" s="1"/>
  <c r="N195" i="1"/>
  <c r="O195" i="1" s="1"/>
  <c r="P195" i="1" s="1"/>
  <c r="N196" i="1"/>
  <c r="O196" i="1" s="1"/>
  <c r="P196" i="1" s="1"/>
  <c r="N112" i="1"/>
  <c r="O112" i="1" s="1"/>
  <c r="P112" i="1" s="1"/>
  <c r="Q268" i="1"/>
  <c r="N393" i="6"/>
  <c r="O393" i="6" s="1"/>
  <c r="P393" i="6" s="1"/>
  <c r="N395" i="6"/>
  <c r="O395" i="6" s="1"/>
  <c r="P395" i="6" s="1"/>
  <c r="N396" i="6"/>
  <c r="O396" i="6" s="1"/>
  <c r="P396" i="6" s="1"/>
  <c r="N397" i="6"/>
  <c r="O397" i="6"/>
  <c r="P397" i="6" s="1"/>
  <c r="N398" i="6"/>
  <c r="O398" i="6" s="1"/>
  <c r="P398" i="6" s="1"/>
  <c r="N399" i="6"/>
  <c r="O399" i="6" s="1"/>
  <c r="P399" i="6" s="1"/>
  <c r="N400" i="6"/>
  <c r="O400" i="6" s="1"/>
  <c r="P400" i="6" s="1"/>
  <c r="N401" i="6"/>
  <c r="O401" i="6" s="1"/>
  <c r="P401" i="6" s="1"/>
  <c r="N402" i="6"/>
  <c r="O402" i="6" s="1"/>
  <c r="P402" i="6" s="1"/>
  <c r="N404" i="6"/>
  <c r="O404" i="6" s="1"/>
  <c r="P404" i="6" s="1"/>
  <c r="N406" i="6"/>
  <c r="O406" i="6"/>
  <c r="P406" i="6" s="1"/>
  <c r="N407" i="6"/>
  <c r="O407" i="6" s="1"/>
  <c r="P407" i="6" s="1"/>
  <c r="N408" i="6"/>
  <c r="O408" i="6" s="1"/>
  <c r="P408" i="6" s="1"/>
  <c r="N409" i="6"/>
  <c r="O409" i="6" s="1"/>
  <c r="P409" i="6" s="1"/>
  <c r="N411" i="6"/>
  <c r="O411" i="6" s="1"/>
  <c r="P411" i="6" s="1"/>
  <c r="N412" i="6"/>
  <c r="O412" i="6"/>
  <c r="P412" i="6"/>
  <c r="N413" i="6"/>
  <c r="O413" i="6" s="1"/>
  <c r="P413" i="6" s="1"/>
  <c r="N414" i="6"/>
  <c r="O414" i="6" s="1"/>
  <c r="P414" i="6" s="1"/>
  <c r="N415" i="6"/>
  <c r="O415" i="6"/>
  <c r="P415" i="6" s="1"/>
  <c r="N416" i="6"/>
  <c r="O416" i="6" s="1"/>
  <c r="P416" i="6" s="1"/>
  <c r="N417" i="6"/>
  <c r="O417" i="6" s="1"/>
  <c r="P417" i="6" s="1"/>
  <c r="N418" i="6"/>
  <c r="O418" i="6" s="1"/>
  <c r="P418" i="6" s="1"/>
  <c r="N419" i="6"/>
  <c r="O419" i="6" s="1"/>
  <c r="P419" i="6" s="1"/>
  <c r="N420" i="6"/>
  <c r="O420" i="6" s="1"/>
  <c r="P420" i="6" s="1"/>
  <c r="N421" i="6"/>
  <c r="O421" i="6" s="1"/>
  <c r="P421" i="6" s="1"/>
  <c r="N468" i="6"/>
  <c r="O468" i="6" s="1"/>
  <c r="P468" i="6" s="1"/>
  <c r="N469" i="6"/>
  <c r="O469" i="6" s="1"/>
  <c r="P469" i="6" s="1"/>
  <c r="N470" i="6"/>
  <c r="O470" i="6" s="1"/>
  <c r="N438" i="6"/>
  <c r="N439" i="6"/>
  <c r="O439" i="6" s="1"/>
  <c r="P439" i="6" s="1"/>
  <c r="N440" i="6"/>
  <c r="O440" i="6" s="1"/>
  <c r="P440" i="6" s="1"/>
  <c r="N441" i="6"/>
  <c r="O441" i="6" s="1"/>
  <c r="P441" i="6" s="1"/>
  <c r="N442" i="6"/>
  <c r="O442" i="6" s="1"/>
  <c r="P442" i="6" s="1"/>
  <c r="N443" i="6"/>
  <c r="O443" i="6" s="1"/>
  <c r="P443" i="6" s="1"/>
  <c r="N432" i="6"/>
  <c r="O432" i="6"/>
  <c r="P432" i="6" s="1"/>
  <c r="N471" i="6"/>
  <c r="O471" i="6" s="1"/>
  <c r="P471" i="6" s="1"/>
  <c r="N472" i="6"/>
  <c r="O472" i="6" s="1"/>
  <c r="P472" i="6" s="1"/>
  <c r="N444" i="6"/>
  <c r="O444" i="6" s="1"/>
  <c r="P444" i="6" s="1"/>
  <c r="N473" i="6"/>
  <c r="O473" i="6" s="1"/>
  <c r="P473" i="6" s="1"/>
  <c r="N445" i="6"/>
  <c r="O445" i="6" s="1"/>
  <c r="P445" i="6" s="1"/>
  <c r="N474" i="6"/>
  <c r="O474" i="6" s="1"/>
  <c r="P474" i="6" s="1"/>
  <c r="N476" i="6"/>
  <c r="O476" i="6" s="1"/>
  <c r="P476" i="6" s="1"/>
  <c r="N457" i="6"/>
  <c r="O457" i="6"/>
  <c r="P457" i="6" s="1"/>
  <c r="N477" i="6"/>
  <c r="O477" i="6" s="1"/>
  <c r="P477" i="6" s="1"/>
  <c r="N478" i="6"/>
  <c r="O478" i="6" s="1"/>
  <c r="P478" i="6" s="1"/>
  <c r="N479" i="6"/>
  <c r="O479" i="6" s="1"/>
  <c r="P479" i="6" s="1"/>
  <c r="N458" i="6"/>
  <c r="O458" i="6" s="1"/>
  <c r="P458" i="6" s="1"/>
  <c r="N385" i="6"/>
  <c r="O385" i="6" s="1"/>
  <c r="P385" i="6" s="1"/>
  <c r="N241" i="6"/>
  <c r="O241" i="6" s="1"/>
  <c r="P241" i="6" s="1"/>
  <c r="N244" i="6"/>
  <c r="O244" i="6" s="1"/>
  <c r="P244" i="6" s="1"/>
  <c r="N245" i="6"/>
  <c r="O245" i="6" s="1"/>
  <c r="P245" i="6" s="1"/>
  <c r="Q245" i="6" s="1"/>
  <c r="S245" i="6" s="1"/>
  <c r="N246" i="6"/>
  <c r="O246" i="6" s="1"/>
  <c r="P246" i="6" s="1"/>
  <c r="Q246" i="6" s="1"/>
  <c r="N247" i="6"/>
  <c r="O247" i="6" s="1"/>
  <c r="P247" i="6" s="1"/>
  <c r="N12" i="6"/>
  <c r="O12" i="6" s="1"/>
  <c r="P12" i="6" s="1"/>
  <c r="N13" i="6"/>
  <c r="O13" i="6" s="1"/>
  <c r="P13" i="6" s="1"/>
  <c r="N14" i="6"/>
  <c r="O14" i="6" s="1"/>
  <c r="P14" i="6" s="1"/>
  <c r="N15" i="6"/>
  <c r="O15" i="6"/>
  <c r="P15" i="6" s="1"/>
  <c r="N16" i="6"/>
  <c r="O16" i="6" s="1"/>
  <c r="P16" i="6" s="1"/>
  <c r="N17" i="6"/>
  <c r="O17" i="6" s="1"/>
  <c r="P17" i="6" s="1"/>
  <c r="N18" i="6"/>
  <c r="O18" i="6" s="1"/>
  <c r="P18" i="6" s="1"/>
  <c r="N19" i="6"/>
  <c r="O19" i="6" s="1"/>
  <c r="N20" i="6"/>
  <c r="O20" i="6" s="1"/>
  <c r="P20" i="6" s="1"/>
  <c r="N21" i="6"/>
  <c r="O21" i="6" s="1"/>
  <c r="P21" i="6" s="1"/>
  <c r="N22" i="6"/>
  <c r="O22" i="6" s="1"/>
  <c r="P22" i="6" s="1"/>
  <c r="N23" i="6"/>
  <c r="O23" i="6" s="1"/>
  <c r="P23" i="6" s="1"/>
  <c r="N29" i="6"/>
  <c r="O29" i="6" s="1"/>
  <c r="P29" i="6" s="1"/>
  <c r="N30" i="6"/>
  <c r="O30" i="6" s="1"/>
  <c r="P30" i="6" s="1"/>
  <c r="N31" i="6"/>
  <c r="O31" i="6" s="1"/>
  <c r="P31" i="6" s="1"/>
  <c r="N32" i="6"/>
  <c r="O32" i="6" s="1"/>
  <c r="P32" i="6" s="1"/>
  <c r="N33" i="6"/>
  <c r="O33" i="6"/>
  <c r="P33" i="6"/>
  <c r="N34" i="6"/>
  <c r="O34" i="6" s="1"/>
  <c r="P34" i="6" s="1"/>
  <c r="N35" i="6"/>
  <c r="O35" i="6" s="1"/>
  <c r="P35" i="6" s="1"/>
  <c r="N36" i="6"/>
  <c r="O36" i="6"/>
  <c r="P36" i="6" s="1"/>
  <c r="N37" i="6"/>
  <c r="O37" i="6" s="1"/>
  <c r="P37" i="6" s="1"/>
  <c r="N38" i="6"/>
  <c r="O38" i="6" s="1"/>
  <c r="P38" i="6" s="1"/>
  <c r="N39" i="6"/>
  <c r="O39" i="6" s="1"/>
  <c r="P39" i="6" s="1"/>
  <c r="N40" i="6"/>
  <c r="O40" i="6"/>
  <c r="P40" i="6" s="1"/>
  <c r="N52" i="6"/>
  <c r="O52" i="6" s="1"/>
  <c r="P52" i="6" s="1"/>
  <c r="N53" i="6"/>
  <c r="O53" i="6" s="1"/>
  <c r="P53" i="6" s="1"/>
  <c r="N54" i="6"/>
  <c r="O54" i="6" s="1"/>
  <c r="P54" i="6" s="1"/>
  <c r="N55" i="6"/>
  <c r="O55" i="6"/>
  <c r="P55" i="6" s="1"/>
  <c r="N56" i="6"/>
  <c r="O56" i="6" s="1"/>
  <c r="P56" i="6" s="1"/>
  <c r="N57" i="6"/>
  <c r="O57" i="6" s="1"/>
  <c r="P57" i="6" s="1"/>
  <c r="N71" i="6"/>
  <c r="O71" i="6" s="1"/>
  <c r="P71" i="6" s="1"/>
  <c r="N72" i="6"/>
  <c r="O72" i="6" s="1"/>
  <c r="P72" i="6" s="1"/>
  <c r="N73" i="6"/>
  <c r="O73" i="6" s="1"/>
  <c r="P73" i="6" s="1"/>
  <c r="N74" i="6"/>
  <c r="O74" i="6" s="1"/>
  <c r="P74" i="6" s="1"/>
  <c r="N75" i="6"/>
  <c r="O75" i="6" s="1"/>
  <c r="P75" i="6" s="1"/>
  <c r="N76" i="6"/>
  <c r="O76" i="6" s="1"/>
  <c r="P76" i="6" s="1"/>
  <c r="N77" i="6"/>
  <c r="O77" i="6" s="1"/>
  <c r="P77" i="6" s="1"/>
  <c r="N78" i="6"/>
  <c r="O78" i="6" s="1"/>
  <c r="P78" i="6" s="1"/>
  <c r="N79" i="6"/>
  <c r="O79" i="6" s="1"/>
  <c r="P79" i="6" s="1"/>
  <c r="N80" i="6"/>
  <c r="O80" i="6" s="1"/>
  <c r="P80" i="6" s="1"/>
  <c r="N81" i="6"/>
  <c r="O81" i="6" s="1"/>
  <c r="P81" i="6" s="1"/>
  <c r="N94" i="6"/>
  <c r="O94" i="6" s="1"/>
  <c r="P94" i="6" s="1"/>
  <c r="N95" i="6"/>
  <c r="O95" i="6" s="1"/>
  <c r="P95" i="6" s="1"/>
  <c r="N99" i="6"/>
  <c r="O99" i="6" s="1"/>
  <c r="P99" i="6" s="1"/>
  <c r="Q99" i="6" s="1"/>
  <c r="S99" i="6" s="1"/>
  <c r="T99" i="6" s="1"/>
  <c r="U99" i="6" s="1"/>
  <c r="N101" i="6"/>
  <c r="O101" i="6" s="1"/>
  <c r="P101" i="6" s="1"/>
  <c r="N103" i="6"/>
  <c r="O103" i="6" s="1"/>
  <c r="P103" i="6" s="1"/>
  <c r="N104" i="6"/>
  <c r="O104" i="6" s="1"/>
  <c r="P104" i="6" s="1"/>
  <c r="N105" i="6"/>
  <c r="O105" i="6"/>
  <c r="P105" i="6" s="1"/>
  <c r="N118" i="6"/>
  <c r="O118" i="6" s="1"/>
  <c r="P118" i="6" s="1"/>
  <c r="N119" i="6"/>
  <c r="O119" i="6" s="1"/>
  <c r="P119" i="6" s="1"/>
  <c r="N147" i="6"/>
  <c r="O147" i="6" s="1"/>
  <c r="P147" i="6" s="1"/>
  <c r="N148" i="6"/>
  <c r="O148" i="6" s="1"/>
  <c r="P148" i="6" s="1"/>
  <c r="N149" i="6"/>
  <c r="O149" i="6" s="1"/>
  <c r="P149" i="6" s="1"/>
  <c r="N150" i="6"/>
  <c r="O150" i="6" s="1"/>
  <c r="P150" i="6" s="1"/>
  <c r="N151" i="6"/>
  <c r="O151" i="6" s="1"/>
  <c r="P151" i="6" s="1"/>
  <c r="N152" i="6"/>
  <c r="O152" i="6" s="1"/>
  <c r="P152" i="6" s="1"/>
  <c r="N153" i="6"/>
  <c r="O153" i="6" s="1"/>
  <c r="P153" i="6" s="1"/>
  <c r="N154" i="6"/>
  <c r="O154" i="6" s="1"/>
  <c r="P154" i="6" s="1"/>
  <c r="N155" i="6"/>
  <c r="O155" i="6" s="1"/>
  <c r="P155" i="6" s="1"/>
  <c r="N172" i="6"/>
  <c r="O172" i="6"/>
  <c r="P172" i="6" s="1"/>
  <c r="N173" i="6"/>
  <c r="O173" i="6" s="1"/>
  <c r="P173" i="6" s="1"/>
  <c r="N180" i="6"/>
  <c r="O180" i="6" s="1"/>
  <c r="P180" i="6" s="1"/>
  <c r="N181" i="6"/>
  <c r="O181" i="6" s="1"/>
  <c r="P181" i="6" s="1"/>
  <c r="N221" i="6"/>
  <c r="O221" i="6" s="1"/>
  <c r="P221" i="6" s="1"/>
  <c r="Q221" i="6" s="1"/>
  <c r="S221" i="6" s="1"/>
  <c r="N222" i="6"/>
  <c r="O222" i="6" s="1"/>
  <c r="P222" i="6" s="1"/>
  <c r="N223" i="6"/>
  <c r="O223" i="6" s="1"/>
  <c r="P223" i="6" s="1"/>
  <c r="N203" i="6"/>
  <c r="O203" i="6" s="1"/>
  <c r="P203" i="6" s="1"/>
  <c r="N204" i="6"/>
  <c r="O204" i="6" s="1"/>
  <c r="P204" i="6" s="1"/>
  <c r="Q204" i="6" s="1"/>
  <c r="S204" i="6" s="1"/>
  <c r="N205" i="6"/>
  <c r="O205" i="6"/>
  <c r="P205" i="6" s="1"/>
  <c r="N206" i="6"/>
  <c r="O206" i="6" s="1"/>
  <c r="P206" i="6" s="1"/>
  <c r="N207" i="6"/>
  <c r="O207" i="6" s="1"/>
  <c r="P207" i="6" s="1"/>
  <c r="N208" i="6"/>
  <c r="O208" i="6" s="1"/>
  <c r="P208" i="6" s="1"/>
  <c r="Q208" i="6" s="1"/>
  <c r="S208" i="6" s="1"/>
  <c r="T208" i="6" s="1"/>
  <c r="U208" i="6" s="1"/>
  <c r="N209" i="6"/>
  <c r="O209" i="6" s="1"/>
  <c r="P209" i="6" s="1"/>
  <c r="N210" i="6"/>
  <c r="O210" i="6"/>
  <c r="P210" i="6" s="1"/>
  <c r="N211" i="6"/>
  <c r="O211" i="6" s="1"/>
  <c r="P211" i="6" s="1"/>
  <c r="Q211" i="6" s="1"/>
  <c r="S211" i="6" s="1"/>
  <c r="N212" i="6"/>
  <c r="O212" i="6" s="1"/>
  <c r="P212" i="6" s="1"/>
  <c r="N213" i="6"/>
  <c r="O213" i="6" s="1"/>
  <c r="P213" i="6" s="1"/>
  <c r="N224" i="6"/>
  <c r="O224" i="6" s="1"/>
  <c r="P224" i="6" s="1"/>
  <c r="N225" i="6"/>
  <c r="O225" i="6" s="1"/>
  <c r="P225" i="6" s="1"/>
  <c r="N386" i="6"/>
  <c r="O386" i="6" s="1"/>
  <c r="P386" i="6" s="1"/>
  <c r="N214" i="6"/>
  <c r="O214" i="6" s="1"/>
  <c r="P214" i="6" s="1"/>
  <c r="M58" i="6"/>
  <c r="M69" i="6"/>
  <c r="N69" i="6" s="1"/>
  <c r="O69" i="6" s="1"/>
  <c r="P69" i="6" s="1"/>
  <c r="M70" i="6"/>
  <c r="N70" i="6" s="1"/>
  <c r="O70" i="6" s="1"/>
  <c r="P70" i="6" s="1"/>
  <c r="M96" i="6"/>
  <c r="N96" i="6" s="1"/>
  <c r="O96" i="6" s="1"/>
  <c r="P96" i="6" s="1"/>
  <c r="M97" i="6"/>
  <c r="N97" i="6" s="1"/>
  <c r="O97" i="6" s="1"/>
  <c r="P97" i="6" s="1"/>
  <c r="M98" i="6"/>
  <c r="N98" i="6" s="1"/>
  <c r="O98" i="6" s="1"/>
  <c r="P98" i="6" s="1"/>
  <c r="M100" i="6"/>
  <c r="N100" i="6" s="1"/>
  <c r="M102" i="6"/>
  <c r="N102" i="6" s="1"/>
  <c r="O102" i="6" s="1"/>
  <c r="P102" i="6" s="1"/>
  <c r="K196" i="1"/>
  <c r="L196" i="1" s="1"/>
  <c r="K126" i="4"/>
  <c r="L126" i="4" s="1"/>
  <c r="K91" i="4"/>
  <c r="L91" i="4" s="1"/>
  <c r="K401" i="6"/>
  <c r="L401" i="6" s="1"/>
  <c r="K400" i="6"/>
  <c r="L400" i="6" s="1"/>
  <c r="Q400" i="6" s="1"/>
  <c r="K399" i="6"/>
  <c r="L399" i="6" s="1"/>
  <c r="K23" i="6"/>
  <c r="L23" i="6" s="1"/>
  <c r="Q23" i="6" s="1"/>
  <c r="K81" i="6"/>
  <c r="L81" i="6"/>
  <c r="K40" i="6"/>
  <c r="L40" i="6" s="1"/>
  <c r="Q40" i="6" s="1"/>
  <c r="K112" i="1"/>
  <c r="L112" i="1" s="1"/>
  <c r="K160" i="1"/>
  <c r="L160" i="1" s="1"/>
  <c r="Q160" i="1" s="1"/>
  <c r="K159" i="1"/>
  <c r="L159" i="1" s="1"/>
  <c r="Q159" i="1" s="1"/>
  <c r="K158" i="1"/>
  <c r="L158" i="1" s="1"/>
  <c r="Q158" i="1" s="1"/>
  <c r="U158" i="1" s="1"/>
  <c r="K157" i="1"/>
  <c r="L157" i="1" s="1"/>
  <c r="Q157" i="1" s="1"/>
  <c r="N91" i="1"/>
  <c r="O91" i="1" s="1"/>
  <c r="P91" i="1" s="1"/>
  <c r="K91" i="1"/>
  <c r="L91" i="1" s="1"/>
  <c r="Q91" i="1" s="1"/>
  <c r="K125" i="4"/>
  <c r="L125" i="4" s="1"/>
  <c r="Q125" i="4" s="1"/>
  <c r="S125" i="4" s="1"/>
  <c r="T125" i="4" s="1"/>
  <c r="U125" i="4" s="1"/>
  <c r="K124" i="4"/>
  <c r="L124" i="4" s="1"/>
  <c r="K123" i="4"/>
  <c r="L123" i="4"/>
  <c r="K195" i="1"/>
  <c r="L195" i="1" s="1"/>
  <c r="M90" i="1"/>
  <c r="N90" i="1" s="1"/>
  <c r="O90" i="1" s="1"/>
  <c r="P90" i="1" s="1"/>
  <c r="K90" i="1"/>
  <c r="L90" i="1" s="1"/>
  <c r="N89" i="1"/>
  <c r="O89" i="1" s="1"/>
  <c r="P89" i="1" s="1"/>
  <c r="K89" i="1"/>
  <c r="L89" i="1" s="1"/>
  <c r="N88" i="1"/>
  <c r="O88" i="1" s="1"/>
  <c r="P88" i="1" s="1"/>
  <c r="K88" i="1"/>
  <c r="L88" i="1" s="1"/>
  <c r="K173" i="1"/>
  <c r="L173" i="1" s="1"/>
  <c r="Q173" i="1" s="1"/>
  <c r="K172" i="1"/>
  <c r="L172" i="1" s="1"/>
  <c r="Q172" i="1" s="1"/>
  <c r="K305" i="1"/>
  <c r="L305" i="1" s="1"/>
  <c r="Q305" i="1" s="1"/>
  <c r="U305" i="1" s="1"/>
  <c r="N32" i="1"/>
  <c r="O32" i="1" s="1"/>
  <c r="P32" i="1" s="1"/>
  <c r="K191" i="1"/>
  <c r="L191" i="1" s="1"/>
  <c r="K194" i="1"/>
  <c r="L194" i="1" s="1"/>
  <c r="M86" i="1"/>
  <c r="N86" i="1" s="1"/>
  <c r="O86" i="1" s="1"/>
  <c r="P86" i="1" s="1"/>
  <c r="M87" i="1"/>
  <c r="N87" i="1" s="1"/>
  <c r="O87" i="1" s="1"/>
  <c r="P87" i="1" s="1"/>
  <c r="M85" i="1"/>
  <c r="N85" i="1" s="1"/>
  <c r="O85" i="1" s="1"/>
  <c r="P85" i="1" s="1"/>
  <c r="K87" i="1"/>
  <c r="L87" i="1" s="1"/>
  <c r="K86" i="1"/>
  <c r="L86" i="1" s="1"/>
  <c r="Q86" i="1" s="1"/>
  <c r="S86" i="1" s="1"/>
  <c r="K85" i="1"/>
  <c r="L85" i="1" s="1"/>
  <c r="K91" i="5"/>
  <c r="L91" i="5" s="1"/>
  <c r="Q91" i="5" s="1"/>
  <c r="S91" i="5" s="1"/>
  <c r="T91" i="5" s="1"/>
  <c r="U91" i="5" s="1"/>
  <c r="K474" i="6"/>
  <c r="L474" i="6" s="1"/>
  <c r="K445" i="6"/>
  <c r="L445" i="6" s="1"/>
  <c r="K473" i="6"/>
  <c r="L473" i="6"/>
  <c r="K444" i="6"/>
  <c r="L444" i="6" s="1"/>
  <c r="Q444" i="6" s="1"/>
  <c r="S444" i="6" s="1"/>
  <c r="K458" i="6"/>
  <c r="L458" i="6" s="1"/>
  <c r="K479" i="6"/>
  <c r="L479" i="6"/>
  <c r="K478" i="6"/>
  <c r="L478" i="6" s="1"/>
  <c r="K214" i="6"/>
  <c r="L214" i="6" s="1"/>
  <c r="K386" i="6"/>
  <c r="L386" i="6" s="1"/>
  <c r="K225" i="6"/>
  <c r="L225" i="6" s="1"/>
  <c r="K224" i="6"/>
  <c r="L224" i="6" s="1"/>
  <c r="M92" i="1"/>
  <c r="N92" i="1" s="1"/>
  <c r="O92" i="1" s="1"/>
  <c r="P92" i="1" s="1"/>
  <c r="K213" i="6"/>
  <c r="L213" i="6" s="1"/>
  <c r="K212" i="6"/>
  <c r="L212" i="6" s="1"/>
  <c r="K211" i="6"/>
  <c r="L211" i="6" s="1"/>
  <c r="K210" i="6"/>
  <c r="L210" i="6" s="1"/>
  <c r="K209" i="6"/>
  <c r="L209" i="6"/>
  <c r="Q209" i="6" s="1"/>
  <c r="S209" i="6" s="1"/>
  <c r="K208" i="6"/>
  <c r="L208" i="6" s="1"/>
  <c r="K207" i="6"/>
  <c r="L207" i="6" s="1"/>
  <c r="K206" i="6"/>
  <c r="L206" i="6" s="1"/>
  <c r="K205" i="6"/>
  <c r="L205" i="6" s="1"/>
  <c r="Q205" i="6" s="1"/>
  <c r="S205" i="6" s="1"/>
  <c r="T205" i="6" s="1"/>
  <c r="K204" i="6"/>
  <c r="L204" i="6" s="1"/>
  <c r="K203" i="6"/>
  <c r="L203" i="6" s="1"/>
  <c r="K223" i="6"/>
  <c r="L223" i="6" s="1"/>
  <c r="K222" i="6"/>
  <c r="L222" i="6" s="1"/>
  <c r="K221" i="6"/>
  <c r="L221" i="6"/>
  <c r="K87" i="5"/>
  <c r="L87" i="5" s="1"/>
  <c r="K86" i="5"/>
  <c r="L86" i="5" s="1"/>
  <c r="K85" i="5"/>
  <c r="L85" i="5" s="1"/>
  <c r="K84" i="5"/>
  <c r="L84" i="5"/>
  <c r="K90" i="5"/>
  <c r="L90" i="5" s="1"/>
  <c r="K89" i="5"/>
  <c r="L89" i="5"/>
  <c r="K88" i="5"/>
  <c r="L88" i="5" s="1"/>
  <c r="Q88" i="5" s="1"/>
  <c r="M428" i="6"/>
  <c r="N428" i="6"/>
  <c r="O428" i="6" s="1"/>
  <c r="P428" i="6" s="1"/>
  <c r="M431" i="6"/>
  <c r="N431" i="6" s="1"/>
  <c r="O431" i="6" s="1"/>
  <c r="P431" i="6" s="1"/>
  <c r="Q431" i="6" s="1"/>
  <c r="S431" i="6" s="1"/>
  <c r="T431" i="6" s="1"/>
  <c r="U431" i="6" s="1"/>
  <c r="M430" i="6"/>
  <c r="N430" i="6"/>
  <c r="O430" i="6" s="1"/>
  <c r="P430" i="6" s="1"/>
  <c r="M429" i="6"/>
  <c r="N429" i="6" s="1"/>
  <c r="K472" i="6"/>
  <c r="L472" i="6"/>
  <c r="K471" i="6"/>
  <c r="L471" i="6" s="1"/>
  <c r="K432" i="6"/>
  <c r="L432" i="6" s="1"/>
  <c r="K431" i="6"/>
  <c r="L431" i="6" s="1"/>
  <c r="K430" i="6"/>
  <c r="L430" i="6" s="1"/>
  <c r="Q430" i="6" s="1"/>
  <c r="S430" i="6" s="1"/>
  <c r="T430" i="6" s="1"/>
  <c r="U430" i="6" s="1"/>
  <c r="K429" i="6"/>
  <c r="L429" i="6" s="1"/>
  <c r="K428" i="6"/>
  <c r="L428" i="6"/>
  <c r="K443" i="6"/>
  <c r="L443" i="6" s="1"/>
  <c r="Q443" i="6" s="1"/>
  <c r="S443" i="6" s="1"/>
  <c r="K442" i="6"/>
  <c r="L442" i="6" s="1"/>
  <c r="K441" i="6"/>
  <c r="L441" i="6"/>
  <c r="K440" i="6"/>
  <c r="L440" i="6" s="1"/>
  <c r="K439" i="6"/>
  <c r="L439" i="6" s="1"/>
  <c r="K438" i="6"/>
  <c r="L438" i="6" s="1"/>
  <c r="K477" i="6"/>
  <c r="L477" i="6" s="1"/>
  <c r="K457" i="6"/>
  <c r="L457" i="6" s="1"/>
  <c r="K476" i="6"/>
  <c r="L476" i="6"/>
  <c r="N84" i="1"/>
  <c r="O84" i="1" s="1"/>
  <c r="P84" i="1" s="1"/>
  <c r="K84" i="1"/>
  <c r="L84" i="1" s="1"/>
  <c r="N83" i="1"/>
  <c r="O83" i="1" s="1"/>
  <c r="P83" i="1" s="1"/>
  <c r="K83" i="1"/>
  <c r="L83" i="1" s="1"/>
  <c r="N82" i="1"/>
  <c r="O82" i="1" s="1"/>
  <c r="P82" i="1" s="1"/>
  <c r="K82" i="1"/>
  <c r="L82" i="1" s="1"/>
  <c r="N81" i="1"/>
  <c r="O81" i="1" s="1"/>
  <c r="P81" i="1" s="1"/>
  <c r="K81" i="1"/>
  <c r="L81" i="1" s="1"/>
  <c r="N80" i="1"/>
  <c r="O80" i="1" s="1"/>
  <c r="P80" i="1" s="1"/>
  <c r="K80" i="1"/>
  <c r="L80" i="1" s="1"/>
  <c r="N79" i="1"/>
  <c r="O79" i="1" s="1"/>
  <c r="P79" i="1" s="1"/>
  <c r="K79" i="1"/>
  <c r="L79" i="1" s="1"/>
  <c r="N78" i="1"/>
  <c r="O78" i="1" s="1"/>
  <c r="P78" i="1" s="1"/>
  <c r="K78" i="1"/>
  <c r="L78" i="1" s="1"/>
  <c r="N77" i="1"/>
  <c r="O77" i="1" s="1"/>
  <c r="P77" i="1" s="1"/>
  <c r="K77" i="1"/>
  <c r="L77" i="1" s="1"/>
  <c r="N76" i="1"/>
  <c r="O76" i="1" s="1"/>
  <c r="P76" i="1" s="1"/>
  <c r="K76" i="1"/>
  <c r="L76" i="1" s="1"/>
  <c r="N75" i="1"/>
  <c r="O75" i="1" s="1"/>
  <c r="P75" i="1" s="1"/>
  <c r="K75" i="1"/>
  <c r="L75" i="1" s="1"/>
  <c r="N74" i="1"/>
  <c r="O74" i="1" s="1"/>
  <c r="P74" i="1" s="1"/>
  <c r="K74" i="1"/>
  <c r="L74" i="1" s="1"/>
  <c r="N73" i="1"/>
  <c r="O73" i="1" s="1"/>
  <c r="P73" i="1" s="1"/>
  <c r="K73" i="1"/>
  <c r="L73" i="1" s="1"/>
  <c r="K263" i="1"/>
  <c r="L263" i="1" s="1"/>
  <c r="N72" i="1"/>
  <c r="O72" i="1" s="1"/>
  <c r="P72" i="1" s="1"/>
  <c r="K72" i="1"/>
  <c r="L72" i="1" s="1"/>
  <c r="K193" i="1"/>
  <c r="L193" i="1" s="1"/>
  <c r="K192" i="1"/>
  <c r="L192" i="1" s="1"/>
  <c r="N93" i="1"/>
  <c r="O93" i="1" s="1"/>
  <c r="P93" i="1" s="1"/>
  <c r="K93" i="1"/>
  <c r="L93" i="1" s="1"/>
  <c r="K92" i="1"/>
  <c r="L92" i="1" s="1"/>
  <c r="K325" i="1"/>
  <c r="L325" i="1" s="1"/>
  <c r="Q325" i="1" s="1"/>
  <c r="K327" i="1"/>
  <c r="L327" i="1" s="1"/>
  <c r="Q327" i="1" s="1"/>
  <c r="K329" i="1"/>
  <c r="L329" i="1" s="1"/>
  <c r="K332" i="1"/>
  <c r="L332" i="1" s="1"/>
  <c r="K336" i="1"/>
  <c r="L336" i="1" s="1"/>
  <c r="K289" i="1"/>
  <c r="L289" i="1" s="1"/>
  <c r="Q289" i="1" s="1"/>
  <c r="K291" i="1"/>
  <c r="L291" i="1" s="1"/>
  <c r="Q291" i="1" s="1"/>
  <c r="K293" i="1"/>
  <c r="L293" i="1" s="1"/>
  <c r="Q293" i="1" s="1"/>
  <c r="U293" i="1" s="1"/>
  <c r="K296" i="1"/>
  <c r="L296" i="1" s="1"/>
  <c r="Q296" i="1" s="1"/>
  <c r="U296" i="1" s="1"/>
  <c r="K302" i="1"/>
  <c r="L302" i="1" s="1"/>
  <c r="Q302" i="1" s="1"/>
  <c r="K303" i="1"/>
  <c r="L303" i="1" s="1"/>
  <c r="Q303" i="1" s="1"/>
  <c r="U303" i="1" s="1"/>
  <c r="K312" i="1"/>
  <c r="L312" i="1" s="1"/>
  <c r="K315" i="1"/>
  <c r="L315" i="1" s="1"/>
  <c r="K240" i="1"/>
  <c r="L240" i="1" s="1"/>
  <c r="Q240" i="1" s="1"/>
  <c r="K242" i="1"/>
  <c r="L242" i="1" s="1"/>
  <c r="Q242" i="1" s="1"/>
  <c r="K244" i="1"/>
  <c r="L244" i="1" s="1"/>
  <c r="Q244" i="1" s="1"/>
  <c r="K256" i="1"/>
  <c r="L256" i="1" s="1"/>
  <c r="Q256" i="1" s="1"/>
  <c r="K262" i="1"/>
  <c r="L262" i="1" s="1"/>
  <c r="N68" i="1"/>
  <c r="O68" i="1" s="1"/>
  <c r="P68" i="1" s="1"/>
  <c r="N66" i="1"/>
  <c r="O66" i="1" s="1"/>
  <c r="P66" i="1" s="1"/>
  <c r="N65" i="1"/>
  <c r="O65" i="1" s="1"/>
  <c r="P65" i="1" s="1"/>
  <c r="N24" i="1"/>
  <c r="O24" i="1" s="1"/>
  <c r="P24" i="1" s="1"/>
  <c r="N18" i="1"/>
  <c r="O18" i="1" s="1"/>
  <c r="P18" i="1" s="1"/>
  <c r="K14" i="1"/>
  <c r="J15" i="1" s="1"/>
  <c r="K16" i="1"/>
  <c r="J17" i="1" s="1"/>
  <c r="K18" i="1"/>
  <c r="L18" i="1" s="1"/>
  <c r="Q18" i="1" s="1"/>
  <c r="K21" i="1"/>
  <c r="J22" i="1" s="1"/>
  <c r="O22" i="1" s="1"/>
  <c r="P22" i="1" s="1"/>
  <c r="K24" i="1"/>
  <c r="L24" i="1" s="1"/>
  <c r="Q24" i="1" s="1"/>
  <c r="K28" i="1"/>
  <c r="J29" i="1" s="1"/>
  <c r="K32" i="1"/>
  <c r="L32" i="1" s="1"/>
  <c r="Q32" i="1" s="1"/>
  <c r="K40" i="1"/>
  <c r="L40" i="1" s="1"/>
  <c r="Q40" i="1" s="1"/>
  <c r="K42" i="1"/>
  <c r="L42" i="1" s="1"/>
  <c r="Q42" i="1" s="1"/>
  <c r="K56" i="1"/>
  <c r="L56" i="1" s="1"/>
  <c r="K58" i="1"/>
  <c r="L58" i="1" s="1"/>
  <c r="K62" i="1"/>
  <c r="L62" i="1" s="1"/>
  <c r="K65" i="1"/>
  <c r="L65" i="1" s="1"/>
  <c r="Q65" i="1" s="1"/>
  <c r="K66" i="1"/>
  <c r="L66" i="1" s="1"/>
  <c r="Q66" i="1" s="1"/>
  <c r="K68" i="1"/>
  <c r="L68" i="1" s="1"/>
  <c r="K397" i="6"/>
  <c r="L397" i="6" s="1"/>
  <c r="Q397" i="6" s="1"/>
  <c r="U397" i="6" s="1"/>
  <c r="K398" i="6"/>
  <c r="L398" i="6" s="1"/>
  <c r="Q398" i="6" s="1"/>
  <c r="K408" i="6"/>
  <c r="L408" i="6" s="1"/>
  <c r="Q408" i="6" s="1"/>
  <c r="S408" i="6" s="1"/>
  <c r="K410" i="6"/>
  <c r="L410" i="6" s="1"/>
  <c r="K412" i="6"/>
  <c r="L412" i="6" s="1"/>
  <c r="Q412" i="6" s="1"/>
  <c r="S412" i="6" s="1"/>
  <c r="K414" i="6"/>
  <c r="L414" i="6"/>
  <c r="K416" i="6"/>
  <c r="L416" i="6" s="1"/>
  <c r="Q416" i="6" s="1"/>
  <c r="S416" i="6" s="1"/>
  <c r="K419" i="6"/>
  <c r="L419" i="6" s="1"/>
  <c r="K470" i="6"/>
  <c r="L470" i="6" s="1"/>
  <c r="Q242" i="6"/>
  <c r="U242" i="6" s="1"/>
  <c r="K17" i="6"/>
  <c r="L17" i="6"/>
  <c r="Q17" i="6" s="1"/>
  <c r="K18" i="6"/>
  <c r="L18" i="6" s="1"/>
  <c r="Q18" i="6" s="1"/>
  <c r="K19" i="6"/>
  <c r="L19" i="6" s="1"/>
  <c r="Q19" i="6" s="1"/>
  <c r="K20" i="6"/>
  <c r="L20" i="6" s="1"/>
  <c r="Q20" i="6" s="1"/>
  <c r="K21" i="6"/>
  <c r="L21" i="6" s="1"/>
  <c r="Q21" i="6" s="1"/>
  <c r="U21" i="6" s="1"/>
  <c r="K22" i="6"/>
  <c r="L22" i="6" s="1"/>
  <c r="K37" i="6"/>
  <c r="L37" i="6" s="1"/>
  <c r="Q37" i="6" s="1"/>
  <c r="K38" i="6"/>
  <c r="L38" i="6"/>
  <c r="K39" i="6"/>
  <c r="L39" i="6"/>
  <c r="Q39" i="6" s="1"/>
  <c r="K57" i="6"/>
  <c r="L57" i="6" s="1"/>
  <c r="K58" i="6"/>
  <c r="L58" i="6" s="1"/>
  <c r="Q58" i="6" s="1"/>
  <c r="K76" i="6"/>
  <c r="L76" i="6" s="1"/>
  <c r="K77" i="6"/>
  <c r="L77" i="6" s="1"/>
  <c r="Q77" i="6" s="1"/>
  <c r="U77" i="6" s="1"/>
  <c r="K78" i="6"/>
  <c r="L78" i="6" s="1"/>
  <c r="K79" i="6"/>
  <c r="L79" i="6" s="1"/>
  <c r="Q79" i="6" s="1"/>
  <c r="K80" i="6"/>
  <c r="L80" i="6"/>
  <c r="K103" i="6"/>
  <c r="L103" i="6" s="1"/>
  <c r="K104" i="6"/>
  <c r="L104" i="6"/>
  <c r="Q104" i="6" s="1"/>
  <c r="K105" i="6"/>
  <c r="L105" i="6" s="1"/>
  <c r="Q105" i="6" s="1"/>
  <c r="K155" i="6"/>
  <c r="L155" i="6" s="1"/>
  <c r="K181" i="6"/>
  <c r="L181" i="6" s="1"/>
  <c r="Q181" i="6" s="1"/>
  <c r="K81" i="5"/>
  <c r="L81" i="5" s="1"/>
  <c r="Q81" i="5" s="1"/>
  <c r="S81" i="5" s="1"/>
  <c r="K80" i="5"/>
  <c r="L80" i="5" s="1"/>
  <c r="Q80" i="5" s="1"/>
  <c r="K79" i="5"/>
  <c r="L79" i="5" s="1"/>
  <c r="Q79" i="5" s="1"/>
  <c r="S79" i="5" s="1"/>
  <c r="T79" i="5" s="1"/>
  <c r="K78" i="5"/>
  <c r="L78" i="5" s="1"/>
  <c r="K75" i="5"/>
  <c r="L75" i="5" s="1"/>
  <c r="Q75" i="5" s="1"/>
  <c r="K74" i="5"/>
  <c r="L74" i="5" s="1"/>
  <c r="Q74" i="5" s="1"/>
  <c r="S74" i="5" s="1"/>
  <c r="T74" i="5" s="1"/>
  <c r="K73" i="5"/>
  <c r="L73" i="5" s="1"/>
  <c r="Q73" i="5" s="1"/>
  <c r="S73" i="5" s="1"/>
  <c r="K69" i="5"/>
  <c r="L69" i="5" s="1"/>
  <c r="K68" i="5"/>
  <c r="L68" i="5" s="1"/>
  <c r="K60" i="5"/>
  <c r="L60" i="5" s="1"/>
  <c r="Q60" i="5" s="1"/>
  <c r="K57" i="5"/>
  <c r="L57" i="5" s="1"/>
  <c r="Q57" i="5" s="1"/>
  <c r="K54" i="5"/>
  <c r="L54" i="5" s="1"/>
  <c r="Q54" i="5" s="1"/>
  <c r="K49" i="5"/>
  <c r="L49" i="5"/>
  <c r="Q49" i="5" s="1"/>
  <c r="K46" i="5"/>
  <c r="L46" i="5" s="1"/>
  <c r="Q46" i="5" s="1"/>
  <c r="K45" i="5"/>
  <c r="L45" i="5" s="1"/>
  <c r="Q45" i="5" s="1"/>
  <c r="K44" i="5"/>
  <c r="L44" i="5" s="1"/>
  <c r="Q44" i="5" s="1"/>
  <c r="K37" i="5"/>
  <c r="L37" i="5" s="1"/>
  <c r="Q37" i="5" s="1"/>
  <c r="K36" i="5"/>
  <c r="L36" i="5" s="1"/>
  <c r="Q36" i="5" s="1"/>
  <c r="K27" i="5"/>
  <c r="L27" i="5"/>
  <c r="Q27" i="5" s="1"/>
  <c r="K103" i="4"/>
  <c r="L103" i="4" s="1"/>
  <c r="K68" i="4"/>
  <c r="L68" i="4" s="1"/>
  <c r="Q68" i="4" s="1"/>
  <c r="U68" i="4" s="1"/>
  <c r="K75" i="4"/>
  <c r="L75" i="4" s="1"/>
  <c r="Q75" i="4" s="1"/>
  <c r="S75" i="4" s="1"/>
  <c r="T75" i="4" s="1"/>
  <c r="M75" i="4"/>
  <c r="N75" i="4"/>
  <c r="O75" i="4" s="1"/>
  <c r="P75" i="4" s="1"/>
  <c r="K50" i="4"/>
  <c r="L50" i="4" s="1"/>
  <c r="Q50" i="4" s="1"/>
  <c r="K46" i="4"/>
  <c r="L46" i="4"/>
  <c r="Q46" i="4" s="1"/>
  <c r="D36" i="5"/>
  <c r="M36" i="5"/>
  <c r="D37" i="5"/>
  <c r="D45" i="5"/>
  <c r="M45" i="5"/>
  <c r="N45" i="5"/>
  <c r="O45" i="5" s="1"/>
  <c r="P45" i="5" s="1"/>
  <c r="D49" i="5"/>
  <c r="M49" i="5"/>
  <c r="N49" i="5" s="1"/>
  <c r="O49" i="5" s="1"/>
  <c r="P49" i="5" s="1"/>
  <c r="D397" i="6"/>
  <c r="D410" i="6"/>
  <c r="M410" i="6"/>
  <c r="N410" i="6"/>
  <c r="O410" i="6" s="1"/>
  <c r="P410" i="6" s="1"/>
  <c r="Q410" i="6" s="1"/>
  <c r="S410" i="6" s="1"/>
  <c r="M242" i="6"/>
  <c r="M243" i="6"/>
  <c r="N243" i="6" s="1"/>
  <c r="O243" i="6" s="1"/>
  <c r="P243" i="6" s="1"/>
  <c r="M329" i="1"/>
  <c r="N329" i="1" s="1"/>
  <c r="O329" i="1" s="1"/>
  <c r="P329" i="1" s="1"/>
  <c r="K119" i="1"/>
  <c r="L119" i="1" s="1"/>
  <c r="Q119" i="1" s="1"/>
  <c r="V107" i="17"/>
  <c r="AG105" i="17"/>
  <c r="AC105" i="17"/>
  <c r="R105" i="17"/>
  <c r="O105" i="17"/>
  <c r="P105" i="17" s="1"/>
  <c r="J105" i="17"/>
  <c r="AE105" i="17" s="1"/>
  <c r="AG104" i="17"/>
  <c r="AC104" i="17"/>
  <c r="R104" i="17"/>
  <c r="O104" i="17"/>
  <c r="P104" i="17" s="1"/>
  <c r="J104" i="17"/>
  <c r="AE104" i="17" s="1"/>
  <c r="AG103" i="17"/>
  <c r="AC103" i="17"/>
  <c r="R103" i="17"/>
  <c r="O103" i="17"/>
  <c r="P103" i="17" s="1"/>
  <c r="J103" i="17"/>
  <c r="AE103" i="17" s="1"/>
  <c r="AG102" i="17"/>
  <c r="AC102" i="17"/>
  <c r="R102" i="17"/>
  <c r="O102" i="17"/>
  <c r="P102" i="17" s="1"/>
  <c r="J102" i="17"/>
  <c r="AE102" i="17" s="1"/>
  <c r="AG101" i="17"/>
  <c r="AC101" i="17"/>
  <c r="R101" i="17"/>
  <c r="O101" i="17"/>
  <c r="P101" i="17" s="1"/>
  <c r="J101" i="17"/>
  <c r="AE101" i="17" s="1"/>
  <c r="AG100" i="17"/>
  <c r="AC100" i="17"/>
  <c r="R100" i="17"/>
  <c r="O100" i="17"/>
  <c r="P100" i="17" s="1"/>
  <c r="J100" i="17"/>
  <c r="AE100" i="17" s="1"/>
  <c r="AG99" i="17"/>
  <c r="AC99" i="17"/>
  <c r="R99" i="17"/>
  <c r="O99" i="17"/>
  <c r="P99" i="17" s="1"/>
  <c r="J99" i="17"/>
  <c r="AE99" i="17" s="1"/>
  <c r="AG98" i="17"/>
  <c r="AC98" i="17"/>
  <c r="R98" i="17"/>
  <c r="O98" i="17"/>
  <c r="P98" i="17" s="1"/>
  <c r="J98" i="17"/>
  <c r="AE98" i="17" s="1"/>
  <c r="AG97" i="17"/>
  <c r="AC97" i="17"/>
  <c r="R97" i="17"/>
  <c r="O97" i="17"/>
  <c r="P97" i="17" s="1"/>
  <c r="J97" i="17"/>
  <c r="AE97" i="17" s="1"/>
  <c r="AG96" i="17"/>
  <c r="AC96" i="17"/>
  <c r="R96" i="17"/>
  <c r="O96" i="17"/>
  <c r="P96" i="17" s="1"/>
  <c r="J96" i="17"/>
  <c r="AE96" i="17" s="1"/>
  <c r="AG95" i="17"/>
  <c r="AC95" i="17"/>
  <c r="R95" i="17"/>
  <c r="M95" i="17"/>
  <c r="O95" i="17" s="1"/>
  <c r="P95" i="17" s="1"/>
  <c r="J95" i="17"/>
  <c r="AE95" i="17" s="1"/>
  <c r="B95" i="17"/>
  <c r="AG94" i="17"/>
  <c r="AC94" i="17"/>
  <c r="R94" i="17"/>
  <c r="O94" i="17"/>
  <c r="P94" i="17" s="1"/>
  <c r="J94" i="17"/>
  <c r="AE94" i="17" s="1"/>
  <c r="AG93" i="17"/>
  <c r="AC93" i="17"/>
  <c r="R93" i="17"/>
  <c r="O93" i="17"/>
  <c r="P93" i="17" s="1"/>
  <c r="J93" i="17"/>
  <c r="AE93" i="17" s="1"/>
  <c r="AG92" i="17"/>
  <c r="AC92" i="17"/>
  <c r="R92" i="17"/>
  <c r="O92" i="17"/>
  <c r="P92" i="17" s="1"/>
  <c r="J92" i="17"/>
  <c r="AE92" i="17" s="1"/>
  <c r="AG91" i="17"/>
  <c r="AC91" i="17"/>
  <c r="R91" i="17"/>
  <c r="O91" i="17"/>
  <c r="P91" i="17" s="1"/>
  <c r="J91" i="17"/>
  <c r="AE91" i="17" s="1"/>
  <c r="AG90" i="17"/>
  <c r="AC90" i="17"/>
  <c r="R90" i="17"/>
  <c r="O90" i="17"/>
  <c r="P90" i="17" s="1"/>
  <c r="J90" i="17"/>
  <c r="AE90" i="17" s="1"/>
  <c r="AG89" i="17"/>
  <c r="AC89" i="17"/>
  <c r="R89" i="17"/>
  <c r="O89" i="17"/>
  <c r="P89" i="17" s="1"/>
  <c r="J89" i="17"/>
  <c r="AE89" i="17" s="1"/>
  <c r="AG88" i="17"/>
  <c r="AC88" i="17"/>
  <c r="R88" i="17"/>
  <c r="M88" i="17"/>
  <c r="O88" i="17" s="1"/>
  <c r="P88" i="17" s="1"/>
  <c r="J88" i="17"/>
  <c r="AE88" i="17" s="1"/>
  <c r="AG87" i="17"/>
  <c r="AC87" i="17"/>
  <c r="R87" i="17"/>
  <c r="M87" i="17"/>
  <c r="O87" i="17" s="1"/>
  <c r="P87" i="17" s="1"/>
  <c r="J87" i="17"/>
  <c r="AE87" i="17" s="1"/>
  <c r="AG86" i="17"/>
  <c r="AC86" i="17"/>
  <c r="R86" i="17"/>
  <c r="O86" i="17"/>
  <c r="P86" i="17" s="1"/>
  <c r="J86" i="17"/>
  <c r="AE86" i="17" s="1"/>
  <c r="AG85" i="17"/>
  <c r="AC85" i="17"/>
  <c r="R85" i="17"/>
  <c r="O85" i="17"/>
  <c r="P85" i="17" s="1"/>
  <c r="J85" i="17"/>
  <c r="AE85" i="17" s="1"/>
  <c r="AG84" i="17"/>
  <c r="AC84" i="17"/>
  <c r="R84" i="17"/>
  <c r="M84" i="17"/>
  <c r="J84" i="17"/>
  <c r="AE84" i="17" s="1"/>
  <c r="Y78" i="17"/>
  <c r="V78" i="17"/>
  <c r="AG76" i="17"/>
  <c r="AC76" i="17"/>
  <c r="R76" i="17"/>
  <c r="O76" i="17"/>
  <c r="P76" i="17" s="1"/>
  <c r="J76" i="17"/>
  <c r="AE76" i="17" s="1"/>
  <c r="AG75" i="17"/>
  <c r="AC75" i="17"/>
  <c r="R75" i="17"/>
  <c r="O75" i="17"/>
  <c r="P75" i="17" s="1"/>
  <c r="J75" i="17"/>
  <c r="AE75" i="17"/>
  <c r="AG74" i="17"/>
  <c r="AC74" i="17"/>
  <c r="R74" i="17"/>
  <c r="O74" i="17"/>
  <c r="P74" i="17" s="1"/>
  <c r="J74" i="17"/>
  <c r="AE74" i="17" s="1"/>
  <c r="AG73" i="17"/>
  <c r="AC73" i="17"/>
  <c r="R73" i="17"/>
  <c r="O73" i="17"/>
  <c r="P73" i="17" s="1"/>
  <c r="J73" i="17"/>
  <c r="AE73" i="17" s="1"/>
  <c r="AG72" i="17"/>
  <c r="AC72" i="17"/>
  <c r="R72" i="17"/>
  <c r="O72" i="17"/>
  <c r="P72" i="17" s="1"/>
  <c r="J72" i="17"/>
  <c r="AE72" i="17" s="1"/>
  <c r="AG71" i="17"/>
  <c r="AC71" i="17"/>
  <c r="R71" i="17"/>
  <c r="O71" i="17"/>
  <c r="P71" i="17" s="1"/>
  <c r="J71" i="17"/>
  <c r="AE71" i="17" s="1"/>
  <c r="AG70" i="17"/>
  <c r="AC70" i="17"/>
  <c r="R70" i="17"/>
  <c r="O70" i="17"/>
  <c r="M83" i="4" s="1"/>
  <c r="J70" i="17"/>
  <c r="AE70" i="17" s="1"/>
  <c r="AG69" i="17"/>
  <c r="AC69" i="17"/>
  <c r="R69" i="17"/>
  <c r="P69" i="17"/>
  <c r="O69" i="17"/>
  <c r="J69" i="17"/>
  <c r="AE69" i="17" s="1"/>
  <c r="AG68" i="17"/>
  <c r="AC68" i="17"/>
  <c r="R68" i="17"/>
  <c r="O68" i="17"/>
  <c r="P68" i="17" s="1"/>
  <c r="J68" i="17"/>
  <c r="AE68" i="17"/>
  <c r="AG67" i="17"/>
  <c r="AC67" i="17"/>
  <c r="R67" i="17"/>
  <c r="O67" i="17"/>
  <c r="M79" i="4" s="1"/>
  <c r="J67" i="17"/>
  <c r="AE67" i="17"/>
  <c r="AG66" i="17"/>
  <c r="AC66" i="17"/>
  <c r="R66" i="17"/>
  <c r="O66" i="17"/>
  <c r="P66" i="17" s="1"/>
  <c r="J66" i="17"/>
  <c r="AE66" i="17" s="1"/>
  <c r="AG65" i="17"/>
  <c r="AC65" i="17"/>
  <c r="R65" i="17"/>
  <c r="O65" i="17"/>
  <c r="P65" i="17" s="1"/>
  <c r="J65" i="17"/>
  <c r="AE65" i="17" s="1"/>
  <c r="AG64" i="17"/>
  <c r="AC64" i="17"/>
  <c r="R64" i="17"/>
  <c r="O64" i="17"/>
  <c r="P64" i="17" s="1"/>
  <c r="J64" i="17"/>
  <c r="AE64" i="17"/>
  <c r="AG63" i="17"/>
  <c r="AC63" i="17"/>
  <c r="R63" i="17"/>
  <c r="O63" i="17"/>
  <c r="P63" i="17" s="1"/>
  <c r="J63" i="17"/>
  <c r="AE63" i="17" s="1"/>
  <c r="AG62" i="17"/>
  <c r="AE62" i="17"/>
  <c r="AC62" i="17"/>
  <c r="R62" i="17"/>
  <c r="O62" i="17"/>
  <c r="P62" i="17"/>
  <c r="J62" i="17"/>
  <c r="AG61" i="17"/>
  <c r="AE61" i="17"/>
  <c r="AC61" i="17"/>
  <c r="R61" i="17"/>
  <c r="M61" i="17"/>
  <c r="O61" i="17"/>
  <c r="P61" i="17"/>
  <c r="J61" i="17"/>
  <c r="AG60" i="17"/>
  <c r="AC60" i="17"/>
  <c r="R60" i="17"/>
  <c r="O60" i="17"/>
  <c r="P60" i="17" s="1"/>
  <c r="J60" i="17"/>
  <c r="AE60" i="17"/>
  <c r="AG59" i="17"/>
  <c r="AC59" i="17"/>
  <c r="R59" i="17"/>
  <c r="M59" i="17"/>
  <c r="O59" i="17" s="1"/>
  <c r="P59" i="17" s="1"/>
  <c r="J59" i="17"/>
  <c r="AE59" i="17" s="1"/>
  <c r="AG58" i="17"/>
  <c r="AC58" i="17"/>
  <c r="R58" i="17"/>
  <c r="M58" i="17"/>
  <c r="O58" i="17" s="1"/>
  <c r="P58" i="17" s="1"/>
  <c r="J58" i="17"/>
  <c r="AE58" i="17" s="1"/>
  <c r="AG57" i="17"/>
  <c r="AC57" i="17"/>
  <c r="R57" i="17"/>
  <c r="M57" i="17"/>
  <c r="O57" i="17" s="1"/>
  <c r="P57" i="17" s="1"/>
  <c r="J57" i="17"/>
  <c r="AE57" i="17" s="1"/>
  <c r="AG56" i="17"/>
  <c r="AC56" i="17"/>
  <c r="R56" i="17"/>
  <c r="M56" i="17"/>
  <c r="O56" i="17" s="1"/>
  <c r="P56" i="17" s="1"/>
  <c r="J56" i="17"/>
  <c r="AE56" i="17" s="1"/>
  <c r="AG55" i="17"/>
  <c r="AC55" i="17"/>
  <c r="R55" i="17"/>
  <c r="M55" i="17"/>
  <c r="O55" i="17" s="1"/>
  <c r="J55" i="17"/>
  <c r="AE55" i="17" s="1"/>
  <c r="AG54" i="17"/>
  <c r="AC54" i="17"/>
  <c r="R54" i="17"/>
  <c r="M54" i="17"/>
  <c r="J54" i="17"/>
  <c r="AE54" i="17"/>
  <c r="AG53" i="17"/>
  <c r="AC53" i="17"/>
  <c r="R53" i="17"/>
  <c r="O53" i="17"/>
  <c r="P53" i="17" s="1"/>
  <c r="J53" i="17"/>
  <c r="AE53" i="17" s="1"/>
  <c r="AG52" i="17"/>
  <c r="AC52" i="17"/>
  <c r="R52" i="17"/>
  <c r="O52" i="17"/>
  <c r="P52" i="17" s="1"/>
  <c r="J52" i="17"/>
  <c r="AE52" i="17" s="1"/>
  <c r="AG51" i="17"/>
  <c r="AC51" i="17"/>
  <c r="R51" i="17"/>
  <c r="O51" i="17"/>
  <c r="M57" i="4" s="1"/>
  <c r="J51" i="17"/>
  <c r="AE51" i="17" s="1"/>
  <c r="V44" i="17"/>
  <c r="AG42" i="17"/>
  <c r="AC42" i="17"/>
  <c r="R42" i="17"/>
  <c r="M42" i="17"/>
  <c r="J42" i="17"/>
  <c r="AE42" i="17" s="1"/>
  <c r="AG41" i="17"/>
  <c r="AC41" i="17"/>
  <c r="R41" i="17"/>
  <c r="M41" i="17"/>
  <c r="J41" i="17"/>
  <c r="AE41" i="17" s="1"/>
  <c r="AG40" i="17"/>
  <c r="AC40" i="17"/>
  <c r="R40" i="17"/>
  <c r="M40" i="17"/>
  <c r="J40" i="17"/>
  <c r="AE40" i="17" s="1"/>
  <c r="AG32" i="17"/>
  <c r="AC32" i="17"/>
  <c r="R32" i="17"/>
  <c r="M32" i="17"/>
  <c r="O32" i="17"/>
  <c r="P32" i="17"/>
  <c r="J32" i="17"/>
  <c r="AE32" i="17" s="1"/>
  <c r="AG31" i="17"/>
  <c r="AC31" i="17"/>
  <c r="R31" i="17"/>
  <c r="M31" i="17"/>
  <c r="O31" i="17" s="1"/>
  <c r="P31" i="17" s="1"/>
  <c r="J31" i="17"/>
  <c r="AE31" i="17" s="1"/>
  <c r="AG30" i="17"/>
  <c r="AC30" i="17"/>
  <c r="R30" i="17"/>
  <c r="O30" i="17"/>
  <c r="P30" i="17"/>
  <c r="J30" i="17"/>
  <c r="AE30" i="17" s="1"/>
  <c r="AG29" i="17"/>
  <c r="AC29" i="17"/>
  <c r="R29" i="17"/>
  <c r="O29" i="17"/>
  <c r="P29" i="17" s="1"/>
  <c r="J29" i="17"/>
  <c r="AE29" i="17" s="1"/>
  <c r="AG28" i="17"/>
  <c r="AC28" i="17"/>
  <c r="R28" i="17"/>
  <c r="O28" i="17"/>
  <c r="P28" i="17" s="1"/>
  <c r="J28" i="17"/>
  <c r="AE28" i="17" s="1"/>
  <c r="AG27" i="17"/>
  <c r="AC27" i="17"/>
  <c r="R27" i="17"/>
  <c r="M27" i="17"/>
  <c r="O27" i="17" s="1"/>
  <c r="P27" i="17" s="1"/>
  <c r="J27" i="17"/>
  <c r="AE27" i="17"/>
  <c r="AG26" i="17"/>
  <c r="AE26" i="17"/>
  <c r="AC26" i="17"/>
  <c r="R26" i="17"/>
  <c r="M26" i="17"/>
  <c r="O26" i="17"/>
  <c r="J26" i="17"/>
  <c r="AG25" i="17"/>
  <c r="AC25" i="17"/>
  <c r="R25" i="17"/>
  <c r="M25" i="17"/>
  <c r="J25" i="17"/>
  <c r="AE25" i="17" s="1"/>
  <c r="AG24" i="17"/>
  <c r="AC24" i="17"/>
  <c r="R24" i="17"/>
  <c r="O24" i="17"/>
  <c r="P24" i="17" s="1"/>
  <c r="J24" i="17"/>
  <c r="AE24" i="17" s="1"/>
  <c r="AG23" i="17"/>
  <c r="AC23" i="17"/>
  <c r="R23" i="17"/>
  <c r="O23" i="17"/>
  <c r="J23" i="17"/>
  <c r="AE23" i="17" s="1"/>
  <c r="V17" i="17"/>
  <c r="V34" i="17"/>
  <c r="AG15" i="17"/>
  <c r="AC15" i="17"/>
  <c r="R15" i="17"/>
  <c r="O15" i="17"/>
  <c r="P15" i="17" s="1"/>
  <c r="J15" i="17"/>
  <c r="AE15" i="17" s="1"/>
  <c r="AG14" i="17"/>
  <c r="AC14" i="17"/>
  <c r="R14" i="17"/>
  <c r="O14" i="17"/>
  <c r="P14" i="17" s="1"/>
  <c r="M14" i="17"/>
  <c r="J14" i="17"/>
  <c r="AE14" i="17" s="1"/>
  <c r="AG13" i="17"/>
  <c r="AC13" i="17"/>
  <c r="R13" i="17"/>
  <c r="M13" i="17"/>
  <c r="O13" i="17" s="1"/>
  <c r="P13" i="17" s="1"/>
  <c r="J13" i="17"/>
  <c r="AE13" i="17" s="1"/>
  <c r="AG12" i="17"/>
  <c r="AC12" i="17"/>
  <c r="R12" i="17"/>
  <c r="M12" i="17"/>
  <c r="M17" i="17" s="1"/>
  <c r="J12" i="17"/>
  <c r="AE12" i="17" s="1"/>
  <c r="M8" i="17"/>
  <c r="O5" i="17"/>
  <c r="O4" i="17"/>
  <c r="AF51" i="17" s="1"/>
  <c r="O3" i="17"/>
  <c r="O2" i="17"/>
  <c r="AD1" i="17"/>
  <c r="W11" i="17" s="1"/>
  <c r="Z11" i="17" s="1"/>
  <c r="W173" i="14"/>
  <c r="AH172" i="14"/>
  <c r="AG172" i="14"/>
  <c r="AE172" i="14"/>
  <c r="AD172" i="14"/>
  <c r="S172" i="14"/>
  <c r="N172" i="14"/>
  <c r="N173" i="14"/>
  <c r="K172" i="14"/>
  <c r="AF172" i="14" s="1"/>
  <c r="AH171" i="14"/>
  <c r="AG171" i="14"/>
  <c r="AE171" i="14"/>
  <c r="AD171" i="14"/>
  <c r="S171" i="14"/>
  <c r="P171" i="14"/>
  <c r="M345" i="1" s="1"/>
  <c r="K171" i="14"/>
  <c r="AF171" i="14" s="1"/>
  <c r="AH170" i="14"/>
  <c r="AG170" i="14"/>
  <c r="AE170" i="14"/>
  <c r="AD170" i="14"/>
  <c r="S170" i="14"/>
  <c r="S173" i="14" s="1"/>
  <c r="P170" i="14"/>
  <c r="Q170" i="14" s="1"/>
  <c r="K170" i="14"/>
  <c r="AF170" i="14" s="1"/>
  <c r="W167" i="14"/>
  <c r="AH165" i="14"/>
  <c r="AG165" i="14"/>
  <c r="AE165" i="14"/>
  <c r="AD165" i="14"/>
  <c r="S165" i="14"/>
  <c r="P165" i="14"/>
  <c r="Q165" i="14"/>
  <c r="K165" i="14"/>
  <c r="AF165" i="14" s="1"/>
  <c r="AH164" i="14"/>
  <c r="AG164" i="14"/>
  <c r="AE164" i="14"/>
  <c r="AD164" i="14"/>
  <c r="S164" i="14"/>
  <c r="P164" i="14"/>
  <c r="Q164" i="14" s="1"/>
  <c r="K164" i="14"/>
  <c r="AF164" i="14" s="1"/>
  <c r="AH163" i="14"/>
  <c r="AG163" i="14"/>
  <c r="AE163" i="14"/>
  <c r="AD163" i="14"/>
  <c r="S163" i="14"/>
  <c r="N163" i="14"/>
  <c r="P163" i="14" s="1"/>
  <c r="Q163" i="14" s="1"/>
  <c r="K163" i="14"/>
  <c r="AF163" i="14" s="1"/>
  <c r="AH162" i="14"/>
  <c r="AG162" i="14"/>
  <c r="AE162" i="14"/>
  <c r="AD162" i="14"/>
  <c r="S162" i="14"/>
  <c r="P162" i="14"/>
  <c r="M334" i="1" s="1"/>
  <c r="N334" i="1" s="1"/>
  <c r="O334" i="1" s="1"/>
  <c r="P334" i="1" s="1"/>
  <c r="K162" i="14"/>
  <c r="AF162" i="14" s="1"/>
  <c r="AH161" i="14"/>
  <c r="AG161" i="14"/>
  <c r="AE161" i="14"/>
  <c r="AD161" i="14"/>
  <c r="S161" i="14"/>
  <c r="N161" i="14"/>
  <c r="P161" i="14" s="1"/>
  <c r="M330" i="1" s="1"/>
  <c r="N330" i="1" s="1"/>
  <c r="O330" i="1" s="1"/>
  <c r="P330" i="1" s="1"/>
  <c r="K161" i="14"/>
  <c r="AF161" i="14" s="1"/>
  <c r="AH160" i="14"/>
  <c r="AG160" i="14"/>
  <c r="AE160" i="14"/>
  <c r="AD160" i="14"/>
  <c r="S160" i="14"/>
  <c r="N160" i="14"/>
  <c r="P160" i="14" s="1"/>
  <c r="K160" i="14"/>
  <c r="AF160" i="14" s="1"/>
  <c r="AH159" i="14"/>
  <c r="AG159" i="14"/>
  <c r="AE159" i="14"/>
  <c r="AD159" i="14"/>
  <c r="S159" i="14"/>
  <c r="N159" i="14"/>
  <c r="P159" i="14" s="1"/>
  <c r="K159" i="14"/>
  <c r="AF159" i="14" s="1"/>
  <c r="AH158" i="14"/>
  <c r="AG158" i="14"/>
  <c r="AE158" i="14"/>
  <c r="AD158" i="14"/>
  <c r="S158" i="14"/>
  <c r="N158" i="14"/>
  <c r="P158" i="14" s="1"/>
  <c r="K158" i="14"/>
  <c r="AF158" i="14" s="1"/>
  <c r="AH152" i="14"/>
  <c r="AG152" i="14"/>
  <c r="AE152" i="14"/>
  <c r="AD152" i="14"/>
  <c r="S152" i="14"/>
  <c r="N152" i="14"/>
  <c r="K152" i="14"/>
  <c r="AF152" i="14" s="1"/>
  <c r="AH151" i="14"/>
  <c r="AG151" i="14"/>
  <c r="AE151" i="14"/>
  <c r="AD151" i="14"/>
  <c r="S151" i="14"/>
  <c r="P151" i="14"/>
  <c r="Q151" i="14" s="1"/>
  <c r="K151" i="14"/>
  <c r="AF151" i="14" s="1"/>
  <c r="R151" i="14" s="1"/>
  <c r="V151" i="14" s="1"/>
  <c r="AH150" i="14"/>
  <c r="AG150" i="14"/>
  <c r="AE150" i="14"/>
  <c r="AD150" i="14"/>
  <c r="S150" i="14"/>
  <c r="P150" i="14"/>
  <c r="M310" i="1" s="1"/>
  <c r="K150" i="14"/>
  <c r="AF150" i="14" s="1"/>
  <c r="AH149" i="14"/>
  <c r="AG149" i="14"/>
  <c r="AE149" i="14"/>
  <c r="AD149" i="14"/>
  <c r="S149" i="14"/>
  <c r="P149" i="14"/>
  <c r="M308" i="1" s="1"/>
  <c r="M309" i="1" s="1"/>
  <c r="N309" i="1" s="1"/>
  <c r="K149" i="14"/>
  <c r="AF149" i="14" s="1"/>
  <c r="AH148" i="14"/>
  <c r="AG148" i="14"/>
  <c r="AE148" i="14"/>
  <c r="AD148" i="14"/>
  <c r="S148" i="14"/>
  <c r="P148" i="14"/>
  <c r="M306" i="1" s="1"/>
  <c r="M307" i="1" s="1"/>
  <c r="N307" i="1" s="1"/>
  <c r="K148" i="14"/>
  <c r="AF148" i="14" s="1"/>
  <c r="AH147" i="14"/>
  <c r="AG147" i="14"/>
  <c r="AE147" i="14"/>
  <c r="AD147" i="14"/>
  <c r="S147" i="14"/>
  <c r="N147" i="14"/>
  <c r="K147" i="14"/>
  <c r="AF147" i="14" s="1"/>
  <c r="AH146" i="14"/>
  <c r="AG146" i="14"/>
  <c r="AE146" i="14"/>
  <c r="AD146" i="14"/>
  <c r="S146" i="14"/>
  <c r="P146" i="14"/>
  <c r="M298" i="1" s="1"/>
  <c r="N298" i="1" s="1"/>
  <c r="O298" i="1" s="1"/>
  <c r="P298" i="1" s="1"/>
  <c r="K146" i="14"/>
  <c r="AF146" i="14"/>
  <c r="AH145" i="14"/>
  <c r="AG145" i="14"/>
  <c r="AE145" i="14"/>
  <c r="AD145" i="14"/>
  <c r="S145" i="14"/>
  <c r="P145" i="14"/>
  <c r="M295" i="1" s="1"/>
  <c r="K145" i="14"/>
  <c r="AF145" i="14" s="1"/>
  <c r="AH144" i="14"/>
  <c r="AG144" i="14"/>
  <c r="AE144" i="14"/>
  <c r="AD144" i="14"/>
  <c r="S144" i="14"/>
  <c r="P144" i="14"/>
  <c r="Q144" i="14" s="1"/>
  <c r="K144" i="14"/>
  <c r="AF144" i="14" s="1"/>
  <c r="AH143" i="14"/>
  <c r="AG143" i="14"/>
  <c r="AE143" i="14"/>
  <c r="AD143" i="14"/>
  <c r="R143" i="14" s="1"/>
  <c r="S143" i="14"/>
  <c r="P143" i="14"/>
  <c r="K143" i="14"/>
  <c r="AF143" i="14" s="1"/>
  <c r="AH142" i="14"/>
  <c r="AG142" i="14"/>
  <c r="AE142" i="14"/>
  <c r="AD142" i="14"/>
  <c r="S142" i="14"/>
  <c r="P142" i="14"/>
  <c r="Q142" i="14" s="1"/>
  <c r="K142" i="14"/>
  <c r="AF142" i="14" s="1"/>
  <c r="AH141" i="14"/>
  <c r="AG141" i="14"/>
  <c r="AE141" i="14"/>
  <c r="AD141" i="14"/>
  <c r="S141" i="14"/>
  <c r="N141" i="14"/>
  <c r="P141" i="14" s="1"/>
  <c r="K141" i="14"/>
  <c r="AF141" i="14" s="1"/>
  <c r="AH140" i="14"/>
  <c r="AG140" i="14"/>
  <c r="AE140" i="14"/>
  <c r="AD140" i="14"/>
  <c r="S140" i="14"/>
  <c r="P140" i="14"/>
  <c r="Q140" i="14" s="1"/>
  <c r="K140" i="14"/>
  <c r="AF140" i="14"/>
  <c r="AH139" i="14"/>
  <c r="AG139" i="14"/>
  <c r="AE139" i="14"/>
  <c r="AD139" i="14"/>
  <c r="S139" i="14"/>
  <c r="P139" i="14"/>
  <c r="K139" i="14"/>
  <c r="AF139" i="14" s="1"/>
  <c r="W136" i="14"/>
  <c r="AH134" i="14"/>
  <c r="AG134" i="14"/>
  <c r="AE134" i="14"/>
  <c r="AD134" i="14"/>
  <c r="S134" i="14"/>
  <c r="N134" i="14"/>
  <c r="N136" i="14" s="1"/>
  <c r="K134" i="14"/>
  <c r="AF134" i="14" s="1"/>
  <c r="AH133" i="14"/>
  <c r="AG133" i="14"/>
  <c r="AE133" i="14"/>
  <c r="AD133" i="14"/>
  <c r="S133" i="14"/>
  <c r="P133" i="14"/>
  <c r="Q133" i="14" s="1"/>
  <c r="K133" i="14"/>
  <c r="AF133" i="14" s="1"/>
  <c r="AH132" i="14"/>
  <c r="AG132" i="14"/>
  <c r="AE132" i="14"/>
  <c r="AD132" i="14"/>
  <c r="S132" i="14"/>
  <c r="P132" i="14"/>
  <c r="M278" i="1" s="1"/>
  <c r="M279" i="1" s="1"/>
  <c r="Q132" i="14"/>
  <c r="K132" i="14"/>
  <c r="AF132" i="14" s="1"/>
  <c r="AH131" i="14"/>
  <c r="AG131" i="14"/>
  <c r="AE131" i="14"/>
  <c r="AD131" i="14"/>
  <c r="S131" i="14"/>
  <c r="P131" i="14"/>
  <c r="Q131" i="14" s="1"/>
  <c r="K131" i="14"/>
  <c r="AF131" i="14" s="1"/>
  <c r="AH130" i="14"/>
  <c r="AG130" i="14"/>
  <c r="AE130" i="14"/>
  <c r="AD130" i="14"/>
  <c r="S130" i="14"/>
  <c r="P130" i="14"/>
  <c r="Q130" i="14" s="1"/>
  <c r="K130" i="14"/>
  <c r="AF130" i="14" s="1"/>
  <c r="AH129" i="14"/>
  <c r="AG129" i="14"/>
  <c r="AE129" i="14"/>
  <c r="AD129" i="14"/>
  <c r="S129" i="14"/>
  <c r="P129" i="14"/>
  <c r="Q129" i="14"/>
  <c r="K129" i="14"/>
  <c r="AF129" i="14" s="1"/>
  <c r="AH128" i="14"/>
  <c r="AG128" i="14"/>
  <c r="AE128" i="14"/>
  <c r="AD128" i="14"/>
  <c r="S128" i="14"/>
  <c r="P128" i="14"/>
  <c r="K128" i="14"/>
  <c r="AF128" i="14" s="1"/>
  <c r="AH127" i="14"/>
  <c r="AG127" i="14"/>
  <c r="AE127" i="14"/>
  <c r="AD127" i="14"/>
  <c r="S127" i="14"/>
  <c r="P127" i="14"/>
  <c r="Q127" i="14" s="1"/>
  <c r="K127" i="14"/>
  <c r="AF127" i="14" s="1"/>
  <c r="AH122" i="14"/>
  <c r="AG122" i="14"/>
  <c r="AE122" i="14"/>
  <c r="AD122" i="14"/>
  <c r="S122" i="14"/>
  <c r="N122" i="14"/>
  <c r="P122" i="14" s="1"/>
  <c r="K122" i="14"/>
  <c r="AF122" i="14" s="1"/>
  <c r="W120" i="14"/>
  <c r="W124" i="14" s="1"/>
  <c r="AH118" i="14"/>
  <c r="AG118" i="14"/>
  <c r="AE118" i="14"/>
  <c r="AD118" i="14"/>
  <c r="S118" i="14"/>
  <c r="P118" i="14"/>
  <c r="Q118" i="14"/>
  <c r="K118" i="14"/>
  <c r="AF118" i="14" s="1"/>
  <c r="X118" i="14" s="1"/>
  <c r="Y118" i="14" s="1"/>
  <c r="AA118" i="14" s="1"/>
  <c r="AH117" i="14"/>
  <c r="AG117" i="14"/>
  <c r="AE117" i="14"/>
  <c r="AD117" i="14"/>
  <c r="S117" i="14"/>
  <c r="P117" i="14"/>
  <c r="Q117" i="14" s="1"/>
  <c r="K117" i="14"/>
  <c r="AF117" i="14" s="1"/>
  <c r="AH116" i="14"/>
  <c r="AG116" i="14"/>
  <c r="AE116" i="14"/>
  <c r="AD116" i="14"/>
  <c r="S116" i="14"/>
  <c r="P116" i="14"/>
  <c r="Q116" i="14" s="1"/>
  <c r="K116" i="14"/>
  <c r="AF116" i="14" s="1"/>
  <c r="AH115" i="14"/>
  <c r="AG115" i="14"/>
  <c r="AE115" i="14"/>
  <c r="AD115" i="14"/>
  <c r="S115" i="14"/>
  <c r="N115" i="14"/>
  <c r="P115" i="14" s="1"/>
  <c r="Q115" i="14" s="1"/>
  <c r="K115" i="14"/>
  <c r="AF115" i="14"/>
  <c r="AH114" i="14"/>
  <c r="AG114" i="14"/>
  <c r="AE114" i="14"/>
  <c r="AD114" i="14"/>
  <c r="S114" i="14"/>
  <c r="P114" i="14"/>
  <c r="Q114" i="14" s="1"/>
  <c r="K114" i="14"/>
  <c r="AF114" i="14" s="1"/>
  <c r="AH113" i="14"/>
  <c r="AG113" i="14"/>
  <c r="AE113" i="14"/>
  <c r="AD113" i="14"/>
  <c r="S113" i="14"/>
  <c r="P113" i="14"/>
  <c r="M259" i="1" s="1"/>
  <c r="K113" i="14"/>
  <c r="AF113" i="14" s="1"/>
  <c r="AH112" i="14"/>
  <c r="AG112" i="14"/>
  <c r="AE112" i="14"/>
  <c r="AD112" i="14"/>
  <c r="S112" i="14"/>
  <c r="P112" i="14"/>
  <c r="Q112" i="14" s="1"/>
  <c r="K112" i="14"/>
  <c r="AF112" i="14" s="1"/>
  <c r="AH111" i="14"/>
  <c r="AG111" i="14"/>
  <c r="AE111" i="14"/>
  <c r="AD111" i="14"/>
  <c r="S111" i="14"/>
  <c r="P111" i="14"/>
  <c r="M254" i="1" s="1"/>
  <c r="M255" i="1" s="1"/>
  <c r="N255" i="1" s="1"/>
  <c r="Q111" i="14"/>
  <c r="K111" i="14"/>
  <c r="AF111" i="14" s="1"/>
  <c r="X111" i="14" s="1"/>
  <c r="Y111" i="14" s="1"/>
  <c r="AA111" i="14" s="1"/>
  <c r="AH110" i="14"/>
  <c r="AG110" i="14"/>
  <c r="AE110" i="14"/>
  <c r="AD110" i="14"/>
  <c r="S110" i="14"/>
  <c r="P110" i="14"/>
  <c r="M252" i="1" s="1"/>
  <c r="K110" i="14"/>
  <c r="AF110" i="14" s="1"/>
  <c r="AH109" i="14"/>
  <c r="AG109" i="14"/>
  <c r="AE109" i="14"/>
  <c r="AD109" i="14"/>
  <c r="S109" i="14"/>
  <c r="P109" i="14"/>
  <c r="M248" i="1" s="1"/>
  <c r="M249" i="1" s="1"/>
  <c r="N249" i="1" s="1"/>
  <c r="K109" i="14"/>
  <c r="AF109" i="14" s="1"/>
  <c r="AH108" i="14"/>
  <c r="AG108" i="14"/>
  <c r="AE108" i="14"/>
  <c r="AD108" i="14"/>
  <c r="S108" i="14"/>
  <c r="P108" i="14"/>
  <c r="M250" i="1" s="1"/>
  <c r="K108" i="14"/>
  <c r="AF108" i="14" s="1"/>
  <c r="AH107" i="14"/>
  <c r="AG107" i="14"/>
  <c r="AE107" i="14"/>
  <c r="AD107" i="14"/>
  <c r="S107" i="14"/>
  <c r="P107" i="14"/>
  <c r="M246" i="1" s="1"/>
  <c r="K107" i="14"/>
  <c r="AF107" i="14" s="1"/>
  <c r="AH106" i="14"/>
  <c r="AG106" i="14"/>
  <c r="AE106" i="14"/>
  <c r="AD106" i="14"/>
  <c r="S106" i="14"/>
  <c r="P106" i="14"/>
  <c r="M238" i="1" s="1"/>
  <c r="N238" i="1" s="1"/>
  <c r="O238" i="1" s="1"/>
  <c r="P238" i="1" s="1"/>
  <c r="K106" i="14"/>
  <c r="AF106" i="14"/>
  <c r="AH105" i="14"/>
  <c r="AG105" i="14"/>
  <c r="AE105" i="14"/>
  <c r="AD105" i="14"/>
  <c r="S105" i="14"/>
  <c r="P105" i="14"/>
  <c r="M237" i="1" s="1"/>
  <c r="N237" i="1" s="1"/>
  <c r="O237" i="1" s="1"/>
  <c r="P237" i="1" s="1"/>
  <c r="K105" i="14"/>
  <c r="AF105" i="14" s="1"/>
  <c r="AH104" i="14"/>
  <c r="AG104" i="14"/>
  <c r="AE104" i="14"/>
  <c r="AD104" i="14"/>
  <c r="S104" i="14"/>
  <c r="P104" i="14"/>
  <c r="M235" i="1" s="1"/>
  <c r="N235" i="1" s="1"/>
  <c r="O235" i="1" s="1"/>
  <c r="P235" i="1" s="1"/>
  <c r="K104" i="14"/>
  <c r="AF104" i="14" s="1"/>
  <c r="AH103" i="14"/>
  <c r="AG103" i="14"/>
  <c r="AE103" i="14"/>
  <c r="AD103" i="14"/>
  <c r="S103" i="14"/>
  <c r="P103" i="14"/>
  <c r="M234" i="1" s="1"/>
  <c r="N234" i="1" s="1"/>
  <c r="O234" i="1" s="1"/>
  <c r="P234" i="1" s="1"/>
  <c r="K103" i="14"/>
  <c r="AF103" i="14" s="1"/>
  <c r="AH102" i="14"/>
  <c r="AG102" i="14"/>
  <c r="AE102" i="14"/>
  <c r="AD102" i="14"/>
  <c r="S102" i="14"/>
  <c r="P102" i="14"/>
  <c r="M232" i="1" s="1"/>
  <c r="M233" i="1" s="1"/>
  <c r="N233" i="1" s="1"/>
  <c r="K102" i="14"/>
  <c r="AF102" i="14" s="1"/>
  <c r="AH101" i="14"/>
  <c r="AG101" i="14"/>
  <c r="AE101" i="14"/>
  <c r="AD101" i="14"/>
  <c r="S101" i="14"/>
  <c r="P101" i="14"/>
  <c r="M230" i="1" s="1"/>
  <c r="M231" i="1" s="1"/>
  <c r="N231" i="1" s="1"/>
  <c r="K101" i="14"/>
  <c r="AF101" i="14" s="1"/>
  <c r="AH100" i="14"/>
  <c r="AG100" i="14"/>
  <c r="AE100" i="14"/>
  <c r="AD100" i="14"/>
  <c r="S100" i="14"/>
  <c r="P100" i="14"/>
  <c r="Q100" i="14" s="1"/>
  <c r="K100" i="14"/>
  <c r="AF100" i="14" s="1"/>
  <c r="AH95" i="14"/>
  <c r="AG95" i="14"/>
  <c r="AE95" i="14"/>
  <c r="AD95" i="14"/>
  <c r="S95" i="14"/>
  <c r="P95" i="14"/>
  <c r="Q95" i="14" s="1"/>
  <c r="K95" i="14"/>
  <c r="AF95" i="14" s="1"/>
  <c r="AH94" i="14"/>
  <c r="AG94" i="14"/>
  <c r="AE94" i="14"/>
  <c r="AD94" i="14"/>
  <c r="S94" i="14"/>
  <c r="P94" i="14"/>
  <c r="Q94" i="14" s="1"/>
  <c r="K94" i="14"/>
  <c r="AF94" i="14" s="1"/>
  <c r="AH93" i="14"/>
  <c r="AG93" i="14"/>
  <c r="AE93" i="14"/>
  <c r="AD93" i="14"/>
  <c r="S93" i="14"/>
  <c r="P93" i="14"/>
  <c r="Q93" i="14" s="1"/>
  <c r="K93" i="14"/>
  <c r="AF93" i="14" s="1"/>
  <c r="AH92" i="14"/>
  <c r="AG92" i="14"/>
  <c r="AE92" i="14"/>
  <c r="AD92" i="14"/>
  <c r="S92" i="14"/>
  <c r="P92" i="14"/>
  <c r="Q92" i="14" s="1"/>
  <c r="K92" i="14"/>
  <c r="AF92" i="14" s="1"/>
  <c r="AH91" i="14"/>
  <c r="AG91" i="14"/>
  <c r="AE91" i="14"/>
  <c r="AD91" i="14"/>
  <c r="S91" i="14"/>
  <c r="P91" i="14"/>
  <c r="Q91" i="14" s="1"/>
  <c r="K91" i="14"/>
  <c r="AF91" i="14"/>
  <c r="AH90" i="14"/>
  <c r="AG90" i="14"/>
  <c r="AE90" i="14"/>
  <c r="AD90" i="14"/>
  <c r="S90" i="14"/>
  <c r="P90" i="14"/>
  <c r="Q90" i="14" s="1"/>
  <c r="K90" i="14"/>
  <c r="AF90" i="14" s="1"/>
  <c r="AH89" i="14"/>
  <c r="AG89" i="14"/>
  <c r="AE89" i="14"/>
  <c r="AD89" i="14"/>
  <c r="S89" i="14"/>
  <c r="P89" i="14"/>
  <c r="Q89" i="14" s="1"/>
  <c r="K89" i="14"/>
  <c r="AF89" i="14" s="1"/>
  <c r="AH88" i="14"/>
  <c r="AG88" i="14"/>
  <c r="AE88" i="14"/>
  <c r="AD88" i="14"/>
  <c r="S88" i="14"/>
  <c r="P88" i="14"/>
  <c r="M178" i="1" s="1"/>
  <c r="K88" i="14"/>
  <c r="AF88" i="14" s="1"/>
  <c r="AH87" i="14"/>
  <c r="AG87" i="14"/>
  <c r="AE87" i="14"/>
  <c r="AD87" i="14"/>
  <c r="S87" i="14"/>
  <c r="P87" i="14"/>
  <c r="M176" i="1" s="1"/>
  <c r="M177" i="1" s="1"/>
  <c r="N177" i="1" s="1"/>
  <c r="K87" i="14"/>
  <c r="AF87" i="14" s="1"/>
  <c r="AH86" i="14"/>
  <c r="AG86" i="14"/>
  <c r="AE86" i="14"/>
  <c r="AD86" i="14"/>
  <c r="S86" i="14"/>
  <c r="P86" i="14"/>
  <c r="M174" i="1" s="1"/>
  <c r="N174" i="1" s="1"/>
  <c r="O174" i="1" s="1"/>
  <c r="P174" i="1" s="1"/>
  <c r="K86" i="14"/>
  <c r="AF86" i="14" s="1"/>
  <c r="AH85" i="14"/>
  <c r="AG85" i="14"/>
  <c r="AE85" i="14"/>
  <c r="AD85" i="14"/>
  <c r="S85" i="14"/>
  <c r="P85" i="14"/>
  <c r="Q85" i="14" s="1"/>
  <c r="K85" i="14"/>
  <c r="AF85" i="14" s="1"/>
  <c r="AH84" i="14"/>
  <c r="AG84" i="14"/>
  <c r="AE84" i="14"/>
  <c r="AD84" i="14"/>
  <c r="S84" i="14"/>
  <c r="N84" i="14"/>
  <c r="P84" i="14" s="1"/>
  <c r="Q84" i="14" s="1"/>
  <c r="K84" i="14"/>
  <c r="AF84" i="14" s="1"/>
  <c r="AH83" i="14"/>
  <c r="AG83" i="14"/>
  <c r="AE83" i="14"/>
  <c r="AD83" i="14"/>
  <c r="S83" i="14"/>
  <c r="N83" i="14"/>
  <c r="P83" i="14" s="1"/>
  <c r="K83" i="14"/>
  <c r="AF83" i="14" s="1"/>
  <c r="AH82" i="14"/>
  <c r="AG82" i="14"/>
  <c r="AE82" i="14"/>
  <c r="AD82" i="14"/>
  <c r="S82" i="14"/>
  <c r="P82" i="14"/>
  <c r="Q82" i="14" s="1"/>
  <c r="K82" i="14"/>
  <c r="AF82" i="14" s="1"/>
  <c r="AH81" i="14"/>
  <c r="AG81" i="14"/>
  <c r="AE81" i="14"/>
  <c r="AD81" i="14"/>
  <c r="S81" i="14"/>
  <c r="N81" i="14"/>
  <c r="P81" i="14" s="1"/>
  <c r="K81" i="14"/>
  <c r="AF81" i="14" s="1"/>
  <c r="AH80" i="14"/>
  <c r="AG80" i="14"/>
  <c r="AE80" i="14"/>
  <c r="AD80" i="14"/>
  <c r="S80" i="14"/>
  <c r="N80" i="14"/>
  <c r="P80" i="14" s="1"/>
  <c r="M165" i="1" s="1"/>
  <c r="N165" i="1" s="1"/>
  <c r="O165" i="1" s="1"/>
  <c r="P165" i="1" s="1"/>
  <c r="K80" i="14"/>
  <c r="AF80" i="14" s="1"/>
  <c r="AH79" i="14"/>
  <c r="AG79" i="14"/>
  <c r="AE79" i="14"/>
  <c r="AD79" i="14"/>
  <c r="S79" i="14"/>
  <c r="P79" i="14"/>
  <c r="Q79" i="14" s="1"/>
  <c r="K79" i="14"/>
  <c r="AF79" i="14" s="1"/>
  <c r="AH78" i="14"/>
  <c r="AG78" i="14"/>
  <c r="AE78" i="14"/>
  <c r="AD78" i="14"/>
  <c r="S78" i="14"/>
  <c r="N78" i="14"/>
  <c r="P78" i="14" s="1"/>
  <c r="K78" i="14"/>
  <c r="AF78" i="14" s="1"/>
  <c r="AH77" i="14"/>
  <c r="AG77" i="14"/>
  <c r="AE77" i="14"/>
  <c r="AD77" i="14"/>
  <c r="S77" i="14"/>
  <c r="N77" i="14"/>
  <c r="P77" i="14" s="1"/>
  <c r="K77" i="14"/>
  <c r="AF77" i="14" s="1"/>
  <c r="AH76" i="14"/>
  <c r="AG76" i="14"/>
  <c r="AE76" i="14"/>
  <c r="AD76" i="14"/>
  <c r="S76" i="14"/>
  <c r="N76" i="14"/>
  <c r="P76" i="14" s="1"/>
  <c r="Q76" i="14" s="1"/>
  <c r="K76" i="14"/>
  <c r="AF76" i="14" s="1"/>
  <c r="AH75" i="14"/>
  <c r="AG75" i="14"/>
  <c r="AE75" i="14"/>
  <c r="AD75" i="14"/>
  <c r="S75" i="14"/>
  <c r="P75" i="14"/>
  <c r="Q75" i="14" s="1"/>
  <c r="K75" i="14"/>
  <c r="AF75" i="14"/>
  <c r="AH74" i="14"/>
  <c r="AG74" i="14"/>
  <c r="AE74" i="14"/>
  <c r="AD74" i="14"/>
  <c r="S74" i="14"/>
  <c r="P74" i="14"/>
  <c r="Q74" i="14" s="1"/>
  <c r="K74" i="14"/>
  <c r="AF74" i="14" s="1"/>
  <c r="AH73" i="14"/>
  <c r="AG73" i="14"/>
  <c r="AE73" i="14"/>
  <c r="AD73" i="14"/>
  <c r="S73" i="14"/>
  <c r="N73" i="14"/>
  <c r="P73" i="14" s="1"/>
  <c r="K73" i="14"/>
  <c r="AF73" i="14" s="1"/>
  <c r="AH72" i="14"/>
  <c r="AG72" i="14"/>
  <c r="AE72" i="14"/>
  <c r="AD72" i="14"/>
  <c r="S72" i="14"/>
  <c r="N72" i="14"/>
  <c r="P72" i="14" s="1"/>
  <c r="K72" i="14"/>
  <c r="AF72" i="14" s="1"/>
  <c r="AH71" i="14"/>
  <c r="AG71" i="14"/>
  <c r="AE71" i="14"/>
  <c r="AD71" i="14"/>
  <c r="S71" i="14"/>
  <c r="N71" i="14"/>
  <c r="P71" i="14" s="1"/>
  <c r="K71" i="14"/>
  <c r="AF71" i="14" s="1"/>
  <c r="AH70" i="14"/>
  <c r="AG70" i="14"/>
  <c r="AE70" i="14"/>
  <c r="AD70" i="14"/>
  <c r="S70" i="14"/>
  <c r="P70" i="14"/>
  <c r="M149" i="1" s="1"/>
  <c r="M150" i="1" s="1"/>
  <c r="N150" i="1" s="1"/>
  <c r="K70" i="14"/>
  <c r="AF70" i="14" s="1"/>
  <c r="AH69" i="14"/>
  <c r="AG69" i="14"/>
  <c r="AE69" i="14"/>
  <c r="AD69" i="14"/>
  <c r="S69" i="14"/>
  <c r="P69" i="14"/>
  <c r="M147" i="1" s="1"/>
  <c r="M148" i="1" s="1"/>
  <c r="N148" i="1" s="1"/>
  <c r="K69" i="14"/>
  <c r="AF69" i="14" s="1"/>
  <c r="AH68" i="14"/>
  <c r="AG68" i="14"/>
  <c r="AE68" i="14"/>
  <c r="AD68" i="14"/>
  <c r="S68" i="14"/>
  <c r="P68" i="14"/>
  <c r="Q68" i="14" s="1"/>
  <c r="K68" i="14"/>
  <c r="AF68" i="14" s="1"/>
  <c r="AH67" i="14"/>
  <c r="AG67" i="14"/>
  <c r="AE67" i="14"/>
  <c r="AD67" i="14"/>
  <c r="S67" i="14"/>
  <c r="N67" i="14"/>
  <c r="P67" i="14"/>
  <c r="M145" i="1" s="1"/>
  <c r="K67" i="14"/>
  <c r="AF67" i="14" s="1"/>
  <c r="AH66" i="14"/>
  <c r="AG66" i="14"/>
  <c r="AE66" i="14"/>
  <c r="AD66" i="14"/>
  <c r="S66" i="14"/>
  <c r="N66" i="14"/>
  <c r="P66" i="14"/>
  <c r="M143" i="1" s="1"/>
  <c r="N143" i="1" s="1"/>
  <c r="O143" i="1" s="1"/>
  <c r="P143" i="1" s="1"/>
  <c r="K66" i="14"/>
  <c r="AF66" i="14" s="1"/>
  <c r="AH65" i="14"/>
  <c r="AG65" i="14"/>
  <c r="AE65" i="14"/>
  <c r="AD65" i="14"/>
  <c r="S65" i="14"/>
  <c r="N65" i="14"/>
  <c r="P65" i="14"/>
  <c r="Q65" i="14" s="1"/>
  <c r="K65" i="14"/>
  <c r="AF65" i="14" s="1"/>
  <c r="AH64" i="14"/>
  <c r="AG64" i="14"/>
  <c r="AE64" i="14"/>
  <c r="AD64" i="14"/>
  <c r="S64" i="14"/>
  <c r="N64" i="14"/>
  <c r="P64" i="14"/>
  <c r="M141" i="1" s="1"/>
  <c r="K64" i="14"/>
  <c r="AF64" i="14" s="1"/>
  <c r="AH63" i="14"/>
  <c r="AG63" i="14"/>
  <c r="AE63" i="14"/>
  <c r="AD63" i="14"/>
  <c r="S63" i="14"/>
  <c r="P63" i="14"/>
  <c r="M139" i="1" s="1"/>
  <c r="M140" i="1" s="1"/>
  <c r="N140" i="1" s="1"/>
  <c r="K63" i="14"/>
  <c r="AF63" i="14" s="1"/>
  <c r="AH62" i="14"/>
  <c r="AG62" i="14"/>
  <c r="AE62" i="14"/>
  <c r="AD62" i="14"/>
  <c r="S62" i="14"/>
  <c r="P62" i="14"/>
  <c r="M137" i="1" s="1"/>
  <c r="Q62" i="14"/>
  <c r="K62" i="14"/>
  <c r="AF62" i="14" s="1"/>
  <c r="AH61" i="14"/>
  <c r="AG61" i="14"/>
  <c r="AE61" i="14"/>
  <c r="AD61" i="14"/>
  <c r="S61" i="14"/>
  <c r="P61" i="14"/>
  <c r="M135" i="1" s="1"/>
  <c r="K61" i="14"/>
  <c r="AF61" i="14" s="1"/>
  <c r="AH60" i="14"/>
  <c r="AG60" i="14"/>
  <c r="AE60" i="14"/>
  <c r="AD60" i="14"/>
  <c r="S60" i="14"/>
  <c r="P60" i="14"/>
  <c r="M133" i="1" s="1"/>
  <c r="N133" i="1" s="1"/>
  <c r="O133" i="1" s="1"/>
  <c r="P133" i="1" s="1"/>
  <c r="Q60" i="14"/>
  <c r="K60" i="14"/>
  <c r="AF60" i="14" s="1"/>
  <c r="AH59" i="14"/>
  <c r="AG59" i="14"/>
  <c r="AE59" i="14"/>
  <c r="AD59" i="14"/>
  <c r="S59" i="14"/>
  <c r="P59" i="14"/>
  <c r="M131" i="1" s="1"/>
  <c r="M132" i="1" s="1"/>
  <c r="N132" i="1" s="1"/>
  <c r="K59" i="14"/>
  <c r="AF59" i="14" s="1"/>
  <c r="AH58" i="14"/>
  <c r="AG58" i="14"/>
  <c r="AE58" i="14"/>
  <c r="AD58" i="14"/>
  <c r="S58" i="14"/>
  <c r="N58" i="14"/>
  <c r="P58" i="14" s="1"/>
  <c r="K58" i="14"/>
  <c r="AF58" i="14"/>
  <c r="AH57" i="14"/>
  <c r="AG57" i="14"/>
  <c r="AE57" i="14"/>
  <c r="AD57" i="14"/>
  <c r="S57" i="14"/>
  <c r="N57" i="14"/>
  <c r="P57" i="14" s="1"/>
  <c r="K57" i="14"/>
  <c r="AF57" i="14"/>
  <c r="AH56" i="14"/>
  <c r="AG56" i="14"/>
  <c r="AE56" i="14"/>
  <c r="AD56" i="14"/>
  <c r="S56" i="14"/>
  <c r="P56" i="14"/>
  <c r="M125" i="1" s="1"/>
  <c r="K56" i="14"/>
  <c r="AF56" i="14" s="1"/>
  <c r="AH55" i="14"/>
  <c r="AG55" i="14"/>
  <c r="AE55" i="14"/>
  <c r="AD55" i="14"/>
  <c r="S55" i="14"/>
  <c r="N55" i="14"/>
  <c r="P55" i="14" s="1"/>
  <c r="K55" i="14"/>
  <c r="AF55" i="14" s="1"/>
  <c r="AH54" i="14"/>
  <c r="AG54" i="14"/>
  <c r="AE54" i="14"/>
  <c r="AD54" i="14"/>
  <c r="S54" i="14"/>
  <c r="N54" i="14"/>
  <c r="K54" i="14"/>
  <c r="AF54" i="14" s="1"/>
  <c r="R54" i="14" s="1"/>
  <c r="AH53" i="14"/>
  <c r="AG53" i="14"/>
  <c r="AE53" i="14"/>
  <c r="AD53" i="14"/>
  <c r="S53" i="14"/>
  <c r="N53" i="14"/>
  <c r="K53" i="14"/>
  <c r="AF53" i="14" s="1"/>
  <c r="AH52" i="14"/>
  <c r="AG52" i="14"/>
  <c r="AE52" i="14"/>
  <c r="AD52" i="14"/>
  <c r="S52" i="14"/>
  <c r="P52" i="14"/>
  <c r="M119" i="1" s="1"/>
  <c r="K52" i="14"/>
  <c r="AF52" i="14" s="1"/>
  <c r="AH47" i="14"/>
  <c r="AG47" i="14"/>
  <c r="AE47" i="14"/>
  <c r="AD47" i="14"/>
  <c r="S47" i="14"/>
  <c r="P47" i="14"/>
  <c r="Q47" i="14" s="1"/>
  <c r="N47" i="14"/>
  <c r="K47" i="14"/>
  <c r="AF47" i="14" s="1"/>
  <c r="AH46" i="14"/>
  <c r="AG46" i="14"/>
  <c r="AE46" i="14"/>
  <c r="AD46" i="14"/>
  <c r="S46" i="14"/>
  <c r="N46" i="14"/>
  <c r="P46" i="14" s="1"/>
  <c r="Q46" i="14" s="1"/>
  <c r="K46" i="14"/>
  <c r="AF46" i="14" s="1"/>
  <c r="AH45" i="14"/>
  <c r="AG45" i="14"/>
  <c r="AE45" i="14"/>
  <c r="AD45" i="14"/>
  <c r="S45" i="14"/>
  <c r="P45" i="14"/>
  <c r="Q45" i="14" s="1"/>
  <c r="K45" i="14"/>
  <c r="AF45" i="14" s="1"/>
  <c r="X45" i="14" s="1"/>
  <c r="Y45" i="14" s="1"/>
  <c r="AA45" i="14" s="1"/>
  <c r="AH44" i="14"/>
  <c r="AG44" i="14"/>
  <c r="AE44" i="14"/>
  <c r="AD44" i="14"/>
  <c r="S44" i="14"/>
  <c r="P44" i="14"/>
  <c r="Q44" i="14" s="1"/>
  <c r="K44" i="14"/>
  <c r="AF44" i="14" s="1"/>
  <c r="AH43" i="14"/>
  <c r="AG43" i="14"/>
  <c r="AE43" i="14"/>
  <c r="AD43" i="14"/>
  <c r="S43" i="14"/>
  <c r="P43" i="14"/>
  <c r="Q43" i="14"/>
  <c r="K43" i="14"/>
  <c r="AF43" i="14" s="1"/>
  <c r="X43" i="14" s="1"/>
  <c r="Y43" i="14" s="1"/>
  <c r="AA43" i="14" s="1"/>
  <c r="AH42" i="14"/>
  <c r="AG42" i="14"/>
  <c r="AE42" i="14"/>
  <c r="AD42" i="14"/>
  <c r="S42" i="14"/>
  <c r="N42" i="14"/>
  <c r="P42" i="14" s="1"/>
  <c r="Q42" i="14" s="1"/>
  <c r="K42" i="14"/>
  <c r="AF42" i="14" s="1"/>
  <c r="AH41" i="14"/>
  <c r="AG41" i="14"/>
  <c r="AE41" i="14"/>
  <c r="AD41" i="14"/>
  <c r="S41" i="14"/>
  <c r="P41" i="14"/>
  <c r="Q41" i="14" s="1"/>
  <c r="K41" i="14"/>
  <c r="AF41" i="14"/>
  <c r="AH40" i="14"/>
  <c r="AG40" i="14"/>
  <c r="AE40" i="14"/>
  <c r="AD40" i="14"/>
  <c r="S40" i="14"/>
  <c r="P40" i="14"/>
  <c r="Q40" i="14" s="1"/>
  <c r="K40" i="14"/>
  <c r="AF40" i="14" s="1"/>
  <c r="AH39" i="14"/>
  <c r="AG39" i="14"/>
  <c r="AE39" i="14"/>
  <c r="AD39" i="14"/>
  <c r="S39" i="14"/>
  <c r="N39" i="14"/>
  <c r="P39" i="14" s="1"/>
  <c r="K39" i="14"/>
  <c r="AF39" i="14" s="1"/>
  <c r="AH38" i="14"/>
  <c r="AG38" i="14"/>
  <c r="AE38" i="14"/>
  <c r="AD38" i="14"/>
  <c r="S38" i="14"/>
  <c r="P38" i="14"/>
  <c r="M54" i="1" s="1"/>
  <c r="M55" i="1" s="1"/>
  <c r="N55" i="1" s="1"/>
  <c r="K38" i="14"/>
  <c r="AF38" i="14" s="1"/>
  <c r="AH37" i="14"/>
  <c r="AG37" i="14"/>
  <c r="AF37" i="14"/>
  <c r="AE37" i="14"/>
  <c r="AD37" i="14"/>
  <c r="S37" i="14"/>
  <c r="P37" i="14"/>
  <c r="Q37" i="14" s="1"/>
  <c r="R37" i="14" s="1"/>
  <c r="T37" i="14" s="1"/>
  <c r="K37" i="14"/>
  <c r="AH36" i="14"/>
  <c r="AG36" i="14"/>
  <c r="AE36" i="14"/>
  <c r="AD36" i="14"/>
  <c r="S36" i="14"/>
  <c r="P36" i="14"/>
  <c r="M52" i="1" s="1"/>
  <c r="M53" i="1" s="1"/>
  <c r="N53" i="1" s="1"/>
  <c r="K36" i="14"/>
  <c r="AF36" i="14" s="1"/>
  <c r="AH35" i="14"/>
  <c r="AG35" i="14"/>
  <c r="AE35" i="14"/>
  <c r="AD35" i="14"/>
  <c r="S35" i="14"/>
  <c r="P35" i="14"/>
  <c r="M50" i="1" s="1"/>
  <c r="K35" i="14"/>
  <c r="AF35" i="14" s="1"/>
  <c r="AH34" i="14"/>
  <c r="AG34" i="14"/>
  <c r="AE34" i="14"/>
  <c r="AD34" i="14"/>
  <c r="R34" i="14" s="1"/>
  <c r="S34" i="14"/>
  <c r="P34" i="14"/>
  <c r="Q34" i="14" s="1"/>
  <c r="K34" i="14"/>
  <c r="AF34" i="14"/>
  <c r="AH33" i="14"/>
  <c r="AG33" i="14"/>
  <c r="AE33" i="14"/>
  <c r="AD33" i="14"/>
  <c r="S33" i="14"/>
  <c r="N33" i="14"/>
  <c r="P33" i="14" s="1"/>
  <c r="K33" i="14"/>
  <c r="AF33" i="14" s="1"/>
  <c r="AH32" i="14"/>
  <c r="AG32" i="14"/>
  <c r="AE32" i="14"/>
  <c r="AD32" i="14"/>
  <c r="S32" i="14"/>
  <c r="P32" i="14"/>
  <c r="M107" i="1" s="1"/>
  <c r="M108" i="1" s="1"/>
  <c r="N108" i="1" s="1"/>
  <c r="K32" i="14"/>
  <c r="AF32" i="14" s="1"/>
  <c r="AH31" i="14"/>
  <c r="AG31" i="14"/>
  <c r="AE31" i="14"/>
  <c r="AD31" i="14"/>
  <c r="S31" i="14"/>
  <c r="P31" i="14"/>
  <c r="K31" i="14"/>
  <c r="AF31" i="14" s="1"/>
  <c r="AH30" i="14"/>
  <c r="AG30" i="14"/>
  <c r="AE30" i="14"/>
  <c r="AD30" i="14"/>
  <c r="S30" i="14"/>
  <c r="P30" i="14"/>
  <c r="M44" i="1" s="1"/>
  <c r="M45" i="1" s="1"/>
  <c r="N45" i="1" s="1"/>
  <c r="K30" i="14"/>
  <c r="AF30" i="14" s="1"/>
  <c r="AH29" i="14"/>
  <c r="AG29" i="14"/>
  <c r="AE29" i="14"/>
  <c r="AD29" i="14"/>
  <c r="S29" i="14"/>
  <c r="N29" i="14"/>
  <c r="K29" i="14"/>
  <c r="AF29" i="14" s="1"/>
  <c r="AH26" i="14"/>
  <c r="AG26" i="14"/>
  <c r="AE26" i="14"/>
  <c r="AD26" i="14"/>
  <c r="S26" i="14"/>
  <c r="P26" i="14"/>
  <c r="K26" i="14"/>
  <c r="AF26" i="14" s="1"/>
  <c r="AH25" i="14"/>
  <c r="AG25" i="14"/>
  <c r="AE25" i="14"/>
  <c r="AD25" i="14"/>
  <c r="S25" i="14"/>
  <c r="N25" i="14"/>
  <c r="K25" i="14"/>
  <c r="AF25" i="14" s="1"/>
  <c r="AH24" i="14"/>
  <c r="AG24" i="14"/>
  <c r="AE24" i="14"/>
  <c r="AD24" i="14"/>
  <c r="S24" i="14"/>
  <c r="N24" i="14"/>
  <c r="P24" i="14" s="1"/>
  <c r="Q24" i="14" s="1"/>
  <c r="K24" i="14"/>
  <c r="AF24" i="14" s="1"/>
  <c r="AH23" i="14"/>
  <c r="AG23" i="14"/>
  <c r="AE23" i="14"/>
  <c r="AD23" i="14"/>
  <c r="S23" i="14"/>
  <c r="N23" i="14"/>
  <c r="K23" i="14"/>
  <c r="AF23" i="14"/>
  <c r="AH22" i="14"/>
  <c r="AG22" i="14"/>
  <c r="AE22" i="14"/>
  <c r="AD22" i="14"/>
  <c r="S22" i="14"/>
  <c r="P22" i="14"/>
  <c r="K22" i="14"/>
  <c r="AF22" i="14" s="1"/>
  <c r="AH21" i="14"/>
  <c r="AG21" i="14"/>
  <c r="AE21" i="14"/>
  <c r="AD21" i="14"/>
  <c r="S21" i="14"/>
  <c r="N21" i="14"/>
  <c r="N49" i="14" s="1"/>
  <c r="K21" i="14"/>
  <c r="AF21" i="14" s="1"/>
  <c r="AH20" i="14"/>
  <c r="AG20" i="14"/>
  <c r="AE20" i="14"/>
  <c r="AD20" i="14"/>
  <c r="S20" i="14"/>
  <c r="N20" i="14"/>
  <c r="K20" i="14"/>
  <c r="AF20" i="14" s="1"/>
  <c r="AH19" i="14"/>
  <c r="AG19" i="14"/>
  <c r="AE19" i="14"/>
  <c r="AD19" i="14"/>
  <c r="S19" i="14"/>
  <c r="P19" i="14"/>
  <c r="Q19" i="14" s="1"/>
  <c r="K19" i="14"/>
  <c r="AF19" i="14"/>
  <c r="AH18" i="14"/>
  <c r="AG18" i="14"/>
  <c r="AE18" i="14"/>
  <c r="AD18" i="14"/>
  <c r="S18" i="14"/>
  <c r="P18" i="14"/>
  <c r="Q18" i="14" s="1"/>
  <c r="K18" i="14"/>
  <c r="AF18" i="14" s="1"/>
  <c r="AH17" i="14"/>
  <c r="AG17" i="14"/>
  <c r="AE17" i="14"/>
  <c r="AD17" i="14"/>
  <c r="S17" i="14"/>
  <c r="P17" i="14"/>
  <c r="K17" i="14"/>
  <c r="AF17" i="14" s="1"/>
  <c r="AH16" i="14"/>
  <c r="AG16" i="14"/>
  <c r="AE16" i="14"/>
  <c r="AD16" i="14"/>
  <c r="S16" i="14"/>
  <c r="P16" i="14"/>
  <c r="M19" i="1" s="1"/>
  <c r="M20" i="1" s="1"/>
  <c r="N20" i="1" s="1"/>
  <c r="K16" i="14"/>
  <c r="AF16" i="14" s="1"/>
  <c r="AH15" i="14"/>
  <c r="AG15" i="14"/>
  <c r="AE15" i="14"/>
  <c r="AD15" i="14"/>
  <c r="S15" i="14"/>
  <c r="P15" i="14"/>
  <c r="M287" i="1" s="1"/>
  <c r="M288" i="1" s="1"/>
  <c r="N288" i="1" s="1"/>
  <c r="K15" i="14"/>
  <c r="AF15" i="14" s="1"/>
  <c r="AH14" i="14"/>
  <c r="AG14" i="14"/>
  <c r="AF14" i="14"/>
  <c r="AE14" i="14"/>
  <c r="AD14" i="14"/>
  <c r="S14" i="14"/>
  <c r="P14" i="14"/>
  <c r="Q14" i="14" s="1"/>
  <c r="K14" i="14"/>
  <c r="AH13" i="14"/>
  <c r="AG13" i="14"/>
  <c r="AE13" i="14"/>
  <c r="AD13" i="14"/>
  <c r="S13" i="14"/>
  <c r="P13" i="14"/>
  <c r="Q13" i="14" s="1"/>
  <c r="K13" i="14"/>
  <c r="AF13" i="14" s="1"/>
  <c r="AH12" i="14"/>
  <c r="AG12" i="14"/>
  <c r="AE12" i="14"/>
  <c r="AD12" i="14"/>
  <c r="R12" i="14" s="1"/>
  <c r="S12" i="14"/>
  <c r="P12" i="14"/>
  <c r="M12" i="1" s="1"/>
  <c r="K12" i="14"/>
  <c r="AF12" i="14" s="1"/>
  <c r="AE1" i="14"/>
  <c r="X11" i="14" s="1"/>
  <c r="AA11" i="14" s="1"/>
  <c r="M347" i="1"/>
  <c r="K347" i="1"/>
  <c r="L347" i="1" s="1"/>
  <c r="Q347" i="1" s="1"/>
  <c r="M338" i="1"/>
  <c r="N338" i="1" s="1"/>
  <c r="O338" i="1" s="1"/>
  <c r="P338" i="1" s="1"/>
  <c r="K338" i="1"/>
  <c r="L338" i="1" s="1"/>
  <c r="Q338" i="1" s="1"/>
  <c r="M314" i="1"/>
  <c r="N314" i="1" s="1"/>
  <c r="O314" i="1" s="1"/>
  <c r="P314" i="1" s="1"/>
  <c r="K314" i="1"/>
  <c r="L314" i="1" s="1"/>
  <c r="Q314" i="1" s="1"/>
  <c r="M280" i="1"/>
  <c r="N280" i="1" s="1"/>
  <c r="O280" i="1" s="1"/>
  <c r="P280" i="1" s="1"/>
  <c r="K280" i="1"/>
  <c r="L280" i="1" s="1"/>
  <c r="Q280" i="1" s="1"/>
  <c r="M187" i="1"/>
  <c r="N187" i="1" s="1"/>
  <c r="O187" i="1" s="1"/>
  <c r="P187" i="1" s="1"/>
  <c r="K187" i="1"/>
  <c r="L187" i="1" s="1"/>
  <c r="Q187" i="1" s="1"/>
  <c r="M69" i="1"/>
  <c r="K69" i="1"/>
  <c r="L69" i="1" s="1"/>
  <c r="Q69" i="1" s="1"/>
  <c r="K90" i="4"/>
  <c r="L90" i="4" s="1"/>
  <c r="Q90" i="4" s="1"/>
  <c r="K186" i="1"/>
  <c r="L186" i="1" s="1"/>
  <c r="K89" i="4"/>
  <c r="L89" i="4" s="1"/>
  <c r="Q89" i="4" s="1"/>
  <c r="K180" i="1"/>
  <c r="L180" i="1" s="1"/>
  <c r="Q180" i="1" s="1"/>
  <c r="S180" i="1" s="1"/>
  <c r="K15" i="4"/>
  <c r="L15" i="4" s="1"/>
  <c r="M111" i="1"/>
  <c r="K111" i="1"/>
  <c r="L111" i="1" s="1"/>
  <c r="K185" i="1"/>
  <c r="L185" i="1" s="1"/>
  <c r="K122" i="4"/>
  <c r="L122" i="4" s="1"/>
  <c r="K469" i="6"/>
  <c r="L469" i="6" s="1"/>
  <c r="K468" i="6"/>
  <c r="L468" i="6" s="1"/>
  <c r="Q468" i="6" s="1"/>
  <c r="S468" i="6" s="1"/>
  <c r="K184" i="1"/>
  <c r="L184" i="1" s="1"/>
  <c r="K183" i="1"/>
  <c r="L183" i="1" s="1"/>
  <c r="K182" i="1"/>
  <c r="L182" i="1" s="1"/>
  <c r="K121" i="4"/>
  <c r="L121" i="4" s="1"/>
  <c r="K88" i="4"/>
  <c r="L88" i="4" s="1"/>
  <c r="K190" i="1"/>
  <c r="L190" i="1" s="1"/>
  <c r="Q190" i="1" s="1"/>
  <c r="K120" i="4"/>
  <c r="L120" i="4" s="1"/>
  <c r="K119" i="4"/>
  <c r="L119" i="4" s="1"/>
  <c r="Q119" i="4" s="1"/>
  <c r="S119" i="4" s="1"/>
  <c r="K117" i="4"/>
  <c r="L117" i="4" s="1"/>
  <c r="K118" i="4"/>
  <c r="L118" i="4" s="1"/>
  <c r="K181" i="1"/>
  <c r="L181" i="1" s="1"/>
  <c r="Q181" i="1" s="1"/>
  <c r="K189" i="1"/>
  <c r="L189" i="1" s="1"/>
  <c r="K188" i="1"/>
  <c r="L188" i="1" s="1"/>
  <c r="N71" i="1"/>
  <c r="O71" i="1" s="1"/>
  <c r="P71" i="1" s="1"/>
  <c r="K71" i="1"/>
  <c r="L71" i="1" s="1"/>
  <c r="K339" i="1"/>
  <c r="L339" i="1" s="1"/>
  <c r="N70" i="1"/>
  <c r="O70" i="1" s="1"/>
  <c r="P70" i="1" s="1"/>
  <c r="K70" i="1"/>
  <c r="L70" i="1" s="1"/>
  <c r="K77" i="5"/>
  <c r="L77" i="5" s="1"/>
  <c r="Q77" i="5" s="1"/>
  <c r="S77" i="5" s="1"/>
  <c r="T77" i="5" s="1"/>
  <c r="U77" i="5" s="1"/>
  <c r="K76" i="5"/>
  <c r="L76" i="5" s="1"/>
  <c r="K87" i="4"/>
  <c r="L87" i="4" s="1"/>
  <c r="Q87" i="4" s="1"/>
  <c r="B58" i="7"/>
  <c r="K147" i="1"/>
  <c r="L147" i="1" s="1"/>
  <c r="Q147" i="1" s="1"/>
  <c r="K60" i="1"/>
  <c r="L60" i="1" s="1"/>
  <c r="K139" i="1"/>
  <c r="L139" i="1" s="1"/>
  <c r="Q139" i="1" s="1"/>
  <c r="K48" i="4"/>
  <c r="L48" i="4" s="1"/>
  <c r="K261" i="1"/>
  <c r="L261" i="1" s="1"/>
  <c r="K173" i="6"/>
  <c r="L173" i="6" s="1"/>
  <c r="K86" i="4"/>
  <c r="L86" i="4" s="1"/>
  <c r="Q86" i="4" s="1"/>
  <c r="K116" i="4"/>
  <c r="L116" i="4"/>
  <c r="Q116" i="4" s="1"/>
  <c r="K115" i="4"/>
  <c r="L115" i="4" s="1"/>
  <c r="Q115" i="4" s="1"/>
  <c r="U115" i="4" s="1"/>
  <c r="N67" i="1"/>
  <c r="O67" i="1" s="1"/>
  <c r="P67" i="1" s="1"/>
  <c r="K67" i="1"/>
  <c r="L67" i="1" s="1"/>
  <c r="Q67" i="1" s="1"/>
  <c r="K334" i="1"/>
  <c r="L334" i="1" s="1"/>
  <c r="K180" i="6"/>
  <c r="L180" i="6" s="1"/>
  <c r="Q180" i="6" s="1"/>
  <c r="S180" i="6" s="1"/>
  <c r="K421" i="6"/>
  <c r="L421" i="6" s="1"/>
  <c r="K72" i="5"/>
  <c r="L72" i="5" s="1"/>
  <c r="K420" i="6"/>
  <c r="L420" i="6" s="1"/>
  <c r="K71" i="5"/>
  <c r="L71" i="5" s="1"/>
  <c r="K114" i="4"/>
  <c r="L114" i="4" s="1"/>
  <c r="K113" i="4"/>
  <c r="L113" i="4" s="1"/>
  <c r="Q113" i="4" s="1"/>
  <c r="M112" i="4"/>
  <c r="N112" i="4"/>
  <c r="O112" i="4" s="1"/>
  <c r="P112" i="4" s="1"/>
  <c r="K112" i="4"/>
  <c r="L112" i="4" s="1"/>
  <c r="Q112" i="4" s="1"/>
  <c r="C112" i="4"/>
  <c r="M13" i="4"/>
  <c r="N13" i="4"/>
  <c r="O13" i="4" s="1"/>
  <c r="P13" i="4" s="1"/>
  <c r="K65" i="5"/>
  <c r="L65" i="5"/>
  <c r="K85" i="4"/>
  <c r="L85" i="4"/>
  <c r="Q85" i="4" s="1"/>
  <c r="K83" i="4"/>
  <c r="L83" i="4" s="1"/>
  <c r="K82" i="4"/>
  <c r="L82" i="4" s="1"/>
  <c r="K310" i="1"/>
  <c r="L310" i="1" s="1"/>
  <c r="M14" i="4"/>
  <c r="K418" i="6"/>
  <c r="L418" i="6"/>
  <c r="K259" i="1"/>
  <c r="L259" i="1" s="1"/>
  <c r="N64" i="1"/>
  <c r="O64" i="1" s="1"/>
  <c r="P64" i="1" s="1"/>
  <c r="K64" i="1"/>
  <c r="L64" i="1" s="1"/>
  <c r="Q64" i="1" s="1"/>
  <c r="U64" i="1" s="1"/>
  <c r="K67" i="5"/>
  <c r="L67" i="5" s="1"/>
  <c r="Q67" i="5" s="1"/>
  <c r="M105" i="4"/>
  <c r="N105" i="4"/>
  <c r="O105" i="4" s="1"/>
  <c r="P105" i="4" s="1"/>
  <c r="K105" i="4"/>
  <c r="L105" i="4" s="1"/>
  <c r="Q105" i="4" s="1"/>
  <c r="U105" i="4" s="1"/>
  <c r="K110" i="4"/>
  <c r="L110" i="4"/>
  <c r="Q110" i="4" s="1"/>
  <c r="U110" i="4" s="1"/>
  <c r="K172" i="6"/>
  <c r="L172" i="6" s="1"/>
  <c r="Q172" i="6" s="1"/>
  <c r="S172" i="6" s="1"/>
  <c r="K308" i="1"/>
  <c r="L308" i="1" s="1"/>
  <c r="K417" i="6"/>
  <c r="L417" i="6" s="1"/>
  <c r="Q417" i="6" s="1"/>
  <c r="K79" i="4"/>
  <c r="L79" i="4" s="1"/>
  <c r="K81" i="4"/>
  <c r="L81" i="4" s="1"/>
  <c r="Q81" i="4" s="1"/>
  <c r="S81" i="4" s="1"/>
  <c r="K66" i="5"/>
  <c r="L66" i="5"/>
  <c r="K111" i="4"/>
  <c r="L111" i="4" s="1"/>
  <c r="Q111" i="4" s="1"/>
  <c r="M30" i="4"/>
  <c r="N30" i="4" s="1"/>
  <c r="O30" i="4" s="1"/>
  <c r="P30" i="4" s="1"/>
  <c r="K30" i="4"/>
  <c r="L30" i="4" s="1"/>
  <c r="Q30" i="4" s="1"/>
  <c r="M29" i="4"/>
  <c r="N29" i="4" s="1"/>
  <c r="O29" i="4" s="1"/>
  <c r="P29" i="4" s="1"/>
  <c r="K29" i="4"/>
  <c r="L29" i="4"/>
  <c r="Q29" i="4" s="1"/>
  <c r="K298" i="1"/>
  <c r="L298" i="1" s="1"/>
  <c r="Q298" i="1" s="1"/>
  <c r="K106" i="4"/>
  <c r="L106" i="4"/>
  <c r="K78" i="4"/>
  <c r="L78" i="4" s="1"/>
  <c r="Q78" i="4" s="1"/>
  <c r="K77" i="4"/>
  <c r="L77" i="4" s="1"/>
  <c r="Q77" i="4" s="1"/>
  <c r="K76" i="4"/>
  <c r="L76" i="4"/>
  <c r="Q76" i="4" s="1"/>
  <c r="K14" i="4"/>
  <c r="L14" i="4" s="1"/>
  <c r="K415" i="6"/>
  <c r="L415" i="6" s="1"/>
  <c r="Q415" i="6"/>
  <c r="K64" i="5"/>
  <c r="L64" i="5" s="1"/>
  <c r="Q64" i="5" s="1"/>
  <c r="S64" i="5" s="1"/>
  <c r="T64" i="5" s="1"/>
  <c r="K74" i="4"/>
  <c r="L74" i="4" s="1"/>
  <c r="Q74" i="4" s="1"/>
  <c r="K73" i="4"/>
  <c r="L73" i="4" s="1"/>
  <c r="Q73" i="4" s="1"/>
  <c r="K71" i="4"/>
  <c r="L71" i="4" s="1"/>
  <c r="Q71" i="4" s="1"/>
  <c r="U71" i="4" s="1"/>
  <c r="K57" i="4"/>
  <c r="K168" i="1"/>
  <c r="L168" i="1" s="1"/>
  <c r="Q168" i="1" s="1"/>
  <c r="K162" i="1"/>
  <c r="L162" i="1" s="1"/>
  <c r="Q162" i="1" s="1"/>
  <c r="K161" i="1"/>
  <c r="L161" i="1" s="1"/>
  <c r="Q161" i="1" s="1"/>
  <c r="U161" i="1" s="1"/>
  <c r="K131" i="1"/>
  <c r="L131" i="1" s="1"/>
  <c r="Q131" i="1" s="1"/>
  <c r="K133" i="1"/>
  <c r="L133" i="1" s="1"/>
  <c r="Q133" i="1" s="1"/>
  <c r="K135" i="1"/>
  <c r="L135" i="1" s="1"/>
  <c r="Q135" i="1" s="1"/>
  <c r="K137" i="1"/>
  <c r="L137" i="1" s="1"/>
  <c r="Q137" i="1" s="1"/>
  <c r="K125" i="1"/>
  <c r="L125" i="1" s="1"/>
  <c r="Q125" i="1" s="1"/>
  <c r="K174" i="1"/>
  <c r="L174" i="1" s="1"/>
  <c r="Q174" i="1" s="1"/>
  <c r="K176" i="1"/>
  <c r="L176" i="1" s="1"/>
  <c r="K178" i="1"/>
  <c r="L178" i="1" s="1"/>
  <c r="K63" i="5"/>
  <c r="L63" i="5"/>
  <c r="H5" i="7"/>
  <c r="M394" i="6"/>
  <c r="N394" i="6" s="1"/>
  <c r="O394" i="6" s="1"/>
  <c r="P394" i="6" s="1"/>
  <c r="D394" i="6"/>
  <c r="K62" i="5"/>
  <c r="L62" i="5" s="1"/>
  <c r="K109" i="4"/>
  <c r="L109" i="4" s="1"/>
  <c r="Q109" i="4" s="1"/>
  <c r="K258" i="1"/>
  <c r="L258" i="1" s="1"/>
  <c r="Q258" i="1" s="1"/>
  <c r="U258" i="1" s="1"/>
  <c r="K151" i="6"/>
  <c r="L151" i="6" s="1"/>
  <c r="K154" i="6"/>
  <c r="L154" i="6" s="1"/>
  <c r="K153" i="6"/>
  <c r="L153" i="6" s="1"/>
  <c r="K152" i="6"/>
  <c r="L152" i="6" s="1"/>
  <c r="K148" i="6"/>
  <c r="L148" i="6" s="1"/>
  <c r="K28" i="4"/>
  <c r="L28" i="4" s="1"/>
  <c r="Q28" i="4" s="1"/>
  <c r="K150" i="6"/>
  <c r="L150" i="6" s="1"/>
  <c r="K147" i="6"/>
  <c r="L147" i="6" s="1"/>
  <c r="K149" i="6"/>
  <c r="L149" i="6" s="1"/>
  <c r="M25" i="4"/>
  <c r="N25" i="4" s="1"/>
  <c r="M24" i="4"/>
  <c r="N24" i="4" s="1"/>
  <c r="M23" i="4"/>
  <c r="M72" i="4"/>
  <c r="N72" i="4" s="1"/>
  <c r="O72" i="4" s="1"/>
  <c r="P72" i="4" s="1"/>
  <c r="M70" i="4"/>
  <c r="N70" i="4" s="1"/>
  <c r="O70" i="4" s="1"/>
  <c r="P70" i="4" s="1"/>
  <c r="M67" i="4"/>
  <c r="N67" i="4" s="1"/>
  <c r="O67" i="4" s="1"/>
  <c r="P67" i="4" s="1"/>
  <c r="M66" i="4"/>
  <c r="N66" i="4" s="1"/>
  <c r="O66" i="4" s="1"/>
  <c r="P66" i="4" s="1"/>
  <c r="M65" i="4"/>
  <c r="N65" i="4" s="1"/>
  <c r="O65" i="4" s="1"/>
  <c r="P65" i="4" s="1"/>
  <c r="M12" i="4"/>
  <c r="M171" i="1"/>
  <c r="N171" i="1" s="1"/>
  <c r="O171" i="1" s="1"/>
  <c r="P171" i="1" s="1"/>
  <c r="M167" i="1"/>
  <c r="N167" i="1" s="1"/>
  <c r="O167" i="1" s="1"/>
  <c r="P167" i="1" s="1"/>
  <c r="N141" i="1"/>
  <c r="O141" i="1" s="1"/>
  <c r="P141" i="1" s="1"/>
  <c r="K27" i="4"/>
  <c r="L27" i="4"/>
  <c r="Q27" i="4" s="1"/>
  <c r="S27" i="4" s="1"/>
  <c r="D388" i="6"/>
  <c r="K413" i="6"/>
  <c r="L413" i="6" s="1"/>
  <c r="K13" i="4"/>
  <c r="L13" i="4" s="1"/>
  <c r="Q13" i="4" s="1"/>
  <c r="K72" i="4"/>
  <c r="L72" i="4" s="1"/>
  <c r="Q72" i="4" s="1"/>
  <c r="K306" i="1"/>
  <c r="L306" i="1" s="1"/>
  <c r="K278" i="1"/>
  <c r="L278" i="1" s="1"/>
  <c r="Q278" i="1" s="1"/>
  <c r="K165" i="1"/>
  <c r="L165" i="1" s="1"/>
  <c r="Q165" i="1" s="1"/>
  <c r="K171" i="1"/>
  <c r="L171" i="1" s="1"/>
  <c r="Q171" i="1" s="1"/>
  <c r="K163" i="1"/>
  <c r="L163" i="1" s="1"/>
  <c r="Q163" i="1" s="1"/>
  <c r="U163" i="1" s="1"/>
  <c r="K141" i="1"/>
  <c r="L141" i="1" s="1"/>
  <c r="Q141" i="1" s="1"/>
  <c r="N107" i="1"/>
  <c r="O107" i="1" s="1"/>
  <c r="P107" i="1" s="1"/>
  <c r="K107" i="1"/>
  <c r="L107" i="1" s="1"/>
  <c r="Q107" i="1" s="1"/>
  <c r="K108" i="4"/>
  <c r="L108" i="4"/>
  <c r="Q108" i="4" s="1"/>
  <c r="K70" i="4"/>
  <c r="L70" i="4" s="1"/>
  <c r="Q70" i="4" s="1"/>
  <c r="K54" i="1"/>
  <c r="L54" i="1" s="1"/>
  <c r="M120" i="6"/>
  <c r="N120" i="6" s="1"/>
  <c r="O120" i="6" s="1"/>
  <c r="P120" i="6" s="1"/>
  <c r="K12" i="4"/>
  <c r="L12" i="4"/>
  <c r="K26" i="4"/>
  <c r="L26" i="4" s="1"/>
  <c r="Q26" i="4" s="1"/>
  <c r="S26" i="4" s="1"/>
  <c r="B39" i="7"/>
  <c r="K385" i="6"/>
  <c r="L385" i="6" s="1"/>
  <c r="Q385" i="6" s="1"/>
  <c r="S385" i="6" s="1"/>
  <c r="K120" i="6"/>
  <c r="L120" i="6" s="1"/>
  <c r="Q120" i="6" s="1"/>
  <c r="K118" i="6"/>
  <c r="L118" i="6" s="1"/>
  <c r="M104" i="4"/>
  <c r="N104" i="4"/>
  <c r="O104" i="4" s="1"/>
  <c r="K48" i="1"/>
  <c r="L48" i="1" s="1"/>
  <c r="Q48" i="1" s="1"/>
  <c r="K300" i="1"/>
  <c r="L300" i="1" s="1"/>
  <c r="Q300" i="1" s="1"/>
  <c r="K46" i="1"/>
  <c r="L46" i="1" s="1"/>
  <c r="Q46" i="1" s="1"/>
  <c r="U46" i="1" s="1"/>
  <c r="K44" i="1"/>
  <c r="L44" i="1" s="1"/>
  <c r="Q44" i="1" s="1"/>
  <c r="U44" i="1" s="1"/>
  <c r="K345" i="1"/>
  <c r="L345" i="1" s="1"/>
  <c r="Q345" i="1" s="1"/>
  <c r="U345" i="1" s="1"/>
  <c r="K344" i="1"/>
  <c r="L344" i="1" s="1"/>
  <c r="Q344" i="1" s="1"/>
  <c r="U344" i="1" s="1"/>
  <c r="K276" i="1"/>
  <c r="L276" i="1" s="1"/>
  <c r="Q276" i="1" s="1"/>
  <c r="K277" i="1"/>
  <c r="L277" i="1" s="1"/>
  <c r="Q277" i="1" s="1"/>
  <c r="K169" i="1"/>
  <c r="L169" i="1" s="1"/>
  <c r="Q169" i="1" s="1"/>
  <c r="K167" i="1"/>
  <c r="L167" i="1" s="1"/>
  <c r="Q167" i="1" s="1"/>
  <c r="K330" i="1"/>
  <c r="L330" i="1" s="1"/>
  <c r="Q330" i="1" s="1"/>
  <c r="K107" i="4"/>
  <c r="L107" i="4" s="1"/>
  <c r="Q107" i="4" s="1"/>
  <c r="K104" i="4"/>
  <c r="L104" i="4"/>
  <c r="Q104" i="4" s="1"/>
  <c r="K102" i="4"/>
  <c r="L102" i="4" s="1"/>
  <c r="Q102" i="4" s="1"/>
  <c r="K101" i="4"/>
  <c r="L101" i="4"/>
  <c r="K100" i="4"/>
  <c r="L100" i="4" s="1"/>
  <c r="Q100" i="4" s="1"/>
  <c r="M100" i="4"/>
  <c r="K67" i="4"/>
  <c r="L67" i="4" s="1"/>
  <c r="Q67" i="4" s="1"/>
  <c r="K66" i="4"/>
  <c r="L66" i="4" s="1"/>
  <c r="Q66" i="4" s="1"/>
  <c r="M58" i="5"/>
  <c r="N58" i="5" s="1"/>
  <c r="O58" i="5" s="1"/>
  <c r="P58" i="5" s="1"/>
  <c r="K59" i="5"/>
  <c r="L59" i="5" s="1"/>
  <c r="K58" i="5"/>
  <c r="L58" i="5" s="1"/>
  <c r="D58" i="5"/>
  <c r="K56" i="5"/>
  <c r="L56" i="5" s="1"/>
  <c r="Q56" i="5" s="1"/>
  <c r="K119" i="6"/>
  <c r="L119" i="6" s="1"/>
  <c r="K117" i="6"/>
  <c r="L117" i="6" s="1"/>
  <c r="M117" i="6"/>
  <c r="N117" i="6" s="1"/>
  <c r="O117" i="6" s="1"/>
  <c r="P117" i="6" s="1"/>
  <c r="K101" i="6"/>
  <c r="L101" i="6" s="1"/>
  <c r="K97" i="6"/>
  <c r="L97" i="6" s="1"/>
  <c r="K102" i="6"/>
  <c r="L102" i="6" s="1"/>
  <c r="K99" i="6"/>
  <c r="L99" i="6" s="1"/>
  <c r="K96" i="6"/>
  <c r="L96" i="6" s="1"/>
  <c r="D102" i="6"/>
  <c r="D229" i="6" s="1"/>
  <c r="K411" i="6"/>
  <c r="L411" i="6" s="1"/>
  <c r="K409" i="6"/>
  <c r="L409" i="6" s="1"/>
  <c r="Q409" i="6" s="1"/>
  <c r="S409" i="6" s="1"/>
  <c r="T409" i="6" s="1"/>
  <c r="U409" i="6" s="1"/>
  <c r="K52" i="1"/>
  <c r="L52" i="1" s="1"/>
  <c r="Q52" i="1" s="1"/>
  <c r="K50" i="1"/>
  <c r="L50" i="1" s="1"/>
  <c r="K321" i="1"/>
  <c r="L321" i="1" s="1"/>
  <c r="Q321" i="1" s="1"/>
  <c r="K323" i="1"/>
  <c r="L323" i="1" s="1"/>
  <c r="Q323" i="1" s="1"/>
  <c r="U323" i="1" s="1"/>
  <c r="K44" i="4"/>
  <c r="L44" i="4" s="1"/>
  <c r="Q44" i="4" s="1"/>
  <c r="U44" i="4" s="1"/>
  <c r="K98" i="6"/>
  <c r="L98" i="6" s="1"/>
  <c r="K94" i="6"/>
  <c r="L94" i="6" s="1"/>
  <c r="K95" i="6"/>
  <c r="L95" i="6" s="1"/>
  <c r="K100" i="6"/>
  <c r="L100" i="6" s="1"/>
  <c r="K105" i="1"/>
  <c r="J106" i="1" s="1"/>
  <c r="K407" i="6"/>
  <c r="L407" i="6" s="1"/>
  <c r="K406" i="6"/>
  <c r="L406" i="6"/>
  <c r="K65" i="4"/>
  <c r="L65" i="4" s="1"/>
  <c r="Q65" i="4" s="1"/>
  <c r="K53" i="5"/>
  <c r="L53" i="5" s="1"/>
  <c r="Q53" i="5" s="1"/>
  <c r="K52" i="5"/>
  <c r="L52" i="5"/>
  <c r="Q52" i="5" s="1"/>
  <c r="K70" i="6"/>
  <c r="L70" i="6" s="1"/>
  <c r="Q70" i="6" s="1"/>
  <c r="K69" i="6"/>
  <c r="L69" i="6" s="1"/>
  <c r="Q69" i="6" s="1"/>
  <c r="K72" i="6"/>
  <c r="L72" i="6" s="1"/>
  <c r="Q72" i="6" s="1"/>
  <c r="M405" i="6"/>
  <c r="N405" i="6" s="1"/>
  <c r="K405" i="6"/>
  <c r="L405" i="6" s="1"/>
  <c r="Q405" i="6" s="1"/>
  <c r="K73" i="6"/>
  <c r="L73" i="6" s="1"/>
  <c r="Q73" i="6" s="1"/>
  <c r="K75" i="6"/>
  <c r="L75" i="6" s="1"/>
  <c r="Q75" i="6" s="1"/>
  <c r="K404" i="6"/>
  <c r="L404" i="6" s="1"/>
  <c r="Q404" i="6" s="1"/>
  <c r="U404" i="6" s="1"/>
  <c r="K74" i="6"/>
  <c r="L74" i="6" s="1"/>
  <c r="Q74" i="6" s="1"/>
  <c r="K71" i="6"/>
  <c r="L71" i="6"/>
  <c r="Q71" i="6" s="1"/>
  <c r="K53" i="6"/>
  <c r="L53" i="6" s="1"/>
  <c r="Q53" i="6" s="1"/>
  <c r="U53" i="6" s="1"/>
  <c r="K55" i="6"/>
  <c r="L55" i="6" s="1"/>
  <c r="Q55" i="6" s="1"/>
  <c r="K56" i="6"/>
  <c r="L56" i="6"/>
  <c r="Q56" i="6" s="1"/>
  <c r="K54" i="6"/>
  <c r="L54" i="6" s="1"/>
  <c r="Q54" i="6" s="1"/>
  <c r="K12" i="6"/>
  <c r="L12" i="6" s="1"/>
  <c r="Q12" i="6" s="1"/>
  <c r="K14" i="6"/>
  <c r="L14" i="6" s="1"/>
  <c r="Q14" i="6" s="1"/>
  <c r="S14" i="6" s="1"/>
  <c r="K15" i="6"/>
  <c r="L15" i="6" s="1"/>
  <c r="Q15" i="6" s="1"/>
  <c r="U15" i="6" s="1"/>
  <c r="K13" i="6"/>
  <c r="L13" i="6" s="1"/>
  <c r="Q13" i="6" s="1"/>
  <c r="K16" i="6"/>
  <c r="L16" i="6" s="1"/>
  <c r="Q16" i="6" s="1"/>
  <c r="K35" i="6"/>
  <c r="L35" i="6" s="1"/>
  <c r="Q35" i="6" s="1"/>
  <c r="K31" i="6"/>
  <c r="L31" i="6" s="1"/>
  <c r="Q31" i="6" s="1"/>
  <c r="K32" i="6"/>
  <c r="L32" i="6" s="1"/>
  <c r="Q32" i="6" s="1"/>
  <c r="K36" i="6"/>
  <c r="L36" i="6" s="1"/>
  <c r="Q36" i="6" s="1"/>
  <c r="K29" i="6"/>
  <c r="L29" i="6" s="1"/>
  <c r="Q29" i="6" s="1"/>
  <c r="K33" i="6"/>
  <c r="L33" i="6" s="1"/>
  <c r="Q33" i="6" s="1"/>
  <c r="U33" i="6" s="1"/>
  <c r="K30" i="6"/>
  <c r="L30" i="6" s="1"/>
  <c r="Q30" i="6" s="1"/>
  <c r="K34" i="6"/>
  <c r="L34" i="6" s="1"/>
  <c r="Q34" i="6" s="1"/>
  <c r="K52" i="6"/>
  <c r="L52" i="6" s="1"/>
  <c r="Q52" i="6" s="1"/>
  <c r="U52" i="6" s="1"/>
  <c r="M403" i="6"/>
  <c r="K403" i="6"/>
  <c r="L403" i="6" s="1"/>
  <c r="Q403" i="6" s="1"/>
  <c r="M237" i="6"/>
  <c r="K402" i="6"/>
  <c r="L402" i="6" s="1"/>
  <c r="Q402" i="6" s="1"/>
  <c r="K393" i="6"/>
  <c r="L393" i="6" s="1"/>
  <c r="Q393" i="6" s="1"/>
  <c r="K394" i="6"/>
  <c r="L394" i="6" s="1"/>
  <c r="Q394" i="6" s="1"/>
  <c r="K395" i="6"/>
  <c r="L395" i="6" s="1"/>
  <c r="Q395" i="6" s="1"/>
  <c r="K396" i="6"/>
  <c r="L396" i="6" s="1"/>
  <c r="Q396" i="6" s="1"/>
  <c r="K63" i="4"/>
  <c r="L63" i="4" s="1"/>
  <c r="Q63" i="4" s="1"/>
  <c r="K24" i="4"/>
  <c r="L24" i="4" s="1"/>
  <c r="K21" i="4"/>
  <c r="L21" i="4" s="1"/>
  <c r="Q21" i="4" s="1"/>
  <c r="K22" i="4"/>
  <c r="L22" i="4" s="1"/>
  <c r="Q22" i="4" s="1"/>
  <c r="K25" i="4"/>
  <c r="L25" i="4" s="1"/>
  <c r="K23" i="4"/>
  <c r="L23" i="4" s="1"/>
  <c r="K59" i="4"/>
  <c r="L59" i="4" s="1"/>
  <c r="Q59" i="4" s="1"/>
  <c r="K60" i="4"/>
  <c r="L60" i="4"/>
  <c r="Q60" i="4" s="1"/>
  <c r="K61" i="4"/>
  <c r="L61" i="4" s="1"/>
  <c r="Q61" i="4" s="1"/>
  <c r="K42" i="4"/>
  <c r="L42" i="4" s="1"/>
  <c r="Q42" i="4" s="1"/>
  <c r="K12" i="1"/>
  <c r="K287" i="1"/>
  <c r="J288" i="1" s="1"/>
  <c r="K19" i="1"/>
  <c r="N19" i="1"/>
  <c r="O19" i="1" s="1"/>
  <c r="P19" i="1" s="1"/>
  <c r="K23" i="1"/>
  <c r="L23" i="1" s="1"/>
  <c r="Q23" i="1" s="1"/>
  <c r="N23" i="1"/>
  <c r="O23" i="1" s="1"/>
  <c r="P23" i="1" s="1"/>
  <c r="K25" i="1"/>
  <c r="L25" i="1" s="1"/>
  <c r="Q25" i="1" s="1"/>
  <c r="N25" i="1"/>
  <c r="O25" i="1" s="1"/>
  <c r="P25" i="1" s="1"/>
  <c r="K26" i="1"/>
  <c r="J27" i="1" s="1"/>
  <c r="K30" i="1"/>
  <c r="L30" i="1" s="1"/>
  <c r="Q30" i="1" s="1"/>
  <c r="K34" i="1"/>
  <c r="L34" i="1" s="1"/>
  <c r="Q34" i="1" s="1"/>
  <c r="U34" i="1" s="1"/>
  <c r="K36" i="1"/>
  <c r="L36" i="1" s="1"/>
  <c r="Q36" i="1" s="1"/>
  <c r="K38" i="1"/>
  <c r="L38" i="1" s="1"/>
  <c r="Q38" i="1" s="1"/>
  <c r="U38" i="1" s="1"/>
  <c r="K123" i="1"/>
  <c r="L123" i="1" s="1"/>
  <c r="Q123" i="1" s="1"/>
  <c r="K127" i="1"/>
  <c r="L127" i="1" s="1"/>
  <c r="Q127" i="1" s="1"/>
  <c r="K129" i="1"/>
  <c r="L129" i="1" s="1"/>
  <c r="Q129" i="1" s="1"/>
  <c r="U129" i="1" s="1"/>
  <c r="K121" i="1"/>
  <c r="K143" i="1"/>
  <c r="L143" i="1" s="1"/>
  <c r="Q143" i="1" s="1"/>
  <c r="N145" i="1"/>
  <c r="O145" i="1" s="1"/>
  <c r="P145" i="1" s="1"/>
  <c r="K145" i="1"/>
  <c r="L145" i="1" s="1"/>
  <c r="Q145" i="1" s="1"/>
  <c r="K149" i="1"/>
  <c r="L149" i="1" s="1"/>
  <c r="Q149" i="1" s="1"/>
  <c r="K151" i="1"/>
  <c r="L151" i="1" s="1"/>
  <c r="Q151" i="1" s="1"/>
  <c r="K153" i="1"/>
  <c r="K155" i="1"/>
  <c r="L155" i="1" s="1"/>
  <c r="Q155" i="1" s="1"/>
  <c r="K230" i="1"/>
  <c r="L230" i="1" s="1"/>
  <c r="Q230" i="1" s="1"/>
  <c r="K232" i="1"/>
  <c r="L232" i="1" s="1"/>
  <c r="Q232" i="1" s="1"/>
  <c r="K234" i="1"/>
  <c r="L234" i="1" s="1"/>
  <c r="Q234" i="1" s="1"/>
  <c r="K235" i="1"/>
  <c r="L235" i="1" s="1"/>
  <c r="Q235" i="1" s="1"/>
  <c r="U235" i="1" s="1"/>
  <c r="K237" i="1"/>
  <c r="L237" i="1" s="1"/>
  <c r="Q237" i="1" s="1"/>
  <c r="U237" i="1" s="1"/>
  <c r="K238" i="1"/>
  <c r="K246" i="1"/>
  <c r="L246" i="1" s="1"/>
  <c r="Q246" i="1" s="1"/>
  <c r="K250" i="1"/>
  <c r="L250" i="1" s="1"/>
  <c r="Q250" i="1" s="1"/>
  <c r="K248" i="1"/>
  <c r="K252" i="1"/>
  <c r="L252" i="1" s="1"/>
  <c r="Q252" i="1" s="1"/>
  <c r="U252" i="1" s="1"/>
  <c r="K254" i="1"/>
  <c r="L254" i="1" s="1"/>
  <c r="Q254" i="1" s="1"/>
  <c r="K268" i="1"/>
  <c r="J269" i="1" s="1"/>
  <c r="K269" i="1" s="1"/>
  <c r="L269" i="1" s="1"/>
  <c r="K285" i="1"/>
  <c r="L285" i="1" s="1"/>
  <c r="Q285" i="1" s="1"/>
  <c r="K286" i="1"/>
  <c r="L286" i="1" s="1"/>
  <c r="Q286" i="1" s="1"/>
  <c r="K103" i="1"/>
  <c r="L103" i="1" s="1"/>
  <c r="Q103" i="1" s="1"/>
  <c r="K295" i="1"/>
  <c r="L295" i="1" s="1"/>
  <c r="Q295" i="1" s="1"/>
  <c r="M48" i="5"/>
  <c r="N48" i="5" s="1"/>
  <c r="O48" i="5" s="1"/>
  <c r="P48" i="5" s="1"/>
  <c r="D48" i="5"/>
  <c r="K48" i="5"/>
  <c r="L48" i="5" s="1"/>
  <c r="Q48" i="5" s="1"/>
  <c r="K47" i="5"/>
  <c r="L47" i="5" s="1"/>
  <c r="Q47" i="5" s="1"/>
  <c r="K43" i="5"/>
  <c r="L43" i="5" s="1"/>
  <c r="Q43" i="5" s="1"/>
  <c r="K42" i="5"/>
  <c r="L42" i="5"/>
  <c r="Q42" i="5" s="1"/>
  <c r="M41" i="5"/>
  <c r="N41" i="5" s="1"/>
  <c r="O41" i="5" s="1"/>
  <c r="P41" i="5" s="1"/>
  <c r="D41" i="5"/>
  <c r="K41" i="5"/>
  <c r="L41" i="5"/>
  <c r="Q41" i="5" s="1"/>
  <c r="M40" i="5"/>
  <c r="N40" i="5" s="1"/>
  <c r="O40" i="5" s="1"/>
  <c r="P40" i="5" s="1"/>
  <c r="D40" i="5"/>
  <c r="K40" i="5"/>
  <c r="L40" i="5"/>
  <c r="Q40" i="5" s="1"/>
  <c r="K39" i="5"/>
  <c r="L39" i="5" s="1"/>
  <c r="Q39" i="5" s="1"/>
  <c r="M38" i="5"/>
  <c r="N38" i="5" s="1"/>
  <c r="D38" i="5"/>
  <c r="K38" i="5"/>
  <c r="L38" i="5" s="1"/>
  <c r="Q38" i="5" s="1"/>
  <c r="K14" i="5"/>
  <c r="L14" i="5" s="1"/>
  <c r="Q14" i="5" s="1"/>
  <c r="U14" i="5" s="1"/>
  <c r="K15" i="5"/>
  <c r="L15" i="5" s="1"/>
  <c r="Q15" i="5" s="1"/>
  <c r="K18" i="5"/>
  <c r="L18" i="5"/>
  <c r="Q18" i="5" s="1"/>
  <c r="K19" i="5"/>
  <c r="L19" i="5" s="1"/>
  <c r="Q19" i="5" s="1"/>
  <c r="K24" i="5"/>
  <c r="L24" i="5" s="1"/>
  <c r="Q24" i="5" s="1"/>
  <c r="K25" i="5"/>
  <c r="L25" i="5" s="1"/>
  <c r="Q25" i="5" s="1"/>
  <c r="K26" i="5"/>
  <c r="L26" i="5" s="1"/>
  <c r="Q26" i="5" s="1"/>
  <c r="U26" i="5" s="1"/>
  <c r="K32" i="5"/>
  <c r="L32" i="5" s="1"/>
  <c r="Q32" i="5" s="1"/>
  <c r="K33" i="5"/>
  <c r="L33" i="5"/>
  <c r="Q33" i="5" s="1"/>
  <c r="K34" i="5"/>
  <c r="L34" i="5" s="1"/>
  <c r="Q34" i="5" s="1"/>
  <c r="K35" i="5"/>
  <c r="L35" i="5" s="1"/>
  <c r="Q35" i="5" s="1"/>
  <c r="D57" i="7"/>
  <c r="N69" i="1"/>
  <c r="O69" i="1" s="1"/>
  <c r="P69" i="1" s="1"/>
  <c r="R22" i="14"/>
  <c r="T22" i="14" s="1"/>
  <c r="R76" i="14"/>
  <c r="X78" i="14"/>
  <c r="Y78" i="14"/>
  <c r="AA78" i="14" s="1"/>
  <c r="R78" i="14"/>
  <c r="X47" i="14"/>
  <c r="Y47" i="14" s="1"/>
  <c r="AA47" i="14" s="1"/>
  <c r="X58" i="14"/>
  <c r="Y58" i="14"/>
  <c r="AA58" i="14" s="1"/>
  <c r="R58" i="14"/>
  <c r="R72" i="14"/>
  <c r="X73" i="14"/>
  <c r="Y73" i="14"/>
  <c r="AA73" i="14" s="1"/>
  <c r="R73" i="14"/>
  <c r="X75" i="14"/>
  <c r="Y75" i="14"/>
  <c r="AA75" i="14" s="1"/>
  <c r="R115" i="14"/>
  <c r="V115" i="14" s="1"/>
  <c r="X115" i="14"/>
  <c r="Y115" i="14" s="1"/>
  <c r="AA115" i="14" s="1"/>
  <c r="X46" i="14"/>
  <c r="Y46" i="14" s="1"/>
  <c r="AA46" i="14" s="1"/>
  <c r="X56" i="14"/>
  <c r="Y56" i="14" s="1"/>
  <c r="AA56" i="14" s="1"/>
  <c r="X70" i="14"/>
  <c r="Y70" i="14" s="1"/>
  <c r="AA70" i="14" s="1"/>
  <c r="R70" i="14"/>
  <c r="X71" i="14"/>
  <c r="Y71" i="14" s="1"/>
  <c r="AA71" i="14" s="1"/>
  <c r="R24" i="14"/>
  <c r="R32" i="14"/>
  <c r="R23" i="14"/>
  <c r="R40" i="14"/>
  <c r="T40" i="14" s="1"/>
  <c r="R46" i="14"/>
  <c r="R57" i="14"/>
  <c r="R60" i="14"/>
  <c r="R68" i="14"/>
  <c r="X89" i="14"/>
  <c r="Y89" i="14"/>
  <c r="AA89" i="14" s="1"/>
  <c r="R89" i="14"/>
  <c r="X102" i="14"/>
  <c r="Y102" i="14" s="1"/>
  <c r="AA102" i="14" s="1"/>
  <c r="R102" i="14"/>
  <c r="V102" i="14" s="1"/>
  <c r="X106" i="14"/>
  <c r="Y106" i="14" s="1"/>
  <c r="AA106" i="14" s="1"/>
  <c r="R106" i="14"/>
  <c r="V106" i="14" s="1"/>
  <c r="X107" i="14"/>
  <c r="Y107" i="14"/>
  <c r="AA107" i="14" s="1"/>
  <c r="X110" i="14"/>
  <c r="Y110" i="14" s="1"/>
  <c r="AA110" i="14" s="1"/>
  <c r="R110" i="14"/>
  <c r="V110" i="14" s="1"/>
  <c r="X114" i="14"/>
  <c r="Y114" i="14" s="1"/>
  <c r="AA114" i="14" s="1"/>
  <c r="R114" i="14"/>
  <c r="V114" i="14" s="1"/>
  <c r="X128" i="14"/>
  <c r="Y128" i="14" s="1"/>
  <c r="AA128" i="14" s="1"/>
  <c r="R128" i="14"/>
  <c r="X132" i="14"/>
  <c r="Y132" i="14" s="1"/>
  <c r="AA132" i="14" s="1"/>
  <c r="R132" i="14"/>
  <c r="R133" i="14"/>
  <c r="X134" i="14"/>
  <c r="Y134" i="14"/>
  <c r="AA134" i="14" s="1"/>
  <c r="X141" i="14"/>
  <c r="Y141" i="14" s="1"/>
  <c r="AA141" i="14" s="1"/>
  <c r="R141" i="14"/>
  <c r="X143" i="14"/>
  <c r="Y143" i="14" s="1"/>
  <c r="AA143" i="14" s="1"/>
  <c r="R158" i="14"/>
  <c r="X164" i="14"/>
  <c r="Y164" i="14" s="1"/>
  <c r="AA164" i="14" s="1"/>
  <c r="R164" i="14"/>
  <c r="Q12" i="14"/>
  <c r="R19" i="14"/>
  <c r="R21" i="14"/>
  <c r="X34" i="14"/>
  <c r="Y34" i="14" s="1"/>
  <c r="AA34" i="14" s="1"/>
  <c r="R41" i="14"/>
  <c r="V41" i="14" s="1"/>
  <c r="X41" i="14"/>
  <c r="Y41" i="14" s="1"/>
  <c r="AA41" i="14" s="1"/>
  <c r="X44" i="14"/>
  <c r="Y44" i="14" s="1"/>
  <c r="AA44" i="14" s="1"/>
  <c r="R61" i="14"/>
  <c r="V61" i="14"/>
  <c r="X61" i="14"/>
  <c r="Y61" i="14" s="1"/>
  <c r="AA61" i="14" s="1"/>
  <c r="AB61" i="14" s="1"/>
  <c r="R64" i="14"/>
  <c r="V64" i="14"/>
  <c r="X64" i="14"/>
  <c r="Y64" i="14" s="1"/>
  <c r="AA64" i="14" s="1"/>
  <c r="R66" i="14"/>
  <c r="V66" i="14"/>
  <c r="X66" i="14"/>
  <c r="Y66" i="14" s="1"/>
  <c r="AA66" i="14" s="1"/>
  <c r="AB66" i="14" s="1"/>
  <c r="R74" i="14"/>
  <c r="V74" i="14"/>
  <c r="X74" i="14"/>
  <c r="Y74" i="14" s="1"/>
  <c r="AA74" i="14" s="1"/>
  <c r="AB74" i="14" s="1"/>
  <c r="R79" i="14"/>
  <c r="V79" i="14"/>
  <c r="X79" i="14"/>
  <c r="Y79" i="14" s="1"/>
  <c r="AA79" i="14" s="1"/>
  <c r="R81" i="14"/>
  <c r="V81" i="14"/>
  <c r="R82" i="14"/>
  <c r="R91" i="14"/>
  <c r="V91" i="14"/>
  <c r="R94" i="14"/>
  <c r="V94" i="14" s="1"/>
  <c r="X117" i="14"/>
  <c r="Y117" i="14"/>
  <c r="AA117" i="14" s="1"/>
  <c r="R117" i="14"/>
  <c r="X122" i="14"/>
  <c r="Y122" i="14" s="1"/>
  <c r="AA122" i="14" s="1"/>
  <c r="R122" i="14"/>
  <c r="V122" i="14" s="1"/>
  <c r="S136" i="14"/>
  <c r="Q128" i="14"/>
  <c r="S154" i="14"/>
  <c r="X152" i="14"/>
  <c r="Y152" i="14" s="1"/>
  <c r="AA152" i="14" s="1"/>
  <c r="R159" i="14"/>
  <c r="V159" i="14" s="1"/>
  <c r="X165" i="14"/>
  <c r="Y165" i="14"/>
  <c r="AA165" i="14" s="1"/>
  <c r="R165" i="14"/>
  <c r="N167" i="14"/>
  <c r="X170" i="14"/>
  <c r="R170" i="14"/>
  <c r="T170" i="14" s="1"/>
  <c r="R75" i="14"/>
  <c r="R77" i="14"/>
  <c r="T91" i="14"/>
  <c r="X93" i="14"/>
  <c r="Y93" i="14" s="1"/>
  <c r="AA93" i="14" s="1"/>
  <c r="R93" i="14"/>
  <c r="V93" i="14" s="1"/>
  <c r="X105" i="14"/>
  <c r="Y105" i="14" s="1"/>
  <c r="AA105" i="14" s="1"/>
  <c r="R105" i="14"/>
  <c r="X109" i="14"/>
  <c r="Y109" i="14" s="1"/>
  <c r="AA109" i="14" s="1"/>
  <c r="R109" i="14"/>
  <c r="X129" i="14"/>
  <c r="Y129" i="14" s="1"/>
  <c r="AA129" i="14" s="1"/>
  <c r="R129" i="14"/>
  <c r="V129" i="14" s="1"/>
  <c r="X144" i="14"/>
  <c r="Y144" i="14" s="1"/>
  <c r="AA144" i="14" s="1"/>
  <c r="R144" i="14"/>
  <c r="V144" i="14" s="1"/>
  <c r="X151" i="14"/>
  <c r="Y151" i="14" s="1"/>
  <c r="AA151" i="14" s="1"/>
  <c r="AB151" i="14" s="1"/>
  <c r="AC151" i="14" s="1"/>
  <c r="N154" i="14"/>
  <c r="P152" i="14"/>
  <c r="Q152" i="14"/>
  <c r="R152" i="14" s="1"/>
  <c r="S167" i="14"/>
  <c r="R13" i="14"/>
  <c r="V13" i="14"/>
  <c r="X13" i="14"/>
  <c r="Y13" i="14" s="1"/>
  <c r="AA13" i="14" s="1"/>
  <c r="R17" i="14"/>
  <c r="X17" i="14"/>
  <c r="Y17" i="14" s="1"/>
  <c r="AA17" i="14" s="1"/>
  <c r="R20" i="14"/>
  <c r="V20" i="14" s="1"/>
  <c r="R52" i="14"/>
  <c r="T52" i="14" s="1"/>
  <c r="X52" i="14"/>
  <c r="Y52" i="14" s="1"/>
  <c r="P53" i="14"/>
  <c r="M121" i="1" s="1"/>
  <c r="N121" i="1" s="1"/>
  <c r="O121" i="1" s="1"/>
  <c r="P121" i="1" s="1"/>
  <c r="V54" i="14"/>
  <c r="R59" i="14"/>
  <c r="V59" i="14"/>
  <c r="X59" i="14"/>
  <c r="Y59" i="14" s="1"/>
  <c r="AA59" i="14" s="1"/>
  <c r="R63" i="14"/>
  <c r="V63" i="14"/>
  <c r="X63" i="14"/>
  <c r="Y63" i="14" s="1"/>
  <c r="AA63" i="14" s="1"/>
  <c r="R65" i="14"/>
  <c r="V65" i="14"/>
  <c r="X65" i="14"/>
  <c r="Y65" i="14" s="1"/>
  <c r="AA65" i="14" s="1"/>
  <c r="R67" i="14"/>
  <c r="V67" i="14"/>
  <c r="X67" i="14"/>
  <c r="Y67" i="14" s="1"/>
  <c r="AA67" i="14" s="1"/>
  <c r="R80" i="14"/>
  <c r="V80" i="14"/>
  <c r="X80" i="14"/>
  <c r="Y80" i="14" s="1"/>
  <c r="AA80" i="14" s="1"/>
  <c r="S120" i="14"/>
  <c r="X116" i="14"/>
  <c r="Y116" i="14" s="1"/>
  <c r="AA116" i="14" s="1"/>
  <c r="R118" i="14"/>
  <c r="V118" i="14" s="1"/>
  <c r="AB118" i="14" s="1"/>
  <c r="AC118" i="14" s="1"/>
  <c r="X139" i="14"/>
  <c r="Y139" i="14" s="1"/>
  <c r="AA139" i="14" s="1"/>
  <c r="R139" i="14"/>
  <c r="V139" i="14" s="1"/>
  <c r="T143" i="14"/>
  <c r="X145" i="14"/>
  <c r="Y145" i="14" s="1"/>
  <c r="AA145" i="14" s="1"/>
  <c r="R145" i="14"/>
  <c r="X146" i="14"/>
  <c r="Y146" i="14"/>
  <c r="AA146" i="14" s="1"/>
  <c r="R146" i="14"/>
  <c r="V146" i="14" s="1"/>
  <c r="N120" i="14"/>
  <c r="Q139" i="14"/>
  <c r="P134" i="14"/>
  <c r="Q134" i="14" s="1"/>
  <c r="X172" i="14"/>
  <c r="Y172" i="14" s="1"/>
  <c r="AA172" i="14" s="1"/>
  <c r="P172" i="14"/>
  <c r="Q172" i="14"/>
  <c r="AD104" i="17"/>
  <c r="AD100" i="17"/>
  <c r="AD103" i="17"/>
  <c r="AD99" i="17"/>
  <c r="AD95" i="17"/>
  <c r="AD93" i="17"/>
  <c r="AD89" i="17"/>
  <c r="AD102" i="17"/>
  <c r="AD98" i="17"/>
  <c r="AD92" i="17"/>
  <c r="AD88" i="17"/>
  <c r="AD86" i="17"/>
  <c r="AD105" i="17"/>
  <c r="AD101" i="17"/>
  <c r="AD97" i="17"/>
  <c r="AD91" i="17"/>
  <c r="AD85" i="17"/>
  <c r="AD74" i="17"/>
  <c r="AD70" i="17"/>
  <c r="AD66" i="17"/>
  <c r="AD62" i="17"/>
  <c r="AD59" i="17"/>
  <c r="AD57" i="17"/>
  <c r="AD55" i="17"/>
  <c r="AD96" i="17"/>
  <c r="AD94" i="17"/>
  <c r="AD87" i="17"/>
  <c r="AD76" i="17"/>
  <c r="AD73" i="17"/>
  <c r="AD69" i="17"/>
  <c r="AD65" i="17"/>
  <c r="AD61" i="17"/>
  <c r="Q61" i="17" s="1"/>
  <c r="AD52" i="17"/>
  <c r="AD41" i="17"/>
  <c r="AD27" i="17"/>
  <c r="AD25" i="17"/>
  <c r="AD13" i="17"/>
  <c r="AD90" i="17"/>
  <c r="AD84" i="17"/>
  <c r="AD72" i="17"/>
  <c r="AD68" i="17"/>
  <c r="AD64" i="17"/>
  <c r="AD58" i="17"/>
  <c r="AD56" i="17"/>
  <c r="AD54" i="17"/>
  <c r="W54" i="17" s="1"/>
  <c r="X54" i="17" s="1"/>
  <c r="Z54" i="17" s="1"/>
  <c r="AD51" i="17"/>
  <c r="AD32" i="17"/>
  <c r="AD30" i="17"/>
  <c r="AD75" i="17"/>
  <c r="AD71" i="17"/>
  <c r="AD67" i="17"/>
  <c r="AD63" i="17"/>
  <c r="AD60" i="17"/>
  <c r="AD42" i="17"/>
  <c r="AD40" i="17"/>
  <c r="AD15" i="17"/>
  <c r="W15" i="17" s="1"/>
  <c r="X15" i="17" s="1"/>
  <c r="Z15" i="17" s="1"/>
  <c r="AD26" i="17"/>
  <c r="O12" i="17"/>
  <c r="AF15" i="17"/>
  <c r="AD23" i="17"/>
  <c r="Q23" i="17" s="1"/>
  <c r="AD28" i="17"/>
  <c r="AD31" i="17"/>
  <c r="M44" i="17"/>
  <c r="O40" i="17"/>
  <c r="M42" i="4" s="1"/>
  <c r="AF13" i="17"/>
  <c r="Q13" i="17" s="1"/>
  <c r="R17" i="17"/>
  <c r="R34" i="17" s="1"/>
  <c r="AF25" i="17"/>
  <c r="AF27" i="17"/>
  <c r="AF102" i="17"/>
  <c r="AF105" i="17"/>
  <c r="AF101" i="17"/>
  <c r="AF97" i="17"/>
  <c r="Q97" i="17" s="1"/>
  <c r="U97" i="17" s="1"/>
  <c r="AF91" i="17"/>
  <c r="AF85" i="17"/>
  <c r="W85" i="17" s="1"/>
  <c r="X85" i="17" s="1"/>
  <c r="Z85" i="17" s="1"/>
  <c r="AF104" i="17"/>
  <c r="AF100" i="17"/>
  <c r="AF96" i="17"/>
  <c r="AF94" i="17"/>
  <c r="AF90" i="17"/>
  <c r="AF87" i="17"/>
  <c r="AF84" i="17"/>
  <c r="AF103" i="17"/>
  <c r="AF99" i="17"/>
  <c r="AF95" i="17"/>
  <c r="AF93" i="17"/>
  <c r="AF98" i="17"/>
  <c r="AF76" i="17"/>
  <c r="AF72" i="17"/>
  <c r="AF68" i="17"/>
  <c r="AF64" i="17"/>
  <c r="AF58" i="17"/>
  <c r="AF56" i="17"/>
  <c r="AF54" i="17"/>
  <c r="AF92" i="17"/>
  <c r="AF89" i="17"/>
  <c r="W89" i="17" s="1"/>
  <c r="X89" i="17" s="1"/>
  <c r="Z89" i="17" s="1"/>
  <c r="AF86" i="17"/>
  <c r="AF75" i="17"/>
  <c r="AF71" i="17"/>
  <c r="AF67" i="17"/>
  <c r="AF63" i="17"/>
  <c r="AF60" i="17"/>
  <c r="AF42" i="17"/>
  <c r="AF40" i="17"/>
  <c r="AF29" i="17"/>
  <c r="AF26" i="17"/>
  <c r="AF24" i="17"/>
  <c r="AF14" i="17"/>
  <c r="AF12" i="17"/>
  <c r="AF88" i="17"/>
  <c r="AF74" i="17"/>
  <c r="AF70" i="17"/>
  <c r="AF66" i="17"/>
  <c r="AF62" i="17"/>
  <c r="AF59" i="17"/>
  <c r="AF57" i="17"/>
  <c r="W57" i="17" s="1"/>
  <c r="X57" i="17" s="1"/>
  <c r="Z57" i="17" s="1"/>
  <c r="AF55" i="17"/>
  <c r="AF53" i="17"/>
  <c r="AF31" i="17"/>
  <c r="AF28" i="17"/>
  <c r="AF73" i="17"/>
  <c r="W73" i="17" s="1"/>
  <c r="AF69" i="17"/>
  <c r="AF65" i="17"/>
  <c r="AF61" i="17"/>
  <c r="W61" i="17" s="1"/>
  <c r="X61" i="17" s="1"/>
  <c r="Z61" i="17" s="1"/>
  <c r="AF52" i="17"/>
  <c r="AF41" i="17"/>
  <c r="AD12" i="17"/>
  <c r="AD14" i="17"/>
  <c r="P23" i="17"/>
  <c r="AF23" i="17"/>
  <c r="AD24" i="17"/>
  <c r="W24" i="17" s="1"/>
  <c r="X24" i="17" s="1"/>
  <c r="Z24" i="17" s="1"/>
  <c r="O25" i="17"/>
  <c r="P25" i="17" s="1"/>
  <c r="M34" i="17"/>
  <c r="AD29" i="17"/>
  <c r="AF32" i="17"/>
  <c r="AD53" i="17"/>
  <c r="O78" i="17"/>
  <c r="O54" i="17"/>
  <c r="M61" i="4" s="1"/>
  <c r="N61" i="4" s="1"/>
  <c r="O61" i="4" s="1"/>
  <c r="P61" i="4" s="1"/>
  <c r="P51" i="17"/>
  <c r="W75" i="17"/>
  <c r="X75" i="17" s="1"/>
  <c r="Z75" i="17" s="1"/>
  <c r="Q105" i="17"/>
  <c r="U105" i="17" s="1"/>
  <c r="W101" i="17"/>
  <c r="X101" i="17" s="1"/>
  <c r="Z101" i="17" s="1"/>
  <c r="Q101" i="17"/>
  <c r="S101" i="17" s="1"/>
  <c r="Q54" i="17"/>
  <c r="U54" i="17" s="1"/>
  <c r="AA54" i="17" s="1"/>
  <c r="W68" i="17"/>
  <c r="X68" i="17" s="1"/>
  <c r="Z68" i="17" s="1"/>
  <c r="Q68" i="17"/>
  <c r="X73" i="17"/>
  <c r="Z73" i="17" s="1"/>
  <c r="W62" i="17"/>
  <c r="X62" i="17" s="1"/>
  <c r="Z62" i="17" s="1"/>
  <c r="Q62" i="17"/>
  <c r="V152" i="14"/>
  <c r="T152" i="14"/>
  <c r="P173" i="14"/>
  <c r="V109" i="14"/>
  <c r="AB109" i="14" s="1"/>
  <c r="AC109" i="14" s="1"/>
  <c r="T109" i="14"/>
  <c r="V170" i="14"/>
  <c r="T122" i="14"/>
  <c r="V117" i="14"/>
  <c r="AB117" i="14" s="1"/>
  <c r="AC117" i="14" s="1"/>
  <c r="T117" i="14"/>
  <c r="V158" i="14"/>
  <c r="V57" i="14"/>
  <c r="T57" i="14"/>
  <c r="V40" i="14"/>
  <c r="T110" i="14"/>
  <c r="T80" i="14"/>
  <c r="V32" i="14"/>
  <c r="T32" i="14"/>
  <c r="AC61" i="14"/>
  <c r="T21" i="14"/>
  <c r="V73" i="14"/>
  <c r="AB73" i="14" s="1"/>
  <c r="AC73" i="14" s="1"/>
  <c r="T73" i="14"/>
  <c r="AC66" i="14"/>
  <c r="T61" i="14"/>
  <c r="T41" i="14"/>
  <c r="V76" i="14"/>
  <c r="T76" i="14"/>
  <c r="X76" i="14" s="1"/>
  <c r="Y76" i="14" s="1"/>
  <c r="AA76" i="14" s="1"/>
  <c r="AB76" i="14" s="1"/>
  <c r="AC76" i="14" s="1"/>
  <c r="T66" i="14"/>
  <c r="T59" i="14"/>
  <c r="V22" i="14"/>
  <c r="R172" i="14"/>
  <c r="V172" i="14" s="1"/>
  <c r="AB172" i="14" s="1"/>
  <c r="AC172" i="14" s="1"/>
  <c r="V145" i="14"/>
  <c r="AB145" i="14" s="1"/>
  <c r="AC145" i="14" s="1"/>
  <c r="T145" i="14"/>
  <c r="Y170" i="14"/>
  <c r="T144" i="14"/>
  <c r="AB122" i="14"/>
  <c r="AC122" i="14" s="1"/>
  <c r="V141" i="14"/>
  <c r="T141" i="14"/>
  <c r="T132" i="14"/>
  <c r="V132" i="14"/>
  <c r="AB132" i="14" s="1"/>
  <c r="AC132" i="14" s="1"/>
  <c r="AB114" i="14"/>
  <c r="AC114" i="14" s="1"/>
  <c r="AB106" i="14"/>
  <c r="AB102" i="14"/>
  <c r="AC102" i="14" s="1"/>
  <c r="V37" i="14"/>
  <c r="V23" i="14"/>
  <c r="T23" i="14"/>
  <c r="T94" i="14"/>
  <c r="T79" i="14"/>
  <c r="V24" i="14"/>
  <c r="T24" i="14"/>
  <c r="V70" i="14"/>
  <c r="T70" i="14"/>
  <c r="T20" i="14"/>
  <c r="T65" i="14"/>
  <c r="W72" i="17"/>
  <c r="X72" i="17" s="1"/>
  <c r="Z72" i="17" s="1"/>
  <c r="Q89" i="17"/>
  <c r="U89" i="17" s="1"/>
  <c r="V52" i="14"/>
  <c r="V105" i="14"/>
  <c r="AB105" i="14" s="1"/>
  <c r="AC105" i="14" s="1"/>
  <c r="T105" i="14"/>
  <c r="V77" i="14"/>
  <c r="T77" i="14"/>
  <c r="T139" i="14"/>
  <c r="T82" i="14"/>
  <c r="V82" i="14"/>
  <c r="X53" i="14"/>
  <c r="Y53" i="14" s="1"/>
  <c r="AB141" i="14"/>
  <c r="AC141" i="14" s="1"/>
  <c r="T118" i="14"/>
  <c r="AC106" i="14"/>
  <c r="V68" i="14"/>
  <c r="T68" i="14"/>
  <c r="V46" i="14"/>
  <c r="AB46" i="14" s="1"/>
  <c r="AC46" i="14" s="1"/>
  <c r="T46" i="14"/>
  <c r="T129" i="14"/>
  <c r="T93" i="14"/>
  <c r="P136" i="14"/>
  <c r="AB70" i="14"/>
  <c r="AC70" i="14" s="1"/>
  <c r="T17" i="14"/>
  <c r="V72" i="14"/>
  <c r="T72" i="14"/>
  <c r="V58" i="14"/>
  <c r="T58" i="14"/>
  <c r="V78" i="14"/>
  <c r="AB78" i="14" s="1"/>
  <c r="AC78" i="14" s="1"/>
  <c r="T78" i="14"/>
  <c r="T74" i="14"/>
  <c r="T64" i="14"/>
  <c r="T54" i="14"/>
  <c r="V12" i="14"/>
  <c r="T12" i="14"/>
  <c r="W23" i="17"/>
  <c r="X23" i="17" s="1"/>
  <c r="O17" i="17"/>
  <c r="P12" i="17"/>
  <c r="P17" i="17" s="1"/>
  <c r="Q32" i="17"/>
  <c r="U32" i="17" s="1"/>
  <c r="W32" i="17"/>
  <c r="X32" i="17" s="1"/>
  <c r="Z32" i="17" s="1"/>
  <c r="Q57" i="17"/>
  <c r="S57" i="17" s="1"/>
  <c r="Q93" i="17"/>
  <c r="W93" i="17"/>
  <c r="X93" i="17" s="1"/>
  <c r="Z93" i="17" s="1"/>
  <c r="AB146" i="14"/>
  <c r="AC146" i="14" s="1"/>
  <c r="AB13" i="14"/>
  <c r="AC13" i="14" s="1"/>
  <c r="T158" i="14"/>
  <c r="AB144" i="14"/>
  <c r="AC144" i="14" s="1"/>
  <c r="AB129" i="14"/>
  <c r="AC129" i="14" s="1"/>
  <c r="AB93" i="14"/>
  <c r="AC93" i="14" s="1"/>
  <c r="V75" i="14"/>
  <c r="AB75" i="14" s="1"/>
  <c r="AC75" i="14"/>
  <c r="T75" i="14"/>
  <c r="V165" i="14"/>
  <c r="AB165" i="14" s="1"/>
  <c r="AC165" i="14" s="1"/>
  <c r="T165" i="14"/>
  <c r="T151" i="14"/>
  <c r="T159" i="14"/>
  <c r="T128" i="14"/>
  <c r="V128" i="14"/>
  <c r="AB128" i="14" s="1"/>
  <c r="AC128" i="14" s="1"/>
  <c r="V60" i="14"/>
  <c r="T60" i="14"/>
  <c r="T81" i="14"/>
  <c r="T106" i="14"/>
  <c r="T13" i="14"/>
  <c r="AB115" i="14"/>
  <c r="AC115" i="14"/>
  <c r="T102" i="14"/>
  <c r="AC74" i="14"/>
  <c r="AB58" i="14"/>
  <c r="AC58" i="14" s="1"/>
  <c r="T114" i="14"/>
  <c r="T67" i="14"/>
  <c r="T63" i="14"/>
  <c r="AA170" i="14"/>
  <c r="T172" i="14"/>
  <c r="S54" i="17"/>
  <c r="Q12" i="17"/>
  <c r="S32" i="17"/>
  <c r="AA52" i="14"/>
  <c r="AB52" i="14" s="1"/>
  <c r="AC52" i="14" s="1"/>
  <c r="AB54" i="17"/>
  <c r="U68" i="17"/>
  <c r="AA68" i="17" s="1"/>
  <c r="AB68" i="17" s="1"/>
  <c r="S68" i="17"/>
  <c r="W12" i="17"/>
  <c r="AB170" i="14"/>
  <c r="AC170" i="14" s="1"/>
  <c r="Z23" i="17"/>
  <c r="U12" i="17"/>
  <c r="S12" i="17"/>
  <c r="M130" i="4"/>
  <c r="B51" i="7" s="1"/>
  <c r="N100" i="4"/>
  <c r="O100" i="4" s="1"/>
  <c r="N12" i="4"/>
  <c r="O12" i="4" s="1"/>
  <c r="N14" i="4"/>
  <c r="O14" i="4" s="1"/>
  <c r="U41" i="5"/>
  <c r="X12" i="18"/>
  <c r="Y12" i="18" s="1"/>
  <c r="AA12" i="18" s="1"/>
  <c r="R12" i="18"/>
  <c r="P4" i="21"/>
  <c r="AG67" i="18"/>
  <c r="X67" i="18" s="1"/>
  <c r="Y67" i="18" s="1"/>
  <c r="AA67" i="18" s="1"/>
  <c r="AG60" i="18"/>
  <c r="AG57" i="18"/>
  <c r="AG52" i="18"/>
  <c r="AG40" i="18"/>
  <c r="AG36" i="18"/>
  <c r="AG31" i="18"/>
  <c r="AG66" i="18"/>
  <c r="R66" i="18" s="1"/>
  <c r="AG68" i="18"/>
  <c r="AG58" i="18"/>
  <c r="AG38" i="18"/>
  <c r="AG29" i="18"/>
  <c r="AG25" i="18"/>
  <c r="AG22" i="18"/>
  <c r="AG16" i="18"/>
  <c r="AG65" i="18"/>
  <c r="AG55" i="18"/>
  <c r="AG53" i="18"/>
  <c r="AG37" i="18"/>
  <c r="AG28" i="18"/>
  <c r="AG24" i="18"/>
  <c r="AG19" i="18"/>
  <c r="AB11" i="18"/>
  <c r="AC11" i="18" s="1"/>
  <c r="Q12" i="18"/>
  <c r="R20" i="18"/>
  <c r="V20" i="18" s="1"/>
  <c r="AG27" i="18"/>
  <c r="AG39" i="18"/>
  <c r="AG59" i="18"/>
  <c r="X60" i="18"/>
  <c r="Y60" i="18" s="1"/>
  <c r="AA60" i="18" s="1"/>
  <c r="X38" i="18"/>
  <c r="Y38" i="18"/>
  <c r="AA38" i="18" s="1"/>
  <c r="R38" i="18"/>
  <c r="V38" i="18" s="1"/>
  <c r="P42" i="18"/>
  <c r="Q53" i="18"/>
  <c r="AG54" i="18"/>
  <c r="R54" i="18" s="1"/>
  <c r="AG56" i="18"/>
  <c r="X56" i="18" s="1"/>
  <c r="Y56" i="18" s="1"/>
  <c r="AA56" i="18" s="1"/>
  <c r="R56" i="18"/>
  <c r="T56" i="18" s="1"/>
  <c r="R13" i="18"/>
  <c r="V13" i="18" s="1"/>
  <c r="X13" i="18"/>
  <c r="Y13" i="18" s="1"/>
  <c r="AA13" i="18" s="1"/>
  <c r="R22" i="18"/>
  <c r="AG26" i="18"/>
  <c r="X52" i="18"/>
  <c r="Y52" i="18"/>
  <c r="AA52" i="18" s="1"/>
  <c r="X65" i="18"/>
  <c r="Y65" i="18" s="1"/>
  <c r="AA65" i="18" s="1"/>
  <c r="N33" i="18"/>
  <c r="P20" i="18"/>
  <c r="M28" i="1" s="1"/>
  <c r="Q20" i="18"/>
  <c r="AG30" i="18"/>
  <c r="X30" i="18"/>
  <c r="Y30" i="18" s="1"/>
  <c r="AA30" i="18" s="1"/>
  <c r="T38" i="18"/>
  <c r="P54" i="18"/>
  <c r="Q54" i="18"/>
  <c r="R65" i="18"/>
  <c r="V65" i="18" s="1"/>
  <c r="P66" i="18"/>
  <c r="M325" i="1" s="1"/>
  <c r="S325" i="1" s="1"/>
  <c r="T325" i="1" s="1"/>
  <c r="R70" i="18"/>
  <c r="V70" i="18"/>
  <c r="X70" i="18"/>
  <c r="Y70" i="18" s="1"/>
  <c r="AA70" i="18" s="1"/>
  <c r="AB70" i="18" s="1"/>
  <c r="AC70" i="18" s="1"/>
  <c r="R60" i="18"/>
  <c r="V60" i="18" s="1"/>
  <c r="R67" i="18"/>
  <c r="T67" i="18" s="1"/>
  <c r="Q28" i="21"/>
  <c r="Q30" i="21"/>
  <c r="AE20" i="21"/>
  <c r="AE22" i="21"/>
  <c r="X22" i="21" s="1"/>
  <c r="Y22" i="21" s="1"/>
  <c r="AA22" i="21" s="1"/>
  <c r="N24" i="21"/>
  <c r="X15" i="21"/>
  <c r="Y15" i="21" s="1"/>
  <c r="AA15" i="21" s="1"/>
  <c r="AE28" i="21"/>
  <c r="D3" i="14"/>
  <c r="Y11" i="14" s="1"/>
  <c r="V22" i="18"/>
  <c r="T22" i="18"/>
  <c r="X19" i="18"/>
  <c r="Y19" i="18"/>
  <c r="AA19" i="18" s="1"/>
  <c r="R19" i="18"/>
  <c r="V19" i="18" s="1"/>
  <c r="AG22" i="21"/>
  <c r="AG20" i="21"/>
  <c r="X20" i="18"/>
  <c r="Y20" i="18" s="1"/>
  <c r="AA20" i="18" s="1"/>
  <c r="R30" i="18"/>
  <c r="N44" i="18"/>
  <c r="R52" i="18"/>
  <c r="V52" i="18" s="1"/>
  <c r="T70" i="18"/>
  <c r="X54" i="18"/>
  <c r="Y54" i="18" s="1"/>
  <c r="AA54" i="18" s="1"/>
  <c r="T20" i="18"/>
  <c r="T12" i="18"/>
  <c r="V12" i="18"/>
  <c r="T52" i="18"/>
  <c r="V30" i="18"/>
  <c r="T30" i="18"/>
  <c r="N149" i="1"/>
  <c r="O149" i="1" s="1"/>
  <c r="P149" i="1" s="1"/>
  <c r="N119" i="1"/>
  <c r="O119" i="1" s="1"/>
  <c r="P119" i="1" s="1"/>
  <c r="N248" i="1"/>
  <c r="O248" i="1" s="1"/>
  <c r="P248" i="1" s="1"/>
  <c r="N232" i="1"/>
  <c r="O232" i="1" s="1"/>
  <c r="P232" i="1" s="1"/>
  <c r="N176" i="1"/>
  <c r="O176" i="1" s="1"/>
  <c r="P176" i="1" s="1"/>
  <c r="Q176" i="1" s="1"/>
  <c r="S176" i="1" s="1"/>
  <c r="N139" i="1"/>
  <c r="O139" i="1" s="1"/>
  <c r="P139" i="1" s="1"/>
  <c r="N131" i="1"/>
  <c r="O131" i="1" s="1"/>
  <c r="P131" i="1" s="1"/>
  <c r="N256" i="1"/>
  <c r="O256" i="1" s="1"/>
  <c r="P256" i="1" s="1"/>
  <c r="N345" i="1"/>
  <c r="O345" i="1" s="1"/>
  <c r="P345" i="1" s="1"/>
  <c r="J260" i="1"/>
  <c r="K260" i="1" s="1"/>
  <c r="L260" i="1" s="1"/>
  <c r="N147" i="1"/>
  <c r="O147" i="1" s="1"/>
  <c r="P147" i="1" s="1"/>
  <c r="N254" i="1"/>
  <c r="O254" i="1" s="1"/>
  <c r="P254" i="1" s="1"/>
  <c r="L14" i="1"/>
  <c r="Q14" i="1" s="1"/>
  <c r="S14" i="1" s="1"/>
  <c r="T14" i="1" s="1"/>
  <c r="N16" i="1"/>
  <c r="O16" i="1" s="1"/>
  <c r="P16" i="1" s="1"/>
  <c r="N21" i="1"/>
  <c r="O21" i="1" s="1"/>
  <c r="P21" i="1" s="1"/>
  <c r="N230" i="1"/>
  <c r="O230" i="1" s="1"/>
  <c r="P230" i="1" s="1"/>
  <c r="J179" i="1"/>
  <c r="K179" i="1" s="1"/>
  <c r="L179" i="1" s="1"/>
  <c r="J177" i="1"/>
  <c r="K177" i="1" s="1"/>
  <c r="L177" i="1" s="1"/>
  <c r="J175" i="1"/>
  <c r="K175" i="1" s="1"/>
  <c r="L175" i="1" s="1"/>
  <c r="M175" i="1"/>
  <c r="N175" i="1" s="1"/>
  <c r="J170" i="1"/>
  <c r="J166" i="1"/>
  <c r="K166" i="1" s="1"/>
  <c r="L166" i="1" s="1"/>
  <c r="J164" i="1"/>
  <c r="J251" i="1"/>
  <c r="K251" i="1" s="1"/>
  <c r="L251" i="1" s="1"/>
  <c r="J255" i="1"/>
  <c r="K255" i="1" s="1"/>
  <c r="L255" i="1" s="1"/>
  <c r="J253" i="1"/>
  <c r="K253" i="1" s="1"/>
  <c r="L253" i="1" s="1"/>
  <c r="J58" i="4"/>
  <c r="K58" i="4" s="1"/>
  <c r="L58" i="4" s="1"/>
  <c r="J247" i="1"/>
  <c r="J152" i="1"/>
  <c r="K152" i="1" s="1"/>
  <c r="L152" i="1" s="1"/>
  <c r="J148" i="1"/>
  <c r="M236" i="1"/>
  <c r="N236" i="1" s="1"/>
  <c r="J146" i="1"/>
  <c r="K146" i="1" s="1"/>
  <c r="L146" i="1" s="1"/>
  <c r="J144" i="1"/>
  <c r="K144" i="1" s="1"/>
  <c r="L144" i="1" s="1"/>
  <c r="M239" i="1"/>
  <c r="N239" i="1" s="1"/>
  <c r="J231" i="1"/>
  <c r="K231" i="1" s="1"/>
  <c r="L231" i="1" s="1"/>
  <c r="J233" i="1"/>
  <c r="K233" i="1" s="1"/>
  <c r="L233" i="1" s="1"/>
  <c r="N306" i="1"/>
  <c r="O306" i="1" s="1"/>
  <c r="P306" i="1" s="1"/>
  <c r="Q306" i="1" s="1"/>
  <c r="N56" i="1"/>
  <c r="O56" i="1" s="1"/>
  <c r="P56" i="1" s="1"/>
  <c r="J142" i="1"/>
  <c r="J140" i="1"/>
  <c r="K140" i="1" s="1"/>
  <c r="L140" i="1" s="1"/>
  <c r="J138" i="1"/>
  <c r="K138" i="1" s="1"/>
  <c r="L138" i="1" s="1"/>
  <c r="J136" i="1"/>
  <c r="K136" i="1" s="1"/>
  <c r="L136" i="1" s="1"/>
  <c r="J134" i="1"/>
  <c r="K134" i="1" s="1"/>
  <c r="L134" i="1" s="1"/>
  <c r="M134" i="1"/>
  <c r="N134" i="1" s="1"/>
  <c r="O134" i="1" s="1"/>
  <c r="P134" i="1" s="1"/>
  <c r="J132" i="1"/>
  <c r="K132" i="1" s="1"/>
  <c r="L132" i="1" s="1"/>
  <c r="J130" i="1"/>
  <c r="J126" i="1"/>
  <c r="J128" i="1"/>
  <c r="K128" i="1" s="1"/>
  <c r="L128" i="1" s="1"/>
  <c r="J124" i="1"/>
  <c r="K124" i="1" s="1"/>
  <c r="L124" i="1" s="1"/>
  <c r="J346" i="1"/>
  <c r="K346" i="1" s="1"/>
  <c r="L346" i="1" s="1"/>
  <c r="J120" i="1"/>
  <c r="K120" i="1" s="1"/>
  <c r="L120" i="1" s="1"/>
  <c r="J84" i="4"/>
  <c r="K84" i="4" s="1"/>
  <c r="L84" i="4" s="1"/>
  <c r="Q61" i="5"/>
  <c r="Q59" i="5"/>
  <c r="U59" i="5" s="1"/>
  <c r="Q89" i="5"/>
  <c r="S89" i="5" s="1"/>
  <c r="U43" i="5"/>
  <c r="S43" i="5"/>
  <c r="T43" i="5" s="1"/>
  <c r="U53" i="5"/>
  <c r="S53" i="5"/>
  <c r="T53" i="5" s="1"/>
  <c r="S49" i="5"/>
  <c r="T49" i="5" s="1"/>
  <c r="U49" i="5"/>
  <c r="S40" i="5"/>
  <c r="T40" i="5" s="1"/>
  <c r="U40" i="5"/>
  <c r="S44" i="5"/>
  <c r="T44" i="5" s="1"/>
  <c r="U44" i="5"/>
  <c r="Q58" i="5"/>
  <c r="S41" i="5"/>
  <c r="T41" i="5" s="1"/>
  <c r="O15" i="5"/>
  <c r="P15" i="5" s="1"/>
  <c r="Q475" i="6"/>
  <c r="Q446" i="6"/>
  <c r="Q279" i="6"/>
  <c r="Q282" i="6"/>
  <c r="S282" i="6" s="1"/>
  <c r="T282" i="6" s="1"/>
  <c r="Q274" i="6"/>
  <c r="U274" i="6" s="1"/>
  <c r="Q285" i="6"/>
  <c r="Q273" i="6"/>
  <c r="Q177" i="6"/>
  <c r="S177" i="6" s="1"/>
  <c r="T177" i="6" s="1"/>
  <c r="U177" i="6" s="1"/>
  <c r="Q159" i="6"/>
  <c r="Q336" i="6"/>
  <c r="S336" i="6" s="1"/>
  <c r="Q324" i="6"/>
  <c r="S324" i="6" s="1"/>
  <c r="T324" i="6" s="1"/>
  <c r="U324" i="6" s="1"/>
  <c r="Q320" i="6"/>
  <c r="Q312" i="6"/>
  <c r="Q308" i="6"/>
  <c r="Q48" i="6"/>
  <c r="S48" i="6" s="1"/>
  <c r="T48" i="6" s="1"/>
  <c r="Q124" i="6"/>
  <c r="S124" i="6" s="1"/>
  <c r="Q44" i="6"/>
  <c r="S44" i="6" s="1"/>
  <c r="S397" i="6"/>
  <c r="T397" i="6" s="1"/>
  <c r="N58" i="6"/>
  <c r="O58" i="6" s="1"/>
  <c r="P58" i="6" s="1"/>
  <c r="J80" i="4"/>
  <c r="K80" i="4" s="1"/>
  <c r="L80" i="4" s="1"/>
  <c r="J69" i="4"/>
  <c r="K69" i="4" s="1"/>
  <c r="L69" i="4" s="1"/>
  <c r="J64" i="4"/>
  <c r="L57" i="4"/>
  <c r="Q57" i="4" s="1"/>
  <c r="U57" i="4" s="1"/>
  <c r="J62" i="4"/>
  <c r="K62" i="4" s="1"/>
  <c r="L62" i="4" s="1"/>
  <c r="J51" i="4"/>
  <c r="K51" i="4" s="1"/>
  <c r="J47" i="4"/>
  <c r="P103" i="4"/>
  <c r="J49" i="4"/>
  <c r="K49" i="4" s="1"/>
  <c r="L49" i="4" s="1"/>
  <c r="N42" i="4"/>
  <c r="O42" i="4" s="1"/>
  <c r="P42" i="4" s="1"/>
  <c r="J45" i="4"/>
  <c r="K45" i="4" s="1"/>
  <c r="L45" i="4" s="1"/>
  <c r="J337" i="1"/>
  <c r="K337" i="1" s="1"/>
  <c r="L337" i="1" s="1"/>
  <c r="J335" i="1"/>
  <c r="M335" i="1"/>
  <c r="N335" i="1" s="1"/>
  <c r="J333" i="1"/>
  <c r="K333" i="1" s="1"/>
  <c r="L333" i="1" s="1"/>
  <c r="J331" i="1"/>
  <c r="J328" i="1"/>
  <c r="M328" i="1"/>
  <c r="N328" i="1" s="1"/>
  <c r="J326" i="1"/>
  <c r="K326" i="1" s="1"/>
  <c r="L326" i="1" s="1"/>
  <c r="J324" i="1"/>
  <c r="K324" i="1" s="1"/>
  <c r="L324" i="1" s="1"/>
  <c r="J322" i="1"/>
  <c r="K322" i="1" s="1"/>
  <c r="J313" i="1"/>
  <c r="K313" i="1" s="1"/>
  <c r="L313" i="1" s="1"/>
  <c r="J311" i="1"/>
  <c r="K311" i="1" s="1"/>
  <c r="L311" i="1" s="1"/>
  <c r="J309" i="1"/>
  <c r="K309" i="1" s="1"/>
  <c r="L309" i="1" s="1"/>
  <c r="J307" i="1"/>
  <c r="K307" i="1" s="1"/>
  <c r="L307" i="1" s="1"/>
  <c r="J304" i="1"/>
  <c r="K304" i="1" s="1"/>
  <c r="L304" i="1" s="1"/>
  <c r="J301" i="1"/>
  <c r="J299" i="1"/>
  <c r="K299" i="1" s="1"/>
  <c r="L299" i="1" s="1"/>
  <c r="M299" i="1"/>
  <c r="N299" i="1" s="1"/>
  <c r="J297" i="1"/>
  <c r="K297" i="1" s="1"/>
  <c r="L297" i="1" s="1"/>
  <c r="N42" i="1"/>
  <c r="O42" i="1" s="1"/>
  <c r="P42" i="1" s="1"/>
  <c r="N289" i="1"/>
  <c r="O289" i="1" s="1"/>
  <c r="P289" i="1" s="1"/>
  <c r="N287" i="1"/>
  <c r="O287" i="1" s="1"/>
  <c r="P287" i="1" s="1"/>
  <c r="J104" i="1"/>
  <c r="K104" i="1" s="1"/>
  <c r="L104" i="1" s="1"/>
  <c r="J294" i="1"/>
  <c r="K294" i="1" s="1"/>
  <c r="L294" i="1" s="1"/>
  <c r="N58" i="1"/>
  <c r="O58" i="1" s="1"/>
  <c r="P58" i="1" s="1"/>
  <c r="Q58" i="1" s="1"/>
  <c r="N244" i="1"/>
  <c r="O244" i="1" s="1"/>
  <c r="P244" i="1" s="1"/>
  <c r="N278" i="1"/>
  <c r="O278" i="1" s="1"/>
  <c r="P278" i="1" s="1"/>
  <c r="J292" i="1"/>
  <c r="K292" i="1" s="1"/>
  <c r="L292" i="1" s="1"/>
  <c r="N28" i="1"/>
  <c r="O28" i="1" s="1"/>
  <c r="P28" i="1" s="1"/>
  <c r="N291" i="1"/>
  <c r="O291" i="1" s="1"/>
  <c r="P291" i="1" s="1"/>
  <c r="M292" i="1"/>
  <c r="N292" i="1" s="1"/>
  <c r="N290" i="1"/>
  <c r="J290" i="1"/>
  <c r="K290" i="1" s="1"/>
  <c r="L290" i="1" s="1"/>
  <c r="J279" i="1"/>
  <c r="K279" i="1" s="1"/>
  <c r="L279" i="1" s="1"/>
  <c r="J257" i="1"/>
  <c r="O257" i="1" s="1"/>
  <c r="P257" i="1" s="1"/>
  <c r="P276" i="1"/>
  <c r="J245" i="1"/>
  <c r="K245" i="1" s="1"/>
  <c r="L245" i="1" s="1"/>
  <c r="J243" i="1"/>
  <c r="K243" i="1" s="1"/>
  <c r="L243" i="1" s="1"/>
  <c r="J241" i="1"/>
  <c r="K241" i="1" s="1"/>
  <c r="L241" i="1" s="1"/>
  <c r="S125" i="1"/>
  <c r="T125" i="1" s="1"/>
  <c r="U125" i="1"/>
  <c r="U131" i="1"/>
  <c r="S295" i="1"/>
  <c r="T295" i="1" s="1"/>
  <c r="U295" i="1"/>
  <c r="S141" i="1"/>
  <c r="T141" i="1" s="1"/>
  <c r="U141" i="1"/>
  <c r="S296" i="1"/>
  <c r="T296" i="1" s="1"/>
  <c r="S139" i="1"/>
  <c r="T139" i="1" s="1"/>
  <c r="U139" i="1"/>
  <c r="Q315" i="1"/>
  <c r="S315" i="1" s="1"/>
  <c r="Q88" i="1"/>
  <c r="S88" i="1" s="1"/>
  <c r="U321" i="1"/>
  <c r="L105" i="1"/>
  <c r="Q105" i="1" s="1"/>
  <c r="U105" i="1" s="1"/>
  <c r="Q79" i="1"/>
  <c r="S79" i="1" s="1"/>
  <c r="Q76" i="1"/>
  <c r="S76" i="1" s="1"/>
  <c r="Q80" i="1"/>
  <c r="Q84" i="1"/>
  <c r="S84" i="1" s="1"/>
  <c r="N347" i="1"/>
  <c r="O347" i="1" s="1"/>
  <c r="P347" i="1" s="1"/>
  <c r="S91" i="1"/>
  <c r="T91" i="1" s="1"/>
  <c r="U91" i="1"/>
  <c r="J63" i="1"/>
  <c r="K63" i="1" s="1"/>
  <c r="L63" i="1" s="1"/>
  <c r="J61" i="1"/>
  <c r="K61" i="1" s="1"/>
  <c r="L61" i="1" s="1"/>
  <c r="J59" i="1"/>
  <c r="K59" i="1" s="1"/>
  <c r="L59" i="1" s="1"/>
  <c r="J57" i="1"/>
  <c r="K57" i="1" s="1"/>
  <c r="L57" i="1" s="1"/>
  <c r="J55" i="1"/>
  <c r="K55" i="1" s="1"/>
  <c r="L55" i="1" s="1"/>
  <c r="Q54" i="1"/>
  <c r="S54" i="1" s="1"/>
  <c r="J53" i="1"/>
  <c r="K53" i="1" s="1"/>
  <c r="L53" i="1" s="1"/>
  <c r="S69" i="1"/>
  <c r="T69" i="1" s="1"/>
  <c r="U69" i="1"/>
  <c r="J51" i="1"/>
  <c r="K51" i="1" s="1"/>
  <c r="L51" i="1" s="1"/>
  <c r="Q68" i="1"/>
  <c r="S68" i="1" s="1"/>
  <c r="T68" i="1" s="1"/>
  <c r="Q81" i="1"/>
  <c r="U66" i="1"/>
  <c r="J49" i="1"/>
  <c r="J108" i="1"/>
  <c r="K108" i="1" s="1"/>
  <c r="L108" i="1" s="1"/>
  <c r="J47" i="1"/>
  <c r="J45" i="1"/>
  <c r="J43" i="1"/>
  <c r="K43" i="1" s="1"/>
  <c r="L43" i="1" s="1"/>
  <c r="J41" i="1"/>
  <c r="K41" i="1" s="1"/>
  <c r="L41" i="1" s="1"/>
  <c r="L21" i="1"/>
  <c r="Q21" i="1" s="1"/>
  <c r="U24" i="1"/>
  <c r="S24" i="1"/>
  <c r="T24" i="1" s="1"/>
  <c r="U40" i="1"/>
  <c r="J39" i="1"/>
  <c r="K39" i="1" s="1"/>
  <c r="L39" i="1" s="1"/>
  <c r="J35" i="1"/>
  <c r="K35" i="1" s="1"/>
  <c r="L35" i="1" s="1"/>
  <c r="J37" i="1"/>
  <c r="K37" i="1" s="1"/>
  <c r="L37" i="1" s="1"/>
  <c r="K22" i="1"/>
  <c r="L22" i="1" s="1"/>
  <c r="J33" i="1"/>
  <c r="K33" i="1" s="1"/>
  <c r="L33" i="1" s="1"/>
  <c r="L26" i="1"/>
  <c r="Q26" i="1" s="1"/>
  <c r="U26" i="1" s="1"/>
  <c r="L28" i="1"/>
  <c r="Q28" i="1" s="1"/>
  <c r="L16" i="1"/>
  <c r="Q16" i="1" s="1"/>
  <c r="S16" i="1" s="1"/>
  <c r="T16" i="1" s="1"/>
  <c r="J31" i="1"/>
  <c r="K31" i="1" s="1"/>
  <c r="L31" i="1" s="1"/>
  <c r="O255" i="1"/>
  <c r="P255" i="1" s="1"/>
  <c r="Q255" i="1" s="1"/>
  <c r="P182" i="6"/>
  <c r="Q182" i="6"/>
  <c r="S64" i="1"/>
  <c r="T64" i="1" s="1"/>
  <c r="S110" i="4"/>
  <c r="T110" i="4" s="1"/>
  <c r="Q50" i="1"/>
  <c r="U50" i="1" s="1"/>
  <c r="N308" i="1"/>
  <c r="O308" i="1" s="1"/>
  <c r="P308" i="1" s="1"/>
  <c r="Q308" i="1" s="1"/>
  <c r="L322" i="1"/>
  <c r="K142" i="1"/>
  <c r="L142" i="1" s="1"/>
  <c r="K130" i="1"/>
  <c r="L130" i="1" s="1"/>
  <c r="K247" i="1"/>
  <c r="L247" i="1" s="1"/>
  <c r="Q90" i="1"/>
  <c r="S90" i="1" s="1"/>
  <c r="T90" i="1" s="1"/>
  <c r="U90" i="1" s="1"/>
  <c r="Q87" i="1"/>
  <c r="Q263" i="1"/>
  <c r="S263" i="1" s="1"/>
  <c r="T263" i="1" s="1"/>
  <c r="U263" i="1" s="1"/>
  <c r="U280" i="1"/>
  <c r="S280" i="1"/>
  <c r="T280" i="1" s="1"/>
  <c r="U30" i="1"/>
  <c r="U147" i="1"/>
  <c r="K15" i="1"/>
  <c r="L15" i="1" s="1"/>
  <c r="U232" i="1"/>
  <c r="U300" i="1"/>
  <c r="U325" i="1"/>
  <c r="S258" i="1"/>
  <c r="T258" i="1" s="1"/>
  <c r="S235" i="1"/>
  <c r="T235" i="1" s="1"/>
  <c r="S345" i="1"/>
  <c r="T345" i="1" s="1"/>
  <c r="S254" i="1"/>
  <c r="T254" i="1" s="1"/>
  <c r="U48" i="1"/>
  <c r="S115" i="4"/>
  <c r="T115" i="4" s="1"/>
  <c r="U151" i="1"/>
  <c r="S44" i="1"/>
  <c r="T44" i="1" s="1"/>
  <c r="U254" i="1"/>
  <c r="U169" i="1"/>
  <c r="U165" i="1"/>
  <c r="S165" i="1"/>
  <c r="T165" i="1" s="1"/>
  <c r="S172" i="1"/>
  <c r="T172" i="1" s="1"/>
  <c r="U172" i="1"/>
  <c r="U173" i="1"/>
  <c r="S173" i="1"/>
  <c r="T173" i="1" s="1"/>
  <c r="K27" i="1"/>
  <c r="L27" i="1" s="1"/>
  <c r="U276" i="1"/>
  <c r="L238" i="1"/>
  <c r="Q238" i="1" s="1"/>
  <c r="J239" i="1"/>
  <c r="O239" i="1" s="1"/>
  <c r="J20" i="1"/>
  <c r="O20" i="1" s="1"/>
  <c r="P20" i="1" s="1"/>
  <c r="L19" i="1"/>
  <c r="Q19" i="1" s="1"/>
  <c r="J122" i="1"/>
  <c r="L121" i="1"/>
  <c r="Q121" i="1" s="1"/>
  <c r="S23" i="1"/>
  <c r="T23" i="1" s="1"/>
  <c r="U23" i="1"/>
  <c r="L248" i="1"/>
  <c r="Q248" i="1" s="1"/>
  <c r="S248" i="1" s="1"/>
  <c r="T248" i="1" s="1"/>
  <c r="J249" i="1"/>
  <c r="K249" i="1" s="1"/>
  <c r="L249" i="1" s="1"/>
  <c r="N111" i="1"/>
  <c r="O111" i="1" s="1"/>
  <c r="P111" i="1" s="1"/>
  <c r="Q111" i="1" s="1"/>
  <c r="M15" i="1"/>
  <c r="N15" i="1" s="1"/>
  <c r="O15" i="1" s="1"/>
  <c r="P15" i="1" s="1"/>
  <c r="N14" i="1"/>
  <c r="O14" i="1" s="1"/>
  <c r="P14" i="1" s="1"/>
  <c r="M51" i="1"/>
  <c r="N51" i="1" s="1"/>
  <c r="N50" i="1"/>
  <c r="O50" i="1" s="1"/>
  <c r="P50" i="1" s="1"/>
  <c r="M63" i="1"/>
  <c r="N63" i="1" s="1"/>
  <c r="N62" i="1"/>
  <c r="O62" i="1" s="1"/>
  <c r="P62" i="1" s="1"/>
  <c r="Q62" i="1" s="1"/>
  <c r="M313" i="1"/>
  <c r="N313" i="1" s="1"/>
  <c r="O313" i="1" s="1"/>
  <c r="P313" i="1" s="1"/>
  <c r="N312" i="1"/>
  <c r="O312" i="1" s="1"/>
  <c r="P312" i="1" s="1"/>
  <c r="Q312" i="1" s="1"/>
  <c r="M337" i="1"/>
  <c r="N337" i="1" s="1"/>
  <c r="N336" i="1"/>
  <c r="O336" i="1" s="1"/>
  <c r="P336" i="1" s="1"/>
  <c r="Q336" i="1" s="1"/>
  <c r="L153" i="1"/>
  <c r="Q153" i="1" s="1"/>
  <c r="J154" i="1"/>
  <c r="K154" i="1" s="1"/>
  <c r="L154" i="1" s="1"/>
  <c r="L12" i="1"/>
  <c r="Q12" i="1" s="1"/>
  <c r="J13" i="1"/>
  <c r="K13" i="1" s="1"/>
  <c r="L13" i="1" s="1"/>
  <c r="S161" i="1"/>
  <c r="T161" i="1" s="1"/>
  <c r="J236" i="1"/>
  <c r="S158" i="1"/>
  <c r="T158" i="1" s="1"/>
  <c r="M297" i="1"/>
  <c r="N297" i="1" s="1"/>
  <c r="N296" i="1"/>
  <c r="O296" i="1" s="1"/>
  <c r="P296" i="1" s="1"/>
  <c r="M138" i="1"/>
  <c r="N138" i="1" s="1"/>
  <c r="N137" i="1"/>
  <c r="O137" i="1" s="1"/>
  <c r="P137" i="1" s="1"/>
  <c r="M251" i="1"/>
  <c r="N250" i="1"/>
  <c r="O250" i="1" s="1"/>
  <c r="P250" i="1" s="1"/>
  <c r="M13" i="1"/>
  <c r="N13" i="1" s="1"/>
  <c r="N12" i="1"/>
  <c r="O12" i="1" s="1"/>
  <c r="U330" i="1"/>
  <c r="S338" i="1"/>
  <c r="T338" i="1" s="1"/>
  <c r="U338" i="1"/>
  <c r="D58" i="7"/>
  <c r="H58" i="7"/>
  <c r="A3" i="6"/>
  <c r="E3" i="1"/>
  <c r="T11" i="1" s="1"/>
  <c r="U11" i="1" s="1"/>
  <c r="S104" i="4"/>
  <c r="T104" i="4" s="1"/>
  <c r="U104" i="4"/>
  <c r="J43" i="4"/>
  <c r="K43" i="4" s="1"/>
  <c r="L43" i="4" s="1"/>
  <c r="Q63" i="6"/>
  <c r="S63" i="6" s="1"/>
  <c r="Q139" i="6"/>
  <c r="S139" i="6" s="1"/>
  <c r="Q157" i="6"/>
  <c r="S157" i="6" s="1"/>
  <c r="Q93" i="6"/>
  <c r="S93" i="6" s="1"/>
  <c r="T93" i="6" s="1"/>
  <c r="U93" i="6" s="1"/>
  <c r="Q145" i="6"/>
  <c r="Q333" i="6"/>
  <c r="S333" i="6" s="1"/>
  <c r="Q365" i="6"/>
  <c r="S365" i="6" s="1"/>
  <c r="Q341" i="6"/>
  <c r="Q318" i="6"/>
  <c r="S318" i="6" s="1"/>
  <c r="Q309" i="6"/>
  <c r="S309" i="6" s="1"/>
  <c r="Q298" i="6"/>
  <c r="S298" i="6" s="1"/>
  <c r="Q289" i="6"/>
  <c r="S289" i="6" s="1"/>
  <c r="T289" i="6" s="1"/>
  <c r="U289" i="6" s="1"/>
  <c r="Q353" i="6"/>
  <c r="S353" i="6" s="1"/>
  <c r="T353" i="6" s="1"/>
  <c r="Q334" i="6"/>
  <c r="U37" i="6"/>
  <c r="K29" i="1"/>
  <c r="L29" i="1" s="1"/>
  <c r="U42" i="1"/>
  <c r="S42" i="1"/>
  <c r="T42" i="1" s="1"/>
  <c r="S25" i="1"/>
  <c r="T25" i="1" s="1"/>
  <c r="U25" i="1"/>
  <c r="U36" i="1"/>
  <c r="U157" i="1"/>
  <c r="S157" i="1"/>
  <c r="T157" i="1" s="1"/>
  <c r="M346" i="1"/>
  <c r="N346" i="1" s="1"/>
  <c r="U18" i="1"/>
  <c r="S18" i="1"/>
  <c r="T18" i="1" s="1"/>
  <c r="O177" i="1"/>
  <c r="P177" i="1" s="1"/>
  <c r="Q196" i="1"/>
  <c r="S196" i="1" s="1"/>
  <c r="U242" i="1"/>
  <c r="S242" i="1"/>
  <c r="T242" i="1" s="1"/>
  <c r="U160" i="1"/>
  <c r="S160" i="1"/>
  <c r="T160" i="1" s="1"/>
  <c r="Q89" i="1"/>
  <c r="S89" i="1" s="1"/>
  <c r="T89" i="1" s="1"/>
  <c r="U89" i="1" s="1"/>
  <c r="Q261" i="1"/>
  <c r="S261" i="1" s="1"/>
  <c r="U103" i="1"/>
  <c r="Q72" i="1"/>
  <c r="S72" i="1" s="1"/>
  <c r="O231" i="1"/>
  <c r="P231" i="1" s="1"/>
  <c r="K106" i="1"/>
  <c r="L106" i="1" s="1"/>
  <c r="U187" i="1"/>
  <c r="S187" i="1"/>
  <c r="T187" i="1" s="1"/>
  <c r="Q97" i="1"/>
  <c r="S97" i="1" s="1"/>
  <c r="K170" i="1"/>
  <c r="L170" i="1" s="1"/>
  <c r="Q101" i="4"/>
  <c r="U230" i="1"/>
  <c r="S230" i="1"/>
  <c r="T230" i="1" s="1"/>
  <c r="S314" i="1"/>
  <c r="T314" i="1" s="1"/>
  <c r="U314" i="1"/>
  <c r="Q96" i="1"/>
  <c r="S96" i="1" s="1"/>
  <c r="U244" i="1"/>
  <c r="S244" i="1"/>
  <c r="T244" i="1" s="1"/>
  <c r="S240" i="1"/>
  <c r="T240" i="1" s="1"/>
  <c r="U240" i="1"/>
  <c r="O241" i="1"/>
  <c r="P241" i="1" s="1"/>
  <c r="K64" i="4"/>
  <c r="L64" i="4" s="1"/>
  <c r="S237" i="1"/>
  <c r="T237" i="1" s="1"/>
  <c r="U286" i="1"/>
  <c r="U234" i="1"/>
  <c r="Q74" i="1"/>
  <c r="S74" i="1" s="1"/>
  <c r="Q106" i="4"/>
  <c r="S106" i="4" s="1"/>
  <c r="Q114" i="4"/>
  <c r="U114" i="4" s="1"/>
  <c r="Q127" i="4"/>
  <c r="Q126" i="4"/>
  <c r="S126" i="4" s="1"/>
  <c r="T126" i="4" s="1"/>
  <c r="U126" i="4" s="1"/>
  <c r="Q103" i="4"/>
  <c r="U103" i="4" s="1"/>
  <c r="O233" i="1"/>
  <c r="P233" i="1" s="1"/>
  <c r="O132" i="1"/>
  <c r="P132" i="1" s="1"/>
  <c r="U285" i="1"/>
  <c r="S252" i="1"/>
  <c r="T252" i="1" s="1"/>
  <c r="U250" i="1"/>
  <c r="S250" i="1"/>
  <c r="T250" i="1" s="1"/>
  <c r="U246" i="1"/>
  <c r="S102" i="4"/>
  <c r="T102" i="4" s="1"/>
  <c r="K20" i="1"/>
  <c r="L20" i="1" s="1"/>
  <c r="H57" i="7"/>
  <c r="Q373" i="6"/>
  <c r="S373" i="6" s="1"/>
  <c r="Q378" i="6"/>
  <c r="S378" i="6" s="1"/>
  <c r="Q375" i="6"/>
  <c r="S375" i="6" s="1"/>
  <c r="Q372" i="6"/>
  <c r="S372" i="6" s="1"/>
  <c r="Q371" i="6"/>
  <c r="P14" i="4"/>
  <c r="Q14" i="4" s="1"/>
  <c r="N130" i="4"/>
  <c r="D51" i="7" s="1"/>
  <c r="N18" i="4"/>
  <c r="N23" i="4"/>
  <c r="M39" i="4"/>
  <c r="B55" i="7" s="1"/>
  <c r="N237" i="6"/>
  <c r="Q236" i="6"/>
  <c r="U236" i="6" s="1"/>
  <c r="Q237" i="6"/>
  <c r="S237" i="6" s="1"/>
  <c r="Q235" i="6"/>
  <c r="S235" i="6" s="1"/>
  <c r="Q238" i="6"/>
  <c r="U238" i="6" s="1"/>
  <c r="Q239" i="6"/>
  <c r="Q240" i="6"/>
  <c r="U240" i="6" s="1"/>
  <c r="Q234" i="6"/>
  <c r="U234" i="6" s="1"/>
  <c r="Q461" i="6"/>
  <c r="S461" i="6" s="1"/>
  <c r="Q349" i="6"/>
  <c r="S349" i="6" s="1"/>
  <c r="Q325" i="6"/>
  <c r="Q317" i="6"/>
  <c r="S317" i="6" s="1"/>
  <c r="Q313" i="6"/>
  <c r="Q478" i="6"/>
  <c r="S478" i="6" s="1"/>
  <c r="U52" i="5"/>
  <c r="S52" i="5"/>
  <c r="T52" i="5" s="1"/>
  <c r="S54" i="5"/>
  <c r="T54" i="5" s="1"/>
  <c r="U54" i="5"/>
  <c r="S42" i="5"/>
  <c r="T42" i="5" s="1"/>
  <c r="U42" i="5"/>
  <c r="S80" i="5"/>
  <c r="Q68" i="5"/>
  <c r="S68" i="5" s="1"/>
  <c r="T68" i="5" s="1"/>
  <c r="U68" i="5" s="1"/>
  <c r="Q72" i="5"/>
  <c r="Q86" i="5"/>
  <c r="S86" i="5" s="1"/>
  <c r="S46" i="6"/>
  <c r="T46" i="6" s="1"/>
  <c r="Q376" i="6"/>
  <c r="S376" i="6" s="1"/>
  <c r="Q307" i="6"/>
  <c r="S307" i="6" s="1"/>
  <c r="Q283" i="6"/>
  <c r="S283" i="6" s="1"/>
  <c r="Q174" i="6"/>
  <c r="S174" i="6" s="1"/>
  <c r="Q328" i="6"/>
  <c r="S328" i="6" s="1"/>
  <c r="Q248" i="6"/>
  <c r="S248" i="6" s="1"/>
  <c r="M97" i="5"/>
  <c r="M100" i="5" s="1"/>
  <c r="U58" i="5"/>
  <c r="D97" i="5"/>
  <c r="D100" i="5" s="1"/>
  <c r="N36" i="5"/>
  <c r="O36" i="5" s="1"/>
  <c r="O100" i="6"/>
  <c r="P100" i="6" s="1"/>
  <c r="Q100" i="6" s="1"/>
  <c r="S100" i="6" s="1"/>
  <c r="Q121" i="6"/>
  <c r="S121" i="6" s="1"/>
  <c r="Q344" i="6"/>
  <c r="S344" i="6" s="1"/>
  <c r="Q332" i="6"/>
  <c r="S332" i="6" s="1"/>
  <c r="Q59" i="6"/>
  <c r="S59" i="6" s="1"/>
  <c r="Q316" i="6"/>
  <c r="Q115" i="6"/>
  <c r="S115" i="6" s="1"/>
  <c r="Q319" i="6"/>
  <c r="S319" i="6" s="1"/>
  <c r="T319" i="6" s="1"/>
  <c r="U319" i="6" s="1"/>
  <c r="Q367" i="6"/>
  <c r="Q323" i="6"/>
  <c r="S323" i="6" s="1"/>
  <c r="T323" i="6" s="1"/>
  <c r="Q335" i="6"/>
  <c r="S335" i="6" s="1"/>
  <c r="Q185" i="6"/>
  <c r="S185" i="6" s="1"/>
  <c r="T185" i="6" s="1"/>
  <c r="U185" i="6" s="1"/>
  <c r="Q166" i="6"/>
  <c r="S166" i="6" s="1"/>
  <c r="Q142" i="6"/>
  <c r="Q61" i="6"/>
  <c r="Q479" i="6"/>
  <c r="S479" i="6" s="1"/>
  <c r="Q132" i="6"/>
  <c r="Q162" i="6"/>
  <c r="S162" i="6" s="1"/>
  <c r="Q315" i="6"/>
  <c r="S315" i="6" s="1"/>
  <c r="Q299" i="6"/>
  <c r="Q459" i="6"/>
  <c r="C88" i="7"/>
  <c r="Q93" i="4"/>
  <c r="Q92" i="4"/>
  <c r="S92" i="4" s="1"/>
  <c r="T92" i="4" s="1"/>
  <c r="U92" i="4" s="1"/>
  <c r="O33" i="1"/>
  <c r="P33" i="1" s="1"/>
  <c r="S76" i="4"/>
  <c r="T76" i="4" s="1"/>
  <c r="U76" i="4"/>
  <c r="U63" i="4"/>
  <c r="U60" i="4"/>
  <c r="S60" i="4"/>
  <c r="T60" i="4" s="1"/>
  <c r="S70" i="4"/>
  <c r="T70" i="4" s="1"/>
  <c r="U70" i="4"/>
  <c r="S85" i="4"/>
  <c r="T85" i="4" s="1"/>
  <c r="S86" i="4"/>
  <c r="T86" i="4" s="1"/>
  <c r="U86" i="4" s="1"/>
  <c r="O23" i="4"/>
  <c r="P23" i="4" s="1"/>
  <c r="O57" i="1"/>
  <c r="P57" i="1" s="1"/>
  <c r="Q57" i="1" s="1"/>
  <c r="S57" i="1" s="1"/>
  <c r="K49" i="1"/>
  <c r="L49" i="1" s="1"/>
  <c r="Q113" i="1"/>
  <c r="S113" i="1" s="1"/>
  <c r="Q85" i="1"/>
  <c r="S85" i="1" s="1"/>
  <c r="T85" i="1" s="1"/>
  <c r="U85" i="1" s="1"/>
  <c r="M120" i="1"/>
  <c r="N120" i="1" s="1"/>
  <c r="S289" i="1"/>
  <c r="T289" i="1" s="1"/>
  <c r="U289" i="1"/>
  <c r="U327" i="1"/>
  <c r="S327" i="1"/>
  <c r="T327" i="1" s="1"/>
  <c r="K47" i="1"/>
  <c r="L47" i="1" s="1"/>
  <c r="S80" i="1"/>
  <c r="T80" i="1" s="1"/>
  <c r="K335" i="1"/>
  <c r="L335" i="1" s="1"/>
  <c r="O335" i="1"/>
  <c r="P335" i="1" s="1"/>
  <c r="S276" i="1"/>
  <c r="T276" i="1" s="1"/>
  <c r="S298" i="1"/>
  <c r="T298" i="1" s="1"/>
  <c r="U298" i="1"/>
  <c r="K47" i="4"/>
  <c r="L47" i="4" s="1"/>
  <c r="K122" i="1"/>
  <c r="L122" i="1" s="1"/>
  <c r="T315" i="1"/>
  <c r="U315" i="1" s="1"/>
  <c r="S302" i="1"/>
  <c r="T302" i="1" s="1"/>
  <c r="U302" i="1"/>
  <c r="U291" i="1"/>
  <c r="S291" i="1"/>
  <c r="T291" i="1" s="1"/>
  <c r="U48" i="5"/>
  <c r="L287" i="1"/>
  <c r="Q287" i="1" s="1"/>
  <c r="Q334" i="1"/>
  <c r="O309" i="1"/>
  <c r="P309" i="1" s="1"/>
  <c r="Q309" i="1" s="1"/>
  <c r="S309" i="1" s="1"/>
  <c r="T309" i="1" s="1"/>
  <c r="Q110" i="1"/>
  <c r="S110" i="1" s="1"/>
  <c r="N279" i="1"/>
  <c r="N282" i="1" s="1"/>
  <c r="D19" i="7" s="1"/>
  <c r="C19" i="7" s="1"/>
  <c r="M282" i="1"/>
  <c r="B19" i="7" s="1"/>
  <c r="Q189" i="1"/>
  <c r="S189" i="1" s="1"/>
  <c r="T189" i="1" s="1"/>
  <c r="U189" i="1" s="1"/>
  <c r="Q194" i="1"/>
  <c r="S194" i="1" s="1"/>
  <c r="S135" i="1"/>
  <c r="T135" i="1" s="1"/>
  <c r="U135" i="1"/>
  <c r="S149" i="1"/>
  <c r="T149" i="1" s="1"/>
  <c r="U149" i="1"/>
  <c r="U268" i="1"/>
  <c r="Q182" i="1"/>
  <c r="Q36" i="4"/>
  <c r="S36" i="4" s="1"/>
  <c r="L51" i="4"/>
  <c r="J52" i="4"/>
  <c r="K52" i="4" s="1"/>
  <c r="L52" i="4" s="1"/>
  <c r="Q52" i="4" s="1"/>
  <c r="Q195" i="1"/>
  <c r="S52" i="6"/>
  <c r="S36" i="6"/>
  <c r="U40" i="6"/>
  <c r="S40" i="6"/>
  <c r="T40" i="6" s="1"/>
  <c r="S12" i="6"/>
  <c r="U12" i="6"/>
  <c r="S55" i="6"/>
  <c r="T55" i="6" s="1"/>
  <c r="U55" i="6"/>
  <c r="U54" i="6"/>
  <c r="S54" i="6"/>
  <c r="T54" i="6" s="1"/>
  <c r="S53" i="6"/>
  <c r="T53" i="6" s="1"/>
  <c r="U69" i="6"/>
  <c r="Q370" i="6"/>
  <c r="U370" i="6" s="1"/>
  <c r="O25" i="4"/>
  <c r="P25" i="4" s="1"/>
  <c r="U29" i="4"/>
  <c r="S29" i="4"/>
  <c r="T29" i="4" s="1"/>
  <c r="S30" i="4"/>
  <c r="T30" i="4" s="1"/>
  <c r="U30" i="4"/>
  <c r="U21" i="4"/>
  <c r="S21" i="4"/>
  <c r="O24" i="4"/>
  <c r="P24" i="4"/>
  <c r="Q24" i="4" s="1"/>
  <c r="P22" i="4"/>
  <c r="S103" i="4"/>
  <c r="T103" i="4" s="1"/>
  <c r="Q34" i="4"/>
  <c r="S34" i="4" s="1"/>
  <c r="T34" i="4" s="1"/>
  <c r="U127" i="1"/>
  <c r="U123" i="1"/>
  <c r="U101" i="4"/>
  <c r="Q71" i="1"/>
  <c r="S71" i="1" s="1"/>
  <c r="Q193" i="1"/>
  <c r="S193" i="1" s="1"/>
  <c r="Q186" i="1"/>
  <c r="S186" i="1" s="1"/>
  <c r="T186" i="1" s="1"/>
  <c r="U186" i="1" s="1"/>
  <c r="Q185" i="1"/>
  <c r="S185" i="1" s="1"/>
  <c r="S181" i="1"/>
  <c r="T181" i="1" s="1"/>
  <c r="U181" i="1" s="1"/>
  <c r="U119" i="1"/>
  <c r="S119" i="1"/>
  <c r="T119" i="1" s="1"/>
  <c r="O288" i="1"/>
  <c r="P288" i="1" s="1"/>
  <c r="K288" i="1"/>
  <c r="L288" i="1" s="1"/>
  <c r="U137" i="1"/>
  <c r="S137" i="1"/>
  <c r="T137" i="1" s="1"/>
  <c r="S159" i="1"/>
  <c r="T159" i="1" s="1"/>
  <c r="U159" i="1"/>
  <c r="U155" i="1"/>
  <c r="U171" i="1"/>
  <c r="S171" i="1"/>
  <c r="T171" i="1" s="1"/>
  <c r="U21" i="1"/>
  <c r="S21" i="1"/>
  <c r="T21" i="1" s="1"/>
  <c r="S162" i="1"/>
  <c r="T162" i="1" s="1"/>
  <c r="U162" i="1"/>
  <c r="U65" i="1"/>
  <c r="S65" i="1"/>
  <c r="T65" i="1" s="1"/>
  <c r="Q191" i="1"/>
  <c r="S191" i="1" s="1"/>
  <c r="O245" i="1"/>
  <c r="P245" i="1" s="1"/>
  <c r="Q245" i="1" s="1"/>
  <c r="U16" i="1"/>
  <c r="U68" i="1"/>
  <c r="K148" i="1"/>
  <c r="L148" i="1" s="1"/>
  <c r="O148" i="1"/>
  <c r="P148" i="1" s="1"/>
  <c r="O249" i="1"/>
  <c r="P249" i="1" s="1"/>
  <c r="Q249" i="1" s="1"/>
  <c r="K164" i="1"/>
  <c r="L164" i="1" s="1"/>
  <c r="K301" i="1"/>
  <c r="L301" i="1" s="1"/>
  <c r="S77" i="4"/>
  <c r="T77" i="4" s="1"/>
  <c r="U77" i="4"/>
  <c r="S59" i="5"/>
  <c r="T59" i="5" s="1"/>
  <c r="U256" i="1"/>
  <c r="S256" i="1"/>
  <c r="T256" i="1" s="1"/>
  <c r="U107" i="1"/>
  <c r="S107" i="1"/>
  <c r="T107" i="1" s="1"/>
  <c r="Q70" i="1"/>
  <c r="S70" i="1" s="1"/>
  <c r="T27" i="4"/>
  <c r="U27" i="4" s="1"/>
  <c r="S73" i="4"/>
  <c r="T73" i="4" s="1"/>
  <c r="U73" i="4"/>
  <c r="N251" i="1"/>
  <c r="O251" i="1" s="1"/>
  <c r="P251" i="1" s="1"/>
  <c r="S475" i="6"/>
  <c r="T475" i="6" s="1"/>
  <c r="U282" i="6"/>
  <c r="S87" i="4"/>
  <c r="T87" i="4" s="1"/>
  <c r="U87" i="4" s="1"/>
  <c r="S89" i="4"/>
  <c r="S87" i="1"/>
  <c r="O59" i="1"/>
  <c r="P59" i="1" s="1"/>
  <c r="S88" i="5"/>
  <c r="S308" i="1"/>
  <c r="T308" i="1" s="1"/>
  <c r="U308" i="1" s="1"/>
  <c r="F90" i="7"/>
  <c r="G87" i="7" s="1"/>
  <c r="U42" i="4"/>
  <c r="S42" i="4"/>
  <c r="T42" i="4" s="1"/>
  <c r="S59" i="4"/>
  <c r="T59" i="4" s="1"/>
  <c r="U59" i="4"/>
  <c r="N51" i="4"/>
  <c r="S67" i="4"/>
  <c r="T67" i="4" s="1"/>
  <c r="U67" i="4"/>
  <c r="U113" i="4"/>
  <c r="S113" i="4"/>
  <c r="T113" i="4" s="1"/>
  <c r="Q122" i="4"/>
  <c r="S122" i="4" s="1"/>
  <c r="S57" i="4"/>
  <c r="T57" i="4" s="1"/>
  <c r="Q118" i="4"/>
  <c r="S118" i="4" s="1"/>
  <c r="M18" i="4"/>
  <c r="P17" i="21"/>
  <c r="Q14" i="21"/>
  <c r="N17" i="21"/>
  <c r="N32" i="21" s="1"/>
  <c r="Q27" i="17"/>
  <c r="S27" i="17" s="1"/>
  <c r="W27" i="17"/>
  <c r="X27" i="17" s="1"/>
  <c r="Z27" i="17" s="1"/>
  <c r="P26" i="17"/>
  <c r="O34" i="17"/>
  <c r="U108" i="4"/>
  <c r="S108" i="4"/>
  <c r="T108" i="4" s="1"/>
  <c r="P104" i="4"/>
  <c r="S116" i="4"/>
  <c r="T116" i="4" s="1"/>
  <c r="U116" i="4"/>
  <c r="D53" i="7"/>
  <c r="D73" i="7" s="1"/>
  <c r="U102" i="4"/>
  <c r="S127" i="4"/>
  <c r="T127" i="4" s="1"/>
  <c r="U127" i="4" s="1"/>
  <c r="U106" i="4"/>
  <c r="S101" i="4"/>
  <c r="T101" i="4" s="1"/>
  <c r="T74" i="1"/>
  <c r="U74" i="1" s="1"/>
  <c r="U248" i="1"/>
  <c r="O53" i="1"/>
  <c r="P53" i="1" s="1"/>
  <c r="Q53" i="1" s="1"/>
  <c r="S232" i="1"/>
  <c r="T232" i="1" s="1"/>
  <c r="S13" i="4"/>
  <c r="T13" i="4" s="1"/>
  <c r="U13" i="4" s="1"/>
  <c r="K331" i="1"/>
  <c r="L331" i="1" s="1"/>
  <c r="K126" i="1"/>
  <c r="L126" i="1" s="1"/>
  <c r="S246" i="1"/>
  <c r="T246" i="1" s="1"/>
  <c r="S234" i="1"/>
  <c r="T234" i="1" s="1"/>
  <c r="Q329" i="1"/>
  <c r="S329" i="1" s="1"/>
  <c r="T329" i="1" s="1"/>
  <c r="M247" i="1"/>
  <c r="N247" i="1" s="1"/>
  <c r="O247" i="1" s="1"/>
  <c r="P247" i="1" s="1"/>
  <c r="Q247" i="1" s="1"/>
  <c r="N246" i="1"/>
  <c r="O246" i="1" s="1"/>
  <c r="P246" i="1" s="1"/>
  <c r="Q17" i="5"/>
  <c r="U17" i="5" s="1"/>
  <c r="Q23" i="5"/>
  <c r="S23" i="5" s="1"/>
  <c r="T23" i="5" s="1"/>
  <c r="Q51" i="5"/>
  <c r="U51" i="5" s="1"/>
  <c r="Q16" i="5"/>
  <c r="S16" i="5" s="1"/>
  <c r="Q22" i="5"/>
  <c r="U22" i="5" s="1"/>
  <c r="Q31" i="5"/>
  <c r="U31" i="5" s="1"/>
  <c r="Q83" i="5"/>
  <c r="S83" i="5" s="1"/>
  <c r="T83" i="5" s="1"/>
  <c r="U83" i="5" s="1"/>
  <c r="Q28" i="5"/>
  <c r="U28" i="5" s="1"/>
  <c r="Q29" i="5"/>
  <c r="S29" i="5" s="1"/>
  <c r="T29" i="5" s="1"/>
  <c r="Q55" i="5"/>
  <c r="S55" i="5" s="1"/>
  <c r="Q70" i="5"/>
  <c r="S70" i="5" s="1"/>
  <c r="Q250" i="6"/>
  <c r="U250" i="6" s="1"/>
  <c r="Q254" i="6"/>
  <c r="U254" i="6" s="1"/>
  <c r="Q258" i="6"/>
  <c r="S258" i="6" s="1"/>
  <c r="T258" i="6" s="1"/>
  <c r="Q267" i="6"/>
  <c r="Q271" i="6"/>
  <c r="S271" i="6" s="1"/>
  <c r="T271" i="6" s="1"/>
  <c r="Q293" i="6"/>
  <c r="S293" i="6" s="1"/>
  <c r="Q322" i="6"/>
  <c r="S322" i="6" s="1"/>
  <c r="Q339" i="6"/>
  <c r="S339" i="6" s="1"/>
  <c r="Q358" i="6"/>
  <c r="S358" i="6" s="1"/>
  <c r="Q41" i="6"/>
  <c r="Q47" i="6"/>
  <c r="U47" i="6" s="1"/>
  <c r="Q50" i="6"/>
  <c r="S50" i="6" s="1"/>
  <c r="T50" i="6" s="1"/>
  <c r="Q30" i="5"/>
  <c r="U30" i="5" s="1"/>
  <c r="Q453" i="6"/>
  <c r="S453" i="6" s="1"/>
  <c r="Q251" i="6"/>
  <c r="U251" i="6" s="1"/>
  <c r="Q256" i="6"/>
  <c r="S256" i="6" s="1"/>
  <c r="T256" i="6" s="1"/>
  <c r="Q259" i="6"/>
  <c r="U259" i="6" s="1"/>
  <c r="Q261" i="6"/>
  <c r="U261" i="6" s="1"/>
  <c r="Q268" i="6"/>
  <c r="U268" i="6" s="1"/>
  <c r="Q272" i="6"/>
  <c r="S272" i="6" s="1"/>
  <c r="T272" i="6" s="1"/>
  <c r="Q284" i="6"/>
  <c r="S284" i="6" s="1"/>
  <c r="Q290" i="6"/>
  <c r="S290" i="6" s="1"/>
  <c r="Q301" i="6"/>
  <c r="S301" i="6" s="1"/>
  <c r="T301" i="6" s="1"/>
  <c r="Q326" i="6"/>
  <c r="S326" i="6" s="1"/>
  <c r="Q342" i="6"/>
  <c r="S342" i="6" s="1"/>
  <c r="Q28" i="6"/>
  <c r="S28" i="6" s="1"/>
  <c r="T28" i="6" s="1"/>
  <c r="Q49" i="6"/>
  <c r="S49" i="6" s="1"/>
  <c r="T49" i="6" s="1"/>
  <c r="Q13" i="5"/>
  <c r="U13" i="5" s="1"/>
  <c r="Q249" i="6"/>
  <c r="U249" i="6" s="1"/>
  <c r="Q253" i="6"/>
  <c r="S253" i="6" s="1"/>
  <c r="T253" i="6" s="1"/>
  <c r="Q260" i="6"/>
  <c r="U260" i="6" s="1"/>
  <c r="Q266" i="6"/>
  <c r="S266" i="6" s="1"/>
  <c r="Q270" i="6"/>
  <c r="U270" i="6" s="1"/>
  <c r="Q292" i="6"/>
  <c r="S292" i="6" s="1"/>
  <c r="Q314" i="6"/>
  <c r="S314" i="6" s="1"/>
  <c r="Q45" i="6"/>
  <c r="S45" i="6" s="1"/>
  <c r="T45" i="6" s="1"/>
  <c r="Q76" i="5"/>
  <c r="S76" i="5" s="1"/>
  <c r="T76" i="5" s="1"/>
  <c r="U76" i="5" s="1"/>
  <c r="Q63" i="5"/>
  <c r="S63" i="5" s="1"/>
  <c r="Q90" i="5"/>
  <c r="S90" i="5" s="1"/>
  <c r="Q82" i="4"/>
  <c r="S82" i="4" s="1"/>
  <c r="U218" i="1"/>
  <c r="S218" i="1"/>
  <c r="T218" i="1" s="1"/>
  <c r="S212" i="1"/>
  <c r="T212" i="1" s="1"/>
  <c r="U212" i="1"/>
  <c r="M243" i="1"/>
  <c r="N243" i="1" s="1"/>
  <c r="O243" i="1" s="1"/>
  <c r="P243" i="1" s="1"/>
  <c r="N242" i="1"/>
  <c r="O242" i="1" s="1"/>
  <c r="P242" i="1" s="1"/>
  <c r="Q197" i="1"/>
  <c r="S197" i="1" s="1"/>
  <c r="Q221" i="1"/>
  <c r="S221" i="1" s="1"/>
  <c r="U209" i="1"/>
  <c r="S213" i="1"/>
  <c r="T213" i="1" s="1"/>
  <c r="U213" i="1"/>
  <c r="Q109" i="1"/>
  <c r="S109" i="1" s="1"/>
  <c r="T109" i="1" s="1"/>
  <c r="U109" i="1" s="1"/>
  <c r="S216" i="1"/>
  <c r="T216" i="1" s="1"/>
  <c r="U216" i="1"/>
  <c r="U206" i="1"/>
  <c r="S204" i="1"/>
  <c r="T204" i="1" s="1"/>
  <c r="U215" i="1"/>
  <c r="S215" i="1"/>
  <c r="T215" i="1" s="1"/>
  <c r="S209" i="1"/>
  <c r="T209" i="1" s="1"/>
  <c r="S206" i="1"/>
  <c r="T206" i="1" s="1"/>
  <c r="U219" i="1"/>
  <c r="O51" i="4"/>
  <c r="P51" i="4" s="1"/>
  <c r="R14" i="21"/>
  <c r="X14" i="21"/>
  <c r="X17" i="21" s="1"/>
  <c r="Q26" i="17"/>
  <c r="U26" i="17" s="1"/>
  <c r="W26" i="17"/>
  <c r="X26" i="17" s="1"/>
  <c r="Z26" i="17" s="1"/>
  <c r="T14" i="21"/>
  <c r="Y14" i="21"/>
  <c r="Y17" i="21" s="1"/>
  <c r="U211" i="1"/>
  <c r="S182" i="1"/>
  <c r="T182" i="1" s="1"/>
  <c r="U182" i="1" s="1"/>
  <c r="Q94" i="4"/>
  <c r="S94" i="4" s="1"/>
  <c r="T84" i="1"/>
  <c r="U84" i="1" s="1"/>
  <c r="T89" i="4"/>
  <c r="U89" i="4" s="1"/>
  <c r="T87" i="1"/>
  <c r="U87" i="1" s="1"/>
  <c r="Q241" i="1"/>
  <c r="S241" i="1" s="1"/>
  <c r="T241" i="1" s="1"/>
  <c r="U241" i="1" s="1"/>
  <c r="U74" i="5"/>
  <c r="Q177" i="1"/>
  <c r="S177" i="1" s="1"/>
  <c r="T177" i="1" s="1"/>
  <c r="U177" i="1" s="1"/>
  <c r="T89" i="5"/>
  <c r="U89" i="5" s="1"/>
  <c r="S34" i="5"/>
  <c r="T34" i="5" s="1"/>
  <c r="U34" i="5"/>
  <c r="S15" i="5"/>
  <c r="T15" i="5" s="1"/>
  <c r="U15" i="5"/>
  <c r="U38" i="5"/>
  <c r="S38" i="5"/>
  <c r="T38" i="5" s="1"/>
  <c r="S26" i="5"/>
  <c r="T26" i="5" s="1"/>
  <c r="U19" i="5"/>
  <c r="S19" i="5"/>
  <c r="T19" i="5" s="1"/>
  <c r="U33" i="5"/>
  <c r="S33" i="5"/>
  <c r="T33" i="5" s="1"/>
  <c r="U25" i="5"/>
  <c r="S25" i="5"/>
  <c r="T25" i="5" s="1"/>
  <c r="S32" i="5"/>
  <c r="T32" i="5" s="1"/>
  <c r="U32" i="5"/>
  <c r="S39" i="5"/>
  <c r="T39" i="5" s="1"/>
  <c r="U39" i="5"/>
  <c r="T88" i="5"/>
  <c r="U88" i="5" s="1"/>
  <c r="S72" i="5"/>
  <c r="T72" i="5" s="1"/>
  <c r="U72" i="5" s="1"/>
  <c r="T80" i="5"/>
  <c r="U80" i="5" s="1"/>
  <c r="S48" i="5"/>
  <c r="T48" i="5" s="1"/>
  <c r="N482" i="6"/>
  <c r="D37" i="7" s="1"/>
  <c r="C37" i="7" s="1"/>
  <c r="O388" i="6"/>
  <c r="S69" i="6"/>
  <c r="T69" i="6" s="1"/>
  <c r="U44" i="6"/>
  <c r="Q418" i="6"/>
  <c r="S418" i="6" s="1"/>
  <c r="T418" i="6" s="1"/>
  <c r="T348" i="6"/>
  <c r="U348" i="6" s="1"/>
  <c r="T44" i="6"/>
  <c r="S14" i="5"/>
  <c r="T14" i="5" s="1"/>
  <c r="S33" i="6"/>
  <c r="T33" i="6" s="1"/>
  <c r="U56" i="6"/>
  <c r="D423" i="6"/>
  <c r="S15" i="6"/>
  <c r="T15" i="6" s="1"/>
  <c r="U18" i="5"/>
  <c r="S274" i="6"/>
  <c r="T274" i="6" s="1"/>
  <c r="N388" i="6"/>
  <c r="D39" i="7" s="1"/>
  <c r="C39" i="7" s="1"/>
  <c r="Q462" i="6"/>
  <c r="S462" i="6" s="1"/>
  <c r="T462" i="6" s="1"/>
  <c r="U462" i="6" s="1"/>
  <c r="M434" i="6"/>
  <c r="B43" i="7" s="1"/>
  <c r="Q140" i="6"/>
  <c r="S140" i="6" s="1"/>
  <c r="T140" i="6" s="1"/>
  <c r="Q126" i="6"/>
  <c r="S126" i="6" s="1"/>
  <c r="T126" i="6" s="1"/>
  <c r="U126" i="6" s="1"/>
  <c r="Q122" i="6"/>
  <c r="S122" i="6" s="1"/>
  <c r="T122" i="6" s="1"/>
  <c r="Q87" i="6"/>
  <c r="S87" i="6" s="1"/>
  <c r="T87" i="6" s="1"/>
  <c r="Q83" i="6"/>
  <c r="S83" i="6" s="1"/>
  <c r="Q60" i="6"/>
  <c r="S60" i="6" s="1"/>
  <c r="T60" i="6" s="1"/>
  <c r="U60" i="6" s="1"/>
  <c r="M423" i="6"/>
  <c r="B35" i="7" s="1"/>
  <c r="Q95" i="6"/>
  <c r="S95" i="6" s="1"/>
  <c r="T95" i="6" s="1"/>
  <c r="Q356" i="6"/>
  <c r="S356" i="6" s="1"/>
  <c r="T356" i="6" s="1"/>
  <c r="Q340" i="6"/>
  <c r="S340" i="6" s="1"/>
  <c r="Q276" i="6"/>
  <c r="S276" i="6" s="1"/>
  <c r="Q151" i="6"/>
  <c r="S151" i="6" s="1"/>
  <c r="T151" i="6" s="1"/>
  <c r="Q243" i="6"/>
  <c r="S243" i="6" s="1"/>
  <c r="Q338" i="6"/>
  <c r="S338" i="6" s="1"/>
  <c r="T338" i="6" s="1"/>
  <c r="U338" i="6" s="1"/>
  <c r="Q330" i="6"/>
  <c r="S330" i="6" s="1"/>
  <c r="Q310" i="6"/>
  <c r="S310" i="6" s="1"/>
  <c r="S398" i="6"/>
  <c r="T398" i="6" s="1"/>
  <c r="U398" i="6"/>
  <c r="Q146" i="6"/>
  <c r="S234" i="6"/>
  <c r="T234" i="6" s="1"/>
  <c r="Q432" i="6"/>
  <c r="Q196" i="6"/>
  <c r="S196" i="6" s="1"/>
  <c r="Q456" i="6"/>
  <c r="S456" i="6" s="1"/>
  <c r="T456" i="6" s="1"/>
  <c r="Q363" i="6"/>
  <c r="S363" i="6" s="1"/>
  <c r="Q331" i="6"/>
  <c r="Q227" i="6"/>
  <c r="S227" i="6" s="1"/>
  <c r="S21" i="6"/>
  <c r="T21" i="6" s="1"/>
  <c r="Q458" i="6"/>
  <c r="S458" i="6" s="1"/>
  <c r="T458" i="6" s="1"/>
  <c r="U458" i="6" s="1"/>
  <c r="Q449" i="6"/>
  <c r="S449" i="6" s="1"/>
  <c r="Q442" i="6"/>
  <c r="S442" i="6" s="1"/>
  <c r="T442" i="6" s="1"/>
  <c r="U442" i="6" s="1"/>
  <c r="Q445" i="6"/>
  <c r="Q440" i="6"/>
  <c r="Q291" i="6"/>
  <c r="U291" i="6" s="1"/>
  <c r="Q419" i="6"/>
  <c r="S419" i="6" s="1"/>
  <c r="Q455" i="6"/>
  <c r="Q452" i="6"/>
  <c r="S452" i="6" s="1"/>
  <c r="T452" i="6" s="1"/>
  <c r="Q448" i="6"/>
  <c r="S448" i="6" s="1"/>
  <c r="T448" i="6" s="1"/>
  <c r="U448" i="6" s="1"/>
  <c r="Q176" i="6"/>
  <c r="S176" i="6" s="1"/>
  <c r="S308" i="6"/>
  <c r="T308" i="6" s="1"/>
  <c r="S285" i="6"/>
  <c r="T285" i="6" s="1"/>
  <c r="U237" i="6"/>
  <c r="S316" i="6"/>
  <c r="T316" i="6" s="1"/>
  <c r="S181" i="6"/>
  <c r="T181" i="6" s="1"/>
  <c r="U181" i="6" s="1"/>
  <c r="U239" i="6"/>
  <c r="S239" i="6"/>
  <c r="T239" i="6" s="1"/>
  <c r="S446" i="6"/>
  <c r="T446" i="6" s="1"/>
  <c r="Q477" i="6"/>
  <c r="S477" i="6" s="1"/>
  <c r="T477" i="6" s="1"/>
  <c r="U477" i="6" s="1"/>
  <c r="Q457" i="6"/>
  <c r="Q164" i="6"/>
  <c r="S164" i="6" s="1"/>
  <c r="T164" i="6" s="1"/>
  <c r="U164" i="6" s="1"/>
  <c r="Q101" i="6"/>
  <c r="S101" i="6" s="1"/>
  <c r="T101" i="6" s="1"/>
  <c r="U101" i="6" s="1"/>
  <c r="Q247" i="6"/>
  <c r="S247" i="6" s="1"/>
  <c r="Q413" i="6"/>
  <c r="S413" i="6" s="1"/>
  <c r="T413" i="6" s="1"/>
  <c r="Q144" i="6"/>
  <c r="S144" i="6" s="1"/>
  <c r="T144" i="6" s="1"/>
  <c r="U144" i="6" s="1"/>
  <c r="Q269" i="6"/>
  <c r="U273" i="6"/>
  <c r="Q118" i="6"/>
  <c r="S118" i="6" s="1"/>
  <c r="Q149" i="6"/>
  <c r="S149" i="6" s="1"/>
  <c r="T149" i="6" s="1"/>
  <c r="Q153" i="6"/>
  <c r="S153" i="6" s="1"/>
  <c r="M380" i="6"/>
  <c r="B33" i="7" s="1"/>
  <c r="Q476" i="6"/>
  <c r="Q150" i="6"/>
  <c r="S150" i="6" s="1"/>
  <c r="Q94" i="6"/>
  <c r="Q219" i="6"/>
  <c r="S219" i="6" s="1"/>
  <c r="T219" i="6" s="1"/>
  <c r="U219" i="6" s="1"/>
  <c r="Q186" i="6"/>
  <c r="S186" i="6" s="1"/>
  <c r="T186" i="6" s="1"/>
  <c r="Q113" i="6"/>
  <c r="S113" i="6" s="1"/>
  <c r="Q92" i="6"/>
  <c r="S92" i="6" s="1"/>
  <c r="T92" i="6" s="1"/>
  <c r="U92" i="6" s="1"/>
  <c r="Q91" i="6"/>
  <c r="S91" i="6" s="1"/>
  <c r="Q135" i="6"/>
  <c r="S135" i="6" s="1"/>
  <c r="T135" i="6" s="1"/>
  <c r="U135" i="6" s="1"/>
  <c r="Q130" i="6"/>
  <c r="Q179" i="6"/>
  <c r="S179" i="6" s="1"/>
  <c r="T179" i="6" s="1"/>
  <c r="Q184" i="6"/>
  <c r="U184" i="6" s="1"/>
  <c r="Q134" i="6"/>
  <c r="S134" i="6" s="1"/>
  <c r="T134" i="6" s="1"/>
  <c r="U134" i="6" s="1"/>
  <c r="Q129" i="6"/>
  <c r="S129" i="6" s="1"/>
  <c r="Q21" i="5"/>
  <c r="S21" i="5" s="1"/>
  <c r="Q421" i="6"/>
  <c r="S421" i="6" s="1"/>
  <c r="T421" i="6" s="1"/>
  <c r="U421" i="6" s="1"/>
  <c r="U61" i="5"/>
  <c r="S61" i="6"/>
  <c r="T61" i="6" s="1"/>
  <c r="T385" i="6"/>
  <c r="U385" i="6" s="1"/>
  <c r="S238" i="6"/>
  <c r="T238" i="6" s="1"/>
  <c r="N242" i="6"/>
  <c r="S242" i="6"/>
  <c r="T242" i="6" s="1"/>
  <c r="T349" i="6"/>
  <c r="U349" i="6" s="1"/>
  <c r="U48" i="6"/>
  <c r="Q119" i="6"/>
  <c r="S119" i="6" s="1"/>
  <c r="Q78" i="6"/>
  <c r="S78" i="6" s="1"/>
  <c r="T78" i="6" s="1"/>
  <c r="Q57" i="6"/>
  <c r="S57" i="6" s="1"/>
  <c r="T57" i="6" s="1"/>
  <c r="Q22" i="6"/>
  <c r="S22" i="6" s="1"/>
  <c r="T22" i="6" s="1"/>
  <c r="Q471" i="6"/>
  <c r="S471" i="6" s="1"/>
  <c r="Q401" i="6"/>
  <c r="U401" i="6" s="1"/>
  <c r="Q190" i="6"/>
  <c r="S190" i="6" s="1"/>
  <c r="Q138" i="6"/>
  <c r="S138" i="6" s="1"/>
  <c r="Q183" i="6"/>
  <c r="U183" i="6" s="1"/>
  <c r="Q168" i="6"/>
  <c r="S168" i="6" s="1"/>
  <c r="Q80" i="6"/>
  <c r="U80" i="6" s="1"/>
  <c r="Q76" i="6"/>
  <c r="S76" i="6" s="1"/>
  <c r="Q38" i="6"/>
  <c r="S38" i="6" s="1"/>
  <c r="T38" i="6" s="1"/>
  <c r="Q441" i="6"/>
  <c r="S441" i="6" s="1"/>
  <c r="Q399" i="6"/>
  <c r="S399" i="6" s="1"/>
  <c r="T399" i="6" s="1"/>
  <c r="Q244" i="6"/>
  <c r="S244" i="6" s="1"/>
  <c r="T244" i="6" s="1"/>
  <c r="Q472" i="6"/>
  <c r="S472" i="6" s="1"/>
  <c r="T472" i="6" s="1"/>
  <c r="U472" i="6" s="1"/>
  <c r="Q216" i="6"/>
  <c r="S216" i="6" s="1"/>
  <c r="T216" i="6" s="1"/>
  <c r="Q43" i="6"/>
  <c r="S43" i="6" s="1"/>
  <c r="Q27" i="6"/>
  <c r="S27" i="6" s="1"/>
  <c r="T27" i="6" s="1"/>
  <c r="Q327" i="6"/>
  <c r="S327" i="6" s="1"/>
  <c r="T327" i="6" s="1"/>
  <c r="U327" i="6" s="1"/>
  <c r="Q311" i="6"/>
  <c r="S311" i="6" s="1"/>
  <c r="N403" i="6"/>
  <c r="O403" i="6" s="1"/>
  <c r="Q163" i="6"/>
  <c r="S163" i="6" s="1"/>
  <c r="T163" i="6" s="1"/>
  <c r="Q428" i="6"/>
  <c r="Q474" i="6"/>
  <c r="S474" i="6" s="1"/>
  <c r="U405" i="6"/>
  <c r="S405" i="6"/>
  <c r="T405" i="6" s="1"/>
  <c r="Q406" i="6"/>
  <c r="S406" i="6" s="1"/>
  <c r="T406" i="6" s="1"/>
  <c r="U406" i="6" s="1"/>
  <c r="T372" i="6"/>
  <c r="U372" i="6" s="1"/>
  <c r="U16" i="5"/>
  <c r="U293" i="6"/>
  <c r="U266" i="6"/>
  <c r="S261" i="6"/>
  <c r="T261" i="6" s="1"/>
  <c r="T309" i="6"/>
  <c r="U309" i="6" s="1"/>
  <c r="S240" i="6"/>
  <c r="T240" i="6" s="1"/>
  <c r="O237" i="6"/>
  <c r="S370" i="6"/>
  <c r="T370" i="6" s="1"/>
  <c r="T443" i="6"/>
  <c r="U443" i="6" s="1"/>
  <c r="U235" i="6"/>
  <c r="S341" i="6"/>
  <c r="T341" i="6" s="1"/>
  <c r="U341" i="6" s="1"/>
  <c r="T317" i="6"/>
  <c r="U317" i="6" s="1"/>
  <c r="U400" i="6"/>
  <c r="S400" i="6"/>
  <c r="T400" i="6" s="1"/>
  <c r="T139" i="6"/>
  <c r="U139" i="6" s="1"/>
  <c r="Q98" i="6"/>
  <c r="S98" i="6" s="1"/>
  <c r="Q212" i="6"/>
  <c r="S212" i="6" s="1"/>
  <c r="T212" i="6" s="1"/>
  <c r="M229" i="6"/>
  <c r="M382" i="6" s="1"/>
  <c r="M484" i="6" s="1"/>
  <c r="Q102" i="6"/>
  <c r="S102" i="6" s="1"/>
  <c r="T102" i="6" s="1"/>
  <c r="Q97" i="6"/>
  <c r="S97" i="6" s="1"/>
  <c r="Q103" i="6"/>
  <c r="S103" i="6" s="1"/>
  <c r="T103" i="6" s="1"/>
  <c r="Q200" i="6"/>
  <c r="S200" i="6" s="1"/>
  <c r="T200" i="6" s="1"/>
  <c r="U200" i="6" s="1"/>
  <c r="Q192" i="6"/>
  <c r="S192" i="6" s="1"/>
  <c r="T192" i="6" s="1"/>
  <c r="U192" i="6" s="1"/>
  <c r="Q136" i="6"/>
  <c r="S136" i="6" s="1"/>
  <c r="Q252" i="6"/>
  <c r="T447" i="6"/>
  <c r="U447" i="6" s="1"/>
  <c r="T248" i="6"/>
  <c r="U248" i="6" s="1"/>
  <c r="S415" i="6"/>
  <c r="S299" i="6"/>
  <c r="T299" i="6" s="1"/>
  <c r="U299" i="6" s="1"/>
  <c r="U75" i="6"/>
  <c r="Q154" i="6"/>
  <c r="T115" i="6"/>
  <c r="U115" i="6" s="1"/>
  <c r="Q214" i="6"/>
  <c r="S214" i="6" s="1"/>
  <c r="T214" i="6" s="1"/>
  <c r="T107" i="6"/>
  <c r="U107" i="6" s="1"/>
  <c r="Q147" i="6"/>
  <c r="S147" i="6" s="1"/>
  <c r="Q223" i="6"/>
  <c r="S223" i="6" s="1"/>
  <c r="Q81" i="6"/>
  <c r="S81" i="6" s="1"/>
  <c r="T81" i="6" s="1"/>
  <c r="Q224" i="6"/>
  <c r="S224" i="6" s="1"/>
  <c r="T224" i="6" s="1"/>
  <c r="U224" i="6" s="1"/>
  <c r="Q207" i="6"/>
  <c r="Q203" i="6"/>
  <c r="S203" i="6" s="1"/>
  <c r="Q210" i="6"/>
  <c r="S210" i="6" s="1"/>
  <c r="T210" i="6" s="1"/>
  <c r="Q206" i="6"/>
  <c r="S206" i="6" s="1"/>
  <c r="Q173" i="6"/>
  <c r="S173" i="6" s="1"/>
  <c r="T166" i="6"/>
  <c r="U166" i="6" s="1"/>
  <c r="S270" i="6"/>
  <c r="T270" i="6" s="1"/>
  <c r="U24" i="6"/>
  <c r="S24" i="6"/>
  <c r="T24" i="6" s="1"/>
  <c r="S268" i="6"/>
  <c r="T268" i="6" s="1"/>
  <c r="U25" i="6"/>
  <c r="S22" i="5"/>
  <c r="T22" i="5" s="1"/>
  <c r="T121" i="6"/>
  <c r="U121" i="6" s="1"/>
  <c r="T344" i="6"/>
  <c r="U344" i="6" s="1"/>
  <c r="T52" i="6"/>
  <c r="T444" i="6"/>
  <c r="U444" i="6" s="1"/>
  <c r="S236" i="6"/>
  <c r="T236" i="6" s="1"/>
  <c r="U79" i="6"/>
  <c r="S79" i="6"/>
  <c r="T79" i="6" s="1"/>
  <c r="T288" i="6"/>
  <c r="U288" i="6" s="1"/>
  <c r="S30" i="6"/>
  <c r="T30" i="6" s="1"/>
  <c r="U30" i="6"/>
  <c r="U13" i="6"/>
  <c r="S13" i="6"/>
  <c r="T13" i="6" s="1"/>
  <c r="S145" i="6"/>
  <c r="T145" i="6" s="1"/>
  <c r="U145" i="6" s="1"/>
  <c r="S105" i="6"/>
  <c r="T105" i="6" s="1"/>
  <c r="S269" i="6"/>
  <c r="T269" i="6" s="1"/>
  <c r="U269" i="6"/>
  <c r="S188" i="6"/>
  <c r="T188" i="6" s="1"/>
  <c r="U188" i="6" s="1"/>
  <c r="B29" i="7"/>
  <c r="P237" i="6"/>
  <c r="T468" i="6"/>
  <c r="U468" i="6" s="1"/>
  <c r="S94" i="6"/>
  <c r="T94" i="6" s="1"/>
  <c r="T290" i="6"/>
  <c r="U353" i="6"/>
  <c r="T365" i="6"/>
  <c r="U365" i="6" s="1"/>
  <c r="T478" i="6"/>
  <c r="T337" i="6"/>
  <c r="U337" i="6" s="1"/>
  <c r="T294" i="6"/>
  <c r="T336" i="6"/>
  <c r="U336" i="6" s="1"/>
  <c r="U182" i="6"/>
  <c r="S182" i="6"/>
  <c r="T182" i="6" s="1"/>
  <c r="S267" i="6"/>
  <c r="T267" i="6" s="1"/>
  <c r="S351" i="6"/>
  <c r="T351" i="6" s="1"/>
  <c r="U351" i="6" s="1"/>
  <c r="S313" i="6"/>
  <c r="T313" i="6" s="1"/>
  <c r="U313" i="6" s="1"/>
  <c r="S325" i="6"/>
  <c r="T325" i="6" s="1"/>
  <c r="U325" i="6" s="1"/>
  <c r="S371" i="6"/>
  <c r="T371" i="6" s="1"/>
  <c r="S334" i="6"/>
  <c r="S362" i="6"/>
  <c r="T362" i="6" s="1"/>
  <c r="S366" i="6"/>
  <c r="T366" i="6" s="1"/>
  <c r="S280" i="6"/>
  <c r="T280" i="6" s="1"/>
  <c r="U280" i="6" s="1"/>
  <c r="S279" i="6"/>
  <c r="T279" i="6" s="1"/>
  <c r="S75" i="6"/>
  <c r="T75" i="6" s="1"/>
  <c r="S246" i="6"/>
  <c r="T246" i="6" s="1"/>
  <c r="U246" i="6" s="1"/>
  <c r="T197" i="6"/>
  <c r="T118" i="6"/>
  <c r="T278" i="6"/>
  <c r="U278" i="6" s="1"/>
  <c r="U122" i="6"/>
  <c r="T307" i="6"/>
  <c r="U307" i="6" s="1"/>
  <c r="T333" i="6"/>
  <c r="U333" i="6" s="1"/>
  <c r="S77" i="6"/>
  <c r="T77" i="6" s="1"/>
  <c r="U267" i="6"/>
  <c r="T410" i="6"/>
  <c r="U410" i="6" s="1"/>
  <c r="T124" i="6"/>
  <c r="U124" i="6" s="1"/>
  <c r="S159" i="6"/>
  <c r="T159" i="6" s="1"/>
  <c r="S273" i="6"/>
  <c r="T273" i="6" s="1"/>
  <c r="S56" i="6"/>
  <c r="T56" i="6" s="1"/>
  <c r="S404" i="6"/>
  <c r="T404" i="6" s="1"/>
  <c r="S37" i="6"/>
  <c r="T37" i="6" s="1"/>
  <c r="E3" i="5"/>
  <c r="E3" i="4"/>
  <c r="T11" i="4" s="1"/>
  <c r="U11" i="4" s="1"/>
  <c r="C3" i="17"/>
  <c r="AA11" i="17" s="1"/>
  <c r="AB11" i="17" s="1"/>
  <c r="G90" i="7"/>
  <c r="U17" i="6"/>
  <c r="S17" i="6"/>
  <c r="T17" i="6" s="1"/>
  <c r="S343" i="6"/>
  <c r="T343" i="6" s="1"/>
  <c r="S114" i="6"/>
  <c r="T114" i="6" s="1"/>
  <c r="S346" i="6"/>
  <c r="T346" i="6" s="1"/>
  <c r="U346" i="6" s="1"/>
  <c r="T328" i="6"/>
  <c r="U328" i="6" s="1"/>
  <c r="U42" i="6"/>
  <c r="S42" i="6"/>
  <c r="T42" i="6" s="1"/>
  <c r="S359" i="6"/>
  <c r="T359" i="6" s="1"/>
  <c r="U359" i="6" s="1"/>
  <c r="S306" i="6"/>
  <c r="T306" i="6" s="1"/>
  <c r="S51" i="6"/>
  <c r="T51" i="6" s="1"/>
  <c r="U51" i="6"/>
  <c r="Q117" i="6"/>
  <c r="S117" i="6" s="1"/>
  <c r="T117" i="6" s="1"/>
  <c r="U117" i="6" s="1"/>
  <c r="T315" i="6"/>
  <c r="U315" i="6" s="1"/>
  <c r="U70" i="6"/>
  <c r="S70" i="6"/>
  <c r="T70" i="6" s="1"/>
  <c r="O405" i="6"/>
  <c r="P405" i="6" s="1"/>
  <c r="N423" i="6"/>
  <c r="D35" i="7" s="1"/>
  <c r="C35" i="7" s="1"/>
  <c r="S120" i="6"/>
  <c r="T120" i="6" s="1"/>
  <c r="S104" i="6"/>
  <c r="T104" i="6" s="1"/>
  <c r="U104" i="6" s="1"/>
  <c r="T453" i="6"/>
  <c r="U453" i="6" s="1"/>
  <c r="T131" i="6"/>
  <c r="U131" i="6" s="1"/>
  <c r="T276" i="6"/>
  <c r="U276" i="6" s="1"/>
  <c r="Q85" i="6"/>
  <c r="S85" i="6" s="1"/>
  <c r="Q96" i="6"/>
  <c r="S96" i="6" s="1"/>
  <c r="T277" i="6"/>
  <c r="U277" i="6" s="1"/>
  <c r="S39" i="6"/>
  <c r="T39" i="6" s="1"/>
  <c r="U39" i="6"/>
  <c r="S432" i="6"/>
  <c r="T432" i="6" s="1"/>
  <c r="U74" i="6"/>
  <c r="S74" i="6"/>
  <c r="T74" i="6" s="1"/>
  <c r="S71" i="6"/>
  <c r="T71" i="6" s="1"/>
  <c r="U71" i="6"/>
  <c r="T100" i="6"/>
  <c r="U100" i="6" s="1"/>
  <c r="T176" i="6"/>
  <c r="U176" i="6" s="1"/>
  <c r="N229" i="6"/>
  <c r="D29" i="7" s="1"/>
  <c r="U20" i="6"/>
  <c r="S20" i="6"/>
  <c r="T20" i="6" s="1"/>
  <c r="Q386" i="6"/>
  <c r="S386" i="6" s="1"/>
  <c r="S388" i="6" s="1"/>
  <c r="T352" i="6"/>
  <c r="U352" i="6" s="1"/>
  <c r="U475" i="6"/>
  <c r="T461" i="6"/>
  <c r="U461" i="6" s="1"/>
  <c r="T375" i="6"/>
  <c r="U375" i="6" s="1"/>
  <c r="Q439" i="6"/>
  <c r="S439" i="6" s="1"/>
  <c r="T439" i="6" s="1"/>
  <c r="Q148" i="6"/>
  <c r="S148" i="6" s="1"/>
  <c r="T148" i="6" s="1"/>
  <c r="U148" i="6" s="1"/>
  <c r="T217" i="6"/>
  <c r="U217" i="6" s="1"/>
  <c r="T209" i="6"/>
  <c r="U209" i="6" s="1"/>
  <c r="S455" i="6"/>
  <c r="T455" i="6" s="1"/>
  <c r="U455" i="6" s="1"/>
  <c r="S161" i="6"/>
  <c r="T161" i="6" s="1"/>
  <c r="U161" i="6" s="1"/>
  <c r="U140" i="6"/>
  <c r="U418" i="6"/>
  <c r="T408" i="6"/>
  <c r="U408" i="6" s="1"/>
  <c r="O242" i="6"/>
  <c r="N380" i="6"/>
  <c r="D33" i="7" s="1"/>
  <c r="C33" i="7" s="1"/>
  <c r="T304" i="6"/>
  <c r="U304" i="6" s="1"/>
  <c r="U149" i="6"/>
  <c r="T171" i="6"/>
  <c r="U171" i="6" s="1"/>
  <c r="T412" i="6"/>
  <c r="U412" i="6" s="1"/>
  <c r="S476" i="6"/>
  <c r="T476" i="6" s="1"/>
  <c r="S445" i="6"/>
  <c r="T445" i="6" s="1"/>
  <c r="U445" i="6" s="1"/>
  <c r="S146" i="6"/>
  <c r="T146" i="6" s="1"/>
  <c r="U146" i="6" s="1"/>
  <c r="T330" i="6"/>
  <c r="U330" i="6" s="1"/>
  <c r="S41" i="6"/>
  <c r="T41" i="6" s="1"/>
  <c r="T70" i="5"/>
  <c r="U70" i="5" s="1"/>
  <c r="S142" i="6"/>
  <c r="T142" i="6" s="1"/>
  <c r="U142" i="6" s="1"/>
  <c r="T235" i="6"/>
  <c r="U35" i="6"/>
  <c r="S35" i="6"/>
  <c r="T35" i="6" s="1"/>
  <c r="U292" i="6"/>
  <c r="U253" i="6"/>
  <c r="S254" i="6"/>
  <c r="T254" i="6" s="1"/>
  <c r="S51" i="5"/>
  <c r="T51" i="5" s="1"/>
  <c r="U41" i="6"/>
  <c r="U36" i="6"/>
  <c r="T36" i="6"/>
  <c r="U16" i="6"/>
  <c r="S16" i="6"/>
  <c r="T16" i="6" s="1"/>
  <c r="U14" i="6"/>
  <c r="T14" i="6"/>
  <c r="T451" i="6"/>
  <c r="U451" i="6" s="1"/>
  <c r="S459" i="6"/>
  <c r="T459" i="6" s="1"/>
  <c r="U459" i="6" s="1"/>
  <c r="U32" i="6"/>
  <c r="S32" i="6"/>
  <c r="T32" i="6" s="1"/>
  <c r="T12" i="6"/>
  <c r="T16" i="5"/>
  <c r="S367" i="6"/>
  <c r="T367" i="6" s="1"/>
  <c r="U367" i="6" s="1"/>
  <c r="T237" i="6"/>
  <c r="S396" i="6"/>
  <c r="T396" i="6" s="1"/>
  <c r="U396" i="6"/>
  <c r="S402" i="6"/>
  <c r="T402" i="6" s="1"/>
  <c r="U402" i="6"/>
  <c r="S312" i="6"/>
  <c r="T312" i="6" s="1"/>
  <c r="S320" i="6"/>
  <c r="T320" i="6" s="1"/>
  <c r="U320" i="6" s="1"/>
  <c r="Q275" i="6"/>
  <c r="S275" i="6" s="1"/>
  <c r="AB63" i="14" l="1"/>
  <c r="AC63" i="14"/>
  <c r="AB65" i="14"/>
  <c r="AC65" i="14"/>
  <c r="S23" i="17"/>
  <c r="U23" i="17"/>
  <c r="AA23" i="17" s="1"/>
  <c r="S61" i="17"/>
  <c r="U61" i="17"/>
  <c r="AB67" i="14"/>
  <c r="AC67" i="14"/>
  <c r="AB80" i="14"/>
  <c r="AC80" i="14"/>
  <c r="AB59" i="14"/>
  <c r="AC59" i="14"/>
  <c r="S89" i="17"/>
  <c r="AA32" i="17"/>
  <c r="V89" i="14"/>
  <c r="AB89" i="14" s="1"/>
  <c r="AC89" i="14" s="1"/>
  <c r="T89" i="14"/>
  <c r="R142" i="14"/>
  <c r="X142" i="14"/>
  <c r="Y142" i="14" s="1"/>
  <c r="AA142" i="14" s="1"/>
  <c r="U57" i="17"/>
  <c r="S97" i="17"/>
  <c r="W55" i="17"/>
  <c r="X55" i="17" s="1"/>
  <c r="Z55" i="17" s="1"/>
  <c r="Q63" i="17"/>
  <c r="U63" i="17" s="1"/>
  <c r="Q72" i="17"/>
  <c r="W100" i="17"/>
  <c r="X100" i="17" s="1"/>
  <c r="Z100" i="17" s="1"/>
  <c r="Q100" i="17"/>
  <c r="S100" i="17" s="1"/>
  <c r="W97" i="17"/>
  <c r="X97" i="17" s="1"/>
  <c r="Z97" i="17" s="1"/>
  <c r="W13" i="17"/>
  <c r="X13" i="17" s="1"/>
  <c r="Z13" i="17" s="1"/>
  <c r="AB79" i="14"/>
  <c r="AC79" i="14" s="1"/>
  <c r="T133" i="14"/>
  <c r="V133" i="14"/>
  <c r="AB110" i="14"/>
  <c r="AC110" i="14" s="1"/>
  <c r="V34" i="14"/>
  <c r="T34" i="14"/>
  <c r="Q81" i="14"/>
  <c r="X81" i="14"/>
  <c r="Y81" i="14" s="1"/>
  <c r="AA81" i="14" s="1"/>
  <c r="AB81" i="14" s="1"/>
  <c r="AC81" i="14" s="1"/>
  <c r="AB32" i="14"/>
  <c r="AC32" i="14" s="1"/>
  <c r="V19" i="14"/>
  <c r="T19" i="14"/>
  <c r="M323" i="1"/>
  <c r="X159" i="14"/>
  <c r="Y159" i="14" s="1"/>
  <c r="AA159" i="14" s="1"/>
  <c r="O236" i="1"/>
  <c r="P236" i="1" s="1"/>
  <c r="AB152" i="14"/>
  <c r="AC152" i="14" s="1"/>
  <c r="AB64" i="14"/>
  <c r="AC64" i="14" s="1"/>
  <c r="R69" i="14"/>
  <c r="X69" i="14"/>
  <c r="Y69" i="14" s="1"/>
  <c r="AA69" i="14" s="1"/>
  <c r="X133" i="14"/>
  <c r="Y133" i="14" s="1"/>
  <c r="AA133" i="14" s="1"/>
  <c r="AB133" i="14" s="1"/>
  <c r="AC133" i="14" s="1"/>
  <c r="M321" i="1"/>
  <c r="P167" i="14"/>
  <c r="X158" i="14"/>
  <c r="Y158" i="14" s="1"/>
  <c r="AA158" i="14" s="1"/>
  <c r="Q158" i="14"/>
  <c r="W29" i="17"/>
  <c r="X29" i="17" s="1"/>
  <c r="Z29" i="17" s="1"/>
  <c r="W88" i="17"/>
  <c r="X88" i="17" s="1"/>
  <c r="Z88" i="17" s="1"/>
  <c r="Q60" i="17"/>
  <c r="S60" i="17" s="1"/>
  <c r="W60" i="17" s="1"/>
  <c r="X60" i="17" s="1"/>
  <c r="Z60" i="17" s="1"/>
  <c r="AA60" i="17" s="1"/>
  <c r="AB60" i="17" s="1"/>
  <c r="W96" i="17"/>
  <c r="X96" i="17" s="1"/>
  <c r="Z96" i="17" s="1"/>
  <c r="Q91" i="17"/>
  <c r="V17" i="14"/>
  <c r="X14" i="14"/>
  <c r="Y14" i="14" s="1"/>
  <c r="AA14" i="14" s="1"/>
  <c r="R15" i="14"/>
  <c r="R16" i="14"/>
  <c r="R18" i="14"/>
  <c r="X19" i="14"/>
  <c r="Y19" i="14" s="1"/>
  <c r="AA19" i="14" s="1"/>
  <c r="R30" i="14"/>
  <c r="X32" i="14"/>
  <c r="Y32" i="14" s="1"/>
  <c r="AA32" i="14" s="1"/>
  <c r="X94" i="14"/>
  <c r="Y94" i="14" s="1"/>
  <c r="AA94" i="14" s="1"/>
  <c r="AB94" i="14" s="1"/>
  <c r="AC94" i="14" s="1"/>
  <c r="X103" i="14"/>
  <c r="Y103" i="14" s="1"/>
  <c r="AA103" i="14" s="1"/>
  <c r="Q106" i="14"/>
  <c r="Q108" i="14"/>
  <c r="R116" i="14"/>
  <c r="Q149" i="14"/>
  <c r="Q92" i="17"/>
  <c r="U92" i="17" s="1"/>
  <c r="Q99" i="17"/>
  <c r="R14" i="14"/>
  <c r="Q16" i="14"/>
  <c r="R25" i="14"/>
  <c r="Q30" i="14"/>
  <c r="R85" i="14"/>
  <c r="Q86" i="14"/>
  <c r="R86" i="14" s="1"/>
  <c r="Q88" i="14"/>
  <c r="Q103" i="14"/>
  <c r="W52" i="17"/>
  <c r="X52" i="17" s="1"/>
  <c r="Z52" i="17" s="1"/>
  <c r="Q75" i="17"/>
  <c r="S75" i="17" s="1"/>
  <c r="X60" i="14"/>
  <c r="Y60" i="14" s="1"/>
  <c r="AA60" i="14" s="1"/>
  <c r="X12" i="14"/>
  <c r="Y12" i="14" s="1"/>
  <c r="AA12" i="14" s="1"/>
  <c r="AB12" i="14" s="1"/>
  <c r="AC12" i="14" s="1"/>
  <c r="X22" i="14"/>
  <c r="Y22" i="14" s="1"/>
  <c r="AA22" i="14" s="1"/>
  <c r="X24" i="14"/>
  <c r="Y24" i="14" s="1"/>
  <c r="AA24" i="14" s="1"/>
  <c r="AB24" i="14" s="1"/>
  <c r="AC24" i="14" s="1"/>
  <c r="X40" i="14"/>
  <c r="Y40" i="14" s="1"/>
  <c r="AA40" i="14" s="1"/>
  <c r="AB40" i="14" s="1"/>
  <c r="AC40" i="14" s="1"/>
  <c r="R44" i="14"/>
  <c r="R53" i="14"/>
  <c r="R56" i="14"/>
  <c r="R95" i="14"/>
  <c r="W14" i="17"/>
  <c r="X14" i="17" s="1"/>
  <c r="Z14" i="17" s="1"/>
  <c r="W98" i="17"/>
  <c r="X98" i="17" s="1"/>
  <c r="Z98" i="17" s="1"/>
  <c r="V20" i="21"/>
  <c r="T20" i="21"/>
  <c r="R15" i="21"/>
  <c r="AA14" i="21"/>
  <c r="X20" i="21"/>
  <c r="Y20" i="21" s="1"/>
  <c r="AA20" i="21" s="1"/>
  <c r="Q15" i="21"/>
  <c r="Q17" i="21" s="1"/>
  <c r="V16" i="18"/>
  <c r="T16" i="18"/>
  <c r="V37" i="18"/>
  <c r="T37" i="18"/>
  <c r="M293" i="1"/>
  <c r="P62" i="18"/>
  <c r="M40" i="1"/>
  <c r="X22" i="18"/>
  <c r="Y22" i="18" s="1"/>
  <c r="AA22" i="18" s="1"/>
  <c r="P33" i="18"/>
  <c r="P44" i="18" s="1"/>
  <c r="X28" i="18"/>
  <c r="Y28" i="18" s="1"/>
  <c r="AA28" i="18" s="1"/>
  <c r="R28" i="18"/>
  <c r="V28" i="18" s="1"/>
  <c r="R17" i="18"/>
  <c r="T17" i="18" s="1"/>
  <c r="X36" i="18"/>
  <c r="Y36" i="18" s="1"/>
  <c r="AA36" i="18" s="1"/>
  <c r="R36" i="18"/>
  <c r="X53" i="18"/>
  <c r="Y53" i="18" s="1"/>
  <c r="AA53" i="18" s="1"/>
  <c r="R53" i="18"/>
  <c r="R29" i="18"/>
  <c r="X29" i="18"/>
  <c r="Y29" i="18" s="1"/>
  <c r="AA29" i="18" s="1"/>
  <c r="R55" i="18"/>
  <c r="X55" i="18"/>
  <c r="Y55" i="18" s="1"/>
  <c r="AA55" i="18" s="1"/>
  <c r="T19" i="18"/>
  <c r="R22" i="21"/>
  <c r="Q18" i="18"/>
  <c r="AG18" i="18"/>
  <c r="R18" i="18" s="1"/>
  <c r="AG21" i="18"/>
  <c r="R21" i="18" s="1"/>
  <c r="V21" i="18" s="1"/>
  <c r="AG23" i="18"/>
  <c r="Q52" i="18"/>
  <c r="T65" i="18"/>
  <c r="X27" i="18"/>
  <c r="Y27" i="18" s="1"/>
  <c r="AA27" i="18" s="1"/>
  <c r="X68" i="18"/>
  <c r="Y68" i="18" s="1"/>
  <c r="AA68" i="18" s="1"/>
  <c r="X40" i="18"/>
  <c r="Y40" i="18" s="1"/>
  <c r="AA40" i="18" s="1"/>
  <c r="X18" i="18"/>
  <c r="Y18" i="18" s="1"/>
  <c r="AA18" i="18" s="1"/>
  <c r="X21" i="18"/>
  <c r="Y21" i="18" s="1"/>
  <c r="AA21" i="18" s="1"/>
  <c r="Q27" i="18"/>
  <c r="AG14" i="18"/>
  <c r="R14" i="18" s="1"/>
  <c r="AG15" i="18"/>
  <c r="R15" i="18" s="1"/>
  <c r="R23" i="18"/>
  <c r="X37" i="18"/>
  <c r="X16" i="18"/>
  <c r="Y16" i="18" s="1"/>
  <c r="AA16" i="18" s="1"/>
  <c r="X31" i="18"/>
  <c r="Y31" i="18" s="1"/>
  <c r="AA31" i="18" s="1"/>
  <c r="N62" i="18"/>
  <c r="Q102" i="17"/>
  <c r="W102" i="17"/>
  <c r="X102" i="17" s="1"/>
  <c r="Z102" i="17" s="1"/>
  <c r="U60" i="17"/>
  <c r="W31" i="17"/>
  <c r="X31" i="17" s="1"/>
  <c r="Z31" i="17" s="1"/>
  <c r="Q31" i="17"/>
  <c r="W58" i="17"/>
  <c r="X58" i="17" s="1"/>
  <c r="Z58" i="17" s="1"/>
  <c r="Q58" i="17"/>
  <c r="S99" i="17"/>
  <c r="U99" i="17"/>
  <c r="Q103" i="17"/>
  <c r="W103" i="17"/>
  <c r="X103" i="17" s="1"/>
  <c r="Z103" i="17" s="1"/>
  <c r="P34" i="17"/>
  <c r="Q28" i="17"/>
  <c r="U75" i="17"/>
  <c r="Q76" i="17"/>
  <c r="W76" i="17"/>
  <c r="X76" i="17" s="1"/>
  <c r="Z76" i="17" s="1"/>
  <c r="W65" i="17"/>
  <c r="X65" i="17" s="1"/>
  <c r="Z65" i="17" s="1"/>
  <c r="Q65" i="17"/>
  <c r="W17" i="17"/>
  <c r="AB32" i="17"/>
  <c r="Q14" i="17"/>
  <c r="W28" i="17"/>
  <c r="X28" i="17" s="1"/>
  <c r="Z28" i="17" s="1"/>
  <c r="W99" i="17"/>
  <c r="X99" i="17" s="1"/>
  <c r="Z99" i="17" s="1"/>
  <c r="M78" i="17"/>
  <c r="X12" i="17"/>
  <c r="AA57" i="17"/>
  <c r="AB57" i="17" s="1"/>
  <c r="AF30" i="17"/>
  <c r="Q30" i="17" s="1"/>
  <c r="AA75" i="17"/>
  <c r="AB75" i="17" s="1"/>
  <c r="Q71" i="17"/>
  <c r="Q51" i="17"/>
  <c r="Q64" i="17"/>
  <c r="Q90" i="17"/>
  <c r="Q41" i="17"/>
  <c r="Q69" i="17"/>
  <c r="Q94" i="17"/>
  <c r="U94" i="17" s="1"/>
  <c r="Q59" i="17"/>
  <c r="W74" i="17"/>
  <c r="X74" i="17" s="1"/>
  <c r="Z74" i="17" s="1"/>
  <c r="Q52" i="17"/>
  <c r="U52" i="17" s="1"/>
  <c r="AA52" i="17" s="1"/>
  <c r="AB52" i="17" s="1"/>
  <c r="W66" i="17"/>
  <c r="X66" i="17" s="1"/>
  <c r="Z66" i="17" s="1"/>
  <c r="Q29" i="17"/>
  <c r="Q86" i="17"/>
  <c r="Q56" i="17"/>
  <c r="Q98" i="17"/>
  <c r="Q104" i="17"/>
  <c r="S26" i="17"/>
  <c r="U27" i="17"/>
  <c r="M349" i="1"/>
  <c r="U101" i="17"/>
  <c r="AA101" i="17" s="1"/>
  <c r="AB101" i="17" s="1"/>
  <c r="U62" i="17"/>
  <c r="S62" i="17"/>
  <c r="U14" i="1"/>
  <c r="S28" i="1"/>
  <c r="S52" i="17"/>
  <c r="U72" i="17"/>
  <c r="S72" i="17"/>
  <c r="AB23" i="17"/>
  <c r="S92" i="17"/>
  <c r="W92" i="17" s="1"/>
  <c r="X92" i="17" s="1"/>
  <c r="Z92" i="17" s="1"/>
  <c r="Q66" i="17"/>
  <c r="Q55" i="17"/>
  <c r="Q73" i="17"/>
  <c r="W104" i="17"/>
  <c r="X104" i="17" s="1"/>
  <c r="Z104" i="17" s="1"/>
  <c r="W71" i="17"/>
  <c r="X71" i="17" s="1"/>
  <c r="Z71" i="17" s="1"/>
  <c r="W90" i="17"/>
  <c r="X90" i="17" s="1"/>
  <c r="Z90" i="17" s="1"/>
  <c r="R43" i="14"/>
  <c r="R47" i="14"/>
  <c r="X62" i="14"/>
  <c r="Y62" i="14" s="1"/>
  <c r="AA62" i="14" s="1"/>
  <c r="R62" i="14"/>
  <c r="X84" i="14"/>
  <c r="Y84" i="14" s="1"/>
  <c r="AA84" i="14" s="1"/>
  <c r="R84" i="14"/>
  <c r="R101" i="14"/>
  <c r="X101" i="14"/>
  <c r="Y101" i="14" s="1"/>
  <c r="AA101" i="14" s="1"/>
  <c r="AA97" i="17"/>
  <c r="Q95" i="17"/>
  <c r="V164" i="14"/>
  <c r="T164" i="14"/>
  <c r="X42" i="14"/>
  <c r="Y42" i="14" s="1"/>
  <c r="AA42" i="14" s="1"/>
  <c r="R42" i="14"/>
  <c r="R45" i="14"/>
  <c r="M153" i="1"/>
  <c r="N153" i="1" s="1"/>
  <c r="O153" i="1" s="1"/>
  <c r="P153" i="1" s="1"/>
  <c r="Q72" i="14"/>
  <c r="X72" i="14"/>
  <c r="Y72" i="14" s="1"/>
  <c r="AA72" i="14" s="1"/>
  <c r="T95" i="14"/>
  <c r="V95" i="14"/>
  <c r="R149" i="14"/>
  <c r="X149" i="14"/>
  <c r="Y149" i="14" s="1"/>
  <c r="AA149" i="14" s="1"/>
  <c r="AA61" i="17"/>
  <c r="AB61" i="17" s="1"/>
  <c r="Q74" i="17"/>
  <c r="W69" i="17"/>
  <c r="X69" i="17" s="1"/>
  <c r="Z69" i="17" s="1"/>
  <c r="AA99" i="17"/>
  <c r="AB99" i="17" s="1"/>
  <c r="Q85" i="17"/>
  <c r="S85" i="17" s="1"/>
  <c r="Q77" i="14"/>
  <c r="X77" i="14"/>
  <c r="Y77" i="14" s="1"/>
  <c r="AA77" i="14" s="1"/>
  <c r="AB77" i="14" s="1"/>
  <c r="Q96" i="17"/>
  <c r="W51" i="17"/>
  <c r="X51" i="17" s="1"/>
  <c r="Z51" i="17" s="1"/>
  <c r="Q24" i="17"/>
  <c r="X55" i="14"/>
  <c r="Y55" i="14" s="1"/>
  <c r="AA55" i="14" s="1"/>
  <c r="R55" i="14"/>
  <c r="M127" i="1"/>
  <c r="X57" i="14"/>
  <c r="Y57" i="14" s="1"/>
  <c r="AA57" i="14" s="1"/>
  <c r="Q53" i="17"/>
  <c r="W105" i="17"/>
  <c r="X105" i="17" s="1"/>
  <c r="Z105" i="17" s="1"/>
  <c r="Q15" i="17"/>
  <c r="W40" i="17"/>
  <c r="W87" i="17"/>
  <c r="X87" i="17" s="1"/>
  <c r="Z87" i="17" s="1"/>
  <c r="T115" i="14"/>
  <c r="X30" i="14"/>
  <c r="Y30" i="14" s="1"/>
  <c r="AA30" i="14" s="1"/>
  <c r="X16" i="14"/>
  <c r="Y16" i="14" s="1"/>
  <c r="AA16" i="14" s="1"/>
  <c r="N52" i="1"/>
  <c r="O52" i="1" s="1"/>
  <c r="P52" i="1" s="1"/>
  <c r="Q38" i="14"/>
  <c r="Q59" i="14"/>
  <c r="X100" i="14"/>
  <c r="Y100" i="14" s="1"/>
  <c r="AA100" i="14" s="1"/>
  <c r="Q105" i="14"/>
  <c r="R107" i="14"/>
  <c r="X131" i="14"/>
  <c r="Y131" i="14" s="1"/>
  <c r="AA131" i="14" s="1"/>
  <c r="Q146" i="14"/>
  <c r="Q148" i="14"/>
  <c r="X37" i="14"/>
  <c r="Y37" i="14" s="1"/>
  <c r="AA37" i="14" s="1"/>
  <c r="AB37" i="14" s="1"/>
  <c r="AC37" i="14" s="1"/>
  <c r="X95" i="14"/>
  <c r="Y95" i="14" s="1"/>
  <c r="AA95" i="14" s="1"/>
  <c r="R130" i="14"/>
  <c r="R131" i="14"/>
  <c r="W86" i="17"/>
  <c r="X86" i="17" s="1"/>
  <c r="Z86" i="17" s="1"/>
  <c r="X15" i="14"/>
  <c r="Q36" i="14"/>
  <c r="Q61" i="14"/>
  <c r="R71" i="14"/>
  <c r="R103" i="14"/>
  <c r="X104" i="14"/>
  <c r="Y104" i="14" s="1"/>
  <c r="AA104" i="14" s="1"/>
  <c r="R112" i="14"/>
  <c r="X130" i="14"/>
  <c r="Y130" i="14" s="1"/>
  <c r="AA130" i="14" s="1"/>
  <c r="V143" i="14"/>
  <c r="AB143" i="14" s="1"/>
  <c r="AC143" i="14" s="1"/>
  <c r="Q88" i="17"/>
  <c r="V21" i="14"/>
  <c r="S49" i="14"/>
  <c r="S124" i="14" s="1"/>
  <c r="Q15" i="14"/>
  <c r="X18" i="14"/>
  <c r="Y18" i="14" s="1"/>
  <c r="AA18" i="14" s="1"/>
  <c r="N97" i="14"/>
  <c r="X68" i="14"/>
  <c r="Y68" i="14" s="1"/>
  <c r="AA68" i="14" s="1"/>
  <c r="AB68" i="14" s="1"/>
  <c r="AC68" i="14" s="1"/>
  <c r="X90" i="14"/>
  <c r="Y90" i="14" s="1"/>
  <c r="AA90" i="14" s="1"/>
  <c r="X91" i="14"/>
  <c r="Y91" i="14" s="1"/>
  <c r="AA91" i="14" s="1"/>
  <c r="AB91" i="14" s="1"/>
  <c r="AC91" i="14" s="1"/>
  <c r="R104" i="14"/>
  <c r="R111" i="14"/>
  <c r="X140" i="14"/>
  <c r="Y140" i="14" s="1"/>
  <c r="AA140" i="14" s="1"/>
  <c r="Q145" i="14"/>
  <c r="O130" i="4"/>
  <c r="P100" i="4"/>
  <c r="U107" i="4"/>
  <c r="S107" i="4"/>
  <c r="T107" i="4" s="1"/>
  <c r="U90" i="4"/>
  <c r="S90" i="4"/>
  <c r="T90" i="4" s="1"/>
  <c r="U109" i="4"/>
  <c r="S109" i="4"/>
  <c r="T109" i="4" s="1"/>
  <c r="S112" i="4"/>
  <c r="T112" i="4" s="1"/>
  <c r="U112" i="4"/>
  <c r="U100" i="4"/>
  <c r="S100" i="4"/>
  <c r="T100" i="4" s="1"/>
  <c r="U28" i="4"/>
  <c r="S28" i="4"/>
  <c r="T28" i="4" s="1"/>
  <c r="U74" i="4"/>
  <c r="S74" i="4"/>
  <c r="T74" i="4" s="1"/>
  <c r="U78" i="4"/>
  <c r="S78" i="4"/>
  <c r="T78" i="4" s="1"/>
  <c r="P21" i="4"/>
  <c r="O39" i="4"/>
  <c r="P12" i="4"/>
  <c r="Q12" i="4" s="1"/>
  <c r="S12" i="4" s="1"/>
  <c r="T12" i="4" s="1"/>
  <c r="O18" i="4"/>
  <c r="U65" i="4"/>
  <c r="S65" i="4"/>
  <c r="T65" i="4" s="1"/>
  <c r="U66" i="4"/>
  <c r="S66" i="4"/>
  <c r="T66" i="4" s="1"/>
  <c r="U72" i="4"/>
  <c r="S72" i="4"/>
  <c r="T72" i="4" s="1"/>
  <c r="U111" i="4"/>
  <c r="S111" i="4"/>
  <c r="T111" i="4" s="1"/>
  <c r="P130" i="4"/>
  <c r="Q25" i="4"/>
  <c r="S25" i="4" s="1"/>
  <c r="Q23" i="4"/>
  <c r="S23" i="4" s="1"/>
  <c r="Q117" i="4"/>
  <c r="S117" i="4" s="1"/>
  <c r="T117" i="4" s="1"/>
  <c r="U117" i="4" s="1"/>
  <c r="N39" i="4"/>
  <c r="D55" i="7" s="1"/>
  <c r="C55" i="7" s="1"/>
  <c r="Q88" i="4"/>
  <c r="S88" i="4" s="1"/>
  <c r="T88" i="4" s="1"/>
  <c r="U88" i="4" s="1"/>
  <c r="Q16" i="4"/>
  <c r="S16" i="4" s="1"/>
  <c r="T16" i="4" s="1"/>
  <c r="U24" i="5"/>
  <c r="S24" i="5"/>
  <c r="T24" i="5" s="1"/>
  <c r="S67" i="5"/>
  <c r="T67" i="5"/>
  <c r="U67" i="5" s="1"/>
  <c r="U35" i="5"/>
  <c r="S35" i="5"/>
  <c r="T35" i="5" s="1"/>
  <c r="S56" i="5"/>
  <c r="T56" i="5" s="1"/>
  <c r="U56" i="5"/>
  <c r="S50" i="5"/>
  <c r="T50" i="5" s="1"/>
  <c r="U50" i="5"/>
  <c r="S20" i="5"/>
  <c r="T20" i="5" s="1"/>
  <c r="U20" i="5"/>
  <c r="Q66" i="5"/>
  <c r="Q69" i="5"/>
  <c r="Q62" i="5"/>
  <c r="Q71" i="5"/>
  <c r="U394" i="6"/>
  <c r="S394" i="6"/>
  <c r="T394" i="6" s="1"/>
  <c r="U403" i="6"/>
  <c r="S403" i="6"/>
  <c r="T403" i="6" s="1"/>
  <c r="S417" i="6"/>
  <c r="T417" i="6"/>
  <c r="U417" i="6" s="1"/>
  <c r="P19" i="6"/>
  <c r="O229" i="6"/>
  <c r="S89" i="6"/>
  <c r="T89" i="6"/>
  <c r="U89" i="6" s="1"/>
  <c r="S345" i="6"/>
  <c r="T345" i="6" s="1"/>
  <c r="U345" i="6"/>
  <c r="S233" i="6"/>
  <c r="T233" i="6" s="1"/>
  <c r="U233" i="6"/>
  <c r="U393" i="6"/>
  <c r="S393" i="6"/>
  <c r="T393" i="6" s="1"/>
  <c r="U31" i="6"/>
  <c r="S31" i="6"/>
  <c r="T31" i="6" s="1"/>
  <c r="S72" i="6"/>
  <c r="T72" i="6" s="1"/>
  <c r="U72" i="6"/>
  <c r="O429" i="6"/>
  <c r="N434" i="6"/>
  <c r="D43" i="7" s="1"/>
  <c r="C43" i="7" s="1"/>
  <c r="U23" i="6"/>
  <c r="S23" i="6"/>
  <c r="T23" i="6" s="1"/>
  <c r="U29" i="6"/>
  <c r="S29" i="6"/>
  <c r="T29" i="6" s="1"/>
  <c r="S73" i="6"/>
  <c r="T73" i="6" s="1"/>
  <c r="U73" i="6"/>
  <c r="S281" i="6"/>
  <c r="T281" i="6"/>
  <c r="U281" i="6" s="1"/>
  <c r="S297" i="6"/>
  <c r="T297" i="6" s="1"/>
  <c r="U297" i="6" s="1"/>
  <c r="S395" i="6"/>
  <c r="T395" i="6" s="1"/>
  <c r="U395" i="6"/>
  <c r="U34" i="6"/>
  <c r="S34" i="6"/>
  <c r="T34" i="6" s="1"/>
  <c r="S355" i="6"/>
  <c r="T355" i="6"/>
  <c r="U355" i="6" s="1"/>
  <c r="S321" i="6"/>
  <c r="T321" i="6" s="1"/>
  <c r="U321" i="6" s="1"/>
  <c r="Q469" i="6"/>
  <c r="S469" i="6" s="1"/>
  <c r="T469" i="6" s="1"/>
  <c r="Q167" i="6"/>
  <c r="S167" i="6" s="1"/>
  <c r="Q64" i="6"/>
  <c r="S64" i="6" s="1"/>
  <c r="Q137" i="6"/>
  <c r="S137" i="6" s="1"/>
  <c r="T137" i="6" s="1"/>
  <c r="Q125" i="6"/>
  <c r="S125" i="6" s="1"/>
  <c r="T125" i="6" s="1"/>
  <c r="Q82" i="6"/>
  <c r="Q220" i="6"/>
  <c r="Q191" i="6"/>
  <c r="S191" i="6" s="1"/>
  <c r="T191" i="6" s="1"/>
  <c r="Q165" i="6"/>
  <c r="S165" i="6" s="1"/>
  <c r="Q143" i="6"/>
  <c r="S143" i="6" s="1"/>
  <c r="Q67" i="6"/>
  <c r="S67" i="6" s="1"/>
  <c r="T67" i="6" s="1"/>
  <c r="Q88" i="6"/>
  <c r="S88" i="6" s="1"/>
  <c r="T88" i="6" s="1"/>
  <c r="O380" i="6"/>
  <c r="Q213" i="6"/>
  <c r="S213" i="6" s="1"/>
  <c r="Q473" i="6"/>
  <c r="S473" i="6" s="1"/>
  <c r="T473" i="6" s="1"/>
  <c r="Q109" i="6"/>
  <c r="Q198" i="6"/>
  <c r="S198" i="6" s="1"/>
  <c r="Q194" i="6"/>
  <c r="Q160" i="6"/>
  <c r="Q112" i="6"/>
  <c r="S112" i="6" s="1"/>
  <c r="T112" i="6" s="1"/>
  <c r="U112" i="6" s="1"/>
  <c r="Q123" i="6"/>
  <c r="S123" i="6" s="1"/>
  <c r="T123" i="6" s="1"/>
  <c r="U123" i="6" s="1"/>
  <c r="Q450" i="6"/>
  <c r="S450" i="6" s="1"/>
  <c r="T168" i="6"/>
  <c r="U168" i="6" s="1"/>
  <c r="T292" i="6"/>
  <c r="S80" i="6"/>
  <c r="T80" i="6" s="1"/>
  <c r="T21" i="5"/>
  <c r="O292" i="1"/>
  <c r="P292" i="1" s="1"/>
  <c r="S30" i="5"/>
  <c r="T30" i="5" s="1"/>
  <c r="S251" i="6"/>
  <c r="T251" i="6" s="1"/>
  <c r="S249" i="6"/>
  <c r="T249" i="6" s="1"/>
  <c r="S28" i="5"/>
  <c r="T28" i="5" s="1"/>
  <c r="Q15" i="1"/>
  <c r="J156" i="1"/>
  <c r="K156" i="1" s="1"/>
  <c r="L156" i="1" s="1"/>
  <c r="T358" i="6"/>
  <c r="U358" i="6" s="1"/>
  <c r="U301" i="6"/>
  <c r="U45" i="6"/>
  <c r="T21" i="4"/>
  <c r="K236" i="1"/>
  <c r="L236" i="1" s="1"/>
  <c r="J150" i="1"/>
  <c r="T153" i="6"/>
  <c r="U153" i="6" s="1"/>
  <c r="U271" i="6"/>
  <c r="B23" i="7"/>
  <c r="AB11" i="14"/>
  <c r="Q374" i="6"/>
  <c r="S374" i="6" s="1"/>
  <c r="T374" i="6" s="1"/>
  <c r="U374" i="6" s="1"/>
  <c r="X11" i="17"/>
  <c r="U34" i="4"/>
  <c r="Q32" i="4"/>
  <c r="S32" i="4" s="1"/>
  <c r="T32" i="4" s="1"/>
  <c r="Q37" i="4"/>
  <c r="E56" i="7" s="1"/>
  <c r="Q31" i="4"/>
  <c r="S31" i="4" s="1"/>
  <c r="S22" i="4"/>
  <c r="T22" i="4" s="1"/>
  <c r="U22" i="4"/>
  <c r="P35" i="4"/>
  <c r="D72" i="7"/>
  <c r="D74" i="7" s="1"/>
  <c r="U452" i="6"/>
  <c r="T471" i="6"/>
  <c r="U471" i="6" s="1"/>
  <c r="U76" i="6"/>
  <c r="U23" i="5"/>
  <c r="O140" i="1"/>
  <c r="P140" i="1" s="1"/>
  <c r="S47" i="6"/>
  <c r="T47" i="6" s="1"/>
  <c r="O108" i="1"/>
  <c r="P108" i="1" s="1"/>
  <c r="T340" i="6"/>
  <c r="U340" i="6" s="1"/>
  <c r="S260" i="6"/>
  <c r="T260" i="6" s="1"/>
  <c r="S114" i="4"/>
  <c r="T114" i="4" s="1"/>
  <c r="O55" i="1"/>
  <c r="P55" i="1" s="1"/>
  <c r="Q55" i="1" s="1"/>
  <c r="O333" i="1"/>
  <c r="P333" i="1" s="1"/>
  <c r="Q333" i="1" s="1"/>
  <c r="T76" i="1"/>
  <c r="U76" i="1" s="1"/>
  <c r="T342" i="6"/>
  <c r="U342" i="6" s="1"/>
  <c r="T91" i="6"/>
  <c r="U91" i="6" s="1"/>
  <c r="T449" i="6"/>
  <c r="U449" i="6" s="1"/>
  <c r="T322" i="6"/>
  <c r="U322" i="6" s="1"/>
  <c r="U55" i="5"/>
  <c r="T54" i="1"/>
  <c r="O337" i="1"/>
  <c r="P337" i="1" s="1"/>
  <c r="Q337" i="1" s="1"/>
  <c r="N325" i="1"/>
  <c r="O325" i="1" s="1"/>
  <c r="P325" i="1" s="1"/>
  <c r="U28" i="1"/>
  <c r="U54" i="1"/>
  <c r="Q377" i="6"/>
  <c r="S377" i="6" s="1"/>
  <c r="Q361" i="6"/>
  <c r="S361" i="6" s="1"/>
  <c r="T361" i="6" s="1"/>
  <c r="U361" i="6" s="1"/>
  <c r="Q265" i="6"/>
  <c r="U265" i="6" s="1"/>
  <c r="Q305" i="6"/>
  <c r="U18" i="6"/>
  <c r="S18" i="6"/>
  <c r="T18" i="6" s="1"/>
  <c r="P470" i="6"/>
  <c r="O482" i="6"/>
  <c r="U58" i="6"/>
  <c r="S58" i="6"/>
  <c r="T58" i="6" s="1"/>
  <c r="S264" i="6"/>
  <c r="T264" i="6" s="1"/>
  <c r="U264" i="6" s="1"/>
  <c r="Q255" i="6"/>
  <c r="Q189" i="6"/>
  <c r="S189" i="6" s="1"/>
  <c r="T189" i="6" s="1"/>
  <c r="S368" i="6"/>
  <c r="T368" i="6" s="1"/>
  <c r="U368" i="6" s="1"/>
  <c r="S302" i="6"/>
  <c r="T302" i="6" s="1"/>
  <c r="U302" i="6" s="1"/>
  <c r="Q225" i="6"/>
  <c r="S225" i="6" s="1"/>
  <c r="Q218" i="6"/>
  <c r="Q158" i="6"/>
  <c r="S158" i="6" s="1"/>
  <c r="T158" i="6" s="1"/>
  <c r="Q116" i="6"/>
  <c r="Q108" i="6"/>
  <c r="Q86" i="6"/>
  <c r="S86" i="6" s="1"/>
  <c r="T86" i="6" s="1"/>
  <c r="U86" i="6" s="1"/>
  <c r="Q65" i="6"/>
  <c r="Q133" i="6"/>
  <c r="Q110" i="6"/>
  <c r="S110" i="6" s="1"/>
  <c r="Q128" i="6"/>
  <c r="S128" i="6" s="1"/>
  <c r="T128" i="6" s="1"/>
  <c r="U128" i="6" s="1"/>
  <c r="Q106" i="6"/>
  <c r="Q84" i="6"/>
  <c r="S84" i="6" s="1"/>
  <c r="Q156" i="6"/>
  <c r="S156" i="6" s="1"/>
  <c r="T156" i="6" s="1"/>
  <c r="U156" i="6" s="1"/>
  <c r="Q199" i="6"/>
  <c r="S199" i="6" s="1"/>
  <c r="Q187" i="6"/>
  <c r="Q169" i="6"/>
  <c r="Q127" i="6"/>
  <c r="S127" i="6" s="1"/>
  <c r="Q66" i="6"/>
  <c r="S66" i="6" s="1"/>
  <c r="U27" i="6"/>
  <c r="T211" i="6"/>
  <c r="U211" i="6" s="1"/>
  <c r="U61" i="6"/>
  <c r="T198" i="6"/>
  <c r="S259" i="6"/>
  <c r="T259" i="6" s="1"/>
  <c r="U28" i="6"/>
  <c r="T173" i="6"/>
  <c r="U173" i="6" s="1"/>
  <c r="U67" i="6"/>
  <c r="U43" i="6"/>
  <c r="U21" i="5"/>
  <c r="S334" i="1"/>
  <c r="T334" i="1" s="1"/>
  <c r="Q224" i="1"/>
  <c r="S224" i="1" s="1"/>
  <c r="S205" i="1"/>
  <c r="T205" i="1" s="1"/>
  <c r="U205" i="1"/>
  <c r="Q78" i="1"/>
  <c r="S78" i="1" s="1"/>
  <c r="Q388" i="6"/>
  <c r="E39" i="7" s="1"/>
  <c r="Q92" i="1"/>
  <c r="S92" i="1" s="1"/>
  <c r="T92" i="1" s="1"/>
  <c r="U92" i="1" s="1"/>
  <c r="S50" i="1"/>
  <c r="T50" i="1" s="1"/>
  <c r="S13" i="5"/>
  <c r="T13" i="5" s="1"/>
  <c r="O47" i="4"/>
  <c r="P47" i="4" s="1"/>
  <c r="Q47" i="4" s="1"/>
  <c r="S47" i="4" s="1"/>
  <c r="T47" i="4" s="1"/>
  <c r="U47" i="4" s="1"/>
  <c r="O299" i="1"/>
  <c r="P299" i="1" s="1"/>
  <c r="Q82" i="1"/>
  <c r="Q201" i="1"/>
  <c r="S201" i="1" s="1"/>
  <c r="P403" i="6"/>
  <c r="P423" i="6" s="1"/>
  <c r="O423" i="6"/>
  <c r="O382" i="6"/>
  <c r="P242" i="6"/>
  <c r="P380" i="6" s="1"/>
  <c r="T43" i="6"/>
  <c r="U47" i="5"/>
  <c r="S47" i="5"/>
  <c r="T47" i="5" s="1"/>
  <c r="U27" i="5"/>
  <c r="S27" i="5"/>
  <c r="T27" i="5" s="1"/>
  <c r="S71" i="5"/>
  <c r="T71" i="5" s="1"/>
  <c r="U71" i="5" s="1"/>
  <c r="Q202" i="6"/>
  <c r="U45" i="5"/>
  <c r="S45" i="5"/>
  <c r="T45" i="5" s="1"/>
  <c r="U60" i="5"/>
  <c r="S60" i="5"/>
  <c r="T60" i="5" s="1"/>
  <c r="U36" i="5"/>
  <c r="S36" i="5"/>
  <c r="T36" i="5" s="1"/>
  <c r="S46" i="5"/>
  <c r="T46" i="5" s="1"/>
  <c r="U46" i="5"/>
  <c r="S75" i="5"/>
  <c r="T75" i="5" s="1"/>
  <c r="U75" i="5" s="1"/>
  <c r="U19" i="6"/>
  <c r="S19" i="6"/>
  <c r="T19" i="6" s="1"/>
  <c r="T441" i="6"/>
  <c r="U441" i="6" s="1"/>
  <c r="T213" i="6"/>
  <c r="U213" i="6" s="1"/>
  <c r="U446" i="6"/>
  <c r="U78" i="6"/>
  <c r="U258" i="6"/>
  <c r="O38" i="5"/>
  <c r="P38" i="5" s="1"/>
  <c r="N97" i="5"/>
  <c r="N100" i="5" s="1"/>
  <c r="S37" i="5"/>
  <c r="T37" i="5" s="1"/>
  <c r="U37" i="5"/>
  <c r="U57" i="5"/>
  <c r="S57" i="5"/>
  <c r="T57" i="5" s="1"/>
  <c r="Q78" i="5"/>
  <c r="Q68" i="6"/>
  <c r="T86" i="5"/>
  <c r="U86" i="5" s="1"/>
  <c r="Q407" i="6"/>
  <c r="S407" i="6" s="1"/>
  <c r="T407" i="6" s="1"/>
  <c r="U407" i="6" s="1"/>
  <c r="Q62" i="6"/>
  <c r="S62" i="6" s="1"/>
  <c r="Q152" i="6"/>
  <c r="S152" i="6" s="1"/>
  <c r="T152" i="6" s="1"/>
  <c r="Q222" i="6"/>
  <c r="Q420" i="6"/>
  <c r="Q155" i="6"/>
  <c r="S155" i="6" s="1"/>
  <c r="T155" i="6" s="1"/>
  <c r="U155" i="6" s="1"/>
  <c r="Q87" i="5"/>
  <c r="Q411" i="6"/>
  <c r="Q414" i="6"/>
  <c r="Q85" i="5"/>
  <c r="Q90" i="6"/>
  <c r="S90" i="6" s="1"/>
  <c r="T90" i="6" s="1"/>
  <c r="Q95" i="5"/>
  <c r="Q93" i="5"/>
  <c r="Q92" i="5"/>
  <c r="Q94" i="5"/>
  <c r="S61" i="4"/>
  <c r="T61" i="4" s="1"/>
  <c r="U61" i="4"/>
  <c r="U46" i="4"/>
  <c r="S46" i="4"/>
  <c r="T46" i="4" s="1"/>
  <c r="O52" i="4"/>
  <c r="P52" i="4" s="1"/>
  <c r="Q108" i="1"/>
  <c r="O175" i="1"/>
  <c r="P175" i="1" s="1"/>
  <c r="Q175" i="1" s="1"/>
  <c r="S175" i="1" s="1"/>
  <c r="U94" i="6"/>
  <c r="Q188" i="1"/>
  <c r="S188" i="1" s="1"/>
  <c r="T188" i="1" s="1"/>
  <c r="U188" i="1" s="1"/>
  <c r="Q94" i="1"/>
  <c r="S94" i="1" s="1"/>
  <c r="T94" i="1" s="1"/>
  <c r="U94" i="1" s="1"/>
  <c r="O13" i="1"/>
  <c r="P13" i="1" s="1"/>
  <c r="U371" i="6"/>
  <c r="K239" i="1"/>
  <c r="L239" i="1" s="1"/>
  <c r="O51" i="1"/>
  <c r="P51" i="1" s="1"/>
  <c r="K257" i="1"/>
  <c r="L257" i="1" s="1"/>
  <c r="Q257" i="1" s="1"/>
  <c r="N44" i="1"/>
  <c r="O44" i="1" s="1"/>
  <c r="P44" i="1" s="1"/>
  <c r="N54" i="1"/>
  <c r="O54" i="1" s="1"/>
  <c r="P54" i="1" s="1"/>
  <c r="Q199" i="1"/>
  <c r="U210" i="1"/>
  <c r="S210" i="1"/>
  <c r="T210" i="1" s="1"/>
  <c r="Q73" i="1"/>
  <c r="S73" i="1" s="1"/>
  <c r="Q77" i="1"/>
  <c r="U193" i="6"/>
  <c r="T180" i="6"/>
  <c r="U180" i="6" s="1"/>
  <c r="U189" i="6"/>
  <c r="S428" i="6"/>
  <c r="T428" i="6" s="1"/>
  <c r="O279" i="1"/>
  <c r="Q192" i="1"/>
  <c r="S192" i="1" s="1"/>
  <c r="S67" i="1"/>
  <c r="T67" i="1" s="1"/>
  <c r="U67" i="1"/>
  <c r="U217" i="1"/>
  <c r="S217" i="1"/>
  <c r="T217" i="1" s="1"/>
  <c r="U220" i="1"/>
  <c r="S220" i="1"/>
  <c r="T220" i="1" s="1"/>
  <c r="S174" i="1"/>
  <c r="S190" i="1"/>
  <c r="T190" i="1" s="1"/>
  <c r="U190" i="1" s="1"/>
  <c r="S208" i="1"/>
  <c r="T208" i="1" s="1"/>
  <c r="U208" i="1"/>
  <c r="S58" i="1"/>
  <c r="T58" i="1" s="1"/>
  <c r="U58" i="1" s="1"/>
  <c r="U214" i="1"/>
  <c r="S214" i="1"/>
  <c r="T214" i="1" s="1"/>
  <c r="U207" i="1"/>
  <c r="S207" i="1"/>
  <c r="T207" i="1" s="1"/>
  <c r="U179" i="6"/>
  <c r="U334" i="1"/>
  <c r="Q184" i="1"/>
  <c r="S184" i="1" s="1"/>
  <c r="Q93" i="1"/>
  <c r="S93" i="1" s="1"/>
  <c r="Q148" i="1"/>
  <c r="Q332" i="1"/>
  <c r="S332" i="1" s="1"/>
  <c r="T332" i="1" s="1"/>
  <c r="U332" i="1" s="1"/>
  <c r="Q114" i="1"/>
  <c r="S114" i="1" s="1"/>
  <c r="T114" i="1" s="1"/>
  <c r="Q203" i="1"/>
  <c r="Q223" i="1"/>
  <c r="S223" i="1" s="1"/>
  <c r="T223" i="1" s="1"/>
  <c r="U469" i="6"/>
  <c r="T311" i="6"/>
  <c r="U311" i="6" s="1"/>
  <c r="T127" i="6"/>
  <c r="U127" i="6" s="1"/>
  <c r="T96" i="6"/>
  <c r="T416" i="6"/>
  <c r="U416" i="6" s="1"/>
  <c r="S130" i="6"/>
  <c r="T130" i="6" s="1"/>
  <c r="S457" i="6"/>
  <c r="T457" i="6" s="1"/>
  <c r="U457" i="6" s="1"/>
  <c r="S145" i="1"/>
  <c r="T145" i="1" s="1"/>
  <c r="U145" i="1"/>
  <c r="U278" i="1"/>
  <c r="S278" i="1"/>
  <c r="T278" i="1" s="1"/>
  <c r="S331" i="6"/>
  <c r="T331" i="6" s="1"/>
  <c r="U331" i="6" s="1"/>
  <c r="T193" i="1"/>
  <c r="U193" i="1" s="1"/>
  <c r="Q112" i="1"/>
  <c r="T162" i="6"/>
  <c r="U162" i="6" s="1"/>
  <c r="Q132" i="1"/>
  <c r="S132" i="1" s="1"/>
  <c r="Q339" i="1"/>
  <c r="T83" i="6"/>
  <c r="U83" i="6" s="1"/>
  <c r="U57" i="6"/>
  <c r="S291" i="6"/>
  <c r="T291" i="6" s="1"/>
  <c r="T81" i="4"/>
  <c r="U81" i="4" s="1"/>
  <c r="O297" i="1"/>
  <c r="P297" i="1" s="1"/>
  <c r="Q297" i="1" s="1"/>
  <c r="S297" i="1" s="1"/>
  <c r="Q75" i="1"/>
  <c r="S75" i="1" s="1"/>
  <c r="Q98" i="1"/>
  <c r="S98" i="1" s="1"/>
  <c r="T98" i="1" s="1"/>
  <c r="Q202" i="1"/>
  <c r="S202" i="1" s="1"/>
  <c r="T202" i="1" s="1"/>
  <c r="T98" i="6"/>
  <c r="U98" i="6" s="1"/>
  <c r="S245" i="1"/>
  <c r="T245" i="1" s="1"/>
  <c r="U245" i="1" s="1"/>
  <c r="F41" i="7"/>
  <c r="F39" i="7"/>
  <c r="T386" i="6"/>
  <c r="U308" i="6"/>
  <c r="S257" i="6"/>
  <c r="T257" i="6" s="1"/>
  <c r="T206" i="6"/>
  <c r="U206" i="6" s="1"/>
  <c r="U186" i="6"/>
  <c r="U356" i="6"/>
  <c r="T136" i="6"/>
  <c r="U136" i="6" s="1"/>
  <c r="T221" i="6"/>
  <c r="U221" i="6" s="1"/>
  <c r="U210" i="6"/>
  <c r="U151" i="6"/>
  <c r="U87" i="6"/>
  <c r="U79" i="5"/>
  <c r="T326" i="6"/>
  <c r="U326" i="6" s="1"/>
  <c r="U29" i="5"/>
  <c r="T26" i="6"/>
  <c r="U50" i="6"/>
  <c r="U80" i="1"/>
  <c r="K45" i="1"/>
  <c r="L45" i="1" s="1"/>
  <c r="O45" i="1"/>
  <c r="P45" i="1" s="1"/>
  <c r="U143" i="1"/>
  <c r="S143" i="1"/>
  <c r="T143" i="1" s="1"/>
  <c r="S52" i="1"/>
  <c r="T52" i="1" s="1"/>
  <c r="U52" i="1"/>
  <c r="S401" i="6"/>
  <c r="T401" i="6" s="1"/>
  <c r="T167" i="6"/>
  <c r="U167" i="6" s="1"/>
  <c r="U163" i="6"/>
  <c r="S440" i="6"/>
  <c r="T440" i="6" s="1"/>
  <c r="U440" i="6" s="1"/>
  <c r="U125" i="6"/>
  <c r="U399" i="6"/>
  <c r="U26" i="6"/>
  <c r="U272" i="6"/>
  <c r="U256" i="6"/>
  <c r="T180" i="1"/>
  <c r="U180" i="1" s="1"/>
  <c r="U32" i="4"/>
  <c r="Q335" i="1"/>
  <c r="S335" i="1" s="1"/>
  <c r="T335" i="1" s="1"/>
  <c r="U167" i="1"/>
  <c r="S167" i="1"/>
  <c r="T167" i="1" s="1"/>
  <c r="T85" i="6"/>
  <c r="U85" i="6" s="1"/>
  <c r="U413" i="6"/>
  <c r="U158" i="6"/>
  <c r="U244" i="6"/>
  <c r="U49" i="6"/>
  <c r="S31" i="5"/>
  <c r="T31" i="5" s="1"/>
  <c r="S17" i="5"/>
  <c r="T17" i="5" s="1"/>
  <c r="T120" i="4"/>
  <c r="U120" i="4" s="1"/>
  <c r="Q22" i="1"/>
  <c r="S22" i="1" s="1"/>
  <c r="T22" i="1" s="1"/>
  <c r="U22" i="1" s="1"/>
  <c r="S277" i="1"/>
  <c r="T277" i="1" s="1"/>
  <c r="U277" i="1"/>
  <c r="U133" i="1"/>
  <c r="S133" i="1"/>
  <c r="T133" i="1" s="1"/>
  <c r="S168" i="1"/>
  <c r="T168" i="1" s="1"/>
  <c r="U168" i="1"/>
  <c r="U32" i="1"/>
  <c r="S32" i="1"/>
  <c r="T32" i="1" s="1"/>
  <c r="K17" i="1"/>
  <c r="L17" i="1" s="1"/>
  <c r="O17" i="1"/>
  <c r="P17" i="1" s="1"/>
  <c r="O138" i="1"/>
  <c r="P138" i="1" s="1"/>
  <c r="Q138" i="1" s="1"/>
  <c r="O63" i="1"/>
  <c r="P63" i="1" s="1"/>
  <c r="Q63" i="1" s="1"/>
  <c r="S63" i="1" s="1"/>
  <c r="T63" i="1" s="1"/>
  <c r="U63" i="1" s="1"/>
  <c r="O328" i="1"/>
  <c r="P328" i="1" s="1"/>
  <c r="Q83" i="1"/>
  <c r="S83" i="1" s="1"/>
  <c r="T83" i="1" s="1"/>
  <c r="U83" i="1" s="1"/>
  <c r="T479" i="6"/>
  <c r="U479" i="6" s="1"/>
  <c r="S105" i="4"/>
  <c r="T105" i="4" s="1"/>
  <c r="O307" i="1"/>
  <c r="P307" i="1" s="1"/>
  <c r="Q307" i="1" s="1"/>
  <c r="S307" i="1" s="1"/>
  <c r="Q262" i="1"/>
  <c r="U137" i="6"/>
  <c r="U473" i="6"/>
  <c r="S207" i="6"/>
  <c r="T207" i="6" s="1"/>
  <c r="S154" i="6"/>
  <c r="T154" i="6" s="1"/>
  <c r="T314" i="6"/>
  <c r="U314" i="6" s="1"/>
  <c r="U456" i="6"/>
  <c r="T263" i="6"/>
  <c r="U263" i="6" s="1"/>
  <c r="U96" i="6"/>
  <c r="T275" i="6"/>
  <c r="T62" i="6"/>
  <c r="U62" i="6" s="1"/>
  <c r="T334" i="6"/>
  <c r="U334" i="6" s="1"/>
  <c r="U252" i="6"/>
  <c r="S252" i="6"/>
  <c r="T252" i="6" s="1"/>
  <c r="T415" i="6"/>
  <c r="U415" i="6" s="1"/>
  <c r="T63" i="5"/>
  <c r="U63" i="5" s="1"/>
  <c r="T119" i="6"/>
  <c r="U119" i="6" s="1"/>
  <c r="S183" i="6"/>
  <c r="T183" i="6" s="1"/>
  <c r="U38" i="6"/>
  <c r="S262" i="6"/>
  <c r="T262" i="6" s="1"/>
  <c r="S184" i="6"/>
  <c r="T184" i="6" s="1"/>
  <c r="U22" i="6"/>
  <c r="S50" i="4"/>
  <c r="T50" i="4" s="1"/>
  <c r="U50" i="4" s="1"/>
  <c r="T192" i="1"/>
  <c r="U192" i="1" s="1"/>
  <c r="S19" i="1"/>
  <c r="T19" i="1" s="1"/>
  <c r="U19" i="1"/>
  <c r="T474" i="6"/>
  <c r="U474" i="6" s="1"/>
  <c r="U114" i="6"/>
  <c r="U95" i="6"/>
  <c r="T247" i="6"/>
  <c r="U247" i="6" s="1"/>
  <c r="S250" i="6"/>
  <c r="T250" i="6" s="1"/>
  <c r="S195" i="1"/>
  <c r="T195" i="1" s="1"/>
  <c r="Q236" i="1"/>
  <c r="S236" i="1" s="1"/>
  <c r="T236" i="1" s="1"/>
  <c r="U236" i="1" s="1"/>
  <c r="U306" i="6"/>
  <c r="Q51" i="4"/>
  <c r="S51" i="4" s="1"/>
  <c r="T51" i="4" s="1"/>
  <c r="S93" i="4"/>
  <c r="T93" i="4" s="1"/>
  <c r="S132" i="6"/>
  <c r="T132" i="6" s="1"/>
  <c r="U132" i="6" s="1"/>
  <c r="U323" i="6"/>
  <c r="T124" i="4"/>
  <c r="U124" i="4" s="1"/>
  <c r="T106" i="4"/>
  <c r="Q288" i="1"/>
  <c r="S288" i="1" s="1"/>
  <c r="T97" i="1"/>
  <c r="U97" i="1" s="1"/>
  <c r="Q51" i="1"/>
  <c r="Q313" i="1"/>
  <c r="S313" i="1" s="1"/>
  <c r="T313" i="1" s="1"/>
  <c r="U313" i="1" s="1"/>
  <c r="U347" i="1"/>
  <c r="S347" i="1"/>
  <c r="T347" i="1" s="1"/>
  <c r="Q13" i="1"/>
  <c r="S13" i="1" s="1"/>
  <c r="T13" i="1" s="1"/>
  <c r="Q20" i="1"/>
  <c r="S20" i="1" s="1"/>
  <c r="T20" i="1" s="1"/>
  <c r="T300" i="6"/>
  <c r="U300" i="6" s="1"/>
  <c r="T199" i="6"/>
  <c r="U199" i="6" s="1"/>
  <c r="T65" i="5"/>
  <c r="U65" i="5" s="1"/>
  <c r="Q231" i="1"/>
  <c r="S231" i="1" s="1"/>
  <c r="Q35" i="4"/>
  <c r="Q241" i="6"/>
  <c r="Q299" i="1"/>
  <c r="S299" i="1" s="1"/>
  <c r="T299" i="1" s="1"/>
  <c r="K328" i="1"/>
  <c r="L328" i="1" s="1"/>
  <c r="Q328" i="1" s="1"/>
  <c r="T110" i="6"/>
  <c r="U110" i="6" s="1"/>
  <c r="Q292" i="1"/>
  <c r="S292" i="1" s="1"/>
  <c r="T292" i="1" s="1"/>
  <c r="Q140" i="1"/>
  <c r="S140" i="1" s="1"/>
  <c r="T140" i="1" s="1"/>
  <c r="Q233" i="1"/>
  <c r="S233" i="1" s="1"/>
  <c r="T233" i="1" s="1"/>
  <c r="Q128" i="4"/>
  <c r="Q33" i="4"/>
  <c r="Q183" i="1"/>
  <c r="B103" i="7"/>
  <c r="C95" i="7"/>
  <c r="AB11" i="21"/>
  <c r="AC11" i="21" s="1"/>
  <c r="U476" i="6"/>
  <c r="C29" i="7"/>
  <c r="U432" i="6"/>
  <c r="U197" i="6"/>
  <c r="T113" i="6"/>
  <c r="U113" i="6" s="1"/>
  <c r="T245" i="6"/>
  <c r="U245" i="6" s="1"/>
  <c r="T310" i="6"/>
  <c r="U310" i="6" s="1"/>
  <c r="AA26" i="17"/>
  <c r="AB26" i="17" s="1"/>
  <c r="T221" i="1"/>
  <c r="U221" i="1" s="1"/>
  <c r="U290" i="6"/>
  <c r="T339" i="6"/>
  <c r="U339" i="6" s="1"/>
  <c r="T119" i="4"/>
  <c r="U119" i="4" s="1"/>
  <c r="S249" i="1"/>
  <c r="T249" i="1" s="1"/>
  <c r="U287" i="1"/>
  <c r="S287" i="1"/>
  <c r="T287" i="1" s="1"/>
  <c r="T84" i="6"/>
  <c r="U84" i="6" s="1"/>
  <c r="T59" i="6"/>
  <c r="U59" i="6" s="1"/>
  <c r="S14" i="4"/>
  <c r="T14" i="4" s="1"/>
  <c r="T196" i="1"/>
  <c r="U196" i="1" s="1"/>
  <c r="T298" i="6"/>
  <c r="U298" i="6" s="1"/>
  <c r="T157" i="6"/>
  <c r="U157" i="6" s="1"/>
  <c r="S12" i="1"/>
  <c r="T12" i="1" s="1"/>
  <c r="U12" i="1"/>
  <c r="U153" i="1"/>
  <c r="S153" i="1"/>
  <c r="T153" i="1" s="1"/>
  <c r="S15" i="1"/>
  <c r="T15" i="1" s="1"/>
  <c r="U15" i="1" s="1"/>
  <c r="U121" i="1"/>
  <c r="S121" i="1"/>
  <c r="T121" i="1" s="1"/>
  <c r="S257" i="1"/>
  <c r="T257" i="1" s="1"/>
  <c r="U257" i="1" s="1"/>
  <c r="S306" i="1"/>
  <c r="U275" i="6"/>
  <c r="N382" i="6"/>
  <c r="U216" i="6"/>
  <c r="U362" i="6"/>
  <c r="U366" i="6"/>
  <c r="T450" i="6"/>
  <c r="U450" i="6" s="1"/>
  <c r="U159" i="6"/>
  <c r="T204" i="6"/>
  <c r="U204" i="6" s="1"/>
  <c r="T165" i="6"/>
  <c r="U165" i="6" s="1"/>
  <c r="T129" i="6"/>
  <c r="U129" i="6" s="1"/>
  <c r="T243" i="6"/>
  <c r="T201" i="1"/>
  <c r="U201" i="1" s="1"/>
  <c r="T90" i="5"/>
  <c r="U90" i="5" s="1"/>
  <c r="T284" i="6"/>
  <c r="U284" i="6" s="1"/>
  <c r="T118" i="4"/>
  <c r="U118" i="4" s="1"/>
  <c r="T185" i="1"/>
  <c r="U185" i="1" s="1"/>
  <c r="S24" i="4"/>
  <c r="T24" i="4" s="1"/>
  <c r="U52" i="4"/>
  <c r="S52" i="4"/>
  <c r="T52" i="4" s="1"/>
  <c r="T110" i="1"/>
  <c r="U110" i="1" s="1"/>
  <c r="T175" i="6"/>
  <c r="U175" i="6" s="1"/>
  <c r="U88" i="6"/>
  <c r="C51" i="7"/>
  <c r="T73" i="1"/>
  <c r="U73" i="1" s="1"/>
  <c r="Q45" i="1"/>
  <c r="T96" i="1"/>
  <c r="U96" i="1" s="1"/>
  <c r="Q243" i="1"/>
  <c r="N349" i="1"/>
  <c r="O346" i="1"/>
  <c r="T350" i="6"/>
  <c r="U350" i="6" s="1"/>
  <c r="P12" i="1"/>
  <c r="S138" i="1"/>
  <c r="T138" i="1" s="1"/>
  <c r="S337" i="1"/>
  <c r="T337" i="1" s="1"/>
  <c r="U337" i="1" s="1"/>
  <c r="U439" i="6"/>
  <c r="U312" i="6"/>
  <c r="U205" i="6"/>
  <c r="U212" i="6"/>
  <c r="U120" i="6"/>
  <c r="U343" i="6"/>
  <c r="U81" i="6"/>
  <c r="U198" i="6"/>
  <c r="T227" i="6"/>
  <c r="U227" i="6" s="1"/>
  <c r="T197" i="1"/>
  <c r="U197" i="1" s="1"/>
  <c r="T82" i="4"/>
  <c r="U82" i="4" s="1"/>
  <c r="T286" i="6"/>
  <c r="U286" i="6" s="1"/>
  <c r="S53" i="1"/>
  <c r="AA27" i="17"/>
  <c r="AB27" i="17" s="1"/>
  <c r="T70" i="1"/>
  <c r="U70" i="1" s="1"/>
  <c r="S148" i="1"/>
  <c r="T148" i="1" s="1"/>
  <c r="T57" i="1"/>
  <c r="U57" i="1" s="1"/>
  <c r="S108" i="1"/>
  <c r="S55" i="1"/>
  <c r="T55" i="1" s="1"/>
  <c r="U55" i="1" s="1"/>
  <c r="O97" i="5"/>
  <c r="O100" i="5" s="1"/>
  <c r="P36" i="5"/>
  <c r="T376" i="6"/>
  <c r="U376" i="6" s="1"/>
  <c r="T121" i="4"/>
  <c r="U121" i="4" s="1"/>
  <c r="T261" i="1"/>
  <c r="U261" i="1" s="1"/>
  <c r="U294" i="6"/>
  <c r="S336" i="1"/>
  <c r="T336" i="1" s="1"/>
  <c r="U336" i="1" s="1"/>
  <c r="S312" i="1"/>
  <c r="T312" i="1" s="1"/>
  <c r="U312" i="1" s="1"/>
  <c r="S62" i="1"/>
  <c r="T62" i="1" s="1"/>
  <c r="U62" i="1" s="1"/>
  <c r="P239" i="1"/>
  <c r="S255" i="1"/>
  <c r="Q59" i="1"/>
  <c r="Q134" i="1"/>
  <c r="U279" i="6"/>
  <c r="U118" i="6"/>
  <c r="S247" i="1"/>
  <c r="T247" i="1" s="1"/>
  <c r="U247" i="1" s="1"/>
  <c r="T91" i="4"/>
  <c r="U91" i="4" s="1"/>
  <c r="T25" i="4"/>
  <c r="T71" i="1"/>
  <c r="U71" i="1" s="1"/>
  <c r="O120" i="1"/>
  <c r="S51" i="1"/>
  <c r="T51" i="1" s="1"/>
  <c r="U51" i="1" s="1"/>
  <c r="T335" i="6"/>
  <c r="U335" i="6" s="1"/>
  <c r="T332" i="6"/>
  <c r="U332" i="6" s="1"/>
  <c r="T364" i="6"/>
  <c r="U364" i="6" s="1"/>
  <c r="U478" i="6"/>
  <c r="T377" i="6"/>
  <c r="U377" i="6" s="1"/>
  <c r="T72" i="1"/>
  <c r="U72" i="1" s="1"/>
  <c r="T75" i="1"/>
  <c r="U75" i="1" s="1"/>
  <c r="T318" i="6"/>
  <c r="U318" i="6" s="1"/>
  <c r="S111" i="1"/>
  <c r="U238" i="1"/>
  <c r="S238" i="1"/>
  <c r="T238" i="1" s="1"/>
  <c r="U103" i="6"/>
  <c r="T203" i="6"/>
  <c r="U203" i="6" s="1"/>
  <c r="T223" i="6"/>
  <c r="U223" i="6" s="1"/>
  <c r="T147" i="6"/>
  <c r="U147" i="6" s="1"/>
  <c r="T190" i="6"/>
  <c r="U190" i="6" s="1"/>
  <c r="U316" i="6"/>
  <c r="U285" i="6"/>
  <c r="T419" i="6"/>
  <c r="U419" i="6" s="1"/>
  <c r="T196" i="6"/>
  <c r="U196" i="6" s="1"/>
  <c r="T94" i="4"/>
  <c r="U94" i="4" s="1"/>
  <c r="AA17" i="21"/>
  <c r="V14" i="21"/>
  <c r="U223" i="1"/>
  <c r="T266" i="6"/>
  <c r="T293" i="6"/>
  <c r="T55" i="5"/>
  <c r="B53" i="7"/>
  <c r="U15" i="4"/>
  <c r="U123" i="4"/>
  <c r="T191" i="1"/>
  <c r="U191" i="1" s="1"/>
  <c r="T184" i="1"/>
  <c r="U184" i="1" s="1"/>
  <c r="T194" i="1"/>
  <c r="U194" i="1" s="1"/>
  <c r="T26" i="4"/>
  <c r="U26" i="4" s="1"/>
  <c r="T174" i="6"/>
  <c r="U174" i="6" s="1"/>
  <c r="T283" i="6"/>
  <c r="U283" i="6" s="1"/>
  <c r="P18" i="4"/>
  <c r="T93" i="1"/>
  <c r="U93" i="1" s="1"/>
  <c r="T63" i="6"/>
  <c r="U63" i="6" s="1"/>
  <c r="T28" i="1"/>
  <c r="S58" i="5"/>
  <c r="T58" i="5" s="1"/>
  <c r="S61" i="5"/>
  <c r="T61" i="5" s="1"/>
  <c r="AB20" i="18"/>
  <c r="AC20" i="18" s="1"/>
  <c r="AB28" i="18"/>
  <c r="AC28" i="18" s="1"/>
  <c r="AB16" i="18"/>
  <c r="AC16" i="18" s="1"/>
  <c r="V66" i="18"/>
  <c r="T66" i="18"/>
  <c r="U102" i="6"/>
  <c r="U105" i="6"/>
  <c r="U214" i="6"/>
  <c r="T97" i="6"/>
  <c r="U97" i="6" s="1"/>
  <c r="T76" i="6"/>
  <c r="T138" i="6"/>
  <c r="U138" i="6" s="1"/>
  <c r="T172" i="6"/>
  <c r="U172" i="6" s="1"/>
  <c r="T150" i="6"/>
  <c r="U150" i="6" s="1"/>
  <c r="U191" i="6"/>
  <c r="U195" i="6"/>
  <c r="T363" i="6"/>
  <c r="U363" i="6" s="1"/>
  <c r="T143" i="6"/>
  <c r="U143" i="6" s="1"/>
  <c r="T64" i="6"/>
  <c r="U64" i="6" s="1"/>
  <c r="U329" i="1"/>
  <c r="U309" i="1"/>
  <c r="T23" i="4"/>
  <c r="U75" i="4"/>
  <c r="U202" i="1"/>
  <c r="T354" i="6"/>
  <c r="U354" i="6" s="1"/>
  <c r="T122" i="4"/>
  <c r="U122" i="4" s="1"/>
  <c r="G89" i="7"/>
  <c r="U64" i="5"/>
  <c r="U98" i="1"/>
  <c r="T176" i="1"/>
  <c r="U176" i="1" s="1"/>
  <c r="T36" i="4"/>
  <c r="U36" i="4" s="1"/>
  <c r="T113" i="1"/>
  <c r="U113" i="1" s="1"/>
  <c r="U85" i="4"/>
  <c r="D41" i="7"/>
  <c r="B41" i="7"/>
  <c r="T81" i="5"/>
  <c r="U81" i="5" s="1"/>
  <c r="T73" i="5"/>
  <c r="U73" i="5" s="1"/>
  <c r="T378" i="6"/>
  <c r="U378" i="6" s="1"/>
  <c r="T373" i="6"/>
  <c r="U373" i="6" s="1"/>
  <c r="AB30" i="18"/>
  <c r="AC30" i="18" s="1"/>
  <c r="AB13" i="18"/>
  <c r="AC13" i="18" s="1"/>
  <c r="S82" i="1"/>
  <c r="T82" i="1" s="1"/>
  <c r="T86" i="1"/>
  <c r="U86" i="1" s="1"/>
  <c r="O290" i="1"/>
  <c r="T66" i="6"/>
  <c r="U66" i="6" s="1"/>
  <c r="Q251" i="1"/>
  <c r="AB19" i="18"/>
  <c r="AC19" i="18" s="1"/>
  <c r="T54" i="18"/>
  <c r="V54" i="18"/>
  <c r="AB12" i="18"/>
  <c r="AC12" i="18" s="1"/>
  <c r="AA72" i="17"/>
  <c r="AB72" i="17" s="1"/>
  <c r="Q33" i="1"/>
  <c r="S81" i="1"/>
  <c r="T81" i="1" s="1"/>
  <c r="T79" i="1"/>
  <c r="U79" i="1" s="1"/>
  <c r="T88" i="1"/>
  <c r="U88" i="1" s="1"/>
  <c r="AB20" i="21"/>
  <c r="AB54" i="18"/>
  <c r="AC54" i="18" s="1"/>
  <c r="V22" i="21"/>
  <c r="AB22" i="21" s="1"/>
  <c r="AC22" i="21" s="1"/>
  <c r="T22" i="21"/>
  <c r="AB65" i="18"/>
  <c r="AB52" i="18"/>
  <c r="AC52" i="18" s="1"/>
  <c r="AB22" i="18"/>
  <c r="AC22" i="18" s="1"/>
  <c r="AB38" i="18"/>
  <c r="AC38" i="18" s="1"/>
  <c r="AB60" i="18"/>
  <c r="AC60" i="18" s="1"/>
  <c r="Y37" i="18"/>
  <c r="AA92" i="17"/>
  <c r="AB92" i="17" s="1"/>
  <c r="T28" i="18"/>
  <c r="V56" i="18"/>
  <c r="AB56" i="18" s="1"/>
  <c r="AC56" i="18" s="1"/>
  <c r="P72" i="18"/>
  <c r="P74" i="18" s="1"/>
  <c r="AA89" i="17"/>
  <c r="AB89" i="17" s="1"/>
  <c r="X40" i="17"/>
  <c r="T13" i="18"/>
  <c r="R27" i="18"/>
  <c r="V67" i="18"/>
  <c r="AB67" i="18" s="1"/>
  <c r="AC67" i="18" s="1"/>
  <c r="R68" i="18"/>
  <c r="Q66" i="18"/>
  <c r="T21" i="18"/>
  <c r="W25" i="17"/>
  <c r="Q25" i="17"/>
  <c r="U14" i="17"/>
  <c r="AA14" i="17" s="1"/>
  <c r="AB14" i="17" s="1"/>
  <c r="S14" i="17"/>
  <c r="AB97" i="17"/>
  <c r="U71" i="17"/>
  <c r="AA71" i="17" s="1"/>
  <c r="AB71" i="17" s="1"/>
  <c r="S71" i="17"/>
  <c r="U51" i="17"/>
  <c r="AA51" i="17" s="1"/>
  <c r="S51" i="17"/>
  <c r="AA53" i="14"/>
  <c r="AA62" i="17"/>
  <c r="AB62" i="17" s="1"/>
  <c r="S13" i="17"/>
  <c r="U13" i="17"/>
  <c r="AA13" i="17" s="1"/>
  <c r="AB13" i="17" s="1"/>
  <c r="T60" i="18"/>
  <c r="X66" i="18"/>
  <c r="Y66" i="18" s="1"/>
  <c r="AA66" i="18" s="1"/>
  <c r="AG28" i="21"/>
  <c r="R40" i="18"/>
  <c r="R31" i="18"/>
  <c r="AB60" i="14"/>
  <c r="AC60" i="14" s="1"/>
  <c r="S93" i="17"/>
  <c r="U93" i="17"/>
  <c r="AA93" i="17" s="1"/>
  <c r="AB93" i="17" s="1"/>
  <c r="S91" i="17"/>
  <c r="W91" i="17" s="1"/>
  <c r="X91" i="17" s="1"/>
  <c r="Z91" i="17" s="1"/>
  <c r="U91" i="17"/>
  <c r="AA105" i="17"/>
  <c r="AB105" i="17" s="1"/>
  <c r="U88" i="17"/>
  <c r="AA88" i="17" s="1"/>
  <c r="AB88" i="17" s="1"/>
  <c r="S88" i="17"/>
  <c r="AB139" i="14"/>
  <c r="AC139" i="14" s="1"/>
  <c r="R134" i="14"/>
  <c r="Q136" i="14"/>
  <c r="S285" i="1"/>
  <c r="S71" i="4"/>
  <c r="T71" i="4" s="1"/>
  <c r="S147" i="1"/>
  <c r="T147" i="1" s="1"/>
  <c r="U85" i="17"/>
  <c r="AA85" i="17" s="1"/>
  <c r="AB85" i="17" s="1"/>
  <c r="U100" i="17"/>
  <c r="AA100" i="17" s="1"/>
  <c r="AB100" i="17" s="1"/>
  <c r="S94" i="17"/>
  <c r="W94" i="17" s="1"/>
  <c r="X94" i="17" s="1"/>
  <c r="Z94" i="17" s="1"/>
  <c r="W95" i="17"/>
  <c r="X95" i="17" s="1"/>
  <c r="Z95" i="17" s="1"/>
  <c r="W64" i="17"/>
  <c r="X64" i="17" s="1"/>
  <c r="Z64" i="17" s="1"/>
  <c r="W53" i="17"/>
  <c r="S105" i="17"/>
  <c r="P54" i="17"/>
  <c r="Q87" i="17"/>
  <c r="AB17" i="14"/>
  <c r="AC17" i="14" s="1"/>
  <c r="AB19" i="14"/>
  <c r="AC19" i="14" s="1"/>
  <c r="AB164" i="14"/>
  <c r="AC164" i="14" s="1"/>
  <c r="S18" i="5"/>
  <c r="S411" i="6"/>
  <c r="S131" i="1"/>
  <c r="T131" i="1" s="1"/>
  <c r="Q40" i="17"/>
  <c r="S63" i="17"/>
  <c r="W63" i="17" s="1"/>
  <c r="X63" i="17" s="1"/>
  <c r="Z63" i="17" s="1"/>
  <c r="P40" i="17"/>
  <c r="AB41" i="14"/>
  <c r="AC41" i="14" s="1"/>
  <c r="AB34" i="14"/>
  <c r="AC34" i="14" s="1"/>
  <c r="S286" i="1"/>
  <c r="T286" i="1" s="1"/>
  <c r="S330" i="1"/>
  <c r="T330" i="1" s="1"/>
  <c r="S344" i="1"/>
  <c r="Q53" i="14"/>
  <c r="T146" i="14"/>
  <c r="D484" i="6"/>
  <c r="P20" i="14"/>
  <c r="M34" i="1"/>
  <c r="Q22" i="14"/>
  <c r="P23" i="14"/>
  <c r="M129" i="1"/>
  <c r="M130" i="1" s="1"/>
  <c r="N130" i="1" s="1"/>
  <c r="O130" i="1" s="1"/>
  <c r="P130" i="1" s="1"/>
  <c r="Q130" i="1" s="1"/>
  <c r="Q58" i="14"/>
  <c r="X82" i="14"/>
  <c r="Y82" i="14" s="1"/>
  <c r="AA82" i="14" s="1"/>
  <c r="X127" i="14"/>
  <c r="M103" i="1"/>
  <c r="Q141" i="14"/>
  <c r="R163" i="14"/>
  <c r="M63" i="4"/>
  <c r="M64" i="4" s="1"/>
  <c r="N64" i="4" s="1"/>
  <c r="O64" i="4" s="1"/>
  <c r="P64" i="4" s="1"/>
  <c r="Q64" i="4" s="1"/>
  <c r="P55" i="17"/>
  <c r="Q17" i="14"/>
  <c r="X23" i="14"/>
  <c r="Y23" i="14" s="1"/>
  <c r="AA23" i="14" s="1"/>
  <c r="Q26" i="14"/>
  <c r="R26" i="14" s="1"/>
  <c r="M169" i="1"/>
  <c r="M170" i="1" s="1"/>
  <c r="N170" i="1" s="1"/>
  <c r="O170" i="1" s="1"/>
  <c r="P170" i="1" s="1"/>
  <c r="Q170" i="1" s="1"/>
  <c r="Q83" i="14"/>
  <c r="R83" i="14" s="1"/>
  <c r="X86" i="14"/>
  <c r="Y86" i="14" s="1"/>
  <c r="AA86" i="14" s="1"/>
  <c r="M268" i="1"/>
  <c r="Q122" i="14"/>
  <c r="M46" i="1"/>
  <c r="Q31" i="14"/>
  <c r="M48" i="1"/>
  <c r="Q33" i="14"/>
  <c r="M60" i="1"/>
  <c r="N60" i="1" s="1"/>
  <c r="O60" i="1" s="1"/>
  <c r="P60" i="1" s="1"/>
  <c r="Q60" i="1" s="1"/>
  <c r="Q39" i="14"/>
  <c r="M123" i="1"/>
  <c r="M124" i="1" s="1"/>
  <c r="N124" i="1" s="1"/>
  <c r="O124" i="1" s="1"/>
  <c r="P124" i="1" s="1"/>
  <c r="Q124" i="1" s="1"/>
  <c r="Q55" i="14"/>
  <c r="M151" i="1"/>
  <c r="M152" i="1" s="1"/>
  <c r="N152" i="1" s="1"/>
  <c r="O152" i="1" s="1"/>
  <c r="P152" i="1" s="1"/>
  <c r="Q152" i="1" s="1"/>
  <c r="Q71" i="14"/>
  <c r="M155" i="1"/>
  <c r="M156" i="1" s="1"/>
  <c r="N156" i="1" s="1"/>
  <c r="O156" i="1" s="1"/>
  <c r="P156" i="1" s="1"/>
  <c r="Q156" i="1" s="1"/>
  <c r="Q73" i="14"/>
  <c r="M163" i="1"/>
  <c r="M164" i="1" s="1"/>
  <c r="N164" i="1" s="1"/>
  <c r="O164" i="1" s="1"/>
  <c r="P164" i="1" s="1"/>
  <c r="Q164" i="1" s="1"/>
  <c r="Q78" i="14"/>
  <c r="R92" i="14"/>
  <c r="X92" i="14"/>
  <c r="Y92" i="14" s="1"/>
  <c r="AA92" i="14" s="1"/>
  <c r="R108" i="14"/>
  <c r="N8" i="14"/>
  <c r="M126" i="1"/>
  <c r="N126" i="1" s="1"/>
  <c r="O126" i="1" s="1"/>
  <c r="P126" i="1" s="1"/>
  <c r="Q126" i="1" s="1"/>
  <c r="N125" i="1"/>
  <c r="O125" i="1" s="1"/>
  <c r="P125" i="1" s="1"/>
  <c r="M128" i="1"/>
  <c r="N128" i="1" s="1"/>
  <c r="O128" i="1" s="1"/>
  <c r="P128" i="1" s="1"/>
  <c r="Q128" i="1" s="1"/>
  <c r="P120" i="14"/>
  <c r="M260" i="1"/>
  <c r="N260" i="1" s="1"/>
  <c r="O260" i="1" s="1"/>
  <c r="P260" i="1" s="1"/>
  <c r="Q260" i="1" s="1"/>
  <c r="N259" i="1"/>
  <c r="O259" i="1" s="1"/>
  <c r="P259" i="1" s="1"/>
  <c r="Q259" i="1" s="1"/>
  <c r="R127" i="14"/>
  <c r="X163" i="14"/>
  <c r="Y163" i="14" s="1"/>
  <c r="AA163" i="14" s="1"/>
  <c r="M43" i="4"/>
  <c r="M58" i="4"/>
  <c r="N57" i="4"/>
  <c r="P67" i="17"/>
  <c r="Q67" i="17" s="1"/>
  <c r="M84" i="4"/>
  <c r="N83" i="4"/>
  <c r="O83" i="4" s="1"/>
  <c r="P83" i="4" s="1"/>
  <c r="Q83" i="4" s="1"/>
  <c r="Q52" i="14"/>
  <c r="Q57" i="14"/>
  <c r="M136" i="1"/>
  <c r="N136" i="1" s="1"/>
  <c r="O136" i="1" s="1"/>
  <c r="P136" i="1" s="1"/>
  <c r="Q136" i="1" s="1"/>
  <c r="N135" i="1"/>
  <c r="O135" i="1" s="1"/>
  <c r="P135" i="1" s="1"/>
  <c r="M142" i="1"/>
  <c r="N142" i="1" s="1"/>
  <c r="O142" i="1" s="1"/>
  <c r="P142" i="1" s="1"/>
  <c r="Q142" i="1" s="1"/>
  <c r="M144" i="1"/>
  <c r="N144" i="1" s="1"/>
  <c r="O144" i="1" s="1"/>
  <c r="P144" i="1" s="1"/>
  <c r="Q144" i="1" s="1"/>
  <c r="Q67" i="14"/>
  <c r="Q69" i="14"/>
  <c r="Q70" i="14"/>
  <c r="M154" i="1"/>
  <c r="N154" i="1" s="1"/>
  <c r="O154" i="1" s="1"/>
  <c r="P154" i="1" s="1"/>
  <c r="Q154" i="1" s="1"/>
  <c r="Q80" i="14"/>
  <c r="R90" i="14"/>
  <c r="Q101" i="14"/>
  <c r="Q107" i="14"/>
  <c r="Q110" i="14"/>
  <c r="R140" i="14"/>
  <c r="N295" i="1"/>
  <c r="O295" i="1" s="1"/>
  <c r="P295" i="1" s="1"/>
  <c r="Q150" i="14"/>
  <c r="X150" i="14" s="1"/>
  <c r="Y150" i="14" s="1"/>
  <c r="AA150" i="14" s="1"/>
  <c r="M324" i="1"/>
  <c r="N324" i="1" s="1"/>
  <c r="O324" i="1" s="1"/>
  <c r="P324" i="1" s="1"/>
  <c r="Q324" i="1" s="1"/>
  <c r="Q160" i="14"/>
  <c r="M331" i="1"/>
  <c r="N331" i="1" s="1"/>
  <c r="O331" i="1" s="1"/>
  <c r="P331" i="1" s="1"/>
  <c r="Q331" i="1" s="1"/>
  <c r="Q162" i="14"/>
  <c r="Q171" i="14"/>
  <c r="M62" i="4"/>
  <c r="N62" i="4" s="1"/>
  <c r="O62" i="4" s="1"/>
  <c r="P62" i="4" s="1"/>
  <c r="Q62" i="4" s="1"/>
  <c r="M80" i="4"/>
  <c r="N80" i="4" s="1"/>
  <c r="O80" i="4" s="1"/>
  <c r="P80" i="4" s="1"/>
  <c r="Q80" i="4" s="1"/>
  <c r="N79" i="4"/>
  <c r="O79" i="4" s="1"/>
  <c r="P79" i="4" s="1"/>
  <c r="Q79" i="4" s="1"/>
  <c r="O84" i="17"/>
  <c r="M107" i="17"/>
  <c r="S66" i="1"/>
  <c r="T66" i="1" s="1"/>
  <c r="M122" i="1"/>
  <c r="N122" i="1" s="1"/>
  <c r="O122" i="1" s="1"/>
  <c r="P122" i="1" s="1"/>
  <c r="Q122" i="1" s="1"/>
  <c r="X108" i="14"/>
  <c r="M253" i="1"/>
  <c r="N252" i="1"/>
  <c r="M311" i="1"/>
  <c r="N311" i="1" s="1"/>
  <c r="O311" i="1" s="1"/>
  <c r="P311" i="1" s="1"/>
  <c r="Q311" i="1" s="1"/>
  <c r="N310" i="1"/>
  <c r="O310" i="1" s="1"/>
  <c r="P310" i="1" s="1"/>
  <c r="Q310" i="1" s="1"/>
  <c r="P388" i="6"/>
  <c r="P21" i="14"/>
  <c r="P25" i="14"/>
  <c r="P29" i="14"/>
  <c r="Q32" i="14"/>
  <c r="Q35" i="14"/>
  <c r="P54" i="14"/>
  <c r="Q56" i="14"/>
  <c r="Q63" i="14"/>
  <c r="Q64" i="14"/>
  <c r="Q66" i="14"/>
  <c r="M146" i="1"/>
  <c r="N146" i="1" s="1"/>
  <c r="O146" i="1" s="1"/>
  <c r="P146" i="1" s="1"/>
  <c r="Q146" i="1" s="1"/>
  <c r="M166" i="1"/>
  <c r="N166" i="1" s="1"/>
  <c r="O166" i="1" s="1"/>
  <c r="P166" i="1" s="1"/>
  <c r="Q166" i="1" s="1"/>
  <c r="Q87" i="14"/>
  <c r="R87" i="14" s="1"/>
  <c r="M179" i="1"/>
  <c r="N179" i="1" s="1"/>
  <c r="O179" i="1" s="1"/>
  <c r="P179" i="1" s="1"/>
  <c r="Q179" i="1" s="1"/>
  <c r="N178" i="1"/>
  <c r="O178" i="1" s="1"/>
  <c r="P178" i="1" s="1"/>
  <c r="Q178" i="1" s="1"/>
  <c r="R100" i="14"/>
  <c r="Q102" i="14"/>
  <c r="Q104" i="14"/>
  <c r="Q109" i="14"/>
  <c r="Q113" i="14"/>
  <c r="Q143" i="14"/>
  <c r="P147" i="14"/>
  <c r="M322" i="1"/>
  <c r="Q159" i="14"/>
  <c r="Q161" i="14"/>
  <c r="O41" i="17"/>
  <c r="O42" i="17"/>
  <c r="P70" i="17"/>
  <c r="P229" i="6"/>
  <c r="P382" i="6" s="1"/>
  <c r="N464" i="6"/>
  <c r="D31" i="7" s="1"/>
  <c r="C31" i="7" s="1"/>
  <c r="Q56" i="1"/>
  <c r="X23" i="18"/>
  <c r="Y23" i="18" s="1"/>
  <c r="AA23" i="18" s="1"/>
  <c r="M303" i="1"/>
  <c r="Q58" i="18"/>
  <c r="O438" i="6"/>
  <c r="V17" i="18"/>
  <c r="AB17" i="18" s="1"/>
  <c r="AC17" i="18" s="1"/>
  <c r="M29" i="1"/>
  <c r="N29" i="1" s="1"/>
  <c r="O29" i="1" s="1"/>
  <c r="P29" i="1" s="1"/>
  <c r="Q29" i="1" s="1"/>
  <c r="Q22" i="18"/>
  <c r="Q23" i="18"/>
  <c r="Q25" i="18"/>
  <c r="X25" i="18" s="1"/>
  <c r="Y25" i="18" s="1"/>
  <c r="AA25" i="18" s="1"/>
  <c r="Q26" i="18"/>
  <c r="Q38" i="18"/>
  <c r="Q39" i="18"/>
  <c r="R39" i="18" s="1"/>
  <c r="Q55" i="18"/>
  <c r="M326" i="1"/>
  <c r="N326" i="1" s="1"/>
  <c r="O326" i="1" s="1"/>
  <c r="P326" i="1" s="1"/>
  <c r="Q326" i="1" s="1"/>
  <c r="Q70" i="18"/>
  <c r="Q13" i="18"/>
  <c r="M43" i="1"/>
  <c r="N43" i="1" s="1"/>
  <c r="O43" i="1" s="1"/>
  <c r="P43" i="1" s="1"/>
  <c r="Q43" i="1" s="1"/>
  <c r="Q57" i="18"/>
  <c r="Q24" i="21"/>
  <c r="Q32" i="21" s="1"/>
  <c r="Q21" i="21"/>
  <c r="X21" i="21" s="1"/>
  <c r="Y21" i="21" s="1"/>
  <c r="AA21" i="21" s="1"/>
  <c r="M68" i="4"/>
  <c r="P24" i="21"/>
  <c r="P32" i="21" s="1"/>
  <c r="M41" i="1"/>
  <c r="N41" i="1" s="1"/>
  <c r="O41" i="1" s="1"/>
  <c r="P41" i="1" s="1"/>
  <c r="Q41" i="1" s="1"/>
  <c r="Q24" i="18"/>
  <c r="R24" i="18" s="1"/>
  <c r="Q37" i="18"/>
  <c r="M294" i="1"/>
  <c r="Q59" i="18"/>
  <c r="N72" i="18"/>
  <c r="N74" i="18" s="1"/>
  <c r="Q67" i="18"/>
  <c r="R69" i="18"/>
  <c r="R21" i="21"/>
  <c r="S170" i="6"/>
  <c r="T170" i="6" s="1"/>
  <c r="S218" i="6"/>
  <c r="S141" i="6"/>
  <c r="T141" i="6" s="1"/>
  <c r="S295" i="6"/>
  <c r="Q178" i="6"/>
  <c r="Q215" i="6"/>
  <c r="Q201" i="6"/>
  <c r="Q111" i="6"/>
  <c r="S109" i="6"/>
  <c r="Q95" i="1"/>
  <c r="Q198" i="1"/>
  <c r="S219" i="1"/>
  <c r="T219" i="1" s="1"/>
  <c r="Q226" i="6"/>
  <c r="S211" i="1"/>
  <c r="T211" i="1" s="1"/>
  <c r="Q200" i="1"/>
  <c r="Q222" i="1"/>
  <c r="R88" i="14" l="1"/>
  <c r="X88" i="14"/>
  <c r="Y88" i="14" s="1"/>
  <c r="AA88" i="14" s="1"/>
  <c r="V25" i="14"/>
  <c r="T25" i="14"/>
  <c r="V30" i="14"/>
  <c r="T30" i="14"/>
  <c r="V15" i="14"/>
  <c r="T15" i="14"/>
  <c r="T49" i="14" s="1"/>
  <c r="V56" i="14"/>
  <c r="AB56" i="14" s="1"/>
  <c r="AC56" i="14" s="1"/>
  <c r="T56" i="14"/>
  <c r="V86" i="14"/>
  <c r="T86" i="14"/>
  <c r="AB158" i="14"/>
  <c r="AC158" i="14" s="1"/>
  <c r="AB159" i="14"/>
  <c r="AC159" i="14"/>
  <c r="T142" i="14"/>
  <c r="V142" i="14"/>
  <c r="AB142" i="14" s="1"/>
  <c r="AC142" i="14" s="1"/>
  <c r="V53" i="14"/>
  <c r="T53" i="14"/>
  <c r="V85" i="14"/>
  <c r="T85" i="14"/>
  <c r="X85" i="14" s="1"/>
  <c r="Y85" i="14" s="1"/>
  <c r="AA85" i="14" s="1"/>
  <c r="AB85" i="14" s="1"/>
  <c r="AC85" i="14" s="1"/>
  <c r="V14" i="14"/>
  <c r="AB14" i="14" s="1"/>
  <c r="AC14" i="14" s="1"/>
  <c r="T14" i="14"/>
  <c r="T116" i="14"/>
  <c r="V116" i="14"/>
  <c r="AB116" i="14" s="1"/>
  <c r="AC116" i="14" s="1"/>
  <c r="V18" i="14"/>
  <c r="AB18" i="14" s="1"/>
  <c r="AC18" i="14" s="1"/>
  <c r="T18" i="14"/>
  <c r="V69" i="14"/>
  <c r="AB69" i="14" s="1"/>
  <c r="AC69" i="14" s="1"/>
  <c r="T69" i="14"/>
  <c r="N323" i="1"/>
  <c r="O323" i="1" s="1"/>
  <c r="P323" i="1" s="1"/>
  <c r="S323" i="1"/>
  <c r="T323" i="1" s="1"/>
  <c r="AB30" i="14"/>
  <c r="AC30" i="14" s="1"/>
  <c r="V44" i="14"/>
  <c r="AB44" i="14" s="1"/>
  <c r="AC44" i="14" s="1"/>
  <c r="T44" i="14"/>
  <c r="T16" i="14"/>
  <c r="V16" i="14"/>
  <c r="N321" i="1"/>
  <c r="O321" i="1" s="1"/>
  <c r="P321" i="1" s="1"/>
  <c r="S321" i="1"/>
  <c r="T321" i="1" s="1"/>
  <c r="AB22" i="14"/>
  <c r="AC22" i="14" s="1"/>
  <c r="V15" i="21"/>
  <c r="AB15" i="21" s="1"/>
  <c r="AC15" i="21" s="1"/>
  <c r="T15" i="21"/>
  <c r="T17" i="21" s="1"/>
  <c r="R17" i="21"/>
  <c r="V14" i="18"/>
  <c r="T14" i="18"/>
  <c r="T15" i="18"/>
  <c r="V15" i="18"/>
  <c r="AB21" i="18"/>
  <c r="AC21" i="18" s="1"/>
  <c r="V36" i="18"/>
  <c r="AB36" i="18" s="1"/>
  <c r="AC36" i="18" s="1"/>
  <c r="T36" i="18"/>
  <c r="V18" i="18"/>
  <c r="AB18" i="18" s="1"/>
  <c r="AC18" i="18" s="1"/>
  <c r="T18" i="18"/>
  <c r="T29" i="18"/>
  <c r="V29" i="18"/>
  <c r="AB29" i="18" s="1"/>
  <c r="AC29" i="18" s="1"/>
  <c r="N293" i="1"/>
  <c r="O293" i="1" s="1"/>
  <c r="P293" i="1" s="1"/>
  <c r="S293" i="1"/>
  <c r="T293" i="1" s="1"/>
  <c r="Q42" i="18"/>
  <c r="Q62" i="18"/>
  <c r="R72" i="18"/>
  <c r="T53" i="18"/>
  <c r="V53" i="18"/>
  <c r="AB53" i="18" s="1"/>
  <c r="AC53" i="18" s="1"/>
  <c r="X14" i="18"/>
  <c r="Y14" i="18" s="1"/>
  <c r="AA14" i="18" s="1"/>
  <c r="AB14" i="18" s="1"/>
  <c r="AC14" i="18" s="1"/>
  <c r="Q33" i="18"/>
  <c r="V23" i="18"/>
  <c r="T23" i="18"/>
  <c r="X15" i="18"/>
  <c r="Y15" i="18" s="1"/>
  <c r="AA15" i="18" s="1"/>
  <c r="V55" i="18"/>
  <c r="AB55" i="18" s="1"/>
  <c r="AC55" i="18" s="1"/>
  <c r="T55" i="18"/>
  <c r="N40" i="1"/>
  <c r="O40" i="1" s="1"/>
  <c r="P40" i="1" s="1"/>
  <c r="S40" i="1"/>
  <c r="T40" i="1" s="1"/>
  <c r="S30" i="17"/>
  <c r="U30" i="17"/>
  <c r="U104" i="17"/>
  <c r="AA104" i="17" s="1"/>
  <c r="AB104" i="17" s="1"/>
  <c r="S104" i="17"/>
  <c r="S29" i="17"/>
  <c r="U29" i="17"/>
  <c r="AA29" i="17" s="1"/>
  <c r="AB29" i="17" s="1"/>
  <c r="S59" i="17"/>
  <c r="W59" i="17" s="1"/>
  <c r="X59" i="17" s="1"/>
  <c r="Z59" i="17" s="1"/>
  <c r="U59" i="17"/>
  <c r="S90" i="17"/>
  <c r="U90" i="17"/>
  <c r="S58" i="17"/>
  <c r="U58" i="17"/>
  <c r="S98" i="17"/>
  <c r="U98" i="17"/>
  <c r="AA98" i="17" s="1"/>
  <c r="AB98" i="17" s="1"/>
  <c r="U64" i="17"/>
  <c r="S64" i="17"/>
  <c r="W30" i="17"/>
  <c r="X30" i="17" s="1"/>
  <c r="Z30" i="17" s="1"/>
  <c r="U103" i="17"/>
  <c r="AA103" i="17" s="1"/>
  <c r="AB103" i="17" s="1"/>
  <c r="S103" i="17"/>
  <c r="AA58" i="17"/>
  <c r="AB58" i="17" s="1"/>
  <c r="S56" i="17"/>
  <c r="W56" i="17" s="1"/>
  <c r="X56" i="17" s="1"/>
  <c r="Z56" i="17" s="1"/>
  <c r="AA56" i="17" s="1"/>
  <c r="AB56" i="17" s="1"/>
  <c r="U56" i="17"/>
  <c r="S69" i="17"/>
  <c r="U69" i="17"/>
  <c r="AA69" i="17" s="1"/>
  <c r="AB69" i="17" s="1"/>
  <c r="S28" i="17"/>
  <c r="U28" i="17"/>
  <c r="AA28" i="17" s="1"/>
  <c r="AB28" i="17" s="1"/>
  <c r="U31" i="17"/>
  <c r="AA31" i="17" s="1"/>
  <c r="AB31" i="17" s="1"/>
  <c r="S31" i="17"/>
  <c r="AA90" i="17"/>
  <c r="AB90" i="17" s="1"/>
  <c r="U86" i="17"/>
  <c r="AA86" i="17" s="1"/>
  <c r="AB86" i="17" s="1"/>
  <c r="S86" i="17"/>
  <c r="U41" i="17"/>
  <c r="S41" i="17"/>
  <c r="Z12" i="17"/>
  <c r="X17" i="17"/>
  <c r="U65" i="17"/>
  <c r="AA65" i="17" s="1"/>
  <c r="AB65" i="17" s="1"/>
  <c r="S65" i="17"/>
  <c r="U76" i="17"/>
  <c r="AA76" i="17" s="1"/>
  <c r="AB76" i="17" s="1"/>
  <c r="S76" i="17"/>
  <c r="U102" i="17"/>
  <c r="AA102" i="17" s="1"/>
  <c r="AB102" i="17" s="1"/>
  <c r="S102" i="17"/>
  <c r="V111" i="14"/>
  <c r="AB111" i="14" s="1"/>
  <c r="AC111" i="14" s="1"/>
  <c r="T111" i="14"/>
  <c r="V103" i="14"/>
  <c r="AB103" i="14" s="1"/>
  <c r="AC103" i="14" s="1"/>
  <c r="T103" i="14"/>
  <c r="Y15" i="14"/>
  <c r="X49" i="14"/>
  <c r="V107" i="14"/>
  <c r="AB107" i="14" s="1"/>
  <c r="AC107" i="14" s="1"/>
  <c r="T107" i="14"/>
  <c r="X38" i="14"/>
  <c r="Y38" i="14" s="1"/>
  <c r="AA38" i="14" s="1"/>
  <c r="R38" i="14"/>
  <c r="S15" i="17"/>
  <c r="S17" i="17" s="1"/>
  <c r="U15" i="17"/>
  <c r="AA15" i="17" s="1"/>
  <c r="AB15" i="17" s="1"/>
  <c r="Q17" i="17"/>
  <c r="V55" i="14"/>
  <c r="T55" i="14"/>
  <c r="S74" i="17"/>
  <c r="U74" i="17"/>
  <c r="AA74" i="17" s="1"/>
  <c r="AB74" i="17" s="1"/>
  <c r="V149" i="14"/>
  <c r="T149" i="14"/>
  <c r="V101" i="14"/>
  <c r="T101" i="14"/>
  <c r="T104" i="14"/>
  <c r="V104" i="14"/>
  <c r="N177" i="14"/>
  <c r="N124" i="14"/>
  <c r="T71" i="14"/>
  <c r="V71" i="14"/>
  <c r="AB71" i="14" s="1"/>
  <c r="AC71" i="14" s="1"/>
  <c r="V131" i="14"/>
  <c r="T131" i="14"/>
  <c r="X148" i="14"/>
  <c r="Y148" i="14" s="1"/>
  <c r="AA148" i="14" s="1"/>
  <c r="R148" i="14"/>
  <c r="U53" i="17"/>
  <c r="S53" i="17"/>
  <c r="AB55" i="14"/>
  <c r="AC55" i="14"/>
  <c r="U96" i="17"/>
  <c r="AA96" i="17" s="1"/>
  <c r="AB96" i="17" s="1"/>
  <c r="S96" i="17"/>
  <c r="AB95" i="14"/>
  <c r="AC95" i="14" s="1"/>
  <c r="U95" i="17"/>
  <c r="S95" i="17"/>
  <c r="V84" i="14"/>
  <c r="T84" i="14"/>
  <c r="T47" i="14"/>
  <c r="V47" i="14"/>
  <c r="AB47" i="14" s="1"/>
  <c r="AC47" i="14" s="1"/>
  <c r="S73" i="17"/>
  <c r="U73" i="17"/>
  <c r="AA73" i="17" s="1"/>
  <c r="AB73" i="17" s="1"/>
  <c r="U55" i="17"/>
  <c r="AA55" i="17" s="1"/>
  <c r="AB55" i="17" s="1"/>
  <c r="S55" i="17"/>
  <c r="Q120" i="14"/>
  <c r="V112" i="14"/>
  <c r="T112" i="14"/>
  <c r="X112" i="14" s="1"/>
  <c r="Y112" i="14" s="1"/>
  <c r="AA112" i="14" s="1"/>
  <c r="V130" i="14"/>
  <c r="AB130" i="14" s="1"/>
  <c r="AC130" i="14" s="1"/>
  <c r="T130" i="14"/>
  <c r="AB16" i="14"/>
  <c r="AC16" i="14" s="1"/>
  <c r="V45" i="14"/>
  <c r="AB45" i="14" s="1"/>
  <c r="AC45" i="14" s="1"/>
  <c r="T45" i="14"/>
  <c r="AB84" i="14"/>
  <c r="AC84" i="14" s="1"/>
  <c r="T43" i="14"/>
  <c r="V43" i="14"/>
  <c r="AB43" i="14" s="1"/>
  <c r="AC43" i="14" s="1"/>
  <c r="U66" i="17"/>
  <c r="AA66" i="17" s="1"/>
  <c r="AB66" i="17" s="1"/>
  <c r="S66" i="17"/>
  <c r="Q167" i="14"/>
  <c r="AB104" i="14"/>
  <c r="AC104" i="14" s="1"/>
  <c r="X36" i="14"/>
  <c r="Y36" i="14" s="1"/>
  <c r="AA36" i="14" s="1"/>
  <c r="R36" i="14"/>
  <c r="AB131" i="14"/>
  <c r="AC131" i="14" s="1"/>
  <c r="N127" i="1"/>
  <c r="O127" i="1" s="1"/>
  <c r="P127" i="1" s="1"/>
  <c r="S127" i="1"/>
  <c r="T127" i="1" s="1"/>
  <c r="S24" i="17"/>
  <c r="U24" i="17"/>
  <c r="AA24" i="17" s="1"/>
  <c r="AB24" i="17" s="1"/>
  <c r="AB57" i="14"/>
  <c r="AC57" i="14" s="1"/>
  <c r="AC77" i="14"/>
  <c r="AB149" i="14"/>
  <c r="AC149" i="14"/>
  <c r="AB72" i="14"/>
  <c r="AC72" i="14" s="1"/>
  <c r="V42" i="14"/>
  <c r="AB42" i="14" s="1"/>
  <c r="AC42" i="14" s="1"/>
  <c r="T42" i="14"/>
  <c r="AB101" i="14"/>
  <c r="AC101" i="14" s="1"/>
  <c r="V62" i="14"/>
  <c r="AB62" i="14" s="1"/>
  <c r="AC62" i="14" s="1"/>
  <c r="T62" i="14"/>
  <c r="T31" i="4"/>
  <c r="Q18" i="4"/>
  <c r="U12" i="4"/>
  <c r="P39" i="4"/>
  <c r="U31" i="4"/>
  <c r="S69" i="5"/>
  <c r="T69" i="5"/>
  <c r="U69" i="5" s="1"/>
  <c r="S66" i="5"/>
  <c r="T66" i="5"/>
  <c r="U66" i="5" s="1"/>
  <c r="S62" i="5"/>
  <c r="T62" i="5"/>
  <c r="U62" i="5" s="1"/>
  <c r="P97" i="5"/>
  <c r="P100" i="5" s="1"/>
  <c r="S160" i="6"/>
  <c r="T160" i="6"/>
  <c r="U160" i="6" s="1"/>
  <c r="S220" i="6"/>
  <c r="T220" i="6"/>
  <c r="U220" i="6" s="1"/>
  <c r="T225" i="6"/>
  <c r="U225" i="6" s="1"/>
  <c r="S194" i="6"/>
  <c r="T194" i="6"/>
  <c r="U194" i="6" s="1"/>
  <c r="S82" i="6"/>
  <c r="T82" i="6" s="1"/>
  <c r="U82" i="6" s="1"/>
  <c r="U90" i="6"/>
  <c r="P429" i="6"/>
  <c r="O434" i="6"/>
  <c r="Q56" i="7"/>
  <c r="W56" i="7" s="1"/>
  <c r="K56" i="7"/>
  <c r="AA54" i="7" s="1"/>
  <c r="AF54" i="7" s="1"/>
  <c r="AJ54" i="7" s="1"/>
  <c r="K150" i="1"/>
  <c r="L150" i="1" s="1"/>
  <c r="O150" i="1"/>
  <c r="P150" i="1" s="1"/>
  <c r="S265" i="6"/>
  <c r="T265" i="6" s="1"/>
  <c r="Q39" i="4"/>
  <c r="U16" i="4"/>
  <c r="T18" i="4"/>
  <c r="S37" i="4"/>
  <c r="F56" i="7" s="1"/>
  <c r="S305" i="6"/>
  <c r="T305" i="6" s="1"/>
  <c r="C41" i="7"/>
  <c r="S187" i="6"/>
  <c r="T187" i="6" s="1"/>
  <c r="U187" i="6" s="1"/>
  <c r="S106" i="6"/>
  <c r="T106" i="6" s="1"/>
  <c r="U106" i="6" s="1"/>
  <c r="S65" i="6"/>
  <c r="T65" i="6" s="1"/>
  <c r="S255" i="6"/>
  <c r="S108" i="6"/>
  <c r="T108" i="6" s="1"/>
  <c r="U108" i="6" s="1"/>
  <c r="S169" i="6"/>
  <c r="T169" i="6" s="1"/>
  <c r="U169" i="6" s="1"/>
  <c r="S133" i="6"/>
  <c r="T133" i="6" s="1"/>
  <c r="U133" i="6" s="1"/>
  <c r="S116" i="6"/>
  <c r="T116" i="6" s="1"/>
  <c r="U116" i="6" s="1"/>
  <c r="P482" i="6"/>
  <c r="Q470" i="6"/>
  <c r="S112" i="1"/>
  <c r="T78" i="1"/>
  <c r="U78" i="1" s="1"/>
  <c r="U299" i="1"/>
  <c r="U114" i="1"/>
  <c r="T224" i="1"/>
  <c r="U224" i="1" s="1"/>
  <c r="Q423" i="6"/>
  <c r="E35" i="7" s="1"/>
  <c r="Q35" i="7" s="1"/>
  <c r="Q97" i="5"/>
  <c r="Q100" i="5" s="1"/>
  <c r="U428" i="6"/>
  <c r="S18" i="4"/>
  <c r="U130" i="6"/>
  <c r="M269" i="1"/>
  <c r="N269" i="1" s="1"/>
  <c r="O269" i="1" s="1"/>
  <c r="P269" i="1" s="1"/>
  <c r="Q269" i="1" s="1"/>
  <c r="Q239" i="1"/>
  <c r="S239" i="1" s="1"/>
  <c r="T239" i="1" s="1"/>
  <c r="U239" i="1" s="1"/>
  <c r="U152" i="6"/>
  <c r="S94" i="5"/>
  <c r="S87" i="5"/>
  <c r="T87" i="5" s="1"/>
  <c r="U87" i="5" s="1"/>
  <c r="S92" i="5"/>
  <c r="S85" i="5"/>
  <c r="T85" i="5" s="1"/>
  <c r="U85" i="5" s="1"/>
  <c r="S68" i="6"/>
  <c r="T68" i="6" s="1"/>
  <c r="U68" i="6" s="1"/>
  <c r="S202" i="6"/>
  <c r="T202" i="6" s="1"/>
  <c r="U202" i="6" s="1"/>
  <c r="B45" i="7"/>
  <c r="S93" i="5"/>
  <c r="T93" i="5" s="1"/>
  <c r="U93" i="5" s="1"/>
  <c r="S414" i="6"/>
  <c r="S420" i="6"/>
  <c r="T420" i="6" s="1"/>
  <c r="U420" i="6" s="1"/>
  <c r="S78" i="5"/>
  <c r="T78" i="5" s="1"/>
  <c r="U78" i="5" s="1"/>
  <c r="S95" i="5"/>
  <c r="S222" i="6"/>
  <c r="T222" i="6" s="1"/>
  <c r="U222" i="6" s="1"/>
  <c r="S199" i="1"/>
  <c r="T199" i="1" s="1"/>
  <c r="U199" i="1" s="1"/>
  <c r="Q17" i="1"/>
  <c r="S17" i="1" s="1"/>
  <c r="P279" i="1"/>
  <c r="O282" i="1"/>
  <c r="M61" i="1"/>
  <c r="N61" i="1" s="1"/>
  <c r="O61" i="1" s="1"/>
  <c r="P61" i="1" s="1"/>
  <c r="Q61" i="1" s="1"/>
  <c r="S61" i="1" s="1"/>
  <c r="T175" i="1"/>
  <c r="U175" i="1" s="1"/>
  <c r="S77" i="1"/>
  <c r="T77" i="1" s="1"/>
  <c r="U77" i="1" s="1"/>
  <c r="S203" i="1"/>
  <c r="T203" i="1" s="1"/>
  <c r="U203" i="1" s="1"/>
  <c r="T174" i="1"/>
  <c r="U174" i="1" s="1"/>
  <c r="U154" i="6"/>
  <c r="S339" i="1"/>
  <c r="T339" i="1" s="1"/>
  <c r="U339" i="1" s="1"/>
  <c r="U82" i="1"/>
  <c r="T388" i="6"/>
  <c r="U386" i="6"/>
  <c r="U388" i="6" s="1"/>
  <c r="U81" i="1"/>
  <c r="U13" i="1"/>
  <c r="U233" i="1"/>
  <c r="U148" i="1"/>
  <c r="S262" i="1"/>
  <c r="T262" i="1" s="1"/>
  <c r="S333" i="1"/>
  <c r="T333" i="1" s="1"/>
  <c r="U333" i="1" s="1"/>
  <c r="S183" i="1"/>
  <c r="T183" i="1" s="1"/>
  <c r="U183" i="1" s="1"/>
  <c r="S128" i="4"/>
  <c r="S130" i="4" s="1"/>
  <c r="F51" i="7" s="1"/>
  <c r="Q130" i="4"/>
  <c r="E51" i="7" s="1"/>
  <c r="S241" i="6"/>
  <c r="T241" i="6" s="1"/>
  <c r="U241" i="6"/>
  <c r="Q380" i="6"/>
  <c r="E33" i="7" s="1"/>
  <c r="U292" i="1"/>
  <c r="U335" i="1"/>
  <c r="S35" i="4"/>
  <c r="T35" i="4" s="1"/>
  <c r="T307" i="1"/>
  <c r="U307" i="1" s="1"/>
  <c r="S328" i="1"/>
  <c r="T328" i="1" s="1"/>
  <c r="U195" i="1"/>
  <c r="U262" i="6"/>
  <c r="U51" i="4"/>
  <c r="U249" i="1"/>
  <c r="U33" i="4"/>
  <c r="S33" i="4"/>
  <c r="T33" i="4" s="1"/>
  <c r="U93" i="4"/>
  <c r="U207" i="6"/>
  <c r="H76" i="7"/>
  <c r="E76" i="7"/>
  <c r="B76" i="7"/>
  <c r="F76" i="7"/>
  <c r="G76" i="7"/>
  <c r="D76" i="7"/>
  <c r="C99" i="7"/>
  <c r="C101" i="7"/>
  <c r="C97" i="7"/>
  <c r="S146" i="1"/>
  <c r="T146" i="1" s="1"/>
  <c r="S166" i="1"/>
  <c r="T166" i="1" s="1"/>
  <c r="U166" i="1" s="1"/>
  <c r="S64" i="4"/>
  <c r="T64" i="4" s="1"/>
  <c r="S170" i="1"/>
  <c r="S130" i="1"/>
  <c r="T130" i="1" s="1"/>
  <c r="U130" i="1" s="1"/>
  <c r="S331" i="1"/>
  <c r="T331" i="1" s="1"/>
  <c r="S126" i="1"/>
  <c r="AB51" i="17"/>
  <c r="S41" i="1"/>
  <c r="S156" i="1"/>
  <c r="T156" i="1" s="1"/>
  <c r="U156" i="1" s="1"/>
  <c r="V24" i="18"/>
  <c r="T24" i="18"/>
  <c r="X24" i="18" s="1"/>
  <c r="Y24" i="18" s="1"/>
  <c r="AA24" i="18" s="1"/>
  <c r="Q44" i="18"/>
  <c r="S326" i="1"/>
  <c r="T326" i="1" s="1"/>
  <c r="S29" i="1"/>
  <c r="T29" i="1" s="1"/>
  <c r="U29" i="1" s="1"/>
  <c r="S122" i="1"/>
  <c r="G53" i="7"/>
  <c r="R24" i="21"/>
  <c r="V21" i="21"/>
  <c r="V24" i="21" s="1"/>
  <c r="T21" i="21"/>
  <c r="T24" i="21" s="1"/>
  <c r="S56" i="1"/>
  <c r="T56" i="1" s="1"/>
  <c r="U56" i="1" s="1"/>
  <c r="T100" i="14"/>
  <c r="V100" i="14"/>
  <c r="S124" i="1"/>
  <c r="T124" i="1" s="1"/>
  <c r="U124" i="1" s="1"/>
  <c r="S62" i="4"/>
  <c r="T62" i="4" s="1"/>
  <c r="S142" i="1"/>
  <c r="T142" i="1" s="1"/>
  <c r="S67" i="17"/>
  <c r="U67" i="17"/>
  <c r="V92" i="14"/>
  <c r="T92" i="14"/>
  <c r="N155" i="1"/>
  <c r="O155" i="1" s="1"/>
  <c r="P155" i="1" s="1"/>
  <c r="S155" i="1"/>
  <c r="T155" i="1" s="1"/>
  <c r="N123" i="1"/>
  <c r="O123" i="1" s="1"/>
  <c r="P123" i="1" s="1"/>
  <c r="S123" i="1"/>
  <c r="T123" i="1" s="1"/>
  <c r="N48" i="1"/>
  <c r="O48" i="1" s="1"/>
  <c r="P48" i="1" s="1"/>
  <c r="S48" i="1"/>
  <c r="T48" i="1" s="1"/>
  <c r="V83" i="14"/>
  <c r="T83" i="14"/>
  <c r="R97" i="14"/>
  <c r="AB23" i="14"/>
  <c r="AC23" i="14" s="1"/>
  <c r="N63" i="4"/>
  <c r="O63" i="4" s="1"/>
  <c r="P63" i="4" s="1"/>
  <c r="S63" i="4"/>
  <c r="T63" i="4" s="1"/>
  <c r="AA63" i="17"/>
  <c r="AB63" i="17" s="1"/>
  <c r="S40" i="17"/>
  <c r="U40" i="17"/>
  <c r="U87" i="17"/>
  <c r="AA87" i="17" s="1"/>
  <c r="AB87" i="17" s="1"/>
  <c r="S87" i="17"/>
  <c r="AB66" i="18"/>
  <c r="AC66" i="18" s="1"/>
  <c r="X25" i="17"/>
  <c r="W34" i="17"/>
  <c r="R25" i="18"/>
  <c r="U23" i="4"/>
  <c r="T111" i="1"/>
  <c r="U111" i="1" s="1"/>
  <c r="P120" i="1"/>
  <c r="F53" i="7"/>
  <c r="U140" i="1"/>
  <c r="S59" i="1"/>
  <c r="T59" i="1" s="1"/>
  <c r="U59" i="1" s="1"/>
  <c r="T255" i="1"/>
  <c r="U255" i="1" s="1"/>
  <c r="T108" i="1"/>
  <c r="U108" i="1" s="1"/>
  <c r="T288" i="1"/>
  <c r="U288" i="1" s="1"/>
  <c r="T53" i="1"/>
  <c r="U53" i="1" s="1"/>
  <c r="D23" i="7"/>
  <c r="C23" i="7" s="1"/>
  <c r="U243" i="6"/>
  <c r="T306" i="1"/>
  <c r="U306" i="1" s="1"/>
  <c r="T132" i="1"/>
  <c r="U132" i="1" s="1"/>
  <c r="S198" i="1"/>
  <c r="T198" i="1" s="1"/>
  <c r="U198" i="1" s="1"/>
  <c r="S178" i="6"/>
  <c r="R59" i="18"/>
  <c r="X59" i="18"/>
  <c r="Y59" i="18" s="1"/>
  <c r="AA59" i="18" s="1"/>
  <c r="X58" i="18"/>
  <c r="Y58" i="18" s="1"/>
  <c r="AA58" i="18" s="1"/>
  <c r="R58" i="18"/>
  <c r="M48" i="4"/>
  <c r="P42" i="17"/>
  <c r="N322" i="1"/>
  <c r="M341" i="1"/>
  <c r="R113" i="14"/>
  <c r="R120" i="14" s="1"/>
  <c r="X113" i="14"/>
  <c r="Y113" i="14" s="1"/>
  <c r="AA113" i="14" s="1"/>
  <c r="S200" i="1"/>
  <c r="T200" i="1" s="1"/>
  <c r="U141" i="6"/>
  <c r="N68" i="4"/>
  <c r="O68" i="4" s="1"/>
  <c r="P68" i="4" s="1"/>
  <c r="S68" i="4"/>
  <c r="T68" i="4" s="1"/>
  <c r="S43" i="1"/>
  <c r="O464" i="6"/>
  <c r="O484" i="6" s="1"/>
  <c r="P438" i="6"/>
  <c r="S179" i="1"/>
  <c r="T179" i="1" s="1"/>
  <c r="U179" i="1" s="1"/>
  <c r="M38" i="1"/>
  <c r="Q25" i="14"/>
  <c r="N253" i="1"/>
  <c r="O253" i="1" s="1"/>
  <c r="P253" i="1" s="1"/>
  <c r="Q253" i="1" s="1"/>
  <c r="M265" i="1"/>
  <c r="B13" i="7" s="1"/>
  <c r="R160" i="14"/>
  <c r="X160" i="14"/>
  <c r="S111" i="6"/>
  <c r="Q229" i="6"/>
  <c r="T218" i="6"/>
  <c r="U218" i="6" s="1"/>
  <c r="U170" i="6"/>
  <c r="AB21" i="21"/>
  <c r="AB24" i="21" s="1"/>
  <c r="X26" i="18"/>
  <c r="Y26" i="18" s="1"/>
  <c r="AA26" i="18" s="1"/>
  <c r="R26" i="18"/>
  <c r="AB23" i="18"/>
  <c r="AC23" i="18" s="1"/>
  <c r="Q70" i="17"/>
  <c r="W70" i="17"/>
  <c r="X70" i="17" s="1"/>
  <c r="Z70" i="17" s="1"/>
  <c r="Q271" i="1"/>
  <c r="S269" i="1"/>
  <c r="T269" i="1" s="1"/>
  <c r="U269" i="1" s="1"/>
  <c r="T87" i="14"/>
  <c r="V87" i="14"/>
  <c r="S152" i="1"/>
  <c r="T152" i="1" s="1"/>
  <c r="U152" i="1" s="1"/>
  <c r="X35" i="14"/>
  <c r="Y35" i="14" s="1"/>
  <c r="AA35" i="14" s="1"/>
  <c r="R35" i="14"/>
  <c r="S310" i="1"/>
  <c r="T310" i="1" s="1"/>
  <c r="U310" i="1" s="1"/>
  <c r="Y108" i="14"/>
  <c r="O107" i="17"/>
  <c r="P84" i="17"/>
  <c r="Q173" i="14"/>
  <c r="R171" i="14"/>
  <c r="S324" i="1"/>
  <c r="T324" i="1" s="1"/>
  <c r="U324" i="1" s="1"/>
  <c r="T140" i="14"/>
  <c r="V140" i="14"/>
  <c r="V90" i="14"/>
  <c r="AB90" i="14" s="1"/>
  <c r="AC90" i="14" s="1"/>
  <c r="T90" i="14"/>
  <c r="O57" i="4"/>
  <c r="N43" i="4"/>
  <c r="V127" i="14"/>
  <c r="T127" i="14"/>
  <c r="R136" i="14"/>
  <c r="S128" i="1"/>
  <c r="T128" i="1" s="1"/>
  <c r="U128" i="1" s="1"/>
  <c r="M49" i="1"/>
  <c r="N49" i="1" s="1"/>
  <c r="O49" i="1" s="1"/>
  <c r="P49" i="1" s="1"/>
  <c r="Q49" i="1" s="1"/>
  <c r="X171" i="14"/>
  <c r="R39" i="14"/>
  <c r="X39" i="14"/>
  <c r="Y39" i="14" s="1"/>
  <c r="AA39" i="14" s="1"/>
  <c r="X31" i="14"/>
  <c r="Y31" i="14" s="1"/>
  <c r="AA31" i="14" s="1"/>
  <c r="R31" i="14"/>
  <c r="N268" i="1"/>
  <c r="S268" i="1"/>
  <c r="N169" i="1"/>
  <c r="O169" i="1" s="1"/>
  <c r="P169" i="1" s="1"/>
  <c r="S169" i="1"/>
  <c r="T169" i="1" s="1"/>
  <c r="N103" i="1"/>
  <c r="M104" i="1"/>
  <c r="N104" i="1" s="1"/>
  <c r="O104" i="1" s="1"/>
  <c r="P104" i="1" s="1"/>
  <c r="Q104" i="1" s="1"/>
  <c r="S103" i="1"/>
  <c r="N129" i="1"/>
  <c r="O129" i="1" s="1"/>
  <c r="P129" i="1" s="1"/>
  <c r="S129" i="1"/>
  <c r="T129" i="1" s="1"/>
  <c r="M35" i="1"/>
  <c r="N35" i="1" s="1"/>
  <c r="O35" i="1" s="1"/>
  <c r="P35" i="1" s="1"/>
  <c r="Q35" i="1" s="1"/>
  <c r="N34" i="1"/>
  <c r="O34" i="1" s="1"/>
  <c r="P34" i="1" s="1"/>
  <c r="P78" i="17"/>
  <c r="AA95" i="17"/>
  <c r="AB95" i="17" s="1"/>
  <c r="AA94" i="17"/>
  <c r="AB94" i="17" s="1"/>
  <c r="V134" i="14"/>
  <c r="AB134" i="14" s="1"/>
  <c r="AC134" i="14" s="1"/>
  <c r="T134" i="14"/>
  <c r="AB53" i="14"/>
  <c r="AC53" i="14" s="1"/>
  <c r="AA37" i="18"/>
  <c r="AA72" i="18"/>
  <c r="S33" i="1"/>
  <c r="T33" i="1" s="1"/>
  <c r="U138" i="1"/>
  <c r="S243" i="1"/>
  <c r="T243" i="1" s="1"/>
  <c r="U243" i="1" s="1"/>
  <c r="N484" i="6"/>
  <c r="E53" i="7"/>
  <c r="C45" i="7"/>
  <c r="S136" i="1"/>
  <c r="T136" i="1" s="1"/>
  <c r="S83" i="4"/>
  <c r="T83" i="4" s="1"/>
  <c r="U83" i="4" s="1"/>
  <c r="N58" i="4"/>
  <c r="O58" i="4" s="1"/>
  <c r="P58" i="4" s="1"/>
  <c r="Q58" i="4" s="1"/>
  <c r="S259" i="1"/>
  <c r="V108" i="14"/>
  <c r="T108" i="14"/>
  <c r="N163" i="1"/>
  <c r="O163" i="1" s="1"/>
  <c r="P163" i="1" s="1"/>
  <c r="S163" i="1"/>
  <c r="T163" i="1" s="1"/>
  <c r="N151" i="1"/>
  <c r="O151" i="1" s="1"/>
  <c r="P151" i="1" s="1"/>
  <c r="S151" i="1"/>
  <c r="T151" i="1" s="1"/>
  <c r="S60" i="1"/>
  <c r="T60" i="1" s="1"/>
  <c r="U60" i="1" s="1"/>
  <c r="M47" i="1"/>
  <c r="N47" i="1" s="1"/>
  <c r="O47" i="1" s="1"/>
  <c r="P47" i="1" s="1"/>
  <c r="Q47" i="1" s="1"/>
  <c r="N46" i="1"/>
  <c r="O46" i="1" s="1"/>
  <c r="P46" i="1" s="1"/>
  <c r="S46" i="1"/>
  <c r="T46" i="1" s="1"/>
  <c r="V26" i="14"/>
  <c r="T26" i="14"/>
  <c r="X26" i="14" s="1"/>
  <c r="Y26" i="14" s="1"/>
  <c r="AA26" i="14" s="1"/>
  <c r="V163" i="14"/>
  <c r="T163" i="14"/>
  <c r="Y127" i="14"/>
  <c r="X136" i="14"/>
  <c r="M36" i="1"/>
  <c r="Q23" i="14"/>
  <c r="M26" i="1"/>
  <c r="Q20" i="14"/>
  <c r="P49" i="14"/>
  <c r="X20" i="14"/>
  <c r="Y20" i="14" s="1"/>
  <c r="AA20" i="14" s="1"/>
  <c r="S34" i="1"/>
  <c r="T34" i="1" s="1"/>
  <c r="X53" i="17"/>
  <c r="AA91" i="17"/>
  <c r="AB91" i="17" s="1"/>
  <c r="V31" i="18"/>
  <c r="AB31" i="18" s="1"/>
  <c r="AC31" i="18" s="1"/>
  <c r="T31" i="18"/>
  <c r="R28" i="21"/>
  <c r="X28" i="21"/>
  <c r="Q72" i="18"/>
  <c r="Q74" i="18" s="1"/>
  <c r="W67" i="17"/>
  <c r="X67" i="17" s="1"/>
  <c r="Z67" i="17" s="1"/>
  <c r="AA24" i="21"/>
  <c r="AA33" i="18"/>
  <c r="P290" i="1"/>
  <c r="T112" i="1"/>
  <c r="U112" i="1" s="1"/>
  <c r="V17" i="21"/>
  <c r="AB14" i="21"/>
  <c r="T297" i="1"/>
  <c r="U297" i="1" s="1"/>
  <c r="U24" i="4"/>
  <c r="T231" i="1"/>
  <c r="U231" i="1" s="1"/>
  <c r="U20" i="1"/>
  <c r="U14" i="4"/>
  <c r="U18" i="4" s="1"/>
  <c r="D45" i="7"/>
  <c r="S201" i="6"/>
  <c r="T201" i="6" s="1"/>
  <c r="U201" i="6" s="1"/>
  <c r="M30" i="1"/>
  <c r="X21" i="14"/>
  <c r="Y21" i="14" s="1"/>
  <c r="AA21" i="14" s="1"/>
  <c r="Q21" i="14"/>
  <c r="S311" i="1"/>
  <c r="S79" i="4"/>
  <c r="R162" i="14"/>
  <c r="X162" i="14"/>
  <c r="Y162" i="14" s="1"/>
  <c r="AA162" i="14" s="1"/>
  <c r="S222" i="1"/>
  <c r="T222" i="1" s="1"/>
  <c r="U222" i="1" s="1"/>
  <c r="S226" i="6"/>
  <c r="T226" i="6" s="1"/>
  <c r="U226" i="6" s="1"/>
  <c r="S95" i="1"/>
  <c r="T95" i="1" s="1"/>
  <c r="S215" i="6"/>
  <c r="T215" i="6" s="1"/>
  <c r="U215" i="6" s="1"/>
  <c r="M69" i="4"/>
  <c r="N69" i="4" s="1"/>
  <c r="O69" i="4" s="1"/>
  <c r="P69" i="4" s="1"/>
  <c r="Q69" i="4" s="1"/>
  <c r="T295" i="6"/>
  <c r="T109" i="6"/>
  <c r="U109" i="6" s="1"/>
  <c r="V69" i="18"/>
  <c r="AB69" i="18" s="1"/>
  <c r="AC69" i="18" s="1"/>
  <c r="T69" i="18"/>
  <c r="N294" i="1"/>
  <c r="X57" i="18"/>
  <c r="Y57" i="18" s="1"/>
  <c r="AA57" i="18" s="1"/>
  <c r="R57" i="18"/>
  <c r="R42" i="18"/>
  <c r="T39" i="18"/>
  <c r="V39" i="18"/>
  <c r="M305" i="1"/>
  <c r="N303" i="1"/>
  <c r="O303" i="1" s="1"/>
  <c r="P303" i="1" s="1"/>
  <c r="M304" i="1"/>
  <c r="N304" i="1" s="1"/>
  <c r="O304" i="1" s="1"/>
  <c r="P304" i="1" s="1"/>
  <c r="Q304" i="1" s="1"/>
  <c r="S303" i="1"/>
  <c r="T303" i="1" s="1"/>
  <c r="M44" i="4"/>
  <c r="P41" i="17"/>
  <c r="P44" i="17" s="1"/>
  <c r="O44" i="17"/>
  <c r="W41" i="17"/>
  <c r="R161" i="14"/>
  <c r="X161" i="14"/>
  <c r="Y161" i="14" s="1"/>
  <c r="AA161" i="14" s="1"/>
  <c r="M300" i="1"/>
  <c r="Q147" i="14"/>
  <c r="P154" i="14"/>
  <c r="S178" i="1"/>
  <c r="T178" i="1" s="1"/>
  <c r="U178" i="1" s="1"/>
  <c r="S164" i="1"/>
  <c r="T164" i="1" s="1"/>
  <c r="Q54" i="14"/>
  <c r="Q97" i="14" s="1"/>
  <c r="X54" i="14"/>
  <c r="P97" i="14"/>
  <c r="M105" i="1"/>
  <c r="Q29" i="14"/>
  <c r="O252" i="1"/>
  <c r="N265" i="1"/>
  <c r="D13" i="7" s="1"/>
  <c r="S80" i="4"/>
  <c r="S154" i="1"/>
  <c r="S144" i="1"/>
  <c r="T144" i="1" s="1"/>
  <c r="U144" i="1" s="1"/>
  <c r="N84" i="4"/>
  <c r="O84" i="4" s="1"/>
  <c r="P84" i="4" s="1"/>
  <c r="Q84" i="4" s="1"/>
  <c r="AB163" i="14"/>
  <c r="AC163" i="14" s="1"/>
  <c r="S260" i="1"/>
  <c r="T260" i="1" s="1"/>
  <c r="U260" i="1" s="1"/>
  <c r="AB92" i="14"/>
  <c r="AC92" i="14" s="1"/>
  <c r="X33" i="14"/>
  <c r="Y33" i="14" s="1"/>
  <c r="AA33" i="14" s="1"/>
  <c r="R33" i="14"/>
  <c r="X25" i="14"/>
  <c r="Y25" i="14" s="1"/>
  <c r="AA25" i="14" s="1"/>
  <c r="AB86" i="14"/>
  <c r="AC86" i="14"/>
  <c r="X87" i="14"/>
  <c r="Y87" i="14" s="1"/>
  <c r="AA87" i="14" s="1"/>
  <c r="R150" i="14"/>
  <c r="AB82" i="14"/>
  <c r="AC82" i="14"/>
  <c r="T344" i="1"/>
  <c r="T411" i="6"/>
  <c r="T18" i="5"/>
  <c r="AA64" i="17"/>
  <c r="AB64" i="17" s="1"/>
  <c r="T285" i="1"/>
  <c r="V40" i="18"/>
  <c r="AB40" i="18" s="1"/>
  <c r="AC40" i="18" s="1"/>
  <c r="T40" i="18"/>
  <c r="U25" i="17"/>
  <c r="S25" i="17"/>
  <c r="S34" i="17" s="1"/>
  <c r="Q34" i="17"/>
  <c r="V68" i="18"/>
  <c r="AB68" i="18" s="1"/>
  <c r="AC68" i="18" s="1"/>
  <c r="T68" i="18"/>
  <c r="T27" i="18"/>
  <c r="V27" i="18"/>
  <c r="AB27" i="18" s="1"/>
  <c r="AC27" i="18" s="1"/>
  <c r="Z40" i="17"/>
  <c r="AC65" i="18"/>
  <c r="AC20" i="21"/>
  <c r="B46" i="7"/>
  <c r="I45" i="7"/>
  <c r="S251" i="1"/>
  <c r="M226" i="1"/>
  <c r="C53" i="7"/>
  <c r="B73" i="7"/>
  <c r="B72" i="7"/>
  <c r="U25" i="4"/>
  <c r="S134" i="1"/>
  <c r="P346" i="1"/>
  <c r="O349" i="1"/>
  <c r="S45" i="1"/>
  <c r="Q265" i="1"/>
  <c r="E13" i="7" s="1"/>
  <c r="K13" i="7" s="1"/>
  <c r="AA13" i="7" s="1"/>
  <c r="E55" i="7"/>
  <c r="AA59" i="17" l="1"/>
  <c r="AB59" i="17" s="1"/>
  <c r="V88" i="14"/>
  <c r="AB88" i="14" s="1"/>
  <c r="AC88" i="14" s="1"/>
  <c r="T88" i="14"/>
  <c r="R33" i="18"/>
  <c r="AC72" i="18"/>
  <c r="AB15" i="18"/>
  <c r="AC15" i="18" s="1"/>
  <c r="Z17" i="17"/>
  <c r="AA12" i="17"/>
  <c r="AA17" i="17" s="1"/>
  <c r="U34" i="17"/>
  <c r="U17" i="17"/>
  <c r="AA30" i="17"/>
  <c r="AB30" i="17" s="1"/>
  <c r="V148" i="14"/>
  <c r="AB148" i="14" s="1"/>
  <c r="AC148" i="14" s="1"/>
  <c r="T148" i="14"/>
  <c r="X120" i="14"/>
  <c r="AB112" i="14"/>
  <c r="AC112" i="14"/>
  <c r="V38" i="14"/>
  <c r="AB38" i="14" s="1"/>
  <c r="AC38" i="14" s="1"/>
  <c r="T38" i="14"/>
  <c r="Q49" i="14"/>
  <c r="V36" i="14"/>
  <c r="AB36" i="14" s="1"/>
  <c r="AC36" i="14" s="1"/>
  <c r="T36" i="14"/>
  <c r="AA15" i="14"/>
  <c r="AB15" i="14" s="1"/>
  <c r="AC15" i="14" s="1"/>
  <c r="Y49" i="14"/>
  <c r="Q429" i="6"/>
  <c r="P434" i="6"/>
  <c r="S39" i="4"/>
  <c r="F55" i="7" s="1"/>
  <c r="T37" i="4"/>
  <c r="T39" i="4" s="1"/>
  <c r="Q150" i="1"/>
  <c r="G56" i="7"/>
  <c r="U65" i="6"/>
  <c r="E41" i="7"/>
  <c r="S380" i="6"/>
  <c r="F33" i="7" s="1"/>
  <c r="K35" i="7"/>
  <c r="AA39" i="7" s="1"/>
  <c r="U305" i="6"/>
  <c r="S470" i="6"/>
  <c r="S482" i="6" s="1"/>
  <c r="F37" i="7" s="1"/>
  <c r="Q482" i="6"/>
  <c r="E37" i="7" s="1"/>
  <c r="T255" i="6"/>
  <c r="U255" i="6" s="1"/>
  <c r="M271" i="1"/>
  <c r="N226" i="1"/>
  <c r="T17" i="1"/>
  <c r="U17" i="1" s="1"/>
  <c r="T95" i="5"/>
  <c r="U95" i="5" s="1"/>
  <c r="S423" i="6"/>
  <c r="F35" i="7" s="1"/>
  <c r="S97" i="5"/>
  <c r="S100" i="5" s="1"/>
  <c r="T92" i="5"/>
  <c r="U92" i="5" s="1"/>
  <c r="T94" i="5"/>
  <c r="U94" i="5" s="1"/>
  <c r="T414" i="6"/>
  <c r="U414" i="6" s="1"/>
  <c r="P282" i="1"/>
  <c r="Q279" i="1"/>
  <c r="U328" i="1"/>
  <c r="U35" i="4"/>
  <c r="U62" i="4"/>
  <c r="H41" i="7"/>
  <c r="H39" i="7"/>
  <c r="U262" i="1"/>
  <c r="G39" i="7"/>
  <c r="G41" i="7"/>
  <c r="U33" i="1"/>
  <c r="T43" i="1"/>
  <c r="U43" i="1" s="1"/>
  <c r="U200" i="1"/>
  <c r="T126" i="1"/>
  <c r="U126" i="1" s="1"/>
  <c r="U95" i="1"/>
  <c r="T122" i="1"/>
  <c r="U122" i="1" s="1"/>
  <c r="T80" i="4"/>
  <c r="U80" i="4" s="1"/>
  <c r="U164" i="1"/>
  <c r="S229" i="6"/>
  <c r="T128" i="4"/>
  <c r="E79" i="7"/>
  <c r="D79" i="7"/>
  <c r="B79" i="7"/>
  <c r="H79" i="7"/>
  <c r="F79" i="7"/>
  <c r="G79" i="7"/>
  <c r="G78" i="7"/>
  <c r="E78" i="7"/>
  <c r="F78" i="7"/>
  <c r="H78" i="7"/>
  <c r="B78" i="7"/>
  <c r="D78" i="7"/>
  <c r="D80" i="7" s="1"/>
  <c r="D82" i="7" s="1"/>
  <c r="D83" i="7" s="1"/>
  <c r="H80" i="7"/>
  <c r="H77" i="7"/>
  <c r="D77" i="7"/>
  <c r="E77" i="7"/>
  <c r="B77" i="7"/>
  <c r="B80" i="7" s="1"/>
  <c r="B81" i="7" s="1"/>
  <c r="G77" i="7"/>
  <c r="F77" i="7"/>
  <c r="F80" i="7" s="1"/>
  <c r="Q124" i="14"/>
  <c r="U271" i="1"/>
  <c r="R44" i="18"/>
  <c r="V33" i="18"/>
  <c r="T33" i="18"/>
  <c r="X33" i="18" s="1"/>
  <c r="Y33" i="18" s="1"/>
  <c r="AB87" i="14"/>
  <c r="AC87" i="14" s="1"/>
  <c r="S69" i="4"/>
  <c r="T69" i="4" s="1"/>
  <c r="AA67" i="17"/>
  <c r="AB67" i="17" s="1"/>
  <c r="X30" i="21"/>
  <c r="X32" i="21" s="1"/>
  <c r="Y28" i="21"/>
  <c r="W78" i="17"/>
  <c r="T45" i="1"/>
  <c r="U45" i="1" s="1"/>
  <c r="P349" i="1"/>
  <c r="Q346" i="1"/>
  <c r="T134" i="1"/>
  <c r="U134" i="1" s="1"/>
  <c r="T251" i="1"/>
  <c r="V150" i="14"/>
  <c r="AB150" i="14" s="1"/>
  <c r="AC150" i="14" s="1"/>
  <c r="T150" i="14"/>
  <c r="V33" i="14"/>
  <c r="T33" i="14"/>
  <c r="T154" i="1"/>
  <c r="U154" i="1" s="1"/>
  <c r="R29" i="14"/>
  <c r="X29" i="14"/>
  <c r="Y29" i="14" s="1"/>
  <c r="AA29" i="14" s="1"/>
  <c r="AA62" i="18"/>
  <c r="T79" i="4"/>
  <c r="U79" i="4" s="1"/>
  <c r="T311" i="1"/>
  <c r="U311" i="1" s="1"/>
  <c r="S30" i="1"/>
  <c r="T30" i="1" s="1"/>
  <c r="N30" i="1"/>
  <c r="O30" i="1" s="1"/>
  <c r="P30" i="1" s="1"/>
  <c r="M31" i="1"/>
  <c r="N31" i="1" s="1"/>
  <c r="O31" i="1" s="1"/>
  <c r="P31" i="1" s="1"/>
  <c r="Q31" i="1" s="1"/>
  <c r="H53" i="7"/>
  <c r="AB72" i="18"/>
  <c r="N26" i="1"/>
  <c r="M27" i="1"/>
  <c r="N27" i="1" s="1"/>
  <c r="O27" i="1" s="1"/>
  <c r="P27" i="1" s="1"/>
  <c r="Q27" i="1" s="1"/>
  <c r="S26" i="1"/>
  <c r="Y136" i="14"/>
  <c r="AA127" i="14"/>
  <c r="S47" i="1"/>
  <c r="T47" i="1" s="1"/>
  <c r="U47" i="1" s="1"/>
  <c r="T259" i="1"/>
  <c r="U259" i="1" s="1"/>
  <c r="U411" i="6"/>
  <c r="T103" i="1"/>
  <c r="O268" i="1"/>
  <c r="N271" i="1"/>
  <c r="V39" i="14"/>
  <c r="T39" i="14"/>
  <c r="V136" i="14"/>
  <c r="P57" i="4"/>
  <c r="P96" i="4" s="1"/>
  <c r="O96" i="4"/>
  <c r="AB140" i="14"/>
  <c r="E15" i="7"/>
  <c r="AC21" i="21"/>
  <c r="T111" i="6"/>
  <c r="U111" i="6" s="1"/>
  <c r="C13" i="7"/>
  <c r="P464" i="6"/>
  <c r="P484" i="6" s="1"/>
  <c r="Q438" i="6"/>
  <c r="O322" i="1"/>
  <c r="N341" i="1"/>
  <c r="F73" i="7"/>
  <c r="F72" i="7"/>
  <c r="U326" i="1"/>
  <c r="AC24" i="18"/>
  <c r="AB24" i="18"/>
  <c r="T41" i="1"/>
  <c r="U41" i="1" s="1"/>
  <c r="T170" i="1"/>
  <c r="U170" i="1" s="1"/>
  <c r="U146" i="1"/>
  <c r="M96" i="4"/>
  <c r="E73" i="7"/>
  <c r="E72" i="7"/>
  <c r="AC37" i="18"/>
  <c r="AB37" i="18"/>
  <c r="S35" i="1"/>
  <c r="T35" i="1" s="1"/>
  <c r="U35" i="1" s="1"/>
  <c r="V31" i="14"/>
  <c r="T31" i="14"/>
  <c r="Y171" i="14"/>
  <c r="X173" i="14"/>
  <c r="V171" i="14"/>
  <c r="V173" i="14" s="1"/>
  <c r="T171" i="14"/>
  <c r="T173" i="14" s="1"/>
  <c r="R173" i="14"/>
  <c r="S70" i="17"/>
  <c r="S78" i="17" s="1"/>
  <c r="U70" i="17"/>
  <c r="U78" i="17" s="1"/>
  <c r="S253" i="1"/>
  <c r="S265" i="1" s="1"/>
  <c r="N38" i="1"/>
  <c r="O38" i="1" s="1"/>
  <c r="P38" i="1" s="1"/>
  <c r="S38" i="1"/>
  <c r="T38" i="1" s="1"/>
  <c r="M39" i="1"/>
  <c r="N39" i="1" s="1"/>
  <c r="O39" i="1" s="1"/>
  <c r="P39" i="1" s="1"/>
  <c r="Q39" i="1" s="1"/>
  <c r="Q42" i="17"/>
  <c r="W42" i="17"/>
  <c r="X42" i="17" s="1"/>
  <c r="Z42" i="17" s="1"/>
  <c r="U295" i="6"/>
  <c r="AB100" i="14"/>
  <c r="S84" i="4"/>
  <c r="T84" i="4" s="1"/>
  <c r="P252" i="1"/>
  <c r="P265" i="1" s="1"/>
  <c r="O265" i="1"/>
  <c r="N105" i="1"/>
  <c r="O105" i="1" s="1"/>
  <c r="P105" i="1" s="1"/>
  <c r="S105" i="1"/>
  <c r="T105" i="1" s="1"/>
  <c r="M106" i="1"/>
  <c r="N106" i="1" s="1"/>
  <c r="O106" i="1" s="1"/>
  <c r="P106" i="1" s="1"/>
  <c r="Q106" i="1" s="1"/>
  <c r="Q116" i="1" s="1"/>
  <c r="E9" i="7" s="1"/>
  <c r="N44" i="4"/>
  <c r="O44" i="4" s="1"/>
  <c r="P44" i="4" s="1"/>
  <c r="S44" i="4"/>
  <c r="T44" i="4" s="1"/>
  <c r="M45" i="4"/>
  <c r="N45" i="4" s="1"/>
  <c r="O45" i="4" s="1"/>
  <c r="P45" i="4" s="1"/>
  <c r="Q45" i="4" s="1"/>
  <c r="AB17" i="21"/>
  <c r="AC14" i="21"/>
  <c r="AC17" i="21" s="1"/>
  <c r="AB20" i="14"/>
  <c r="AC20" i="14" s="1"/>
  <c r="AA49" i="14"/>
  <c r="B11" i="7"/>
  <c r="R147" i="14"/>
  <c r="X147" i="14"/>
  <c r="Y147" i="14" s="1"/>
  <c r="AA147" i="14" s="1"/>
  <c r="X41" i="17"/>
  <c r="V42" i="18"/>
  <c r="V72" i="18"/>
  <c r="Q290" i="1"/>
  <c r="Z53" i="17"/>
  <c r="X78" i="17"/>
  <c r="P177" i="14"/>
  <c r="P124" i="14"/>
  <c r="N36" i="1"/>
  <c r="O36" i="1" s="1"/>
  <c r="P36" i="1" s="1"/>
  <c r="S36" i="1"/>
  <c r="T36" i="1" s="1"/>
  <c r="M37" i="1"/>
  <c r="N37" i="1" s="1"/>
  <c r="O37" i="1" s="1"/>
  <c r="P37" i="1" s="1"/>
  <c r="Q37" i="1" s="1"/>
  <c r="S58" i="4"/>
  <c r="Q96" i="4"/>
  <c r="U136" i="1"/>
  <c r="S104" i="1"/>
  <c r="T104" i="1" s="1"/>
  <c r="B15" i="7"/>
  <c r="AB31" i="14"/>
  <c r="AC31" i="14" s="1"/>
  <c r="S49" i="1"/>
  <c r="T49" i="1" s="1"/>
  <c r="O43" i="4"/>
  <c r="AA108" i="14"/>
  <c r="Y120" i="14"/>
  <c r="V26" i="18"/>
  <c r="AB26" i="18" s="1"/>
  <c r="AC26" i="18" s="1"/>
  <c r="T26" i="18"/>
  <c r="E29" i="7"/>
  <c r="Q382" i="6"/>
  <c r="Y160" i="14"/>
  <c r="X167" i="14"/>
  <c r="T113" i="14"/>
  <c r="T120" i="14" s="1"/>
  <c r="V113" i="14"/>
  <c r="V120" i="14" s="1"/>
  <c r="N48" i="4"/>
  <c r="O48" i="4" s="1"/>
  <c r="P48" i="4" s="1"/>
  <c r="Q48" i="4" s="1"/>
  <c r="M49" i="4"/>
  <c r="N49" i="4" s="1"/>
  <c r="O49" i="4" s="1"/>
  <c r="P49" i="4" s="1"/>
  <c r="Q49" i="4" s="1"/>
  <c r="V59" i="18"/>
  <c r="AB59" i="18" s="1"/>
  <c r="AC59" i="18" s="1"/>
  <c r="T59" i="18"/>
  <c r="T178" i="6"/>
  <c r="U178" i="6" s="1"/>
  <c r="Q120" i="1"/>
  <c r="P226" i="1"/>
  <c r="Z25" i="17"/>
  <c r="X34" i="17"/>
  <c r="Q154" i="14"/>
  <c r="Q177" i="14" s="1"/>
  <c r="X83" i="14"/>
  <c r="Y83" i="14" s="1"/>
  <c r="AA83" i="14" s="1"/>
  <c r="T97" i="14"/>
  <c r="Q78" i="17"/>
  <c r="U142" i="1"/>
  <c r="T61" i="1"/>
  <c r="U61" i="1" s="1"/>
  <c r="G72" i="7"/>
  <c r="G73" i="7"/>
  <c r="U331" i="1"/>
  <c r="U64" i="4"/>
  <c r="AB33" i="14"/>
  <c r="AC33" i="14" s="1"/>
  <c r="V161" i="14"/>
  <c r="AB161" i="14" s="1"/>
  <c r="AC161" i="14" s="1"/>
  <c r="T161" i="14"/>
  <c r="N305" i="1"/>
  <c r="O305" i="1" s="1"/>
  <c r="P305" i="1" s="1"/>
  <c r="S305" i="1"/>
  <c r="T305" i="1" s="1"/>
  <c r="O294" i="1"/>
  <c r="D11" i="7"/>
  <c r="B74" i="7"/>
  <c r="U251" i="1"/>
  <c r="AC24" i="21"/>
  <c r="AA40" i="17"/>
  <c r="AB40" i="17" s="1"/>
  <c r="AC25" i="14"/>
  <c r="AB25" i="14"/>
  <c r="Y54" i="14"/>
  <c r="X97" i="14"/>
  <c r="N300" i="1"/>
  <c r="O300" i="1" s="1"/>
  <c r="P300" i="1" s="1"/>
  <c r="S300" i="1"/>
  <c r="T300" i="1" s="1"/>
  <c r="M301" i="1"/>
  <c r="N301" i="1" s="1"/>
  <c r="O301" i="1" s="1"/>
  <c r="P301" i="1" s="1"/>
  <c r="Q301" i="1" s="1"/>
  <c r="S304" i="1"/>
  <c r="X39" i="18"/>
  <c r="T42" i="18"/>
  <c r="T57" i="18"/>
  <c r="V57" i="18"/>
  <c r="R62" i="18"/>
  <c r="R74" i="18" s="1"/>
  <c r="V162" i="14"/>
  <c r="AB162" i="14" s="1"/>
  <c r="AC162" i="14" s="1"/>
  <c r="T162" i="14"/>
  <c r="AB21" i="14"/>
  <c r="AC21" i="14" s="1"/>
  <c r="V28" i="21"/>
  <c r="V30" i="21" s="1"/>
  <c r="V32" i="21" s="1"/>
  <c r="R30" i="21"/>
  <c r="R32" i="21" s="1"/>
  <c r="T28" i="21"/>
  <c r="T30" i="21" s="1"/>
  <c r="T32" i="21" s="1"/>
  <c r="AB26" i="14"/>
  <c r="AC26" i="14" s="1"/>
  <c r="O103" i="1"/>
  <c r="T268" i="1"/>
  <c r="F13" i="7"/>
  <c r="S271" i="1"/>
  <c r="AB39" i="14"/>
  <c r="AC39" i="14" s="1"/>
  <c r="T136" i="14"/>
  <c r="N96" i="4"/>
  <c r="Q84" i="17"/>
  <c r="P107" i="17"/>
  <c r="W84" i="17"/>
  <c r="V35" i="14"/>
  <c r="AB35" i="14" s="1"/>
  <c r="AC35" i="14" s="1"/>
  <c r="T35" i="14"/>
  <c r="V160" i="14"/>
  <c r="V167" i="14" s="1"/>
  <c r="R167" i="14"/>
  <c r="T160" i="14"/>
  <c r="B21" i="7"/>
  <c r="T58" i="18"/>
  <c r="V58" i="18"/>
  <c r="AB58" i="18" s="1"/>
  <c r="AC58" i="18" s="1"/>
  <c r="O226" i="1"/>
  <c r="T25" i="18"/>
  <c r="V25" i="18"/>
  <c r="AB25" i="18" s="1"/>
  <c r="AC25" i="18" s="1"/>
  <c r="V97" i="14"/>
  <c r="AB12" i="17" l="1"/>
  <c r="AB17" i="17" s="1"/>
  <c r="AC33" i="18"/>
  <c r="W44" i="17"/>
  <c r="T167" i="14"/>
  <c r="S429" i="6"/>
  <c r="Q434" i="6"/>
  <c r="E43" i="7" s="1"/>
  <c r="G55" i="7"/>
  <c r="U37" i="4"/>
  <c r="S150" i="1"/>
  <c r="T150" i="1" s="1"/>
  <c r="U229" i="6"/>
  <c r="W35" i="7"/>
  <c r="S382" i="6"/>
  <c r="T470" i="6"/>
  <c r="U470" i="6" s="1"/>
  <c r="U482" i="6" s="1"/>
  <c r="H37" i="7" s="1"/>
  <c r="U380" i="6"/>
  <c r="H33" i="7" s="1"/>
  <c r="T380" i="6"/>
  <c r="G33" i="7" s="1"/>
  <c r="T423" i="6"/>
  <c r="G35" i="7" s="1"/>
  <c r="T97" i="5"/>
  <c r="T100" i="5" s="1"/>
  <c r="U423" i="6"/>
  <c r="H35" i="7" s="1"/>
  <c r="R35" i="7" s="1"/>
  <c r="U97" i="5"/>
  <c r="U100" i="5" s="1"/>
  <c r="F74" i="7"/>
  <c r="F82" i="7" s="1"/>
  <c r="F83" i="7" s="1"/>
  <c r="Q282" i="1"/>
  <c r="E19" i="7" s="1"/>
  <c r="K19" i="7" s="1"/>
  <c r="AA19" i="7" s="1"/>
  <c r="S279" i="1"/>
  <c r="N116" i="1"/>
  <c r="D9" i="7" s="1"/>
  <c r="G29" i="7"/>
  <c r="F29" i="7"/>
  <c r="H29" i="7"/>
  <c r="U128" i="4"/>
  <c r="U130" i="4" s="1"/>
  <c r="T130" i="4"/>
  <c r="G51" i="7" s="1"/>
  <c r="T253" i="1"/>
  <c r="T265" i="1" s="1"/>
  <c r="U49" i="1"/>
  <c r="S96" i="4"/>
  <c r="K78" i="7"/>
  <c r="Q78" i="7"/>
  <c r="E80" i="7"/>
  <c r="L78" i="7"/>
  <c r="R78" i="7"/>
  <c r="G80" i="7"/>
  <c r="G13" i="7"/>
  <c r="T271" i="1"/>
  <c r="Y39" i="18"/>
  <c r="X42" i="18"/>
  <c r="S301" i="1"/>
  <c r="AA54" i="14"/>
  <c r="Y97" i="14"/>
  <c r="Y124" i="14" s="1"/>
  <c r="T124" i="14"/>
  <c r="S290" i="1"/>
  <c r="T290" i="1" s="1"/>
  <c r="U290" i="1" s="1"/>
  <c r="T147" i="14"/>
  <c r="T154" i="14" s="1"/>
  <c r="V147" i="14"/>
  <c r="V154" i="14" s="1"/>
  <c r="R154" i="14"/>
  <c r="S45" i="4"/>
  <c r="T45" i="4" s="1"/>
  <c r="U45" i="4" s="1"/>
  <c r="U84" i="4"/>
  <c r="S42" i="17"/>
  <c r="S44" i="17" s="1"/>
  <c r="U42" i="17"/>
  <c r="U44" i="17" s="1"/>
  <c r="Q44" i="17"/>
  <c r="D15" i="7"/>
  <c r="C15" i="7" s="1"/>
  <c r="T229" i="6"/>
  <c r="AA136" i="14"/>
  <c r="AB127" i="14"/>
  <c r="AB136" i="14" s="1"/>
  <c r="M100" i="1"/>
  <c r="S84" i="17"/>
  <c r="S107" i="17" s="1"/>
  <c r="S109" i="17" s="1"/>
  <c r="Q107" i="17"/>
  <c r="Q109" i="17" s="1"/>
  <c r="U84" i="17"/>
  <c r="U107" i="17" s="1"/>
  <c r="U109" i="17" s="1"/>
  <c r="V62" i="18"/>
  <c r="T304" i="1"/>
  <c r="U304" i="1" s="1"/>
  <c r="G74" i="7"/>
  <c r="G82" i="7" s="1"/>
  <c r="G83" i="7" s="1"/>
  <c r="AB83" i="14"/>
  <c r="AC83" i="14" s="1"/>
  <c r="AA25" i="17"/>
  <c r="AA34" i="17" s="1"/>
  <c r="Z34" i="17"/>
  <c r="Q226" i="1"/>
  <c r="S120" i="1"/>
  <c r="S226" i="1" s="1"/>
  <c r="S49" i="4"/>
  <c r="AB108" i="14"/>
  <c r="AB120" i="14" s="1"/>
  <c r="AA120" i="14"/>
  <c r="U104" i="1"/>
  <c r="S37" i="1"/>
  <c r="T37" i="1" s="1"/>
  <c r="U37" i="1" s="1"/>
  <c r="C11" i="7"/>
  <c r="AC100" i="14"/>
  <c r="AB113" i="14"/>
  <c r="AC113" i="14" s="1"/>
  <c r="D21" i="7"/>
  <c r="C21" i="7" s="1"/>
  <c r="Q464" i="6"/>
  <c r="E31" i="7" s="1"/>
  <c r="E45" i="7" s="1"/>
  <c r="S438" i="6"/>
  <c r="S464" i="6" s="1"/>
  <c r="F31" i="7" s="1"/>
  <c r="P268" i="1"/>
  <c r="P271" i="1" s="1"/>
  <c r="O271" i="1"/>
  <c r="O26" i="1"/>
  <c r="N100" i="1"/>
  <c r="H73" i="7"/>
  <c r="H72" i="7"/>
  <c r="AA28" i="21"/>
  <c r="Y30" i="21"/>
  <c r="Y32" i="21" s="1"/>
  <c r="U69" i="4"/>
  <c r="M54" i="4"/>
  <c r="M140" i="4" s="1"/>
  <c r="D49" i="7"/>
  <c r="F15" i="7"/>
  <c r="P103" i="1"/>
  <c r="P116" i="1" s="1"/>
  <c r="O116" i="1"/>
  <c r="B75" i="7"/>
  <c r="B82" i="7"/>
  <c r="B83" i="7" s="1"/>
  <c r="P294" i="1"/>
  <c r="O317" i="1"/>
  <c r="S48" i="4"/>
  <c r="T48" i="4" s="1"/>
  <c r="U48" i="4" s="1"/>
  <c r="N54" i="4"/>
  <c r="D47" i="7" s="1"/>
  <c r="E49" i="7"/>
  <c r="Z41" i="17"/>
  <c r="X44" i="17"/>
  <c r="AA171" i="14"/>
  <c r="Y173" i="14"/>
  <c r="P322" i="1"/>
  <c r="O341" i="1"/>
  <c r="AC140" i="14"/>
  <c r="T26" i="1"/>
  <c r="AB57" i="18"/>
  <c r="V29" i="14"/>
  <c r="V49" i="14" s="1"/>
  <c r="T29" i="14"/>
  <c r="R49" i="14"/>
  <c r="Q349" i="1"/>
  <c r="S346" i="1"/>
  <c r="S349" i="1" s="1"/>
  <c r="V74" i="18"/>
  <c r="V44" i="18"/>
  <c r="M116" i="1"/>
  <c r="B9" i="7" s="1"/>
  <c r="M317" i="1"/>
  <c r="W107" i="17"/>
  <c r="W109" i="17" s="1"/>
  <c r="X84" i="17"/>
  <c r="X124" i="14"/>
  <c r="X177" i="14"/>
  <c r="N317" i="1"/>
  <c r="D17" i="7" s="1"/>
  <c r="AA160" i="14"/>
  <c r="Y167" i="14"/>
  <c r="P43" i="4"/>
  <c r="O54" i="4"/>
  <c r="O140" i="4" s="1"/>
  <c r="T58" i="4"/>
  <c r="T96" i="4" s="1"/>
  <c r="AA53" i="17"/>
  <c r="Z78" i="17"/>
  <c r="AB147" i="14"/>
  <c r="AB154" i="14" s="1"/>
  <c r="AA154" i="14"/>
  <c r="S106" i="1"/>
  <c r="S116" i="1" s="1"/>
  <c r="F9" i="7" s="1"/>
  <c r="AA42" i="17"/>
  <c r="AB42" i="17" s="1"/>
  <c r="S39" i="1"/>
  <c r="E74" i="7"/>
  <c r="E82" i="7" s="1"/>
  <c r="E83" i="7" s="1"/>
  <c r="B49" i="7"/>
  <c r="AB33" i="18"/>
  <c r="AA70" i="17"/>
  <c r="AB70" i="17" s="1"/>
  <c r="S27" i="1"/>
  <c r="Q100" i="1"/>
  <c r="S31" i="1"/>
  <c r="T31" i="1" s="1"/>
  <c r="H15" i="7"/>
  <c r="AC108" i="14" l="1"/>
  <c r="N140" i="4"/>
  <c r="F49" i="7"/>
  <c r="AC147" i="14"/>
  <c r="AC120" i="14"/>
  <c r="AC127" i="14"/>
  <c r="AC136" i="14" s="1"/>
  <c r="U382" i="6"/>
  <c r="K43" i="7"/>
  <c r="AA34" i="7" s="1"/>
  <c r="Q43" i="7"/>
  <c r="W43" i="7"/>
  <c r="T382" i="6"/>
  <c r="T429" i="6"/>
  <c r="S434" i="6"/>
  <c r="F43" i="7" s="1"/>
  <c r="F45" i="7" s="1"/>
  <c r="U150" i="1"/>
  <c r="H51" i="7"/>
  <c r="H56" i="7"/>
  <c r="U39" i="4"/>
  <c r="T482" i="6"/>
  <c r="G37" i="7" s="1"/>
  <c r="L35" i="7"/>
  <c r="AB39" i="7" s="1"/>
  <c r="S484" i="6"/>
  <c r="B47" i="7"/>
  <c r="B60" i="7" s="1"/>
  <c r="B61" i="7" s="1"/>
  <c r="C9" i="7"/>
  <c r="S282" i="1"/>
  <c r="F19" i="7" s="1"/>
  <c r="T279" i="1"/>
  <c r="T120" i="1"/>
  <c r="T226" i="1" s="1"/>
  <c r="S100" i="1"/>
  <c r="F7" i="7" s="1"/>
  <c r="U253" i="1"/>
  <c r="U78" i="7"/>
  <c r="D60" i="7"/>
  <c r="AA78" i="17"/>
  <c r="U31" i="1"/>
  <c r="T27" i="1"/>
  <c r="U27" i="1" s="1"/>
  <c r="T39" i="1"/>
  <c r="U39" i="1" s="1"/>
  <c r="G49" i="7"/>
  <c r="X107" i="17"/>
  <c r="X109" i="17" s="1"/>
  <c r="Z84" i="17"/>
  <c r="F23" i="7"/>
  <c r="V124" i="14"/>
  <c r="V177" i="14"/>
  <c r="AB171" i="14"/>
  <c r="AB173" i="14" s="1"/>
  <c r="AA173" i="14"/>
  <c r="P26" i="1"/>
  <c r="P100" i="1" s="1"/>
  <c r="P273" i="1" s="1"/>
  <c r="O100" i="1"/>
  <c r="O273" i="1" s="1"/>
  <c r="O351" i="1" s="1"/>
  <c r="U58" i="4"/>
  <c r="U96" i="4" s="1"/>
  <c r="T49" i="4"/>
  <c r="U49" i="4" s="1"/>
  <c r="E11" i="7"/>
  <c r="T301" i="1"/>
  <c r="U301" i="1" s="1"/>
  <c r="AA39" i="18"/>
  <c r="Y42" i="18"/>
  <c r="P54" i="4"/>
  <c r="P140" i="4" s="1"/>
  <c r="Q43" i="4"/>
  <c r="E23" i="7"/>
  <c r="K23" i="7" s="1"/>
  <c r="AA23" i="7" s="1"/>
  <c r="AB62" i="18"/>
  <c r="AC57" i="18"/>
  <c r="AC62" i="18" s="1"/>
  <c r="AC154" i="14"/>
  <c r="H74" i="7"/>
  <c r="H82" i="7" s="1"/>
  <c r="H83" i="7" s="1"/>
  <c r="T438" i="6"/>
  <c r="T464" i="6" s="1"/>
  <c r="G31" i="7" s="1"/>
  <c r="G15" i="7"/>
  <c r="B17" i="7"/>
  <c r="C17" i="7" s="1"/>
  <c r="AA41" i="17"/>
  <c r="AA44" i="17" s="1"/>
  <c r="Z44" i="17"/>
  <c r="M273" i="1"/>
  <c r="M351" i="1" s="1"/>
  <c r="B7" i="7"/>
  <c r="R124" i="14"/>
  <c r="R177" i="14"/>
  <c r="E7" i="7"/>
  <c r="Q273" i="1"/>
  <c r="C49" i="7"/>
  <c r="T106" i="1"/>
  <c r="T116" i="1" s="1"/>
  <c r="G9" i="7" s="1"/>
  <c r="AB53" i="17"/>
  <c r="AB78" i="17" s="1"/>
  <c r="AB160" i="14"/>
  <c r="AB167" i="14" s="1"/>
  <c r="AA167" i="14"/>
  <c r="T346" i="1"/>
  <c r="Q322" i="1"/>
  <c r="Q341" i="1" s="1"/>
  <c r="P341" i="1"/>
  <c r="Q294" i="1"/>
  <c r="P317" i="1"/>
  <c r="AA30" i="21"/>
  <c r="AA32" i="21" s="1"/>
  <c r="AB28" i="21"/>
  <c r="AB30" i="21" s="1"/>
  <c r="AB32" i="21" s="1"/>
  <c r="AB29" i="14"/>
  <c r="D7" i="7"/>
  <c r="D25" i="7" s="1"/>
  <c r="D62" i="7" s="1"/>
  <c r="N273" i="1"/>
  <c r="N351" i="1" s="1"/>
  <c r="F11" i="7"/>
  <c r="AB25" i="17"/>
  <c r="AB34" i="17" s="1"/>
  <c r="X35" i="7"/>
  <c r="Q484" i="6"/>
  <c r="E46" i="7" s="1"/>
  <c r="AB54" i="14"/>
  <c r="AB97" i="14" s="1"/>
  <c r="AC54" i="14"/>
  <c r="AC97" i="14" s="1"/>
  <c r="AA97" i="14"/>
  <c r="AC28" i="21" l="1"/>
  <c r="AC30" i="21" s="1"/>
  <c r="AC32" i="21" s="1"/>
  <c r="AB41" i="17"/>
  <c r="AB44" i="17" s="1"/>
  <c r="AC171" i="14"/>
  <c r="AC173" i="14" s="1"/>
  <c r="C47" i="7"/>
  <c r="C60" i="7" s="1"/>
  <c r="T434" i="6"/>
  <c r="G43" i="7" s="1"/>
  <c r="G45" i="7" s="1"/>
  <c r="U429" i="6"/>
  <c r="U434" i="6" s="1"/>
  <c r="H43" i="7" s="1"/>
  <c r="L56" i="7"/>
  <c r="AB54" i="7" s="1"/>
  <c r="R56" i="7"/>
  <c r="H55" i="7"/>
  <c r="S273" i="1"/>
  <c r="G11" i="7"/>
  <c r="T282" i="1"/>
  <c r="G19" i="7" s="1"/>
  <c r="U279" i="1"/>
  <c r="U120" i="1"/>
  <c r="T100" i="1"/>
  <c r="T273" i="1" s="1"/>
  <c r="U265" i="1"/>
  <c r="H13" i="7" s="1"/>
  <c r="L13" i="7" s="1"/>
  <c r="AB13" i="7" s="1"/>
  <c r="AA177" i="14"/>
  <c r="AA124" i="14"/>
  <c r="AC29" i="14"/>
  <c r="AC49" i="14" s="1"/>
  <c r="AB49" i="14"/>
  <c r="K7" i="7"/>
  <c r="C7" i="7"/>
  <c r="C25" i="7" s="1"/>
  <c r="B25" i="7"/>
  <c r="I25" i="7" s="1"/>
  <c r="U106" i="1"/>
  <c r="H49" i="7"/>
  <c r="U438" i="6"/>
  <c r="U464" i="6" s="1"/>
  <c r="P351" i="1"/>
  <c r="U100" i="1"/>
  <c r="S294" i="1"/>
  <c r="S317" i="1" s="1"/>
  <c r="F17" i="7" s="1"/>
  <c r="Q317" i="1"/>
  <c r="E17" i="7" s="1"/>
  <c r="K17" i="7" s="1"/>
  <c r="AA17" i="7" s="1"/>
  <c r="S322" i="1"/>
  <c r="S341" i="1" s="1"/>
  <c r="T349" i="1"/>
  <c r="G23" i="7" s="1"/>
  <c r="U346" i="1"/>
  <c r="AC160" i="14"/>
  <c r="AC167" i="14" s="1"/>
  <c r="Q54" i="4"/>
  <c r="Q140" i="4" s="1"/>
  <c r="S43" i="4"/>
  <c r="S54" i="4" s="1"/>
  <c r="S140" i="4" s="1"/>
  <c r="AB39" i="18"/>
  <c r="AB42" i="18" s="1"/>
  <c r="AA42" i="18"/>
  <c r="Z107" i="17"/>
  <c r="Z109" i="17" s="1"/>
  <c r="AA84" i="17"/>
  <c r="AA107" i="17" s="1"/>
  <c r="AA109" i="17" s="1"/>
  <c r="X56" i="7" l="1"/>
  <c r="R43" i="7"/>
  <c r="L43" i="7"/>
  <c r="AB34" i="7" s="1"/>
  <c r="X43" i="7"/>
  <c r="T484" i="6"/>
  <c r="AF72" i="7"/>
  <c r="AJ72" i="7"/>
  <c r="B62" i="7"/>
  <c r="U282" i="1"/>
  <c r="H19" i="7" s="1"/>
  <c r="L19" i="7" s="1"/>
  <c r="AB19" i="7" s="1"/>
  <c r="C62" i="7"/>
  <c r="G7" i="7"/>
  <c r="U226" i="1"/>
  <c r="F47" i="7"/>
  <c r="F60" i="7" s="1"/>
  <c r="U349" i="1"/>
  <c r="E21" i="7"/>
  <c r="Q351" i="1"/>
  <c r="T294" i="1"/>
  <c r="T317" i="1" s="1"/>
  <c r="G17" i="7" s="1"/>
  <c r="H7" i="7"/>
  <c r="AB177" i="14"/>
  <c r="AB124" i="14"/>
  <c r="AC177" i="14"/>
  <c r="AC124" i="14"/>
  <c r="AA74" i="18"/>
  <c r="AA44" i="18"/>
  <c r="U116" i="1"/>
  <c r="H9" i="7" s="1"/>
  <c r="AA7" i="7"/>
  <c r="F21" i="7"/>
  <c r="F25" i="7" s="1"/>
  <c r="S351" i="1"/>
  <c r="AB74" i="18"/>
  <c r="AB44" i="18"/>
  <c r="T43" i="4"/>
  <c r="AB84" i="17"/>
  <c r="AB107" i="17" s="1"/>
  <c r="AB109" i="17" s="1"/>
  <c r="AC39" i="18"/>
  <c r="AC42" i="18" s="1"/>
  <c r="E47" i="7"/>
  <c r="T322" i="1"/>
  <c r="T341" i="1" s="1"/>
  <c r="G21" i="7" s="1"/>
  <c r="H31" i="7"/>
  <c r="U484" i="6"/>
  <c r="F61" i="7" l="1"/>
  <c r="U294" i="1"/>
  <c r="H11" i="7"/>
  <c r="G25" i="7"/>
  <c r="L7" i="7"/>
  <c r="K21" i="7"/>
  <c r="E25" i="7"/>
  <c r="E26" i="7" s="1"/>
  <c r="F62" i="7"/>
  <c r="T54" i="4"/>
  <c r="T140" i="4" s="1"/>
  <c r="U43" i="4"/>
  <c r="U54" i="4" s="1"/>
  <c r="U140" i="4" s="1"/>
  <c r="H45" i="7"/>
  <c r="E60" i="7"/>
  <c r="E61" i="7" s="1"/>
  <c r="U322" i="1"/>
  <c r="U273" i="1"/>
  <c r="AC44" i="18"/>
  <c r="AC74" i="18"/>
  <c r="H23" i="7"/>
  <c r="L23" i="7" s="1"/>
  <c r="AB23" i="7" s="1"/>
  <c r="U317" i="1" l="1"/>
  <c r="H17" i="7" s="1"/>
  <c r="L17" i="7" s="1"/>
  <c r="AB17" i="7" s="1"/>
  <c r="E62" i="7"/>
  <c r="U341" i="1"/>
  <c r="H47" i="7"/>
  <c r="AB7" i="7"/>
  <c r="G47" i="7"/>
  <c r="AA25" i="7"/>
  <c r="H60" i="7" l="1"/>
  <c r="H61" i="7" s="1"/>
  <c r="H21" i="7"/>
  <c r="U351" i="1"/>
  <c r="D124" i="7"/>
  <c r="G60" i="7"/>
  <c r="G62" i="7" l="1"/>
  <c r="G61" i="7"/>
  <c r="D127" i="7"/>
  <c r="D128" i="7" s="1"/>
  <c r="L21" i="7"/>
  <c r="H25" i="7"/>
  <c r="H26" i="7" s="1"/>
  <c r="AB25" i="7" l="1"/>
  <c r="H62" i="7"/>
  <c r="E123" i="7" l="1"/>
  <c r="AE9" i="7" l="1"/>
  <c r="AE8" i="7"/>
  <c r="AE10" i="7" l="1"/>
  <c r="AF10" i="7" s="1"/>
  <c r="C114" i="7"/>
  <c r="F114" i="7"/>
  <c r="AE11" i="7" l="1"/>
  <c r="AF9" i="7"/>
  <c r="G114" i="7"/>
  <c r="C115" i="7" s="1"/>
  <c r="AF8" i="7"/>
  <c r="AF11" i="7" l="1"/>
  <c r="K79" i="7"/>
  <c r="AA58" i="7" s="1"/>
  <c r="AJ58" i="7" s="1"/>
  <c r="L79" i="7"/>
  <c r="AB58" i="7" s="1"/>
  <c r="H114" i="7"/>
  <c r="E115" i="7"/>
  <c r="G115" i="7"/>
  <c r="F115" i="7"/>
  <c r="AD76" i="7" l="1"/>
  <c r="AH76" i="7"/>
  <c r="AG76" i="7"/>
  <c r="Q79" i="7"/>
  <c r="R79" i="7"/>
  <c r="H115" i="7"/>
  <c r="O79" i="7"/>
  <c r="N79" i="7"/>
  <c r="U79" i="7" s="1"/>
  <c r="V33" i="7" l="1"/>
  <c r="U33" i="7"/>
  <c r="K33" i="7" l="1"/>
  <c r="L33" i="7"/>
  <c r="Q33" i="7"/>
  <c r="R33" i="7"/>
  <c r="AB37" i="7" l="1"/>
  <c r="X33" i="7"/>
  <c r="AA37" i="7"/>
  <c r="W33" i="7"/>
  <c r="F117" i="7" l="1"/>
  <c r="E117" i="7" l="1"/>
  <c r="U37" i="7" l="1"/>
  <c r="V41" i="7"/>
  <c r="V39" i="7"/>
  <c r="U41" i="7"/>
  <c r="U39" i="7"/>
  <c r="V37" i="7"/>
  <c r="Q37" i="7" l="1"/>
  <c r="R37" i="7"/>
  <c r="U29" i="7"/>
  <c r="U31" i="7"/>
  <c r="U51" i="7"/>
  <c r="K41" i="7"/>
  <c r="L41" i="7"/>
  <c r="Q39" i="7"/>
  <c r="R39" i="7"/>
  <c r="K37" i="7"/>
  <c r="AA40" i="7" s="1"/>
  <c r="L37" i="7"/>
  <c r="AB40" i="7" s="1"/>
  <c r="Q41" i="7"/>
  <c r="R41" i="7"/>
  <c r="C117" i="7"/>
  <c r="V31" i="7"/>
  <c r="V29" i="7"/>
  <c r="V51" i="7"/>
  <c r="K39" i="7"/>
  <c r="L39" i="7"/>
  <c r="Q51" i="7" l="1"/>
  <c r="R51" i="7"/>
  <c r="AB41" i="7"/>
  <c r="AB43" i="7" s="1"/>
  <c r="X41" i="7"/>
  <c r="K51" i="7"/>
  <c r="L51" i="7"/>
  <c r="AB50" i="7" s="1"/>
  <c r="AG41" i="7"/>
  <c r="AH41" i="7"/>
  <c r="Q29" i="7"/>
  <c r="R29" i="7"/>
  <c r="AA41" i="7"/>
  <c r="AA43" i="7" s="1"/>
  <c r="W41" i="7"/>
  <c r="K31" i="7"/>
  <c r="AA33" i="7" s="1"/>
  <c r="L31" i="7"/>
  <c r="AB33" i="7" s="1"/>
  <c r="AE41" i="7"/>
  <c r="AD41" i="7"/>
  <c r="X39" i="7"/>
  <c r="AB42" i="7"/>
  <c r="Q31" i="7"/>
  <c r="Q45" i="7" s="1"/>
  <c r="R31" i="7"/>
  <c r="G117" i="7"/>
  <c r="C118" i="7" s="1"/>
  <c r="K29" i="7"/>
  <c r="L29" i="7"/>
  <c r="AF41" i="7"/>
  <c r="U58" i="7"/>
  <c r="U9" i="7"/>
  <c r="V9" i="7"/>
  <c r="V58" i="7"/>
  <c r="AA42" i="7"/>
  <c r="W39" i="7"/>
  <c r="K9" i="7" l="1"/>
  <c r="L9" i="7"/>
  <c r="X9" i="7" s="1"/>
  <c r="AH68" i="7"/>
  <c r="AD68" i="7"/>
  <c r="AJ68" i="7" s="1"/>
  <c r="AF68" i="7"/>
  <c r="AG68" i="7"/>
  <c r="AE68" i="7"/>
  <c r="Q9" i="7"/>
  <c r="R9" i="7"/>
  <c r="AA50" i="7"/>
  <c r="W51" i="7"/>
  <c r="AB32" i="7"/>
  <c r="AB35" i="7" s="1"/>
  <c r="AB45" i="7" s="1"/>
  <c r="AB46" i="7" s="1"/>
  <c r="X29" i="7"/>
  <c r="L45" i="7"/>
  <c r="H117" i="7"/>
  <c r="G118" i="7"/>
  <c r="F118" i="7"/>
  <c r="E118" i="7"/>
  <c r="X51" i="7"/>
  <c r="W29" i="7"/>
  <c r="AA32" i="7"/>
  <c r="AA35" i="7" s="1"/>
  <c r="AA45" i="7" s="1"/>
  <c r="K45" i="7"/>
  <c r="R45" i="7"/>
  <c r="AA46" i="7" l="1"/>
  <c r="H118" i="7"/>
  <c r="AG50" i="7"/>
  <c r="AH50" i="7"/>
  <c r="AE50" i="7"/>
  <c r="AD50" i="7"/>
  <c r="AF50" i="7"/>
  <c r="W9" i="7"/>
  <c r="AJ50" i="7" l="1"/>
  <c r="AE45" i="7"/>
  <c r="AE76" i="7" s="1"/>
  <c r="AF45" i="7"/>
  <c r="AF76" i="7" s="1"/>
  <c r="V57" i="7"/>
  <c r="AJ76" i="7" l="1"/>
  <c r="U57" i="7"/>
  <c r="Q15" i="7"/>
  <c r="R15" i="7"/>
  <c r="Q11" i="7"/>
  <c r="R11" i="7"/>
  <c r="Q55" i="7"/>
  <c r="R55" i="7"/>
  <c r="Q25" i="7" l="1"/>
  <c r="K55" i="7"/>
  <c r="L55" i="7"/>
  <c r="AB53" i="7" s="1"/>
  <c r="F123" i="7"/>
  <c r="K15" i="7"/>
  <c r="W15" i="7" s="1"/>
  <c r="L15" i="7"/>
  <c r="X15" i="7" s="1"/>
  <c r="R25" i="7"/>
  <c r="K11" i="7"/>
  <c r="L11" i="7"/>
  <c r="AF71" i="7" l="1"/>
  <c r="AE71" i="7"/>
  <c r="AG71" i="7"/>
  <c r="AH71" i="7"/>
  <c r="AD71" i="7"/>
  <c r="AB18" i="7"/>
  <c r="AB14" i="7"/>
  <c r="AB15" i="7" s="1"/>
  <c r="AB8" i="7"/>
  <c r="X11" i="7"/>
  <c r="L25" i="7"/>
  <c r="X55" i="7"/>
  <c r="AA18" i="7"/>
  <c r="AA14" i="7"/>
  <c r="AA15" i="7" s="1"/>
  <c r="AA8" i="7"/>
  <c r="W11" i="7"/>
  <c r="K25" i="7"/>
  <c r="AA53" i="7"/>
  <c r="W55" i="7"/>
  <c r="AJ71" i="7" l="1"/>
  <c r="AF53" i="7"/>
  <c r="AG53" i="7"/>
  <c r="AH53" i="7"/>
  <c r="AD53" i="7"/>
  <c r="AE53" i="7"/>
  <c r="C123" i="7"/>
  <c r="G123" i="7" l="1"/>
  <c r="C124" i="7" s="1"/>
  <c r="K73" i="7" l="1"/>
  <c r="AA52" i="7" s="1"/>
  <c r="L73" i="7"/>
  <c r="AB52" i="7" s="1"/>
  <c r="K77" i="7"/>
  <c r="AA56" i="7" s="1"/>
  <c r="AJ56" i="7" s="1"/>
  <c r="L77" i="7"/>
  <c r="G124" i="7"/>
  <c r="H123" i="7"/>
  <c r="E124" i="7"/>
  <c r="F124" i="7"/>
  <c r="L57" i="7" l="1"/>
  <c r="AB56" i="7"/>
  <c r="O73" i="7"/>
  <c r="N77" i="7"/>
  <c r="N57" i="7" s="1"/>
  <c r="O77" i="7"/>
  <c r="O57" i="7" s="1"/>
  <c r="N73" i="7"/>
  <c r="K57" i="7"/>
  <c r="H124" i="7"/>
  <c r="R77" i="7"/>
  <c r="R57" i="7" s="1"/>
  <c r="Q77" i="7"/>
  <c r="Q57" i="7" s="1"/>
  <c r="Q73" i="7"/>
  <c r="R73" i="7"/>
  <c r="X57" i="7" l="1"/>
  <c r="U73" i="7"/>
  <c r="W57" i="7"/>
  <c r="U77" i="7"/>
  <c r="E120" i="7" l="1"/>
  <c r="F120" i="7" l="1"/>
  <c r="AD44" i="7" l="1"/>
  <c r="AD75" i="7" l="1"/>
  <c r="AD65" i="7"/>
  <c r="AG44" i="7"/>
  <c r="AH44" i="7"/>
  <c r="C120" i="7"/>
  <c r="AF44" i="7"/>
  <c r="AE44" i="7"/>
  <c r="AG75" i="7" l="1"/>
  <c r="AG65" i="7"/>
  <c r="AE75" i="7"/>
  <c r="AE65" i="7"/>
  <c r="AH75" i="7"/>
  <c r="AH65" i="7"/>
  <c r="AF75" i="7"/>
  <c r="AF65" i="7"/>
  <c r="V49" i="7"/>
  <c r="V47" i="7"/>
  <c r="AE43" i="7"/>
  <c r="AJ53" i="7"/>
  <c r="AF43" i="7"/>
  <c r="AG43" i="7"/>
  <c r="G120" i="7"/>
  <c r="C121" i="7" s="1"/>
  <c r="C127" i="7" s="1"/>
  <c r="C128" i="7" s="1"/>
  <c r="C129" i="7" s="1"/>
  <c r="AJ75" i="7" l="1"/>
  <c r="K72" i="7"/>
  <c r="AA51" i="7" s="1"/>
  <c r="L76" i="7"/>
  <c r="K76" i="7"/>
  <c r="AA55" i="7" s="1"/>
  <c r="AJ55" i="7" s="1"/>
  <c r="L72" i="7"/>
  <c r="AA26" i="7"/>
  <c r="AA27" i="7" s="1"/>
  <c r="AB26" i="7"/>
  <c r="AB27" i="7" s="1"/>
  <c r="G121" i="7"/>
  <c r="H120" i="7"/>
  <c r="E121" i="7"/>
  <c r="E127" i="7" s="1"/>
  <c r="E128" i="7" s="1"/>
  <c r="F121" i="7"/>
  <c r="F127" i="7" s="1"/>
  <c r="F128" i="7" s="1"/>
  <c r="U49" i="7"/>
  <c r="U47" i="7"/>
  <c r="AB20" i="7"/>
  <c r="AB21" i="7" s="1"/>
  <c r="AA20" i="7"/>
  <c r="AA21" i="7" s="1"/>
  <c r="AB9" i="7"/>
  <c r="AB11" i="7" s="1"/>
  <c r="AA9" i="7"/>
  <c r="AA11" i="7" s="1"/>
  <c r="Q47" i="7"/>
  <c r="R47" i="7"/>
  <c r="Q49" i="7"/>
  <c r="R49" i="7"/>
  <c r="L58" i="7" l="1"/>
  <c r="AB55" i="7"/>
  <c r="AH51" i="7"/>
  <c r="AD51" i="7"/>
  <c r="AE51" i="7"/>
  <c r="AG51" i="7"/>
  <c r="AF51" i="7"/>
  <c r="L53" i="7"/>
  <c r="AB51" i="7"/>
  <c r="AA29" i="7"/>
  <c r="AA30" i="7" s="1"/>
  <c r="AB29" i="7"/>
  <c r="AB30" i="7" s="1"/>
  <c r="K47" i="7"/>
  <c r="L47" i="7"/>
  <c r="K49" i="7"/>
  <c r="L49" i="7"/>
  <c r="H121" i="7"/>
  <c r="G127" i="7"/>
  <c r="G128" i="7" s="1"/>
  <c r="K58" i="7"/>
  <c r="R72" i="7"/>
  <c r="R53" i="7" s="1"/>
  <c r="Q76" i="7"/>
  <c r="Q58" i="7" s="1"/>
  <c r="R76" i="7"/>
  <c r="R58" i="7" s="1"/>
  <c r="Q72" i="7"/>
  <c r="Q53" i="7" s="1"/>
  <c r="N76" i="7"/>
  <c r="N58" i="7" s="1"/>
  <c r="N72" i="7"/>
  <c r="N53" i="7" s="1"/>
  <c r="O72" i="7"/>
  <c r="O53" i="7" s="1"/>
  <c r="O76" i="7"/>
  <c r="O58" i="7" s="1"/>
  <c r="K53" i="7"/>
  <c r="AJ51" i="7" l="1"/>
  <c r="AE73" i="7"/>
  <c r="AD73" i="7"/>
  <c r="AF73" i="7"/>
  <c r="AH73" i="7"/>
  <c r="AG73" i="7"/>
  <c r="AF69" i="7"/>
  <c r="AD69" i="7"/>
  <c r="AG69" i="7"/>
  <c r="AE69" i="7"/>
  <c r="AH69" i="7"/>
  <c r="R60" i="7"/>
  <c r="R62" i="7" s="1"/>
  <c r="X53" i="7"/>
  <c r="W53" i="7"/>
  <c r="O60" i="7"/>
  <c r="O62" i="7" s="1"/>
  <c r="Q60" i="7"/>
  <c r="Q62" i="7" s="1"/>
  <c r="U76" i="7"/>
  <c r="AB49" i="7"/>
  <c r="X49" i="7"/>
  <c r="AB48" i="7"/>
  <c r="X47" i="7"/>
  <c r="L60" i="7"/>
  <c r="L62" i="7" s="1"/>
  <c r="U72" i="7"/>
  <c r="N60" i="7"/>
  <c r="N62" i="7" s="1"/>
  <c r="X58" i="7"/>
  <c r="W58" i="7"/>
  <c r="AA49" i="7"/>
  <c r="W49" i="7"/>
  <c r="AA48" i="7"/>
  <c r="W47" i="7"/>
  <c r="K60" i="7"/>
  <c r="K62" i="7" s="1"/>
  <c r="AJ69" i="7" l="1"/>
  <c r="AJ73" i="7"/>
  <c r="AE48" i="7"/>
  <c r="AA60" i="7"/>
  <c r="AA61" i="7" s="1"/>
  <c r="AH48" i="7"/>
  <c r="AF48" i="7"/>
  <c r="AD48" i="7"/>
  <c r="AG48" i="7"/>
  <c r="AH66" i="7"/>
  <c r="AE66" i="7"/>
  <c r="AD66" i="7"/>
  <c r="AF66" i="7"/>
  <c r="AB60" i="7"/>
  <c r="AB61" i="7" s="1"/>
  <c r="AG66" i="7"/>
  <c r="AA62" i="7" l="1"/>
  <c r="AJ66" i="7"/>
  <c r="AJ48" i="7"/>
  <c r="AB62" i="7"/>
  <c r="AG42" i="7" l="1"/>
  <c r="AF42" i="7"/>
  <c r="AE42" i="7"/>
  <c r="AH42" i="7"/>
  <c r="AD42" i="7"/>
  <c r="AH52" i="7" l="1"/>
  <c r="AH70" i="7"/>
  <c r="AH74" i="7"/>
  <c r="AH49" i="7"/>
  <c r="AH67" i="7"/>
  <c r="AF52" i="7"/>
  <c r="AF70" i="7"/>
  <c r="AF74" i="7"/>
  <c r="AF67" i="7"/>
  <c r="AF49" i="7"/>
  <c r="AE70" i="7"/>
  <c r="AE52" i="7"/>
  <c r="AE74" i="7"/>
  <c r="AE67" i="7"/>
  <c r="AE49" i="7"/>
  <c r="AD70" i="7"/>
  <c r="AD52" i="7"/>
  <c r="AD74" i="7"/>
  <c r="AD49" i="7"/>
  <c r="AD67" i="7"/>
  <c r="AG70" i="7"/>
  <c r="AG52" i="7"/>
  <c r="AG74" i="7"/>
  <c r="AG49" i="7"/>
  <c r="AG67" i="7"/>
  <c r="AF60" i="7" l="1"/>
  <c r="AG60" i="7"/>
  <c r="AJ70" i="7"/>
  <c r="AF78" i="7"/>
  <c r="AH60" i="7"/>
  <c r="AD60" i="7"/>
  <c r="AE60" i="7"/>
  <c r="AE78" i="7"/>
  <c r="AG78" i="7"/>
  <c r="AH78" i="7"/>
  <c r="AJ67" i="7"/>
  <c r="AD78" i="7"/>
  <c r="AJ49" i="7"/>
  <c r="AJ74" i="7"/>
  <c r="AJ52" i="7"/>
  <c r="AI60" i="7" l="1"/>
  <c r="AI78" i="7"/>
</calcChain>
</file>

<file path=xl/comments1.xml><?xml version="1.0" encoding="utf-8"?>
<comments xmlns="http://schemas.openxmlformats.org/spreadsheetml/2006/main">
  <authors>
    <author>Lindsay Waldram</author>
    <author>Melissa Cheesman</author>
    <author>Heather Garland</author>
    <author>WCNX</author>
    <author>Ben Thompson</author>
  </authors>
  <commentList>
    <comment ref="M32" authorId="0">
      <text>
        <r>
          <rPr>
            <b/>
            <sz val="9"/>
            <color indexed="81"/>
            <rFont val="Tahoma"/>
            <family val="2"/>
          </rPr>
          <t>Lindsay Waldram:</t>
        </r>
        <r>
          <rPr>
            <sz val="9"/>
            <color indexed="81"/>
            <rFont val="Tahoma"/>
            <family val="2"/>
          </rPr>
          <t xml:space="preserve">
Added $58k per amount on FAR related to parent asset.  Unable to find on American depreciation schedule</t>
        </r>
      </text>
    </comment>
    <comment ref="M52" authorId="1">
      <text>
        <r>
          <rPr>
            <b/>
            <sz val="9"/>
            <color indexed="81"/>
            <rFont val="Tahoma"/>
            <family val="2"/>
          </rPr>
          <t>Melissa Cheesman:</t>
        </r>
        <r>
          <rPr>
            <sz val="9"/>
            <color indexed="81"/>
            <rFont val="Tahoma"/>
            <family val="2"/>
          </rPr>
          <t xml:space="preserve">
Company 285,892.00
Invoices 284,650.28</t>
        </r>
      </text>
    </comment>
    <comment ref="M69"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D119" authorId="3">
      <text>
        <r>
          <rPr>
            <b/>
            <sz val="8"/>
            <color indexed="81"/>
            <rFont val="Tahoma"/>
            <family val="2"/>
          </rPr>
          <t>WCNX:</t>
        </r>
        <r>
          <rPr>
            <sz val="8"/>
            <color indexed="81"/>
            <rFont val="Tahoma"/>
            <family val="2"/>
          </rPr>
          <t xml:space="preserve">
Transferred from PCR 8/2014.</t>
        </r>
      </text>
    </comment>
    <comment ref="M149" authorId="1">
      <text>
        <r>
          <rPr>
            <b/>
            <sz val="9"/>
            <color indexed="81"/>
            <rFont val="Tahoma"/>
            <family val="2"/>
          </rPr>
          <t>Melissa Cheesman:</t>
        </r>
        <r>
          <rPr>
            <sz val="9"/>
            <color indexed="81"/>
            <rFont val="Tahoma"/>
            <family val="2"/>
          </rPr>
          <t xml:space="preserve">
Company 2,241.56 (= 560.39 * 4)
Invoice 1987.20 (= 496.80 * 4)</t>
        </r>
      </text>
    </comment>
    <comment ref="B180" authorId="4">
      <text>
        <r>
          <rPr>
            <b/>
            <sz val="9"/>
            <color indexed="81"/>
            <rFont val="Tahoma"/>
            <family val="2"/>
          </rPr>
          <t>Ben Thompson:</t>
        </r>
        <r>
          <rPr>
            <sz val="9"/>
            <color indexed="81"/>
            <rFont val="Tahoma"/>
            <family val="2"/>
          </rPr>
          <t xml:space="preserve">
# from 2131 FAR.</t>
        </r>
      </text>
    </comment>
    <comment ref="M187"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M240" authorId="0">
      <text>
        <r>
          <rPr>
            <b/>
            <sz val="9"/>
            <color indexed="81"/>
            <rFont val="Tahoma"/>
            <family val="2"/>
          </rPr>
          <t>Lindsay Waldram:</t>
        </r>
        <r>
          <rPr>
            <sz val="9"/>
            <color indexed="81"/>
            <rFont val="Tahoma"/>
            <family val="2"/>
          </rPr>
          <t xml:space="preserve">
Updated amount to match FAR</t>
        </r>
      </text>
    </comment>
    <comment ref="M280"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M295" authorId="1">
      <text>
        <r>
          <rPr>
            <b/>
            <sz val="9"/>
            <color indexed="81"/>
            <rFont val="Tahoma"/>
            <family val="2"/>
          </rPr>
          <t>Melissa Cheesman:</t>
        </r>
        <r>
          <rPr>
            <sz val="9"/>
            <color indexed="81"/>
            <rFont val="Tahoma"/>
            <family val="2"/>
          </rPr>
          <t xml:space="preserve">
Company 3,362.34 (=2801.95+560.39)
Invoice 2,980.8 (= 496.80 * 6)</t>
        </r>
      </text>
    </comment>
    <comment ref="B305" authorId="0">
      <text>
        <r>
          <rPr>
            <b/>
            <sz val="9"/>
            <color indexed="81"/>
            <rFont val="Tahoma"/>
            <family val="2"/>
          </rPr>
          <t>Lindsay Waldram:</t>
        </r>
        <r>
          <rPr>
            <sz val="9"/>
            <color indexed="81"/>
            <rFont val="Tahoma"/>
            <family val="2"/>
          </rPr>
          <t xml:space="preserve">
These were not on the American depreciation listing however it is the remaining cameras related to this FAR number</t>
        </r>
      </text>
    </comment>
    <comment ref="H306" authorId="1">
      <text>
        <r>
          <rPr>
            <b/>
            <sz val="9"/>
            <color indexed="81"/>
            <rFont val="Tahoma"/>
            <family val="2"/>
          </rPr>
          <t>Melissa Cheesman:</t>
        </r>
        <r>
          <rPr>
            <sz val="9"/>
            <color indexed="81"/>
            <rFont val="Tahoma"/>
            <family val="2"/>
          </rPr>
          <t xml:space="preserve">
change from 33% to 20% (USOA)
</t>
        </r>
      </text>
    </comment>
    <comment ref="M306" authorId="1">
      <text>
        <r>
          <rPr>
            <b/>
            <sz val="9"/>
            <color indexed="81"/>
            <rFont val="Tahoma"/>
            <family val="2"/>
          </rPr>
          <t>Melissa Cheesman:</t>
        </r>
        <r>
          <rPr>
            <sz val="9"/>
            <color indexed="81"/>
            <rFont val="Tahoma"/>
            <family val="2"/>
          </rPr>
          <t xml:space="preserve">
Company 313,064.91
Invoice 313,661.14</t>
        </r>
      </text>
    </comment>
    <comment ref="M314"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M321" authorId="1">
      <text>
        <r>
          <rPr>
            <b/>
            <sz val="9"/>
            <color indexed="81"/>
            <rFont val="Tahoma"/>
            <family val="2"/>
          </rPr>
          <t>Melissa Cheesman:</t>
        </r>
        <r>
          <rPr>
            <sz val="9"/>
            <color indexed="81"/>
            <rFont val="Tahoma"/>
            <family val="2"/>
          </rPr>
          <t xml:space="preserve">
Company 1,681.71 (= 560.39 * 3)
Invoice 1,490.40 (= 496.80 * 3)</t>
        </r>
      </text>
    </comment>
    <comment ref="H330" authorId="1">
      <text>
        <r>
          <rPr>
            <b/>
            <sz val="9"/>
            <color indexed="81"/>
            <rFont val="Tahoma"/>
            <family val="2"/>
          </rPr>
          <t>Melissa Cheesman:</t>
        </r>
        <r>
          <rPr>
            <sz val="9"/>
            <color indexed="81"/>
            <rFont val="Tahoma"/>
            <family val="2"/>
          </rPr>
          <t xml:space="preserve">
changed from 0 to 20%
</t>
        </r>
      </text>
    </comment>
    <comment ref="M338" authorId="2">
      <text>
        <r>
          <rPr>
            <b/>
            <sz val="9"/>
            <color indexed="81"/>
            <rFont val="Tahoma"/>
            <family val="2"/>
          </rPr>
          <t>Heather Garland:</t>
        </r>
        <r>
          <rPr>
            <sz val="9"/>
            <color indexed="81"/>
            <rFont val="Tahoma"/>
            <family val="2"/>
          </rPr>
          <t xml:space="preserve">
104 purchased.  All on 2111 FAR.  Some were placed on 2131's deprec. Schedule.</t>
        </r>
      </text>
    </comment>
    <comment ref="M347" authorId="2">
      <text>
        <r>
          <rPr>
            <b/>
            <sz val="9"/>
            <color indexed="81"/>
            <rFont val="Tahoma"/>
            <family val="2"/>
          </rPr>
          <t>Heather Garland:</t>
        </r>
        <r>
          <rPr>
            <sz val="9"/>
            <color indexed="81"/>
            <rFont val="Tahoma"/>
            <family val="2"/>
          </rPr>
          <t xml:space="preserve">
104 purchased.  All on 2111 FAR.  Some were placed on 2131's deprec. Schedule.</t>
        </r>
      </text>
    </comment>
  </commentList>
</comments>
</file>

<file path=xl/comments2.xml><?xml version="1.0" encoding="utf-8"?>
<comments xmlns="http://schemas.openxmlformats.org/spreadsheetml/2006/main">
  <authors>
    <author>Lindsay Waldram</author>
    <author>Melissa Cheesman</author>
    <author>WCNX</author>
    <author>Heather Garland</author>
  </authors>
  <commentList>
    <comment ref="M20" authorId="0">
      <text>
        <r>
          <rPr>
            <b/>
            <sz val="9"/>
            <color indexed="81"/>
            <rFont val="Tahoma"/>
            <family val="2"/>
          </rPr>
          <t>Lindsay Waldram:</t>
        </r>
        <r>
          <rPr>
            <sz val="9"/>
            <color indexed="81"/>
            <rFont val="Tahoma"/>
            <family val="2"/>
          </rPr>
          <t xml:space="preserve">
Updated cost per FAR (was $5,222)</t>
        </r>
      </text>
    </comment>
    <comment ref="M101" authorId="1">
      <text>
        <r>
          <rPr>
            <b/>
            <sz val="9"/>
            <color indexed="81"/>
            <rFont val="Tahoma"/>
            <family val="2"/>
          </rPr>
          <t>Melissa Cheesman:</t>
        </r>
        <r>
          <rPr>
            <sz val="9"/>
            <color indexed="81"/>
            <rFont val="Tahoma"/>
            <family val="2"/>
          </rPr>
          <t xml:space="preserve">
Company 14,689.92 (=163.96+7181+3147.84+4197.12)
Invoices 8,394.24 (=4197.12+4197.12)</t>
        </r>
      </text>
    </comment>
    <comment ref="M118" authorId="1">
      <text>
        <r>
          <rPr>
            <b/>
            <sz val="9"/>
            <color indexed="81"/>
            <rFont val="Tahoma"/>
            <family val="2"/>
          </rPr>
          <t>Melissa Cheesman:</t>
        </r>
        <r>
          <rPr>
            <sz val="9"/>
            <color indexed="81"/>
            <rFont val="Tahoma"/>
            <family val="2"/>
          </rPr>
          <t xml:space="preserve">
Company 7,334.39 (=5836.62+486+39+972.77)
Invoices 7,295.78 (==5836.62+486.39+972.77</t>
        </r>
      </text>
    </comment>
    <comment ref="C236" authorId="0">
      <text>
        <r>
          <rPr>
            <b/>
            <sz val="9"/>
            <color indexed="81"/>
            <rFont val="Tahoma"/>
            <family val="2"/>
          </rPr>
          <t>Lindsay Waldram:</t>
        </r>
        <r>
          <rPr>
            <sz val="9"/>
            <color indexed="81"/>
            <rFont val="Tahoma"/>
            <family val="2"/>
          </rPr>
          <t xml:space="preserve">
Shows up as Taxes on the FAR.  Date and amount match</t>
        </r>
      </text>
    </comment>
    <comment ref="M385" authorId="1">
      <text>
        <r>
          <rPr>
            <b/>
            <sz val="9"/>
            <color indexed="81"/>
            <rFont val="Tahoma"/>
            <family val="2"/>
          </rPr>
          <t>Melissa Cheesman:</t>
        </r>
        <r>
          <rPr>
            <sz val="9"/>
            <color indexed="81"/>
            <rFont val="Tahoma"/>
            <family val="2"/>
          </rPr>
          <t xml:space="preserve">
Company 41,871.60 (=12077.65+12077+65+5574.3+12077.65)
Invoices 41,807.25 (=12077.65+12077.65+5574.3+12077.65)</t>
        </r>
      </text>
    </comment>
    <comment ref="D394" authorId="2">
      <text>
        <r>
          <rPr>
            <b/>
            <sz val="8"/>
            <color indexed="81"/>
            <rFont val="Tahoma"/>
            <family val="2"/>
          </rPr>
          <t>WCNX:</t>
        </r>
        <r>
          <rPr>
            <sz val="8"/>
            <color indexed="81"/>
            <rFont val="Tahoma"/>
            <family val="2"/>
          </rPr>
          <t xml:space="preserve">
Retired 351 carts on 3/6/2013.</t>
        </r>
      </text>
    </comment>
    <comment ref="M397" authorId="0">
      <text>
        <r>
          <rPr>
            <b/>
            <sz val="9"/>
            <color indexed="81"/>
            <rFont val="Tahoma"/>
            <family val="2"/>
          </rPr>
          <t>Lindsay Waldram:</t>
        </r>
        <r>
          <rPr>
            <sz val="9"/>
            <color indexed="81"/>
            <rFont val="Tahoma"/>
            <family val="2"/>
          </rPr>
          <t xml:space="preserve">
Updated from 10,782 to $10,909 per FAR</t>
        </r>
      </text>
    </comment>
    <comment ref="M398" authorId="0">
      <text>
        <r>
          <rPr>
            <b/>
            <sz val="9"/>
            <color indexed="81"/>
            <rFont val="Tahoma"/>
            <family val="2"/>
          </rPr>
          <t>Lindsay Waldram:</t>
        </r>
        <r>
          <rPr>
            <sz val="9"/>
            <color indexed="81"/>
            <rFont val="Tahoma"/>
            <family val="2"/>
          </rPr>
          <t xml:space="preserve">
Updated to match FAR of $14,222.  Was $14,484</t>
        </r>
      </text>
    </comment>
    <comment ref="D408" authorId="0">
      <text>
        <r>
          <rPr>
            <b/>
            <sz val="9"/>
            <color indexed="81"/>
            <rFont val="Tahoma"/>
            <family val="2"/>
          </rPr>
          <t>Lindsay Waldram:</t>
        </r>
        <r>
          <rPr>
            <sz val="9"/>
            <color indexed="81"/>
            <rFont val="Tahoma"/>
            <family val="2"/>
          </rPr>
          <t xml:space="preserve">
Should be YW per FAR??</t>
        </r>
      </text>
    </comment>
    <comment ref="E436" authorId="3">
      <text>
        <r>
          <rPr>
            <b/>
            <sz val="9"/>
            <color indexed="81"/>
            <rFont val="Tahoma"/>
            <family val="2"/>
          </rPr>
          <t>Heather Garland:</t>
        </r>
        <r>
          <rPr>
            <sz val="9"/>
            <color indexed="81"/>
            <rFont val="Tahoma"/>
            <family val="2"/>
          </rPr>
          <t xml:space="preserve">
Carts are interchangeable between Murrey's and DM.  Going forward, all carts purchased will be combined and allocated out out on the appropriate allocator.</t>
        </r>
      </text>
    </comment>
    <comment ref="E466" authorId="3">
      <text>
        <r>
          <rPr>
            <b/>
            <sz val="9"/>
            <color indexed="81"/>
            <rFont val="Tahoma"/>
            <family val="2"/>
          </rPr>
          <t>Heather Garland:</t>
        </r>
        <r>
          <rPr>
            <sz val="9"/>
            <color indexed="81"/>
            <rFont val="Tahoma"/>
            <family val="2"/>
          </rPr>
          <t xml:space="preserve">
Carts are interchangeable between Murrey's and DM.  Going forward, all carts purchased will be combined and allocated out out on the appropriate allocator.</t>
        </r>
      </text>
    </comment>
  </commentList>
</comments>
</file>

<file path=xl/comments3.xml><?xml version="1.0" encoding="utf-8"?>
<comments xmlns="http://schemas.openxmlformats.org/spreadsheetml/2006/main">
  <authors>
    <author>Melissa Cheesman</author>
  </authors>
  <commentList>
    <comment ref="J56" authorId="0">
      <text>
        <r>
          <rPr>
            <b/>
            <sz val="9"/>
            <color indexed="81"/>
            <rFont val="Tahoma"/>
            <family val="2"/>
          </rPr>
          <t>Melissa Cheesman:</t>
        </r>
        <r>
          <rPr>
            <sz val="9"/>
            <color indexed="81"/>
            <rFont val="Tahoma"/>
            <family val="2"/>
          </rPr>
          <t xml:space="preserve">
changed from 5 to 7, per settlement agreement</t>
        </r>
      </text>
    </comment>
    <comment ref="J58" authorId="0">
      <text>
        <r>
          <rPr>
            <b/>
            <sz val="9"/>
            <color indexed="81"/>
            <rFont val="Tahoma"/>
            <family val="2"/>
          </rPr>
          <t>Melissa Cheesman:</t>
        </r>
        <r>
          <rPr>
            <sz val="9"/>
            <color indexed="81"/>
            <rFont val="Tahoma"/>
            <family val="2"/>
          </rPr>
          <t xml:space="preserve">
changed from 5 to 7, per settlement agreement</t>
        </r>
      </text>
    </comment>
    <comment ref="J59" authorId="0">
      <text>
        <r>
          <rPr>
            <b/>
            <sz val="9"/>
            <color indexed="81"/>
            <rFont val="Tahoma"/>
            <family val="2"/>
          </rPr>
          <t>Melissa Cheesman:</t>
        </r>
        <r>
          <rPr>
            <sz val="9"/>
            <color indexed="81"/>
            <rFont val="Tahoma"/>
            <family val="2"/>
          </rPr>
          <t xml:space="preserve">
changed from 5 to 7, per settlement agreement</t>
        </r>
      </text>
    </comment>
  </commentList>
</comments>
</file>

<file path=xl/comments4.xml><?xml version="1.0" encoding="utf-8"?>
<comments xmlns="http://schemas.openxmlformats.org/spreadsheetml/2006/main">
  <authors>
    <author>Melissa Cheesman</author>
    <author>WCNX</author>
    <author>Lindsay Waldram</author>
  </authors>
  <commentList>
    <comment ref="G13" authorId="0">
      <text>
        <r>
          <rPr>
            <b/>
            <sz val="9"/>
            <color indexed="81"/>
            <rFont val="Tahoma"/>
            <family val="2"/>
          </rPr>
          <t>Melissa Cheesman:</t>
        </r>
        <r>
          <rPr>
            <sz val="9"/>
            <color indexed="81"/>
            <rFont val="Tahoma"/>
            <family val="2"/>
          </rPr>
          <t xml:space="preserve">
company changed from Nov to Jan 2012 based on improvement completion date. Org date was set to payment due date</t>
        </r>
      </text>
    </comment>
    <comment ref="J13" authorId="0">
      <text>
        <r>
          <rPr>
            <b/>
            <sz val="9"/>
            <color indexed="81"/>
            <rFont val="Tahoma"/>
            <family val="2"/>
          </rPr>
          <t>Melissa Cheesman:</t>
        </r>
        <r>
          <rPr>
            <sz val="7"/>
            <color indexed="81"/>
            <rFont val="Tahoma"/>
            <family val="2"/>
          </rPr>
          <t xml:space="preserve">
Company agreed to 30</t>
        </r>
      </text>
    </comment>
    <comment ref="M13" authorId="1">
      <text>
        <r>
          <rPr>
            <b/>
            <sz val="8"/>
            <color indexed="81"/>
            <rFont val="Tahoma"/>
            <family val="2"/>
          </rPr>
          <t>WCNX:</t>
        </r>
        <r>
          <rPr>
            <sz val="8"/>
            <color indexed="81"/>
            <rFont val="Tahoma"/>
            <family val="2"/>
          </rPr>
          <t xml:space="preserve">
Added back the amounts related to the new building that were subtracted out in the last rate filing because the building was not finished at that time.</t>
        </r>
      </text>
    </comment>
    <comment ref="J27" authorId="0">
      <text>
        <r>
          <rPr>
            <b/>
            <sz val="9"/>
            <color indexed="81"/>
            <rFont val="Tahoma"/>
            <family val="2"/>
          </rPr>
          <t>Melissa Cheesman:</t>
        </r>
        <r>
          <rPr>
            <sz val="9"/>
            <color indexed="81"/>
            <rFont val="Tahoma"/>
            <family val="2"/>
          </rPr>
          <t xml:space="preserve">
change from 10 to 20
</t>
        </r>
      </text>
    </comment>
    <comment ref="M27" authorId="0">
      <text>
        <r>
          <rPr>
            <b/>
            <sz val="9"/>
            <color indexed="81"/>
            <rFont val="Tahoma"/>
            <family val="2"/>
          </rPr>
          <t>Melissa Cheesman:</t>
        </r>
        <r>
          <rPr>
            <sz val="9"/>
            <color indexed="81"/>
            <rFont val="Tahoma"/>
            <family val="2"/>
          </rPr>
          <t xml:space="preserve">
Company 157686.68
Staff = 157686.68 - DM Share of asset and adj based on invoice cost
Invoices submitted totaled 612,482.89</t>
        </r>
      </text>
    </comment>
    <comment ref="M29" authorId="1">
      <text>
        <r>
          <rPr>
            <b/>
            <sz val="8"/>
            <color indexed="81"/>
            <rFont val="Tahoma"/>
            <family val="2"/>
          </rPr>
          <t>WCNX:</t>
        </r>
        <r>
          <rPr>
            <sz val="8"/>
            <color indexed="81"/>
            <rFont val="Tahoma"/>
            <family val="2"/>
          </rPr>
          <t xml:space="preserve">
Transferred from TRCI. In service at TRCI 9/12/2011. Assumed original 84 months, was at TRCI for 25 months, 59 months remaining of the NBV.</t>
        </r>
      </text>
    </comment>
    <comment ref="M30" authorId="1">
      <text>
        <r>
          <rPr>
            <b/>
            <sz val="8"/>
            <color indexed="81"/>
            <rFont val="Tahoma"/>
            <family val="2"/>
          </rPr>
          <t>WCNX:</t>
        </r>
        <r>
          <rPr>
            <sz val="8"/>
            <color indexed="81"/>
            <rFont val="Tahoma"/>
            <family val="2"/>
          </rPr>
          <t xml:space="preserve">
</t>
        </r>
        <r>
          <rPr>
            <b/>
            <sz val="8"/>
            <color indexed="81"/>
            <rFont val="Tahoma"/>
            <family val="2"/>
          </rPr>
          <t>T</t>
        </r>
        <r>
          <rPr>
            <sz val="8"/>
            <color indexed="81"/>
            <rFont val="Tahoma"/>
            <family val="2"/>
          </rPr>
          <t>ransferred from TRCI. In service at TRCI on 6/26/2007. Assumed original 84 months, was at TRCI for 75 months, 9 months remaining of the NBV.</t>
        </r>
      </text>
    </comment>
    <comment ref="M46" authorId="2">
      <text>
        <r>
          <rPr>
            <b/>
            <sz val="9"/>
            <color indexed="81"/>
            <rFont val="Tahoma"/>
            <family val="2"/>
          </rPr>
          <t>Lindsay Waldram:</t>
        </r>
        <r>
          <rPr>
            <sz val="9"/>
            <color indexed="81"/>
            <rFont val="Tahoma"/>
            <family val="2"/>
          </rPr>
          <t xml:space="preserve">
Updated to full amount on the FAR.  Originally reduced to remove portion used in unreg areas.  This will be assessed with allocators</t>
        </r>
      </text>
    </comment>
  </commentList>
</comments>
</file>

<file path=xl/comments5.xml><?xml version="1.0" encoding="utf-8"?>
<comments xmlns="http://schemas.openxmlformats.org/spreadsheetml/2006/main">
  <authors>
    <author>Melissa Cheesman</author>
    <author>Heather Garland</author>
    <author>WCNX</author>
    <author>Ben Thompson</author>
  </authors>
  <commentList>
    <comment ref="N36" authorId="0">
      <text>
        <r>
          <rPr>
            <b/>
            <sz val="9"/>
            <color indexed="81"/>
            <rFont val="Tahoma"/>
            <family val="2"/>
          </rPr>
          <t>Melissa Cheesman:</t>
        </r>
        <r>
          <rPr>
            <sz val="9"/>
            <color indexed="81"/>
            <rFont val="Tahoma"/>
            <family val="2"/>
          </rPr>
          <t xml:space="preserve">
Company 285,892.00
Invoices 284,650.28</t>
        </r>
      </text>
    </comment>
    <comment ref="N42"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C52" authorId="2">
      <text>
        <r>
          <rPr>
            <b/>
            <sz val="8"/>
            <color indexed="81"/>
            <rFont val="Tahoma"/>
            <family val="2"/>
          </rPr>
          <t>WCNX:</t>
        </r>
        <r>
          <rPr>
            <sz val="8"/>
            <color indexed="81"/>
            <rFont val="Tahoma"/>
            <family val="2"/>
          </rPr>
          <t xml:space="preserve">
Transferred from PCR 8/2014.</t>
        </r>
      </text>
    </comment>
    <comment ref="N70" authorId="0">
      <text>
        <r>
          <rPr>
            <b/>
            <sz val="9"/>
            <color indexed="81"/>
            <rFont val="Tahoma"/>
            <family val="2"/>
          </rPr>
          <t>Melissa Cheesman:</t>
        </r>
        <r>
          <rPr>
            <sz val="9"/>
            <color indexed="81"/>
            <rFont val="Tahoma"/>
            <family val="2"/>
          </rPr>
          <t xml:space="preserve">
Company 2,241.56 (= 560.39 * 4)
Invoice 1987.20 (= 496.80 * 4)</t>
        </r>
      </text>
    </comment>
    <comment ref="N79" authorId="0">
      <text>
        <r>
          <rPr>
            <b/>
            <sz val="9"/>
            <color indexed="81"/>
            <rFont val="Tahoma"/>
            <family val="2"/>
          </rPr>
          <t>Melissa Cheesman:</t>
        </r>
        <r>
          <rPr>
            <sz val="9"/>
            <color indexed="81"/>
            <rFont val="Tahoma"/>
            <family val="2"/>
          </rPr>
          <t xml:space="preserve">
at site visit company said asset broke down and maybe scrapped
6/20/2013 - company says this trailer is still in use.</t>
        </r>
      </text>
    </comment>
    <comment ref="A85" authorId="2">
      <text>
        <r>
          <rPr>
            <b/>
            <sz val="8"/>
            <color indexed="81"/>
            <rFont val="Tahoma"/>
            <family val="2"/>
          </rPr>
          <t>WCNX:</t>
        </r>
        <r>
          <rPr>
            <sz val="8"/>
            <color indexed="81"/>
            <rFont val="Tahoma"/>
            <family val="2"/>
          </rPr>
          <t xml:space="preserve">
This was incorrectly put on 2131 FAR. This is the 2131 FAR #.</t>
        </r>
      </text>
    </comment>
    <comment ref="A89" authorId="3">
      <text>
        <r>
          <rPr>
            <b/>
            <sz val="9"/>
            <color indexed="81"/>
            <rFont val="Tahoma"/>
            <family val="2"/>
          </rPr>
          <t>Ben Thompson:</t>
        </r>
        <r>
          <rPr>
            <sz val="9"/>
            <color indexed="81"/>
            <rFont val="Tahoma"/>
            <family val="2"/>
          </rPr>
          <t xml:space="preserve">
# from 2131 FAR.</t>
        </r>
      </text>
    </comment>
    <comment ref="N115"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N134"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N143" authorId="0">
      <text>
        <r>
          <rPr>
            <b/>
            <sz val="9"/>
            <color indexed="81"/>
            <rFont val="Tahoma"/>
            <family val="2"/>
          </rPr>
          <t>Melissa Cheesman:</t>
        </r>
        <r>
          <rPr>
            <sz val="9"/>
            <color indexed="81"/>
            <rFont val="Tahoma"/>
            <family val="2"/>
          </rPr>
          <t xml:space="preserve">
Company 202,296.90
Invoices 202,260.86</t>
        </r>
      </text>
    </comment>
    <comment ref="N145" authorId="0">
      <text>
        <r>
          <rPr>
            <b/>
            <sz val="9"/>
            <color indexed="81"/>
            <rFont val="Tahoma"/>
            <family val="2"/>
          </rPr>
          <t>Melissa Cheesman:</t>
        </r>
        <r>
          <rPr>
            <sz val="9"/>
            <color indexed="81"/>
            <rFont val="Tahoma"/>
            <family val="2"/>
          </rPr>
          <t xml:space="preserve">
Company 3,362.34 (=2801.95+560.39)
Invoice 2,980.8 (= 496.80 * 6)</t>
        </r>
      </text>
    </comment>
    <comment ref="G148" authorId="0">
      <text>
        <r>
          <rPr>
            <b/>
            <sz val="9"/>
            <color indexed="81"/>
            <rFont val="Tahoma"/>
            <family val="2"/>
          </rPr>
          <t>Melissa Cheesman:</t>
        </r>
        <r>
          <rPr>
            <sz val="9"/>
            <color indexed="81"/>
            <rFont val="Tahoma"/>
            <family val="2"/>
          </rPr>
          <t xml:space="preserve">
change from 33% to 20% (USOA)
</t>
        </r>
      </text>
    </comment>
    <comment ref="N148" authorId="0">
      <text>
        <r>
          <rPr>
            <b/>
            <sz val="9"/>
            <color indexed="81"/>
            <rFont val="Tahoma"/>
            <family val="2"/>
          </rPr>
          <t>Melissa Cheesman:</t>
        </r>
        <r>
          <rPr>
            <sz val="9"/>
            <color indexed="81"/>
            <rFont val="Tahoma"/>
            <family val="2"/>
          </rPr>
          <t xml:space="preserve">
Company 313,064.91
Invoice 313,661.14</t>
        </r>
      </text>
    </comment>
    <comment ref="N152"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N158" authorId="0">
      <text>
        <r>
          <rPr>
            <b/>
            <sz val="9"/>
            <color indexed="81"/>
            <rFont val="Tahoma"/>
            <family val="2"/>
          </rPr>
          <t>Melissa Cheesman:</t>
        </r>
        <r>
          <rPr>
            <sz val="9"/>
            <color indexed="81"/>
            <rFont val="Tahoma"/>
            <family val="2"/>
          </rPr>
          <t xml:space="preserve">
Company 1,681.71 (= 560.39 * 3)
Invoice 1,490.40 (= 496.80 * 3)</t>
        </r>
      </text>
    </comment>
    <comment ref="G161" authorId="0">
      <text>
        <r>
          <rPr>
            <b/>
            <sz val="9"/>
            <color indexed="81"/>
            <rFont val="Tahoma"/>
            <family val="2"/>
          </rPr>
          <t>Melissa Cheesman:</t>
        </r>
        <r>
          <rPr>
            <sz val="9"/>
            <color indexed="81"/>
            <rFont val="Tahoma"/>
            <family val="2"/>
          </rPr>
          <t xml:space="preserve">
changed from 0 to 20%
</t>
        </r>
      </text>
    </comment>
    <comment ref="N163" authorId="1">
      <text>
        <r>
          <rPr>
            <b/>
            <sz val="9"/>
            <color indexed="81"/>
            <rFont val="Tahoma"/>
            <family val="2"/>
          </rPr>
          <t>Heather Garland:</t>
        </r>
        <r>
          <rPr>
            <sz val="9"/>
            <color indexed="81"/>
            <rFont val="Tahoma"/>
            <family val="2"/>
          </rPr>
          <t xml:space="preserve">
104 purchased.  All on 2111 FAR.  Some were placed on 2131's deprec. Schedule.</t>
        </r>
      </text>
    </comment>
    <comment ref="N172" authorId="1">
      <text>
        <r>
          <rPr>
            <b/>
            <sz val="9"/>
            <color indexed="81"/>
            <rFont val="Tahoma"/>
            <family val="2"/>
          </rPr>
          <t>Heather Garland:</t>
        </r>
        <r>
          <rPr>
            <sz val="9"/>
            <color indexed="81"/>
            <rFont val="Tahoma"/>
            <family val="2"/>
          </rPr>
          <t xml:space="preserve">
104 purchased.  All on 2111 FAR.  Some were placed on 2131's deprec. Schedule.</t>
        </r>
      </text>
    </comment>
  </commentList>
</comments>
</file>

<file path=xl/comments6.xml><?xml version="1.0" encoding="utf-8"?>
<comments xmlns="http://schemas.openxmlformats.org/spreadsheetml/2006/main">
  <authors>
    <author>Melissa Cheesman</author>
    <author>WCNX</author>
  </authors>
  <commentList>
    <comment ref="E13" authorId="0">
      <text>
        <r>
          <rPr>
            <b/>
            <sz val="9"/>
            <color indexed="81"/>
            <rFont val="Tahoma"/>
            <family val="2"/>
          </rPr>
          <t>Melissa Cheesman:</t>
        </r>
        <r>
          <rPr>
            <sz val="9"/>
            <color indexed="81"/>
            <rFont val="Tahoma"/>
            <family val="2"/>
          </rPr>
          <t xml:space="preserve">
company changed from Nov to Jan 2012 based on improvement completion date. Org date was set to payment due date</t>
        </r>
      </text>
    </comment>
    <comment ref="I13" authorId="0">
      <text>
        <r>
          <rPr>
            <b/>
            <sz val="9"/>
            <color indexed="81"/>
            <rFont val="Tahoma"/>
            <family val="2"/>
          </rPr>
          <t>Melissa Cheesman:</t>
        </r>
        <r>
          <rPr>
            <sz val="7"/>
            <color indexed="81"/>
            <rFont val="Tahoma"/>
            <family val="2"/>
          </rPr>
          <t xml:space="preserve">
Company agreed to 30</t>
        </r>
      </text>
    </comment>
    <comment ref="M13" authorId="1">
      <text>
        <r>
          <rPr>
            <b/>
            <sz val="8"/>
            <color indexed="81"/>
            <rFont val="Tahoma"/>
            <family val="2"/>
          </rPr>
          <t>WCNX:</t>
        </r>
        <r>
          <rPr>
            <sz val="8"/>
            <color indexed="81"/>
            <rFont val="Tahoma"/>
            <family val="2"/>
          </rPr>
          <t xml:space="preserve">
Added back the amounts related to the new building that were subtracted out in the last rate filing because the building was not finished at that time.</t>
        </r>
      </text>
    </comment>
    <comment ref="I29" authorId="0">
      <text>
        <r>
          <rPr>
            <b/>
            <sz val="9"/>
            <color indexed="81"/>
            <rFont val="Tahoma"/>
            <family val="2"/>
          </rPr>
          <t>Melissa Cheesman:</t>
        </r>
        <r>
          <rPr>
            <sz val="9"/>
            <color indexed="81"/>
            <rFont val="Tahoma"/>
            <family val="2"/>
          </rPr>
          <t xml:space="preserve">
change from 10 to 20
</t>
        </r>
      </text>
    </comment>
    <comment ref="M29" authorId="0">
      <text>
        <r>
          <rPr>
            <b/>
            <sz val="9"/>
            <color indexed="81"/>
            <rFont val="Tahoma"/>
            <family val="2"/>
          </rPr>
          <t>Melissa Cheesman:</t>
        </r>
        <r>
          <rPr>
            <sz val="9"/>
            <color indexed="81"/>
            <rFont val="Tahoma"/>
            <family val="2"/>
          </rPr>
          <t xml:space="preserve">
Company 157686.68
Staff = 157686.68 - DM Share of asset and adj based on invoice cost
Invoices submitted totaled 612,482.89</t>
        </r>
      </text>
    </comment>
    <comment ref="M31" authorId="1">
      <text>
        <r>
          <rPr>
            <b/>
            <sz val="8"/>
            <color indexed="81"/>
            <rFont val="Tahoma"/>
            <family val="2"/>
          </rPr>
          <t>WCNX:</t>
        </r>
        <r>
          <rPr>
            <sz val="8"/>
            <color indexed="81"/>
            <rFont val="Tahoma"/>
            <family val="2"/>
          </rPr>
          <t xml:space="preserve">
Transferred from TRCI. In service at TRCI 9/12/2011. Assumed original 84 months, was at TRCI for 25 months, 59 months remaining of the NBV.</t>
        </r>
      </text>
    </comment>
    <comment ref="M32" authorId="1">
      <text>
        <r>
          <rPr>
            <b/>
            <sz val="8"/>
            <color indexed="81"/>
            <rFont val="Tahoma"/>
            <family val="2"/>
          </rPr>
          <t>WCNX:</t>
        </r>
        <r>
          <rPr>
            <sz val="8"/>
            <color indexed="81"/>
            <rFont val="Tahoma"/>
            <family val="2"/>
          </rPr>
          <t xml:space="preserve">
</t>
        </r>
        <r>
          <rPr>
            <b/>
            <sz val="8"/>
            <color indexed="81"/>
            <rFont val="Tahoma"/>
            <family val="2"/>
          </rPr>
          <t>T</t>
        </r>
        <r>
          <rPr>
            <sz val="8"/>
            <color indexed="81"/>
            <rFont val="Tahoma"/>
            <family val="2"/>
          </rPr>
          <t>ransferred from TRCI. In service at TRCI on 6/26/2007. Assumed original 84 months, was at TRCI for 75 months, 9 months remaining of the NBV.</t>
        </r>
      </text>
    </comment>
  </commentList>
</comments>
</file>

<file path=xl/comments7.xml><?xml version="1.0" encoding="utf-8"?>
<comments xmlns="http://schemas.openxmlformats.org/spreadsheetml/2006/main">
  <authors>
    <author>Melissa Cheesman</author>
  </authors>
  <commentList>
    <comment ref="G58" authorId="0">
      <text>
        <r>
          <rPr>
            <b/>
            <sz val="9"/>
            <color indexed="81"/>
            <rFont val="Tahoma"/>
            <family val="2"/>
          </rPr>
          <t>Melissa Cheesman:</t>
        </r>
        <r>
          <rPr>
            <sz val="9"/>
            <color indexed="81"/>
            <rFont val="Tahoma"/>
            <family val="2"/>
          </rPr>
          <t xml:space="preserve">
changed from 0 to 20% consistent with truck #139</t>
        </r>
      </text>
    </comment>
  </commentList>
</comments>
</file>

<file path=xl/comments8.xml><?xml version="1.0" encoding="utf-8"?>
<comments xmlns="http://schemas.openxmlformats.org/spreadsheetml/2006/main">
  <authors>
    <author>Melissa Cheesman</author>
  </authors>
  <commentList>
    <comment ref="N14" authorId="0">
      <text>
        <r>
          <rPr>
            <b/>
            <sz val="9"/>
            <color indexed="81"/>
            <rFont val="Tahoma"/>
            <family val="2"/>
          </rPr>
          <t>Melissa Cheesman:</t>
        </r>
        <r>
          <rPr>
            <sz val="9"/>
            <color indexed="81"/>
            <rFont val="Tahoma"/>
            <family val="2"/>
          </rPr>
          <t xml:space="preserve">
Partial removal of Danylle truck, based on contact log, for time spent on non-regulated activities</t>
        </r>
      </text>
    </comment>
  </commentList>
</comments>
</file>

<file path=xl/sharedStrings.xml><?xml version="1.0" encoding="utf-8"?>
<sst xmlns="http://schemas.openxmlformats.org/spreadsheetml/2006/main" count="4997" uniqueCount="1058">
  <si>
    <t>Depreciation Schedule</t>
  </si>
  <si>
    <t>Months in first year</t>
  </si>
  <si>
    <t>CONVENTIONS</t>
  </si>
  <si>
    <t>Months in second year</t>
  </si>
  <si>
    <t>A.</t>
  </si>
  <si>
    <t>Purchase date</t>
  </si>
  <si>
    <t>First year</t>
  </si>
  <si>
    <t>B.</t>
  </si>
  <si>
    <t>End of Test Period</t>
  </si>
  <si>
    <t xml:space="preserve">Calendar year test period: </t>
  </si>
  <si>
    <t>mos in first year</t>
  </si>
  <si>
    <t>Second year</t>
  </si>
  <si>
    <t>C</t>
  </si>
  <si>
    <t>Date fully Depr</t>
  </si>
  <si>
    <t>mos in 2nd year</t>
  </si>
  <si>
    <t>D.</t>
  </si>
  <si>
    <t>Beg of Test Period</t>
  </si>
  <si>
    <t>Total</t>
  </si>
  <si>
    <t>Beginning</t>
  </si>
  <si>
    <t>Allocated</t>
  </si>
  <si>
    <t>E.</t>
  </si>
  <si>
    <t>Disposition Date</t>
  </si>
  <si>
    <t>Second Year</t>
  </si>
  <si>
    <t>Salvage</t>
  </si>
  <si>
    <t>Year</t>
  </si>
  <si>
    <t>Disposal</t>
  </si>
  <si>
    <t>Accumulated</t>
  </si>
  <si>
    <t>Branch</t>
  </si>
  <si>
    <t>Accum.</t>
  </si>
  <si>
    <t>Value</t>
  </si>
  <si>
    <t>Method</t>
  </si>
  <si>
    <t>Asset</t>
  </si>
  <si>
    <t>Test year</t>
  </si>
  <si>
    <t>Test yr.</t>
  </si>
  <si>
    <t>%</t>
  </si>
  <si>
    <t>Depreciation</t>
  </si>
  <si>
    <t>Allo.</t>
  </si>
  <si>
    <t>Depr.</t>
  </si>
  <si>
    <t>Average</t>
  </si>
  <si>
    <t>Mo</t>
  </si>
  <si>
    <t>M</t>
  </si>
  <si>
    <t xml:space="preserve"> Mo.</t>
  </si>
  <si>
    <t>Cost</t>
  </si>
  <si>
    <t>Depn</t>
  </si>
  <si>
    <t>Depn.</t>
  </si>
  <si>
    <t>Investment</t>
  </si>
  <si>
    <t>B</t>
  </si>
  <si>
    <t>C.</t>
  </si>
  <si>
    <t>Dispositions must be in test period</t>
  </si>
  <si>
    <t>-</t>
  </si>
  <si>
    <t>Total Trucks</t>
  </si>
  <si>
    <t>Total Roll-off Trucks</t>
  </si>
  <si>
    <t>S/L</t>
  </si>
  <si>
    <t>Codes</t>
  </si>
  <si>
    <t>RL</t>
  </si>
  <si>
    <t>FL</t>
  </si>
  <si>
    <t>RO</t>
  </si>
  <si>
    <t xml:space="preserve"> </t>
  </si>
  <si>
    <t>GARBAGE</t>
  </si>
  <si>
    <t>Date in</t>
  </si>
  <si>
    <t>Truck</t>
  </si>
  <si>
    <t xml:space="preserve">Service </t>
  </si>
  <si>
    <t>No</t>
  </si>
  <si>
    <t>Asset Classification</t>
  </si>
  <si>
    <t xml:space="preserve">Life </t>
  </si>
  <si>
    <t xml:space="preserve">Fully </t>
  </si>
  <si>
    <t>Years</t>
  </si>
  <si>
    <t>Depr</t>
  </si>
  <si>
    <t>Test</t>
  </si>
  <si>
    <t xml:space="preserve">Monthly </t>
  </si>
  <si>
    <t>4 RADIOS (N)</t>
  </si>
  <si>
    <t>DL</t>
  </si>
  <si>
    <t>MW</t>
  </si>
  <si>
    <t xml:space="preserve">TRANSMISSION TRk </t>
  </si>
  <si>
    <t xml:space="preserve">2003 INT'L W/PCkER (N) </t>
  </si>
  <si>
    <t>Transmission Repair</t>
  </si>
  <si>
    <t>Trl</t>
  </si>
  <si>
    <t>TF</t>
  </si>
  <si>
    <t>FLEX MASTER LIFT AXLE  (N)</t>
  </si>
  <si>
    <t>1996 PETERBILT TRACTOR (U)</t>
  </si>
  <si>
    <t>3-TRI AXLE CHASSIS (N)</t>
  </si>
  <si>
    <t>2003 Helm 4 Axle Trl Chasis (U)</t>
  </si>
  <si>
    <t>Roll-off Trucks:</t>
  </si>
  <si>
    <t>1998 PBILT (0799)(RF294) (N)</t>
  </si>
  <si>
    <t>2005 Peterbilt M-330 Roll Off</t>
  </si>
  <si>
    <t>2004 Cascon Powerlift RO Hoist System</t>
  </si>
  <si>
    <t>2005 Cascon Powerlift RO Hoist System</t>
  </si>
  <si>
    <t>MULTI-FAMILY</t>
  </si>
  <si>
    <t>MF</t>
  </si>
  <si>
    <t>RADIOS (N)</t>
  </si>
  <si>
    <t>TOTAL MF</t>
  </si>
  <si>
    <t>CURBSIDE RECYCLING</t>
  </si>
  <si>
    <t>CS</t>
  </si>
  <si>
    <t>4 RADIOS &amp; BASE STATION (N)</t>
  </si>
  <si>
    <t>C1</t>
  </si>
  <si>
    <t>2005 AUTOCAR SIDELOAD (N)</t>
  </si>
  <si>
    <t>2005 AUTOCAR SIDELOAD (N) w/Greas Sys</t>
  </si>
  <si>
    <t>TOTAL CURBSIDE RECYCLING</t>
  </si>
  <si>
    <t>YARD WASTE</t>
  </si>
  <si>
    <t>YW</t>
  </si>
  <si>
    <t>Total Yard Waste</t>
  </si>
  <si>
    <t>Murrey's Disposal Co., Inc.</t>
  </si>
  <si>
    <t>1 Yd FL Container w/lid (N)</t>
  </si>
  <si>
    <t>2 Yd RL Container w/lid (N)</t>
  </si>
  <si>
    <t>6 Yd FL Container w/lid (N)</t>
  </si>
  <si>
    <t>Total Containers</t>
  </si>
  <si>
    <t>Drop Box's</t>
  </si>
  <si>
    <t>25 Yd Drop Box (N)</t>
  </si>
  <si>
    <t>30 Yd Drop Box (N)</t>
  </si>
  <si>
    <t>Total Cont &amp; DB</t>
  </si>
  <si>
    <t>MULT-FAMILY</t>
  </si>
  <si>
    <t>Total MF</t>
  </si>
  <si>
    <t>96 GAL CARTS (N)</t>
  </si>
  <si>
    <t>64 GAL CARTS (N)</t>
  </si>
  <si>
    <t>96 GAL CARTS (N)     CER 2140</t>
  </si>
  <si>
    <t>Grand Total</t>
  </si>
  <si>
    <t>Quantity</t>
  </si>
  <si>
    <t>Accum</t>
  </si>
  <si>
    <t>Ending</t>
  </si>
  <si>
    <t>95 GAL TOTERS (N)</t>
  </si>
  <si>
    <t>TOTAL</t>
  </si>
  <si>
    <t>Equipment</t>
  </si>
  <si>
    <t>Test Year</t>
  </si>
  <si>
    <t>Accum Depr</t>
  </si>
  <si>
    <t>Trucks</t>
  </si>
  <si>
    <t>Garbage</t>
  </si>
  <si>
    <t>Roll-off</t>
  </si>
  <si>
    <t xml:space="preserve">Recycling </t>
  </si>
  <si>
    <t xml:space="preserve">MF </t>
  </si>
  <si>
    <t xml:space="preserve">Yard Waste </t>
  </si>
  <si>
    <t>Containers:</t>
  </si>
  <si>
    <t>Drop Boxes</t>
  </si>
  <si>
    <t>Multi-Family</t>
  </si>
  <si>
    <t>Total Cont, Carts,Totes</t>
  </si>
  <si>
    <t>Service Equipment</t>
  </si>
  <si>
    <t>Shop Equipment</t>
  </si>
  <si>
    <t>Office Equipment</t>
  </si>
  <si>
    <t>Building</t>
  </si>
  <si>
    <t>TRANSFORMER-TRANSFER STN</t>
  </si>
  <si>
    <t>TF STATION UPGRADE</t>
  </si>
  <si>
    <t>RETENTION POND</t>
  </si>
  <si>
    <t>TOTAL SERVICE CARS &amp; EQUIP</t>
  </si>
  <si>
    <t>Service Cars &amp; Equipment</t>
  </si>
  <si>
    <t>TS CRANE (2/00)</t>
  </si>
  <si>
    <t>PRESSURE WASHER (2002)</t>
  </si>
  <si>
    <t>TOTAL SHOP &amp; GARAGE EQUIP</t>
  </si>
  <si>
    <t>TOTAL FURN &amp; OFFICE EQUIP</t>
  </si>
  <si>
    <t>Transmission</t>
  </si>
  <si>
    <t>24' Reiter Cont (U) (storing MW)</t>
  </si>
  <si>
    <t>1 Yd RL Container w/lid (N)</t>
  </si>
  <si>
    <t>4 Yd FL Container w/lid (N)</t>
  </si>
  <si>
    <t>2 Yd FL Container w/lid (N)</t>
  </si>
  <si>
    <t>2006 Autocar w/Packer (N)</t>
  </si>
  <si>
    <t>1997 PTRB TRCT 5610 (N) TF-Amer</t>
  </si>
  <si>
    <t>Land</t>
  </si>
  <si>
    <t>2006 Ford F150 PU (N) Rob Brown</t>
  </si>
  <si>
    <t>RL SP</t>
  </si>
  <si>
    <t>RL C</t>
  </si>
  <si>
    <t>2007 Autocar w/Packer (N)</t>
  </si>
  <si>
    <t>Engine Overhaul</t>
  </si>
  <si>
    <t xml:space="preserve">2003 INT'L W/PCKER (N) </t>
  </si>
  <si>
    <t>Medical Waste</t>
  </si>
  <si>
    <t>Total Medical Waste</t>
  </si>
  <si>
    <t>1.5 Yd RL Container w/lid (N)</t>
  </si>
  <si>
    <t>Cameras (5)</t>
  </si>
  <si>
    <t>Cameras (6)</t>
  </si>
  <si>
    <t>Cameras (4)</t>
  </si>
  <si>
    <t>Cameras (1)</t>
  </si>
  <si>
    <t>Cameras (3)</t>
  </si>
  <si>
    <t>Var</t>
  </si>
  <si>
    <t>Cameras (17)</t>
  </si>
  <si>
    <t xml:space="preserve">YW </t>
  </si>
  <si>
    <t>2008 Travis Aluminum Live Floor 53'</t>
  </si>
  <si>
    <t xml:space="preserve">2008 INT'L w/Packer (N) </t>
  </si>
  <si>
    <t xml:space="preserve">2007 INT'L w/Packer (N) </t>
  </si>
  <si>
    <t>2008 Ford F-450 Shop Trk (N)</t>
  </si>
  <si>
    <t>TF Tractor</t>
  </si>
  <si>
    <t>2007 PTRB TRCTR (U)</t>
  </si>
  <si>
    <t>2008 Autocar Sideload (N)</t>
  </si>
  <si>
    <t>Grizzly</t>
  </si>
  <si>
    <t>2008 Pterbilt  w/Packer (30 yrd) (N)</t>
  </si>
  <si>
    <t>Tarper</t>
  </si>
  <si>
    <t>Auto Tarper</t>
  </si>
  <si>
    <t>Transfer Trucks</t>
  </si>
  <si>
    <t>2008 Navistar w/Packer (N)</t>
  </si>
  <si>
    <t>Air Compressor</t>
  </si>
  <si>
    <t>C-2</t>
  </si>
  <si>
    <t>GMC Cont Del Unit (N)</t>
  </si>
  <si>
    <t>RM Licensing</t>
  </si>
  <si>
    <t xml:space="preserve">2007 FORD F-150 PU (U) </t>
  </si>
  <si>
    <t>95 GAL CARTS (N)</t>
  </si>
  <si>
    <t xml:space="preserve">95 GAL CARTS (N) </t>
  </si>
  <si>
    <t>4 YD FL Containers</t>
  </si>
  <si>
    <t>1 YD RL Containers</t>
  </si>
  <si>
    <t>2 YD RL Containers</t>
  </si>
  <si>
    <t>1 Yd RL Container</t>
  </si>
  <si>
    <t>95 GAL TOTERS (N) - DK. BLUE</t>
  </si>
  <si>
    <t>Tire Machine (U)</t>
  </si>
  <si>
    <t>Yard Lawn Mower (N)</t>
  </si>
  <si>
    <t>Phone System</t>
  </si>
  <si>
    <t>Panasonic Toughbook CF-52</t>
  </si>
  <si>
    <t>HP Pro 3000 PC</t>
  </si>
  <si>
    <t>HP Pro 3130 PC</t>
  </si>
  <si>
    <t>2011 Peterbuilt 320 w/Pckr ASL (N)</t>
  </si>
  <si>
    <t>1998 Alloy EX WF Trailer (U)</t>
  </si>
  <si>
    <t>Inframe</t>
  </si>
  <si>
    <t>2008 Travis Aluminum Live Floor 53' (N)</t>
  </si>
  <si>
    <t>2005 PTRB TRCTR (U)</t>
  </si>
  <si>
    <t xml:space="preserve">2011 Peterbilt w/28 yd Packer (N) </t>
  </si>
  <si>
    <t>Total Route Trucks</t>
  </si>
  <si>
    <t>Total TF Trucks</t>
  </si>
  <si>
    <t>Total Garbage Trucks</t>
  </si>
  <si>
    <t>Office Equipment:</t>
  </si>
  <si>
    <t>Preco Radar Backup-Pilot Program</t>
  </si>
  <si>
    <t>Drive-Cam</t>
  </si>
  <si>
    <t xml:space="preserve">                                                                                                    </t>
  </si>
  <si>
    <t>2 Yd Bear Proof RL Container (N)</t>
  </si>
  <si>
    <t>6 Yd RL Container w/lid (N)</t>
  </si>
  <si>
    <t>6 YD CONT W/LIDS (N)</t>
  </si>
  <si>
    <t>Transfer Station Upgrade</t>
  </si>
  <si>
    <t>Fife Facility Permitting</t>
  </si>
  <si>
    <t xml:space="preserve">2011 Isuzu w/6 yd Pckr Retriever (N) </t>
  </si>
  <si>
    <t>2 Yd RL Container (N)</t>
  </si>
  <si>
    <t xml:space="preserve">                          </t>
  </si>
  <si>
    <t>Cameras (Drivecam) (5)</t>
  </si>
  <si>
    <t>(6) Drive-Cam</t>
  </si>
  <si>
    <t>FAR #</t>
  </si>
  <si>
    <t>Sony Internet TV</t>
  </si>
  <si>
    <t>M1</t>
  </si>
  <si>
    <t xml:space="preserve">2011 Peterbilt w/McNeilus Pckr (N) </t>
  </si>
  <si>
    <t>C3</t>
  </si>
  <si>
    <t>1999 Chevy Flatbed Delivery</t>
  </si>
  <si>
    <t>1994 Volvo WX64 (N)</t>
  </si>
  <si>
    <t xml:space="preserve">1996 VOLVO W/PACkER </t>
  </si>
  <si>
    <t>2003 BRENTWOOD CHASSIS</t>
  </si>
  <si>
    <t>2003 STERLING SEMI TRACTOR</t>
  </si>
  <si>
    <t>2004 TYPE H T TRACTOR (U)</t>
  </si>
  <si>
    <t>FLUP - Trk #180</t>
  </si>
  <si>
    <t>2005 PETERBILT TRUCK (U)</t>
  </si>
  <si>
    <t>REPLACE ENGINE #182</t>
  </si>
  <si>
    <t>2006 Peterbilt 378 Tractor (U)</t>
  </si>
  <si>
    <t>2007 Autocar SL w/28 Yd Body (U)</t>
  </si>
  <si>
    <t>2013 Pete 320 (N)</t>
  </si>
  <si>
    <t>Depreciation Summary</t>
  </si>
  <si>
    <t>Murrey's Disposal Company, Inc.</t>
  </si>
  <si>
    <t>RTA Equipment</t>
  </si>
  <si>
    <t>Fife Sewer/Storm Water Improvement</t>
  </si>
  <si>
    <t>TOTAL OTHER CAPITAL</t>
  </si>
  <si>
    <t>2010 Ford F350 Med Waste Van (N)</t>
  </si>
  <si>
    <t>General Building Structures</t>
  </si>
  <si>
    <t>TOTAL GENERAL BUILDING STRUCTURES</t>
  </si>
  <si>
    <t>T-Station Building</t>
  </si>
  <si>
    <t>Additional T-Station Upgrades</t>
  </si>
  <si>
    <t>DR 7</t>
  </si>
  <si>
    <t>Removed</t>
  </si>
  <si>
    <t xml:space="preserve">Company </t>
  </si>
  <si>
    <t>Staff Adj cost to reflect invoice and shared assets</t>
  </si>
  <si>
    <t>New Construction -TF Station</t>
  </si>
  <si>
    <t>Paving</t>
  </si>
  <si>
    <t>Modified</t>
  </si>
  <si>
    <t>Murrey's</t>
  </si>
  <si>
    <t>American</t>
  </si>
  <si>
    <t>DM</t>
  </si>
  <si>
    <t>Transfer Station</t>
  </si>
  <si>
    <t>Check</t>
  </si>
  <si>
    <t>Shared Asset w/DM - See TF Ton Allocation tab.</t>
  </si>
  <si>
    <t>Notes per audit during TG-130501/130502</t>
  </si>
  <si>
    <t>2 Yd Containers</t>
  </si>
  <si>
    <t>1 Yd Containers</t>
  </si>
  <si>
    <t>T-Station Building Structures/Equipment</t>
  </si>
  <si>
    <t>TOTAL T-STATION BUILDING STRUCTURES/EQUIPMENT</t>
  </si>
  <si>
    <t>2006 15,500 Lb Hyster Forklift (U) T-Stn</t>
  </si>
  <si>
    <t>1.5 Yd Containers</t>
  </si>
  <si>
    <t>6 Yd Containers</t>
  </si>
  <si>
    <t>4 Yd Containers</t>
  </si>
  <si>
    <t>Transmission Repair #154</t>
  </si>
  <si>
    <t>HP Probook 6470b (Admin)</t>
  </si>
  <si>
    <t>REPLACE ENGINE #149</t>
  </si>
  <si>
    <t>Cart Tipper (N)</t>
  </si>
  <si>
    <t>LEX-19</t>
  </si>
  <si>
    <t>LEX-20</t>
  </si>
  <si>
    <t>LEX-21</t>
  </si>
  <si>
    <t>2013 53 ft. Quad Axle Cont Chassis (N)</t>
  </si>
  <si>
    <t>2001 Frieghtliner Tractor (U)</t>
  </si>
  <si>
    <t>WF Trl</t>
  </si>
  <si>
    <t>Sony Internet  TV (SN = S018095316I)</t>
  </si>
  <si>
    <t>HP Compaq 6200 Pro (SN =MXL2270KNB)</t>
  </si>
  <si>
    <t>Millermatic 252 Welder</t>
  </si>
  <si>
    <t>22 Ton Jack</t>
  </si>
  <si>
    <t>2003 Roadrunner Trailer (N)</t>
  </si>
  <si>
    <t>107018/107017</t>
  </si>
  <si>
    <t>107015/107014</t>
  </si>
  <si>
    <t>107012/107011/107010</t>
  </si>
  <si>
    <t>107171/107170</t>
  </si>
  <si>
    <t>1999 Doge Pick-Up Shop (U)</t>
  </si>
  <si>
    <t>107182/107183/107184</t>
  </si>
  <si>
    <t>2006 Sullair Air Compressor</t>
  </si>
  <si>
    <t xml:space="preserve">96 GAL CARTS (N) </t>
  </si>
  <si>
    <t>Fife Office Building</t>
  </si>
  <si>
    <t>Floor Scrubber (Model #5680)</t>
  </si>
  <si>
    <t>108440/108441</t>
  </si>
  <si>
    <t>DEL</t>
  </si>
  <si>
    <t>2006 Peterbilt Hooklift Truck (U)</t>
  </si>
  <si>
    <t>TF - Recy</t>
  </si>
  <si>
    <t>Shop</t>
  </si>
  <si>
    <t>2011 318D John Deere Skid Steer (U)</t>
  </si>
  <si>
    <t>2007 John Deer 444j Wheel Loader (U)</t>
  </si>
  <si>
    <t>Land - 6803 N Levy Rd. E (4/30/2003)</t>
  </si>
  <si>
    <t>WYSE Winterms</t>
  </si>
  <si>
    <t>96 GAL TOTERS (N)</t>
  </si>
  <si>
    <t>Sky Orb Fall Safety System</t>
  </si>
  <si>
    <t>2014 Ford F450 Service Trk (N)</t>
  </si>
  <si>
    <t>2014 Peterbilt ASL (N)</t>
  </si>
  <si>
    <t xml:space="preserve">HP Probook 6570b </t>
  </si>
  <si>
    <t>113724/113725</t>
  </si>
  <si>
    <t>Waste Works Software/Servers</t>
  </si>
  <si>
    <t>Transmission Repair #606</t>
  </si>
  <si>
    <t>1994 CHINOOK TRAILER (N)</t>
  </si>
  <si>
    <t>2015 Peterbilt ASL (N)</t>
  </si>
  <si>
    <t>4 Post - 18,500 Lb Truck Lift</t>
  </si>
  <si>
    <t>Spill Trailer</t>
  </si>
  <si>
    <t>Grainger Man Lift</t>
  </si>
  <si>
    <t>Drop Box Winches</t>
  </si>
  <si>
    <t>2012 R/O Truck (N)</t>
  </si>
  <si>
    <t>120338/120295</t>
  </si>
  <si>
    <t>Winterms</t>
  </si>
  <si>
    <t>HP Prodesk 600 G1</t>
  </si>
  <si>
    <t>HP Probook 650 G1</t>
  </si>
  <si>
    <t>30 Yd Drop Box</t>
  </si>
  <si>
    <t>2 Yd REL Containers</t>
  </si>
  <si>
    <t>1 Yd REL Containers</t>
  </si>
  <si>
    <t>Transmission Repair #806</t>
  </si>
  <si>
    <t>2016 Peterbit ASL (N)</t>
  </si>
  <si>
    <t>Tipper Installation #143</t>
  </si>
  <si>
    <t>Laptop &amp; Desktop Memory Upgrade</t>
  </si>
  <si>
    <t>HP Probook 640 G1</t>
  </si>
  <si>
    <t>Pressure Washer</t>
  </si>
  <si>
    <t>Tarp System #422</t>
  </si>
  <si>
    <t>2013 Toyota Pruis (N)</t>
  </si>
  <si>
    <t>GRAND TOTAL TRUCKS</t>
  </si>
  <si>
    <t>Total Drop Boxes</t>
  </si>
  <si>
    <t>Grand Total Containers</t>
  </si>
  <si>
    <t>Description</t>
  </si>
  <si>
    <t>Notes</t>
  </si>
  <si>
    <t>Land to be filed in current rate case - after lot line adjustments and new building:</t>
  </si>
  <si>
    <t>Land as approved in the last general rate fiilng (TG-130501/130502):</t>
  </si>
  <si>
    <t>Land - New Building Location</t>
  </si>
  <si>
    <t>These lots have not changed and are the existing Murrey's lots - See Map #1 Below.  Indicated by (1)'s.</t>
  </si>
  <si>
    <t>Original land value of all "original" Murrey's lots.  See Map #1 Below.  Indicated by (1)'s.</t>
  </si>
  <si>
    <t>Land Summary</t>
  </si>
  <si>
    <t>This lot was previously owned by DM, and was never included in past rate filings.  It was transferred to Murrey's with the new building, and therefore will be included in this filing.  See Map #3 Below.  Also indicated by (3) on Map #1.</t>
  </si>
  <si>
    <t>Original "Lot C" - see Map #2 below.  Also indicated by (2) on Map #1. This parcel is removed from the 2015 rate filing.</t>
  </si>
  <si>
    <r>
      <rPr>
        <b/>
        <u/>
        <sz val="9"/>
        <rFont val="Arial"/>
        <family val="2"/>
      </rPr>
      <t>Background:</t>
    </r>
    <r>
      <rPr>
        <sz val="9"/>
        <rFont val="Arial"/>
        <family val="2"/>
      </rPr>
      <t xml:space="preserve">  In August 2012, in conjuction with building a new operating facility, Murrey's Disposal filed for a lot line adjustment to change the lot lines of 4 lots (2 existing Murrey's lots, and 2 existing DM lots).  This lot line adjustment was approved by the City of Fife, and results in the new lots and ownership as shown on Map #1 below.  Murrey's Disposal now owns ALL lots on which operations are performed.  DM owns other smaller portions of land where operations are not performed.  The new building is now located on a large piece of land that was previously owned by DM and was never included in rates.  The information below supports the removal of a portion of DM land that was included in the prior rate case, and the addition of the large piece of land where the new building now sits and that is now owned by Murrey's.</t>
    </r>
  </si>
  <si>
    <t>LEX-22</t>
  </si>
  <si>
    <t>WF-23</t>
  </si>
  <si>
    <t>WF-24</t>
  </si>
  <si>
    <t>WF-25</t>
  </si>
  <si>
    <t>WF-26</t>
  </si>
  <si>
    <t>LEX-14</t>
  </si>
  <si>
    <t>LEX-15</t>
  </si>
  <si>
    <t>WF-14</t>
  </si>
  <si>
    <t>WF-15</t>
  </si>
  <si>
    <t>DMR per Truck Log</t>
  </si>
  <si>
    <t>Repair WF Trailer #WF-26</t>
  </si>
  <si>
    <t>Repair WF Trailer #WF-23</t>
  </si>
  <si>
    <t>2005 Peterbilt #330 (N)</t>
  </si>
  <si>
    <t xml:space="preserve">2001 FORD F-150 PU (N)  </t>
  </si>
  <si>
    <t>LEX-18</t>
  </si>
  <si>
    <t>2000 Freightliner FLD 120 Tractor (U)</t>
  </si>
  <si>
    <t>2013 Peterbilt 320 (N)</t>
  </si>
  <si>
    <t>WF-13</t>
  </si>
  <si>
    <t>2008 Travis Live Floor 53'</t>
  </si>
  <si>
    <t>Land - Shop/T-stn</t>
  </si>
  <si>
    <t>Land - New Office</t>
  </si>
  <si>
    <t>Office</t>
  </si>
  <si>
    <t>Building Square Footage</t>
  </si>
  <si>
    <t>Land - Office</t>
  </si>
  <si>
    <t>Land - Shop</t>
  </si>
  <si>
    <t>Land - Ops. Parking</t>
  </si>
  <si>
    <t>Land - Transfer Station</t>
  </si>
  <si>
    <t>Land Usage Square Footage</t>
  </si>
  <si>
    <t>Office Parking</t>
  </si>
  <si>
    <t>Operations Parking</t>
  </si>
  <si>
    <t>Cust Count</t>
  </si>
  <si>
    <t>Allocator</t>
  </si>
  <si>
    <t>Step 1: Allocate Office and Land into functional "buckets" based on Square Footage</t>
  </si>
  <si>
    <t>Shop Hours</t>
  </si>
  <si>
    <t># of Trucks</t>
  </si>
  <si>
    <t>Tonnage</t>
  </si>
  <si>
    <t xml:space="preserve">Building - Office </t>
  </si>
  <si>
    <t>Building - Shop</t>
  </si>
  <si>
    <t>Vashon</t>
  </si>
  <si>
    <t>Yard Waste</t>
  </si>
  <si>
    <t>Model T20 Scrubber-Zamboni</t>
  </si>
  <si>
    <t>Engine Cap Repair</t>
  </si>
  <si>
    <t>2016 Peterbilt ASL (N)</t>
  </si>
  <si>
    <t>2016 Peterbilt REL (N)</t>
  </si>
  <si>
    <t>(400) 1500 Lb Drop Box Winches</t>
  </si>
  <si>
    <t>(48) 2500 Lb Drop Box Winches</t>
  </si>
  <si>
    <t>Truck #182 Repair</t>
  </si>
  <si>
    <t>Acer Computer Monitors &amp; Stands</t>
  </si>
  <si>
    <t>Wireless Winterms Maintenance Department</t>
  </si>
  <si>
    <t>HP SB ProBook 640</t>
  </si>
  <si>
    <t>RO Inframe Capital Repair</t>
  </si>
  <si>
    <t>Soft Cab - Zamboni Cover</t>
  </si>
  <si>
    <t>HP ProBook 650 G2 - 15.6" Laptop</t>
  </si>
  <si>
    <t>2003 Used Yard Goat</t>
  </si>
  <si>
    <t>2002 Used Yard Goat</t>
  </si>
  <si>
    <t>Body Rebuild</t>
  </si>
  <si>
    <t>1986 Yard Mule</t>
  </si>
  <si>
    <t>Acer V226HQL - LED Monitors - 21.5"</t>
  </si>
  <si>
    <t>Improvement Sterling Truck 175 Install Wet Kit</t>
  </si>
  <si>
    <t>169996/170261</t>
  </si>
  <si>
    <t>2012 Container Delivery Truck &amp; Drive Cam</t>
  </si>
  <si>
    <t>Air &amp; Hose Reel Shop Improvement</t>
  </si>
  <si>
    <t>A</t>
  </si>
  <si>
    <t>Transfer</t>
  </si>
  <si>
    <t>C-6</t>
  </si>
  <si>
    <t>YG-4</t>
  </si>
  <si>
    <t>YG-2</t>
  </si>
  <si>
    <t>YG-3</t>
  </si>
  <si>
    <t>Engine In Frame Repair</t>
  </si>
  <si>
    <t>Air &amp; Hose Real Shop Improvement</t>
  </si>
  <si>
    <t>Laptop Toughbook</t>
  </si>
  <si>
    <t>131295 132354</t>
  </si>
  <si>
    <t>(22) Truck Tablets</t>
  </si>
  <si>
    <t>(5) Truck Tablets</t>
  </si>
  <si>
    <t>(2) Truck Tablets</t>
  </si>
  <si>
    <t>(8) Truck Tablets</t>
  </si>
  <si>
    <t>(1) Truck Tablets</t>
  </si>
  <si>
    <t>2014 Transfer Tractor</t>
  </si>
  <si>
    <t xml:space="preserve">1998 PBLT (10800),(5141)(N) </t>
  </si>
  <si>
    <t xml:space="preserve">1998 PBLT (10801),(5166) 51(N) </t>
  </si>
  <si>
    <t>2002 IHC REARLOAD  (N)</t>
  </si>
  <si>
    <t>TRANSMISSION REBUILD</t>
  </si>
  <si>
    <t xml:space="preserve">CAMERA FOR TRK </t>
  </si>
  <si>
    <t>ENGINE TRK</t>
  </si>
  <si>
    <t>2003 INT'L TRK R-LD  (N)</t>
  </si>
  <si>
    <t>2 Fuel Pumps</t>
  </si>
  <si>
    <t>2006 Autocar TRK R-LD-20-YD PCK  (N)</t>
  </si>
  <si>
    <t>2008 Autocar TRK VIN#206132 (N)</t>
  </si>
  <si>
    <t>Camaras (14)</t>
  </si>
  <si>
    <t xml:space="preserve">2008 Autocar TRK w/PCK  (N)              </t>
  </si>
  <si>
    <t>2008 Int'l w/20 yd pckr (N)</t>
  </si>
  <si>
    <t>2013 Peterbilt T-320 (N)</t>
  </si>
  <si>
    <t>2014 Pete/Labrie FEL Truck (N)</t>
  </si>
  <si>
    <t>Engine Repair #609</t>
  </si>
  <si>
    <t>Engine Repair #612</t>
  </si>
  <si>
    <t>Tipper for #153</t>
  </si>
  <si>
    <t>Inframe Repair - Truck 318</t>
  </si>
  <si>
    <t>2005 Peterbilt M-330 RO  TF from 2111 1-1-05</t>
  </si>
  <si>
    <t>2004 Cascon Powerlift RO Hoist Syst TF 2111</t>
  </si>
  <si>
    <t>Camaras (1)</t>
  </si>
  <si>
    <t>2016 Peterbilt RO Truck</t>
  </si>
  <si>
    <t>2004 Peterbilt M-320 Automated W/Pck (N)</t>
  </si>
  <si>
    <t>28 Yd Automated body on Chassis (N)</t>
  </si>
  <si>
    <t>2005 AUTOCAR SIDELOAD (N) w/greasing sys</t>
  </si>
  <si>
    <t>Camaras (2)</t>
  </si>
  <si>
    <t>2011 Isuzu w/6 yd pckr (N) Mini Retriever</t>
  </si>
  <si>
    <t>Drive Cam #139</t>
  </si>
  <si>
    <t>2016 Peterbilt/Wayne ASL (N)</t>
  </si>
  <si>
    <t>1 RADIO (N)</t>
  </si>
  <si>
    <t>2007 Autocar w/McNeilus (U)</t>
  </si>
  <si>
    <t>2010 Peterbilt/Wayne ASL (N)</t>
  </si>
  <si>
    <t>2016 ASL Truck (N)</t>
  </si>
  <si>
    <t>Engine Repair</t>
  </si>
  <si>
    <t>1 Yd Container w/lids  (N)</t>
  </si>
  <si>
    <t>1 Yd FL Container w/lids  (N)</t>
  </si>
  <si>
    <t>1.5 Yd FL Container w/lids (N)</t>
  </si>
  <si>
    <t>2 Yd FL Container w/lids (N)</t>
  </si>
  <si>
    <t>4 Yd FL Container w/lids (N)</t>
  </si>
  <si>
    <t>6 Yd FL Container w/lids  (N)</t>
  </si>
  <si>
    <t>1 Yd RL Container w/lids (N)</t>
  </si>
  <si>
    <t>2 Yd RL Container w/lids (N)</t>
  </si>
  <si>
    <t>2 Yd RL Container w/lids  (N)</t>
  </si>
  <si>
    <t>4 Yd FL Container w/lids  (N)</t>
  </si>
  <si>
    <t>4 YD FEL Containers</t>
  </si>
  <si>
    <t>1 yd REL Containers</t>
  </si>
  <si>
    <t>25 YRD DROP BOX (N)</t>
  </si>
  <si>
    <t>50 Yd Drop Box (N)</t>
  </si>
  <si>
    <t>95 GAL YW CARTS (N)</t>
  </si>
  <si>
    <t>65 GAL YW CARTS (N)</t>
  </si>
  <si>
    <t xml:space="preserve">2005 FORD F-150 PU (U) </t>
  </si>
  <si>
    <t>2012 Ford F-150 PU (U)</t>
  </si>
  <si>
    <t>Scrapt</t>
  </si>
  <si>
    <t>ALLIS  CHALMERS FORKLFT (N)</t>
  </si>
  <si>
    <t>2009 Ford F-350 Super Duty Tire Trk (N)</t>
  </si>
  <si>
    <t>P-9</t>
  </si>
  <si>
    <t>Ford F-150 (U)</t>
  </si>
  <si>
    <t>Route Manager Licenses</t>
  </si>
  <si>
    <t>Amer/Murrey</t>
  </si>
  <si>
    <t>173231/ 173236</t>
  </si>
  <si>
    <t>173257/ 173287/ 173259/ 173258</t>
  </si>
  <si>
    <t>173221/ 173223/ 173222/ 173225</t>
  </si>
  <si>
    <t>173173/ 173174/ 173204/ 173202</t>
  </si>
  <si>
    <t>173323/ 173325/ 173324/ 173326</t>
  </si>
  <si>
    <t>173250/ 173249</t>
  </si>
  <si>
    <t>173275/ 173274</t>
  </si>
  <si>
    <t>173176/ 173177</t>
  </si>
  <si>
    <t>173229/ 173230</t>
  </si>
  <si>
    <t>173254/ 173253</t>
  </si>
  <si>
    <t>173235/ 173233</t>
  </si>
  <si>
    <t>173263/ 173268/ 173265</t>
  </si>
  <si>
    <t>173252 (part 1)</t>
  </si>
  <si>
    <t>173252 (part 2)</t>
  </si>
  <si>
    <t>173252 (part 3)</t>
  </si>
  <si>
    <t>173280/ 173279</t>
  </si>
  <si>
    <t>2017 ASL Truck</t>
  </si>
  <si>
    <t>186095/ 102350</t>
  </si>
  <si>
    <t>Wet Kit for Truck 61</t>
  </si>
  <si>
    <t>185768/ 102169</t>
  </si>
  <si>
    <t>Install Wet Kit for Truck 182</t>
  </si>
  <si>
    <t>183742/ 173166</t>
  </si>
  <si>
    <t>Engine Rebuild</t>
  </si>
  <si>
    <t>Truck 409 Inframe Overhaul</t>
  </si>
  <si>
    <t>179408/ 173291</t>
  </si>
  <si>
    <t>Peterbilt 320/McNeilus ZR ASL</t>
  </si>
  <si>
    <t>Peterbilt 220/Wayne Royal GT Retriever</t>
  </si>
  <si>
    <t>96 Gallon Recycle Carts</t>
  </si>
  <si>
    <t>64 Gallon Garbage Carts</t>
  </si>
  <si>
    <t>95 Gallon Recycle Carts</t>
  </si>
  <si>
    <t>96 Gal Garbage Carts</t>
  </si>
  <si>
    <t>64 Gal Garbage Carts</t>
  </si>
  <si>
    <t>65 Gallon Garbage Carts</t>
  </si>
  <si>
    <t>95 Gallon recycle carts</t>
  </si>
  <si>
    <t>95 Gallon Garbage Carts</t>
  </si>
  <si>
    <t>20 Gal Garbage Carts</t>
  </si>
  <si>
    <t>95 Gal Garbage Carts</t>
  </si>
  <si>
    <t>65 Gal Garbage Carts</t>
  </si>
  <si>
    <t>35 Gal Garbage Carts</t>
  </si>
  <si>
    <t>21 Gallon Garbage Carts</t>
  </si>
  <si>
    <t>185179/ 188830</t>
  </si>
  <si>
    <t>185178/ 188829</t>
  </si>
  <si>
    <t>185177/ 188828</t>
  </si>
  <si>
    <t>185180/ 188827</t>
  </si>
  <si>
    <t>96 Gal Blue YW Carts</t>
  </si>
  <si>
    <t>95 Gallon Yard Waste Carts</t>
  </si>
  <si>
    <t>6 Yard FL OCC Container</t>
  </si>
  <si>
    <t>6 Yard FL Garb Containers</t>
  </si>
  <si>
    <t>2 Yard REL Garb Container</t>
  </si>
  <si>
    <t>6 yd FEL Containers</t>
  </si>
  <si>
    <t>4 yd FEL Conatiners</t>
  </si>
  <si>
    <t>2 yd REL Containers (Green)</t>
  </si>
  <si>
    <t>2 yd REL Containers (Blue)</t>
  </si>
  <si>
    <t>6 yd FEL Recyc Container</t>
  </si>
  <si>
    <t>199165/ 199570</t>
  </si>
  <si>
    <t>6 yd Front Load</t>
  </si>
  <si>
    <t>4 yd Front Load</t>
  </si>
  <si>
    <t>2 yd Rear Load</t>
  </si>
  <si>
    <t>2 yd Waste Cont w/ Cage Expanded Metal Front</t>
  </si>
  <si>
    <t>96 Gall Recycle Totes</t>
  </si>
  <si>
    <t>Recycle 96 Gal Gray Totes</t>
  </si>
  <si>
    <t>MSW 96 Gal Green Totes</t>
  </si>
  <si>
    <t>96 Gal Green Garb Totes</t>
  </si>
  <si>
    <t>96 Gal Blue Recycle Totes</t>
  </si>
  <si>
    <t>64 Gal Green Garb Totes</t>
  </si>
  <si>
    <t>96 Gal Gray Recycle Totes</t>
  </si>
  <si>
    <t>YW 96 Gal Blue Totes</t>
  </si>
  <si>
    <t>183279/ 189538</t>
  </si>
  <si>
    <t>183278/ 189535</t>
  </si>
  <si>
    <t>177519/ 171235</t>
  </si>
  <si>
    <t>Wet Kit</t>
  </si>
  <si>
    <t>173317/ 102127</t>
  </si>
  <si>
    <t>173247/173248</t>
  </si>
  <si>
    <t>Drive Cams</t>
  </si>
  <si>
    <t>173286/173285 (part 1)</t>
  </si>
  <si>
    <t>173286/173285 (part 2)</t>
  </si>
  <si>
    <t>TF Trailer</t>
  </si>
  <si>
    <t>PT-12</t>
  </si>
  <si>
    <t>2012 Helm Double Axle 28' Transfer Trailer w/ Dolly</t>
  </si>
  <si>
    <t>PT-15</t>
  </si>
  <si>
    <t>Roll - Off Trucks</t>
  </si>
  <si>
    <t>Peterbilt 320/ Wayne Curbtender ASL</t>
  </si>
  <si>
    <t>Cart Tipper</t>
  </si>
  <si>
    <t>172841/ 102158</t>
  </si>
  <si>
    <t>180338/ 189536</t>
  </si>
  <si>
    <t>199192/ 9537</t>
  </si>
  <si>
    <t>HP ProBook 640 G2- 14' Laptop</t>
  </si>
  <si>
    <t>Software for new Toughbook</t>
  </si>
  <si>
    <t>Registration for Laptop</t>
  </si>
  <si>
    <t>Tablet Mounts for UTC Automation</t>
  </si>
  <si>
    <t>PT-16</t>
  </si>
  <si>
    <t>1991 Type HT Drop Trailer</t>
  </si>
  <si>
    <t>PT-13a</t>
  </si>
  <si>
    <t>1973 Type HT Dolly Trailer</t>
  </si>
  <si>
    <t>PT-16a</t>
  </si>
  <si>
    <t>1991 Type HT Dolly Trailer</t>
  </si>
  <si>
    <t>2007 IHC Hooklift</t>
  </si>
  <si>
    <t>Delivery Trucks</t>
  </si>
  <si>
    <t>C-8</t>
  </si>
  <si>
    <t>Isuzu 12' Box Truck</t>
  </si>
  <si>
    <t>Total Delivery Trucks</t>
  </si>
  <si>
    <t>Non-Depreciable Assets</t>
  </si>
  <si>
    <t>Land American Disposal</t>
  </si>
  <si>
    <t>Total Non-Depreciable Assets</t>
  </si>
  <si>
    <t>6 Yd FEL Containers Peak Style</t>
  </si>
  <si>
    <t>173244/ 173243</t>
  </si>
  <si>
    <t>173209/173208</t>
  </si>
  <si>
    <t>1 &amp; 1.5 Yd REL Cont (dept of Rev)</t>
  </si>
  <si>
    <t>95 GA Carts</t>
  </si>
  <si>
    <t>Maintenance Shop Heating System Installation</t>
  </si>
  <si>
    <t>Website Development</t>
  </si>
  <si>
    <t>New Load Scales</t>
  </si>
  <si>
    <t>Date in Service</t>
  </si>
  <si>
    <t>Annual</t>
  </si>
  <si>
    <t>Year/Mo</t>
  </si>
  <si>
    <t>Fully Depr</t>
  </si>
  <si>
    <t>Life</t>
  </si>
  <si>
    <t>Adds</t>
  </si>
  <si>
    <t>183277/ 189537</t>
  </si>
  <si>
    <t>Truck #143 Amort of Salvage</t>
  </si>
  <si>
    <t>Truck #152 Amort of Salvage</t>
  </si>
  <si>
    <t>American Disposal Co., Inc.</t>
  </si>
  <si>
    <t>Total  Garbage Trucks</t>
  </si>
  <si>
    <t>MF RECYCLING</t>
  </si>
  <si>
    <t>TOTAL MF RECYCLING</t>
  </si>
  <si>
    <t>167642/167643/167644/167645</t>
  </si>
  <si>
    <t>TOTAL YARD WASTE</t>
  </si>
  <si>
    <t>TOTAL TRUCKS</t>
  </si>
  <si>
    <t>SERVICE CARS &amp; EQUIPMENT (123.0)</t>
  </si>
  <si>
    <t>Total Service Equipment</t>
  </si>
  <si>
    <t>SHOP EQUIPMENT (124.0)</t>
  </si>
  <si>
    <t>Total Shop Equipment</t>
  </si>
  <si>
    <t>FURNITURE &amp; OFFICE EQUIPMENT (125.00)</t>
  </si>
  <si>
    <t>Total Furniture &amp; Office Equipment</t>
  </si>
  <si>
    <t>Truck #153 Amort of Salvage</t>
  </si>
  <si>
    <t>Truck #605 Amort of Salvage</t>
  </si>
  <si>
    <t>Truck #606 Amort of Salvage</t>
  </si>
  <si>
    <t>Truck #609 Amort of Salvage</t>
  </si>
  <si>
    <t>Truck #613 Amort of Salvage</t>
  </si>
  <si>
    <t>Truck #612 Amort of Salvage</t>
  </si>
  <si>
    <t>Truck #905 Amort of Salvage</t>
  </si>
  <si>
    <t>Truck #616 Amort of Salvage</t>
  </si>
  <si>
    <t>Truck #614 Amort of Salvage</t>
  </si>
  <si>
    <t>Cameras (17) Amort of Salvage</t>
  </si>
  <si>
    <t>Truck #907 Amort of Salvage</t>
  </si>
  <si>
    <t>Cameras (14) Amort of Salvage</t>
  </si>
  <si>
    <t>Truck #906 Amort of Salvage</t>
  </si>
  <si>
    <t>Preco Radar Backup-Pilot Program Amort of Salvage</t>
  </si>
  <si>
    <t>Drive-Cam Amort of Salvage</t>
  </si>
  <si>
    <t>Truck #C3 Amort of Salvage</t>
  </si>
  <si>
    <t>Truck #151 Amort of Salvage</t>
  </si>
  <si>
    <t>Truck #908 Amort of Salvage</t>
  </si>
  <si>
    <t>(6) Drive-Cam Amort of Salvage</t>
  </si>
  <si>
    <t>Truck #628 Amort of Salvage</t>
  </si>
  <si>
    <t>Truck #629 Amort of Salvage</t>
  </si>
  <si>
    <t>Truck #909 Amort of Salvage</t>
  </si>
  <si>
    <t>Truck #C-2Amort of Salvage</t>
  </si>
  <si>
    <t>Truck #409 Amort of Salvage</t>
  </si>
  <si>
    <t>Cameras (1) Amort of Salvage</t>
  </si>
  <si>
    <t>Truck #624 Amort of Salvage</t>
  </si>
  <si>
    <t>Truck #800 Amort of Salvage</t>
  </si>
  <si>
    <t>Truck #802 Amort of Salvage</t>
  </si>
  <si>
    <t>Truck #C1 Amort of Salvage</t>
  </si>
  <si>
    <t>Cameras (2) Amort of Salvage</t>
  </si>
  <si>
    <t>Truck #132 Amort of Salvage</t>
  </si>
  <si>
    <t>Truck #139 Amort of Salvage</t>
  </si>
  <si>
    <t>Truck #825 Amort of Salvage</t>
  </si>
  <si>
    <t>Truck #822 Amort of Salvage</t>
  </si>
  <si>
    <t>Truck #826 Amort of Salvage</t>
  </si>
  <si>
    <t>Truck #829 Amort of Salvage</t>
  </si>
  <si>
    <t>Cameras (3) Amort of Salvage</t>
  </si>
  <si>
    <t>Truck #814 Amort of Salvage</t>
  </si>
  <si>
    <t>Truck #816 Amort of Salvage</t>
  </si>
  <si>
    <t>Cameras (Drivecam) (5) Amort of Salvage</t>
  </si>
  <si>
    <t>Truck #823 Amort of Salvage</t>
  </si>
  <si>
    <t>Truck #831 Amort of Salvage</t>
  </si>
  <si>
    <t>Truck #832 Amort of Salvage</t>
  </si>
  <si>
    <t>Truck #M1 Amort of Salvage</t>
  </si>
  <si>
    <t>Truck #6 Amort of Salvage</t>
  </si>
  <si>
    <t>Truck #13 Amort of Salvage</t>
  </si>
  <si>
    <t>Truck #12 Amort of Salvage</t>
  </si>
  <si>
    <t>Truck #2 Amort of Salvage</t>
  </si>
  <si>
    <t>Truck #14 Amort of Salvage</t>
  </si>
  <si>
    <t>Truck #5 Amort of Salvage</t>
  </si>
  <si>
    <t>Truck #126 Amort of Salvage</t>
  </si>
  <si>
    <t>Truck #48 Amort of Salvage</t>
  </si>
  <si>
    <t>Truck #127 Amort of Salvage</t>
  </si>
  <si>
    <t>Spill Trailer Amort of Salvage</t>
  </si>
  <si>
    <t>D</t>
  </si>
  <si>
    <t>2Yd REL Containers</t>
  </si>
  <si>
    <t>1 Yard REL Containers</t>
  </si>
  <si>
    <t>4 Yd FEL Containers</t>
  </si>
  <si>
    <t>2 Yd REL Containers w/ Plastic Lids &amp; Casters</t>
  </si>
  <si>
    <t>4 Yd FL Murrey Containers</t>
  </si>
  <si>
    <t>1 Yd FEL Containers-Murrey</t>
  </si>
  <si>
    <t>1 Yd FL  Containers-Murrey</t>
  </si>
  <si>
    <t>1YD REL</t>
  </si>
  <si>
    <t>2YD REL</t>
  </si>
  <si>
    <t>4 YD FEL</t>
  </si>
  <si>
    <t>6 YD FEL</t>
  </si>
  <si>
    <t>2 YD REL</t>
  </si>
  <si>
    <t>2YD FEL</t>
  </si>
  <si>
    <t>6 YD FEL Containers</t>
  </si>
  <si>
    <t>1YD REL Containers</t>
  </si>
  <si>
    <t>30 YD Containers</t>
  </si>
  <si>
    <t>4 YD FEL Container</t>
  </si>
  <si>
    <t>6 YD Containers</t>
  </si>
  <si>
    <t>1.5 Yard Containers</t>
  </si>
  <si>
    <t>1 Yard Containers</t>
  </si>
  <si>
    <t>2 Yard Container</t>
  </si>
  <si>
    <t>2 Yard Containers</t>
  </si>
  <si>
    <t>6YD FEL</t>
  </si>
  <si>
    <t>2 Yard REL Containers</t>
  </si>
  <si>
    <t>6 Yard FEL  Cage Containers</t>
  </si>
  <si>
    <t>6 Yard FEL Cage Containers</t>
  </si>
  <si>
    <t>6 Yard FEL Caged Containers</t>
  </si>
  <si>
    <t>1 Yard REL Containers (60 in Total CER)</t>
  </si>
  <si>
    <t>4 Yard FEL Garbage Containers -- Green</t>
  </si>
  <si>
    <t>2 Yard REL Garbage Containers -- Green</t>
  </si>
  <si>
    <t>2 Yard FEL Containers - Tan</t>
  </si>
  <si>
    <t>1 Yard REL Containers - Green</t>
  </si>
  <si>
    <t>1.5 Yd REL Containers</t>
  </si>
  <si>
    <t>2YD Refuse Containers</t>
  </si>
  <si>
    <t>1 YD REL Containers</t>
  </si>
  <si>
    <t>1.5 Yard Commercial Containers</t>
  </si>
  <si>
    <t>4 YD Containers</t>
  </si>
  <si>
    <t>6YD FEL Cardboard Recycle Bins</t>
  </si>
  <si>
    <t>6 YD FEL OCC Recycle Bins</t>
  </si>
  <si>
    <t>6 Yard FEL Containers</t>
  </si>
  <si>
    <t>6 Yard FEL Container</t>
  </si>
  <si>
    <t>4 Yard FEL Containers</t>
  </si>
  <si>
    <t>6 Yard FEL containers</t>
  </si>
  <si>
    <t>2 Yard FEL Containers</t>
  </si>
  <si>
    <t>2 Yard FELl Containers</t>
  </si>
  <si>
    <t>4  Yard FEL Containers</t>
  </si>
  <si>
    <t>2 Yd FEL Recy Containers</t>
  </si>
  <si>
    <t>2 Yard FEL Recy Containers</t>
  </si>
  <si>
    <t>2 YD RL Cont with cage</t>
  </si>
  <si>
    <t>6-YD FEL RECY Containers</t>
  </si>
  <si>
    <t>6-YD F/L RECY Containers</t>
  </si>
  <si>
    <t>2yd RL containers</t>
  </si>
  <si>
    <t>6 YD FEL Container</t>
  </si>
  <si>
    <t>2 YD FEL Containers</t>
  </si>
  <si>
    <t>2 YD FEL Container</t>
  </si>
  <si>
    <t>2 YD RL Container</t>
  </si>
  <si>
    <t>2 YD REL Containers</t>
  </si>
  <si>
    <t>2 YD Containers</t>
  </si>
  <si>
    <t>6 YD FEL Plastic Containers</t>
  </si>
  <si>
    <t>2 Yard REL Container</t>
  </si>
  <si>
    <t>2 YD Waste Container</t>
  </si>
  <si>
    <t>2 YD REL Recycle Container</t>
  </si>
  <si>
    <t>6YD FEL Recycle Container</t>
  </si>
  <si>
    <t>6 YD Recycle Containers</t>
  </si>
  <si>
    <t>4 Yard Frontload Containers</t>
  </si>
  <si>
    <t>2 Yard Rearload Waste Containers</t>
  </si>
  <si>
    <t>1 Yard Rearload Waste Containers</t>
  </si>
  <si>
    <t>6 Yard Frontload Waste Containers</t>
  </si>
  <si>
    <t>6 YD FEL containers</t>
  </si>
  <si>
    <t>2YD Containers</t>
  </si>
  <si>
    <t>2.5 yd self dumping hopper</t>
  </si>
  <si>
    <t>1Yd REL Containers</t>
  </si>
  <si>
    <t>1.5Yd REL Containers</t>
  </si>
  <si>
    <t>22 YD Hooklift Boxes</t>
  </si>
  <si>
    <t>12</t>
  </si>
  <si>
    <t>0</t>
  </si>
  <si>
    <t>70</t>
  </si>
  <si>
    <t>N/A</t>
  </si>
  <si>
    <t>30 Yd Drop Box w/ Screen Lid</t>
  </si>
  <si>
    <t>25 YD ROL Drop Boxes-Endless Chain Style-Green</t>
  </si>
  <si>
    <t>30 YD Roll Off</t>
  </si>
  <si>
    <t>30YD Roll Off</t>
  </si>
  <si>
    <t>Solid metal lids for drop boxes - Upgrades</t>
  </si>
  <si>
    <t>25 Yd Containers</t>
  </si>
  <si>
    <t>25 Yd Container</t>
  </si>
  <si>
    <t>50 Yd Containers</t>
  </si>
  <si>
    <t>40 Yd Containers</t>
  </si>
  <si>
    <t>30 Yd Containers</t>
  </si>
  <si>
    <t>30 Yd Roll Off Boxes</t>
  </si>
  <si>
    <t>30 Yard RO Boxes</t>
  </si>
  <si>
    <t>25 YD RO Boxes</t>
  </si>
  <si>
    <t>30 Yd Drop Boxes w/ Screen Lids</t>
  </si>
  <si>
    <t>30 yd Drop Box w/ Screen Lid</t>
  </si>
  <si>
    <t>50 yd Drop Boxes</t>
  </si>
  <si>
    <t>40 YD Drop Boxes</t>
  </si>
  <si>
    <t>50 YD Dropbox, 2-Way Dome Screen Lid, Single</t>
  </si>
  <si>
    <t>50 YD Dropbox, 2-Way Dome Screen Lid Boxes</t>
  </si>
  <si>
    <t>50 Yard ROL Boxes, 2-Way Dome Screen Lid</t>
  </si>
  <si>
    <t>50 YD Dropbox/Roll Off Containers</t>
  </si>
  <si>
    <t>20yd  Roll Off OTHER</t>
  </si>
  <si>
    <t>25yd</t>
  </si>
  <si>
    <t>40yd</t>
  </si>
  <si>
    <t>30yd</t>
  </si>
  <si>
    <t>30YD Containers</t>
  </si>
  <si>
    <t>30YD Containters</t>
  </si>
  <si>
    <t>50 YD Drop Boxes</t>
  </si>
  <si>
    <t>30 YD Drop Boxes</t>
  </si>
  <si>
    <t>50 YD Drop Box</t>
  </si>
  <si>
    <t>20 YD Containers</t>
  </si>
  <si>
    <t>40 YD RO - Conversion, Painting &amp; Welding</t>
  </si>
  <si>
    <t>40 YD RO - Conversion from APS 22' Container</t>
  </si>
  <si>
    <t>30 Yard Recycle Containers</t>
  </si>
  <si>
    <t>40 Yd Drop Boxes</t>
  </si>
  <si>
    <t>30 YD Recycle Container</t>
  </si>
  <si>
    <t>40 YD Recycle Container</t>
  </si>
  <si>
    <t>APS 22 YD Container Conversion to 40 YD RO</t>
  </si>
  <si>
    <t>APS Box conversion to RO Box</t>
  </si>
  <si>
    <t>30 Yard Roll Off Boxes With Solid Lids</t>
  </si>
  <si>
    <t>40 Yard Roll Off Boxes With Solid Lids</t>
  </si>
  <si>
    <t>50 Yard Roll Off Box With Solid Lid</t>
  </si>
  <si>
    <t>6 Yard Frontload Recy On Casters</t>
  </si>
  <si>
    <t>30 Yard Roll Off With Solid Lid</t>
  </si>
  <si>
    <t>40 Yard Roll Off With Solid Lid</t>
  </si>
  <si>
    <t>25 Yard Roll Off With Solid Lid</t>
  </si>
  <si>
    <t>30Yd Roll-Off Boxes</t>
  </si>
  <si>
    <t>40Yd Roll-Off Boxes</t>
  </si>
  <si>
    <t>20 yd Roll Off Boxes w/ Dome Lids</t>
  </si>
  <si>
    <t>25 yd RO Boxes</t>
  </si>
  <si>
    <t>48 YD RO Box</t>
  </si>
  <si>
    <t>40 yd RO Boxes</t>
  </si>
  <si>
    <t>20 yd RO Box w/ Dome Lid</t>
  </si>
  <si>
    <t>40 yd RO Box</t>
  </si>
  <si>
    <t>20 yd RO Boxes w/ Dome Lids</t>
  </si>
  <si>
    <t>20 ydRO Boxes w/ Dome Lids</t>
  </si>
  <si>
    <t>30 yd RO Box</t>
  </si>
  <si>
    <t>20 yd RO box</t>
  </si>
  <si>
    <t>48 yd RO Box</t>
  </si>
  <si>
    <t>40 YD ROLL OFF</t>
  </si>
  <si>
    <t>25 YD ROLL OFF</t>
  </si>
  <si>
    <t>30 YD ROLL OFF</t>
  </si>
  <si>
    <t>48 YD ROLL OFF</t>
  </si>
  <si>
    <t>20Yd ROL Box Dome Lid</t>
  </si>
  <si>
    <t>25Yd ROL Box</t>
  </si>
  <si>
    <t>30Yd ROL Container</t>
  </si>
  <si>
    <t>20Yd ROL Container</t>
  </si>
  <si>
    <t>25Yd ROL Container</t>
  </si>
  <si>
    <t>20 YD ROLL OFF BOXES</t>
  </si>
  <si>
    <t>25YD ROLL OFF BOX</t>
  </si>
  <si>
    <t>20YD ROCK BOX</t>
  </si>
  <si>
    <t>30YD ROLL OFF BOX</t>
  </si>
  <si>
    <t>40 YD ROLL BOX</t>
  </si>
  <si>
    <t>48 YD ROLL BOX</t>
  </si>
  <si>
    <t>20 YD ROLL OFF</t>
  </si>
  <si>
    <t>30 YD RO Boxes</t>
  </si>
  <si>
    <t>2.5 YARD SELF DUMPING HOPPER</t>
  </si>
  <si>
    <t>40YD RO ASBESTOS BOXES</t>
  </si>
  <si>
    <t>20YD ROLL OFF CRANE BOX</t>
  </si>
  <si>
    <t>30YD ROLL OFF WITH SOLID LID</t>
  </si>
  <si>
    <t>25YD ROLL OFF WITH SOLID LID</t>
  </si>
  <si>
    <t>20YD ROLL OFF WITH SOLID LID</t>
  </si>
  <si>
    <t>40 Yard R/O Containers</t>
  </si>
  <si>
    <t>Amer/Murrey/DM</t>
  </si>
  <si>
    <t>95 Gallon Carts -  Dark Blue YW Carts</t>
  </si>
  <si>
    <t>24 Gallon Garbage Carts</t>
  </si>
  <si>
    <t>35 Gallon Garbage Carts</t>
  </si>
  <si>
    <t>96 Gallon Garbage Carts</t>
  </si>
  <si>
    <t>35 Gallon Garbage Carts (840)</t>
  </si>
  <si>
    <t>Assembly &amp; Distribution for 1463 carts</t>
  </si>
  <si>
    <t>24 Gallon Garbage Carts (210)</t>
  </si>
  <si>
    <t>35 Gallon Garbage Carts (630)</t>
  </si>
  <si>
    <t>96 Gallon Recycle Carts (100)</t>
  </si>
  <si>
    <t>64 Gallon Garbage Carts (680)</t>
  </si>
  <si>
    <t>95 Gallon Yard Waste Carts - Aqua Blue</t>
  </si>
  <si>
    <t>95 Gallon Yard Univ Carts-Ass- Aqua Blue</t>
  </si>
  <si>
    <t>95 Gallon Yardwaste Carts-Dk Aqua Blue</t>
  </si>
  <si>
    <t>95 Gal Blue Yardwaste Carts Load #1</t>
  </si>
  <si>
    <t>95 Gal Blue Yardwaste Carts Load #2</t>
  </si>
  <si>
    <t>96 Gallon Blue Yard Waste Carts</t>
  </si>
  <si>
    <t>95 Gallon Yard Waste Carts (Blue)</t>
  </si>
  <si>
    <t>96 Gallon Yard Waste Carts</t>
  </si>
  <si>
    <t>95 Gallon Carts for Yard Waste</t>
  </si>
  <si>
    <t>7</t>
  </si>
  <si>
    <t>Truck #LEX-22 Amort of Salvage</t>
  </si>
  <si>
    <t>Truck #169 Amort of Salvage</t>
  </si>
  <si>
    <t>Truck #60 Amort of Salvage</t>
  </si>
  <si>
    <t>Truck #168 Amort of Salvage</t>
  </si>
  <si>
    <t>Truck #WF-23 Amort of Salvage</t>
  </si>
  <si>
    <t>Truck #WF-24 Amort of Salvage</t>
  </si>
  <si>
    <t>Truck #WF-25 Amort of Salvage</t>
  </si>
  <si>
    <t>Truck #61 Amort of Salvage</t>
  </si>
  <si>
    <t>Truck #LEX-18 Amort of Salvage</t>
  </si>
  <si>
    <t>Truck #407 Amort of Salvage</t>
  </si>
  <si>
    <t>Truck #406 Amort of Salvage</t>
  </si>
  <si>
    <t>Truck #408 Amort of Salvage</t>
  </si>
  <si>
    <t>Truck #LEX-14 Amort of Salvage</t>
  </si>
  <si>
    <t>Truck #LEX-15 Amort of Salvage</t>
  </si>
  <si>
    <t>Truck #WF-13 Amort of Salvage</t>
  </si>
  <si>
    <t>Cameras Amort of Salvage</t>
  </si>
  <si>
    <t>Truck #WF-14 Amort of Salvage</t>
  </si>
  <si>
    <t>Truck #181 Amort of Salvage</t>
  </si>
  <si>
    <t>Truck #407 Auto Tarper Amort of Salvage</t>
  </si>
  <si>
    <t>Truck #406 Auto Tarper Amort of Salvage</t>
  </si>
  <si>
    <t>Truck #408 Auto Tarper Amort of Salvage</t>
  </si>
  <si>
    <t>Truck #154 Auto TarperAmort of Salvage</t>
  </si>
  <si>
    <t>Truck #WF-15 Amort of Salvage</t>
  </si>
  <si>
    <t>Truck #182 Amort of Salvage</t>
  </si>
  <si>
    <t>Truck #183 Amort of Salvage</t>
  </si>
  <si>
    <t>Truck #185 Amort of Salvage</t>
  </si>
  <si>
    <t>Truck #LEX-19 Amort of Salvage</t>
  </si>
  <si>
    <t>Truck #LEX-20 Amort of Salvage</t>
  </si>
  <si>
    <t>Truck #LEX-21 Amort of Salvage</t>
  </si>
  <si>
    <t>Truck #422 Amort of Salvage</t>
  </si>
  <si>
    <t>Grizzly Amort of Salvage</t>
  </si>
  <si>
    <t>TOTAL DEPRECIABLE OTHER CAPITAL</t>
  </si>
  <si>
    <t>Effective Rate Month</t>
  </si>
  <si>
    <t>First Year</t>
  </si>
  <si>
    <t>Second YEar</t>
  </si>
  <si>
    <t>Rate Effective Year</t>
  </si>
  <si>
    <t>Route Hours</t>
  </si>
  <si>
    <t>Customer Count</t>
  </si>
  <si>
    <t>T-stn tons</t>
  </si>
  <si>
    <t>T Stn Tons</t>
  </si>
  <si>
    <t>Total Equipment &amp; building</t>
  </si>
  <si>
    <t>Truck #910 Amort of Salvage</t>
  </si>
  <si>
    <t>2016 DEL BOX TRUCK</t>
  </si>
  <si>
    <t>53 TRI AXLE WALKING FLOOR</t>
  </si>
  <si>
    <t>6 Yd Retriever Truck</t>
  </si>
  <si>
    <t>2019 FEL Truck</t>
  </si>
  <si>
    <t>96 GAL YW TOTES</t>
  </si>
  <si>
    <t>96 GAL RECYCLE TOTES</t>
  </si>
  <si>
    <t>21 GAL MSW TOTES</t>
  </si>
  <si>
    <t>64 GAL MSW TOTES</t>
  </si>
  <si>
    <t>96 GAL MSW TOTES</t>
  </si>
  <si>
    <t>96 GAL RECY TOTES</t>
  </si>
  <si>
    <t>Murrey's American</t>
  </si>
  <si>
    <t>Test Year Depre</t>
  </si>
  <si>
    <t>Average Investment 9/30/2018</t>
  </si>
  <si>
    <t>New laptop for AC</t>
  </si>
  <si>
    <t>New Website for Murrey's Disposal</t>
  </si>
  <si>
    <t>Murrey's/ American</t>
  </si>
  <si>
    <t>Allocators</t>
  </si>
  <si>
    <t>40YD ROLL OFF BOX NO LID</t>
  </si>
  <si>
    <t>40YD ROLL OFF BOX WITH 4 SOLID LIDS</t>
  </si>
  <si>
    <t>30YD ROLL OFF BOX WITH 1 SOLID LID</t>
  </si>
  <si>
    <t>25Yd Roll Off Box With Solid Lid</t>
  </si>
  <si>
    <t>30Yd Roll Off Box With Solid Lid</t>
  </si>
  <si>
    <t>20 YARD ROLL OFF BOX WITH SOLID LID</t>
  </si>
  <si>
    <t>25 YARD ROLL OFF BOX WITH SOLID LID</t>
  </si>
  <si>
    <t>40 YARD ROLL OFF BOX WITH SOLID LID</t>
  </si>
  <si>
    <t>7960, 7961</t>
  </si>
  <si>
    <t>Steel Building (75x50) - TS</t>
  </si>
  <si>
    <t>Electrical - Transfer Station</t>
  </si>
  <si>
    <t>Transfer Station Improvements</t>
  </si>
  <si>
    <t>Canopy - TS</t>
  </si>
  <si>
    <t>Actual</t>
  </si>
  <si>
    <t>C-5</t>
  </si>
  <si>
    <t>C-4</t>
  </si>
  <si>
    <t>2012 Isuzu Delivery Truck (U)</t>
  </si>
  <si>
    <t>Functional Allocators - Used/Audited in TG-160232</t>
  </si>
  <si>
    <t>See Below</t>
  </si>
  <si>
    <t>FOUR-FACTOR ALLOCATION METHOD</t>
  </si>
  <si>
    <t>E</t>
  </si>
  <si>
    <t>Shared Facilities and Related Expenses 4-Factor Allocator</t>
  </si>
  <si>
    <t>Percentage of Tonnage</t>
  </si>
  <si>
    <t>Total Number of Customers</t>
  </si>
  <si>
    <t>Percentage of Customers</t>
  </si>
  <si>
    <t>Driver's Hours</t>
  </si>
  <si>
    <t>Percentage of Driver's Hours</t>
  </si>
  <si>
    <t>Persentage of Shop Hours</t>
  </si>
  <si>
    <t>Total Company Percentages</t>
  </si>
  <si>
    <t>Total Company Percent</t>
  </si>
  <si>
    <t>Total Murrey's and American</t>
  </si>
  <si>
    <t>American Disposal Company, Inc.</t>
  </si>
  <si>
    <t>Methodology Used in TG-160232</t>
  </si>
  <si>
    <t>4-Factor</t>
  </si>
  <si>
    <t>Link to Shop hours</t>
  </si>
  <si>
    <t>Vulcan Scale System</t>
  </si>
  <si>
    <t>Codes/ parent</t>
  </si>
  <si>
    <t>9537  - TF Tractor</t>
  </si>
  <si>
    <t>Deposit for Trailer</t>
  </si>
  <si>
    <t>P</t>
  </si>
  <si>
    <t>2012 Ford F150</t>
  </si>
  <si>
    <t>5 YARD FL OCC</t>
  </si>
  <si>
    <t>2 YARD FL GRBG</t>
  </si>
  <si>
    <t>2015 Tractor</t>
  </si>
  <si>
    <t>2019 RAJA CHASSIS</t>
  </si>
  <si>
    <t>LEX-26</t>
  </si>
  <si>
    <t>C-7</t>
  </si>
  <si>
    <t>Peterbilt 337/Peterson Lightning Loader</t>
  </si>
  <si>
    <t>Drive Cam</t>
  </si>
  <si>
    <t>New AC Machine (Cool-Tech 34988)</t>
  </si>
  <si>
    <t>New Welder and Plasma Cutter</t>
  </si>
  <si>
    <t>Order Picker with Maint Platform</t>
  </si>
  <si>
    <t>1997 PETERBILT TRACTOR 5610 (N)</t>
  </si>
  <si>
    <t>1997 PETERBILT TRACTOR 5614 (N)</t>
  </si>
  <si>
    <t>1997 PETERBILT 379 TRANSFER TRACTOR (U)</t>
  </si>
  <si>
    <t>ENGINE INFRAME TRACTOR</t>
  </si>
  <si>
    <t>2000 PETERBILT 378 TRACTOR (U)</t>
  </si>
  <si>
    <t>2007 FREIGHTLINER TRACTOR (N)</t>
  </si>
  <si>
    <t>Licensing For Truck #150 &amp; #Lex-27</t>
  </si>
  <si>
    <t>2005 TYPE H T TRACTOR (U)</t>
  </si>
  <si>
    <t>NEW ENGINE</t>
  </si>
  <si>
    <t>ENGINE REBUILD #177</t>
  </si>
  <si>
    <t>2007 Peterbilt 379 Transfer Tractor (U)</t>
  </si>
  <si>
    <t>2011 Peterbilt Tractor (N)</t>
  </si>
  <si>
    <t>Engine Rebuild #148</t>
  </si>
  <si>
    <t>2013 Travis 53' Trailer (N)</t>
  </si>
  <si>
    <t>2016 Helm Container Chassis</t>
  </si>
  <si>
    <t>96427, 96707</t>
  </si>
  <si>
    <t>96428, 96710</t>
  </si>
  <si>
    <t>LEX-17</t>
  </si>
  <si>
    <t>WF-17</t>
  </si>
  <si>
    <t>WF-19</t>
  </si>
  <si>
    <t>LEX-25</t>
  </si>
  <si>
    <t>LEX-24</t>
  </si>
  <si>
    <t>Number of Trucks</t>
  </si>
  <si>
    <t>Murrey's/American</t>
  </si>
  <si>
    <t>Trucks:</t>
  </si>
  <si>
    <t>Packer</t>
  </si>
  <si>
    <t>Recycling</t>
  </si>
  <si>
    <t>Drop Box</t>
  </si>
  <si>
    <t>MF Cont, Carts</t>
  </si>
  <si>
    <t>Other:</t>
  </si>
  <si>
    <t>Service</t>
  </si>
  <si>
    <t>Bldgs-Office</t>
  </si>
  <si>
    <t>Bldgs-Shop</t>
  </si>
  <si>
    <t>Bldgs-T-Station</t>
  </si>
  <si>
    <t>Total LOS Depreciation</t>
  </si>
  <si>
    <t>Avg. Investment</t>
  </si>
  <si>
    <t>Average Investment</t>
  </si>
  <si>
    <t>Line of Service</t>
  </si>
  <si>
    <t>Total Other</t>
  </si>
  <si>
    <t>MURREY'S/AMERICAN - LINE OF SERVICE ALLOCATION</t>
  </si>
  <si>
    <t>Med Waste</t>
  </si>
  <si>
    <t>Garbage Containers</t>
  </si>
  <si>
    <t>Transfer Tons</t>
  </si>
  <si>
    <t>Murrey's Packer</t>
  </si>
  <si>
    <t>Murrey's RO</t>
  </si>
  <si>
    <t>Murrey's Recycling</t>
  </si>
  <si>
    <t>Total Tons Transferred</t>
  </si>
  <si>
    <t>MSW</t>
  </si>
  <si>
    <t>Recycle</t>
  </si>
  <si>
    <t>Roll Off</t>
  </si>
  <si>
    <t>Route Hours:</t>
  </si>
  <si>
    <t>C-9</t>
  </si>
  <si>
    <t>WF-27</t>
  </si>
  <si>
    <t>Total Murrey's Recycle Carts</t>
  </si>
  <si>
    <t>Total Shared Recycle Carts</t>
  </si>
  <si>
    <t>Automation Carts</t>
  </si>
  <si>
    <t>Recycling (shared)</t>
  </si>
  <si>
    <t>Recycling (Murrey's Only</t>
  </si>
  <si>
    <t>Murrey's Only</t>
  </si>
  <si>
    <t>Recycling (Shared)</t>
  </si>
  <si>
    <t>Recycling (Murrey's)</t>
  </si>
  <si>
    <t>Murrey's Recycle Carts - from Prior Rate Filings</t>
  </si>
  <si>
    <t>MURREY'S GARBAGE CARTS PURCHASED FOR AUTOMATION</t>
  </si>
  <si>
    <t>SHARED RECYCLE CARTS - PURCHASED AFTER LAST RATE FILING</t>
  </si>
  <si>
    <t>Garbage Carts</t>
  </si>
  <si>
    <t>SHARED GARBAGE CARTS - PURCHASED AFTER AUTOMATION</t>
  </si>
  <si>
    <t xml:space="preserve">RO </t>
  </si>
  <si>
    <t>Recycle Bunder/Transfer Station Upgrades</t>
  </si>
  <si>
    <t>Facility Upgrades &amp; Frontage Road Improvements</t>
  </si>
  <si>
    <t>d</t>
  </si>
  <si>
    <t>Delivery</t>
  </si>
  <si>
    <t>Delivery Alloc:</t>
  </si>
  <si>
    <t>Total Packer</t>
  </si>
  <si>
    <t>MULTI-FAMILY RECYCLING</t>
  </si>
  <si>
    <t>Total RO</t>
  </si>
  <si>
    <t>Total YW</t>
  </si>
  <si>
    <t>Total Recycling</t>
  </si>
  <si>
    <t>Recycling Bunker</t>
  </si>
  <si>
    <t>T-Stn Tons</t>
  </si>
  <si>
    <t>Office Equip</t>
  </si>
  <si>
    <t>Depreciation - LOS</t>
  </si>
  <si>
    <t>Average Investment - LOS</t>
  </si>
  <si>
    <t>Shop Hours Alloc</t>
  </si>
  <si>
    <t>Cust Count Allocation</t>
  </si>
  <si>
    <t>Recycle Tons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</si>
</sst>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_-* #,##0.00_-;\-* #,##0.00_-;_-* &quot;-&quot;??_-;_-@_-"/>
    <numFmt numFmtId="167" formatCode="&quot;$&quot;#,##0\ ;\(&quot;$&quot;#,##0\)"/>
    <numFmt numFmtId="168" formatCode="_([$€-2]* #,##0.00_);_([$€-2]* \(#,##0.00\);_([$€-2]* &quot;-&quot;??_)"/>
    <numFmt numFmtId="169" formatCode="0.0%"/>
    <numFmt numFmtId="170" formatCode="[h]:mm"/>
  </numFmts>
  <fonts count="99">
    <font>
      <sz val="12"/>
      <name val="Helv"/>
    </font>
    <font>
      <sz val="10"/>
      <name val="Arial"/>
      <family val="2"/>
    </font>
    <font>
      <sz val="10"/>
      <name val="Arial"/>
      <family val="2"/>
    </font>
    <font>
      <sz val="9"/>
      <name val="Arial"/>
      <family val="2"/>
    </font>
    <font>
      <sz val="8"/>
      <name val="Arial"/>
      <family val="2"/>
    </font>
    <font>
      <sz val="12"/>
      <name val="Helv"/>
    </font>
    <font>
      <sz val="8"/>
      <color indexed="81"/>
      <name val="Tahoma"/>
      <family val="2"/>
    </font>
    <font>
      <b/>
      <sz val="8"/>
      <color indexed="81"/>
      <name val="Tahoma"/>
      <family val="2"/>
    </font>
    <font>
      <sz val="9"/>
      <color indexed="81"/>
      <name val="Tahoma"/>
      <family val="2"/>
    </font>
    <font>
      <b/>
      <sz val="9"/>
      <color indexed="81"/>
      <name val="Tahoma"/>
      <family val="2"/>
    </font>
    <font>
      <sz val="7"/>
      <color indexed="81"/>
      <name val="Tahoma"/>
      <family val="2"/>
    </font>
    <font>
      <sz val="12"/>
      <name val="Arial"/>
      <family val="2"/>
    </font>
    <font>
      <b/>
      <u/>
      <sz val="9"/>
      <name val="Arial"/>
      <family val="2"/>
    </font>
    <font>
      <sz val="9"/>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color indexed="8"/>
      <name val="Calibri"/>
      <family val="2"/>
    </font>
    <font>
      <sz val="10"/>
      <color indexed="8"/>
      <name val="Arial"/>
      <family val="2"/>
    </font>
    <font>
      <sz val="12"/>
      <name val="Courier"/>
      <family val="3"/>
    </font>
    <font>
      <sz val="10"/>
      <name val="Times New Roman"/>
      <family val="1"/>
    </font>
    <font>
      <sz val="11"/>
      <color indexed="8"/>
      <name val="Arial"/>
      <family val="2"/>
    </font>
    <font>
      <b/>
      <sz val="10"/>
      <color indexed="12"/>
      <name val="Arial"/>
      <family val="2"/>
    </font>
    <font>
      <b/>
      <sz val="15"/>
      <color indexed="62"/>
      <name val="Calibri"/>
      <family val="2"/>
    </font>
    <font>
      <b/>
      <sz val="13"/>
      <color indexed="62"/>
      <name val="Calibri"/>
      <family val="2"/>
    </font>
    <font>
      <b/>
      <sz val="11"/>
      <color indexed="62"/>
      <name val="Calibri"/>
      <family val="2"/>
    </font>
    <font>
      <b/>
      <sz val="11"/>
      <color indexed="61"/>
      <name val="Calibri"/>
      <family val="2"/>
    </font>
    <font>
      <u/>
      <sz val="10"/>
      <color indexed="12"/>
      <name val="Arial"/>
      <family val="2"/>
    </font>
    <font>
      <u/>
      <sz val="11"/>
      <color indexed="12"/>
      <name val="Calibri"/>
      <family val="2"/>
    </font>
    <font>
      <sz val="11"/>
      <color indexed="61"/>
      <name val="Calibri"/>
      <family val="2"/>
    </font>
    <font>
      <sz val="10"/>
      <color indexed="12"/>
      <name val="Arial"/>
      <family val="2"/>
    </font>
    <font>
      <sz val="10"/>
      <name val="MS Sans Serif"/>
      <family val="2"/>
    </font>
    <font>
      <sz val="12"/>
      <color indexed="8"/>
      <name val="Calibri"/>
      <family val="2"/>
    </font>
    <font>
      <b/>
      <sz val="11"/>
      <color indexed="10"/>
      <name val="Calibri"/>
      <family val="2"/>
    </font>
    <font>
      <sz val="11"/>
      <color indexed="8"/>
      <name val="Calibri"/>
      <family val="2"/>
    </font>
    <font>
      <sz val="12"/>
      <color indexed="8"/>
      <name val="Calibri"/>
      <family val="2"/>
    </font>
    <font>
      <b/>
      <sz val="12"/>
      <color indexed="12"/>
      <name val="Times New Roman"/>
      <family val="1"/>
    </font>
    <font>
      <b/>
      <sz val="10"/>
      <color indexed="10"/>
      <name val="Arial"/>
      <family val="2"/>
    </font>
    <font>
      <b/>
      <sz val="11"/>
      <color indexed="51"/>
      <name val="Calibri"/>
      <family val="2"/>
    </font>
    <font>
      <b/>
      <sz val="11"/>
      <color indexed="18"/>
      <name val="Britannic Bold"/>
      <family val="2"/>
    </font>
    <font>
      <sz val="12"/>
      <name val="CG Omega"/>
    </font>
    <font>
      <sz val="11"/>
      <name val="Bookman Old Style"/>
      <family val="1"/>
    </font>
    <font>
      <b/>
      <sz val="15"/>
      <color indexed="61"/>
      <name val="Calibri"/>
      <family val="2"/>
    </font>
    <font>
      <b/>
      <sz val="13"/>
      <color indexed="61"/>
      <name val="Calibri"/>
      <family val="2"/>
    </font>
    <font>
      <u/>
      <sz val="10"/>
      <name val="Arial"/>
      <family val="2"/>
    </font>
    <font>
      <u/>
      <sz val="7.5"/>
      <color indexed="12"/>
      <name val="Arial"/>
      <family val="2"/>
    </font>
    <font>
      <sz val="11"/>
      <color indexed="51"/>
      <name val="Calibri"/>
      <family val="2"/>
    </font>
    <font>
      <sz val="11"/>
      <color indexed="59"/>
      <name val="Calibri"/>
      <family val="2"/>
    </font>
    <font>
      <sz val="11"/>
      <color indexed="19"/>
      <name val="Calibri"/>
      <family val="2"/>
    </font>
    <font>
      <u/>
      <sz val="11"/>
      <color indexed="12"/>
      <name val="Arial"/>
      <family val="2"/>
    </font>
    <font>
      <b/>
      <sz val="14"/>
      <name val="Helv"/>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8000000000000007"/>
      <color theme="10"/>
      <name val="Calibri"/>
      <family val="2"/>
    </font>
    <font>
      <u/>
      <sz val="9.35"/>
      <color theme="10"/>
      <name val="Calibri"/>
      <family val="2"/>
    </font>
    <font>
      <u/>
      <sz val="11"/>
      <color theme="10"/>
      <name val="Calibri"/>
      <family val="2"/>
    </font>
    <font>
      <u/>
      <sz val="11"/>
      <color theme="10"/>
      <name val="Calibri"/>
      <family val="2"/>
      <scheme val="minor"/>
    </font>
    <font>
      <u/>
      <sz val="11"/>
      <color theme="10"/>
      <name val="Century Gothic"/>
      <family val="2"/>
    </font>
    <font>
      <sz val="11"/>
      <color rgb="FF3F3F76"/>
      <name val="Calibri"/>
      <family val="2"/>
      <scheme val="minor"/>
    </font>
    <font>
      <sz val="11"/>
      <color rgb="FFFA7D00"/>
      <name val="Calibri"/>
      <family val="2"/>
      <scheme val="minor"/>
    </font>
    <font>
      <sz val="11"/>
      <color rgb="FF9C6500"/>
      <name val="Calibri"/>
      <family val="2"/>
      <scheme val="minor"/>
    </font>
    <font>
      <sz val="12"/>
      <color theme="1"/>
      <name val="Calibri"/>
      <family val="2"/>
      <scheme val="minor"/>
    </font>
    <font>
      <sz val="11"/>
      <color theme="1"/>
      <name val="Arial"/>
      <family val="2"/>
    </font>
    <font>
      <b/>
      <sz val="11"/>
      <name val="Calibri"/>
      <family val="2"/>
      <scheme val="minor"/>
    </font>
    <font>
      <sz val="11"/>
      <color indexed="12"/>
      <name val="Calibri"/>
      <family val="2"/>
      <scheme val="minor"/>
    </font>
    <font>
      <sz val="11"/>
      <name val="Calibri"/>
      <family val="2"/>
      <scheme val="minor"/>
    </font>
    <font>
      <b/>
      <u/>
      <sz val="11"/>
      <name val="Calibri"/>
      <family val="2"/>
      <scheme val="minor"/>
    </font>
    <font>
      <b/>
      <sz val="11"/>
      <color indexed="8"/>
      <name val="Calibri"/>
      <family val="2"/>
      <scheme val="minor"/>
    </font>
    <font>
      <b/>
      <sz val="11"/>
      <color rgb="FFFF0000"/>
      <name val="Calibri"/>
      <family val="2"/>
      <scheme val="minor"/>
    </font>
    <font>
      <sz val="11"/>
      <color indexed="10"/>
      <name val="Calibri"/>
      <family val="2"/>
      <scheme val="minor"/>
    </font>
    <font>
      <sz val="11"/>
      <color rgb="FFFF0000"/>
      <name val="Calibri"/>
      <family val="2"/>
      <scheme val="minor"/>
    </font>
    <font>
      <b/>
      <u/>
      <sz val="11"/>
      <color indexed="12"/>
      <name val="Calibri"/>
      <family val="2"/>
      <scheme val="minor"/>
    </font>
    <font>
      <b/>
      <i/>
      <sz val="11"/>
      <color indexed="8"/>
      <name val="Calibri"/>
      <family val="2"/>
      <scheme val="minor"/>
    </font>
    <font>
      <i/>
      <sz val="11"/>
      <color indexed="8"/>
      <name val="Calibri"/>
      <family val="2"/>
      <scheme val="minor"/>
    </font>
    <font>
      <sz val="11"/>
      <color indexed="8"/>
      <name val="Calibri"/>
      <family val="2"/>
      <scheme val="minor"/>
    </font>
    <font>
      <b/>
      <u/>
      <sz val="11"/>
      <color indexed="8"/>
      <name val="Calibri"/>
      <family val="2"/>
      <scheme val="minor"/>
    </font>
    <font>
      <sz val="12"/>
      <name val="Calibri"/>
      <family val="2"/>
      <scheme val="minor"/>
    </font>
    <font>
      <b/>
      <sz val="12"/>
      <name val="Calibri"/>
      <family val="2"/>
      <scheme val="minor"/>
    </font>
    <font>
      <sz val="9"/>
      <color indexed="8"/>
      <name val="Calibri"/>
      <family val="2"/>
    </font>
    <font>
      <sz val="10"/>
      <name val="Calibri"/>
      <family val="2"/>
      <scheme val="minor"/>
    </font>
  </fonts>
  <fills count="73">
    <fill>
      <patternFill patternType="none"/>
    </fill>
    <fill>
      <patternFill patternType="gray125"/>
    </fill>
    <fill>
      <patternFill patternType="solid">
        <fgColor indexed="31"/>
      </patternFill>
    </fill>
    <fill>
      <patternFill patternType="solid">
        <fgColor indexed="22"/>
      </patternFill>
    </fill>
    <fill>
      <patternFill patternType="solid">
        <fgColor indexed="47"/>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48"/>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indexed="63"/>
      </patternFill>
    </fill>
    <fill>
      <patternFill patternType="solid">
        <fgColor indexed="42"/>
        <bgColor indexed="29"/>
      </patternFill>
    </fill>
    <fill>
      <patternFill patternType="solid">
        <fgColor indexed="45"/>
        <bgColor indexed="64"/>
      </patternFill>
    </fill>
    <fill>
      <patternFill patternType="solid">
        <fgColor indexed="9"/>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1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theme="6" tint="0.59999389629810485"/>
        <bgColor indexed="64"/>
      </patternFill>
    </fill>
    <fill>
      <patternFill patternType="solid">
        <fgColor indexed="27"/>
        <bgColor indexed="64"/>
      </patternFill>
    </fill>
    <fill>
      <patternFill patternType="solid">
        <fgColor theme="0" tint="-0.14999847407452621"/>
        <bgColor indexed="64"/>
      </patternFill>
    </fill>
    <fill>
      <patternFill patternType="solid">
        <fgColor indexed="55"/>
        <bgColor indexed="64"/>
      </patternFill>
    </fill>
    <fill>
      <patternFill patternType="solid">
        <fgColor indexed="49"/>
        <bgColor indexed="64"/>
      </patternFill>
    </fill>
    <fill>
      <patternFill patternType="solid">
        <fgColor theme="6" tint="0.79998168889431442"/>
        <bgColor indexed="64"/>
      </patternFill>
    </fill>
    <fill>
      <patternFill patternType="solid">
        <fgColor rgb="FF92D050"/>
        <bgColor indexed="64"/>
      </patternFill>
    </fill>
  </fills>
  <borders count="52">
    <border>
      <left/>
      <right/>
      <top/>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2"/>
      </left>
      <right style="double">
        <color indexed="62"/>
      </right>
      <top style="double">
        <color indexed="62"/>
      </top>
      <bottom style="double">
        <color indexed="62"/>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49"/>
      </bottom>
      <diagonal/>
    </border>
    <border>
      <left/>
      <right/>
      <top/>
      <bottom style="medium">
        <color indexed="48"/>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auto="1"/>
      </top>
      <bottom style="double">
        <color auto="1"/>
      </bottom>
      <diagonal/>
    </border>
    <border>
      <left/>
      <right style="medium">
        <color indexed="64"/>
      </right>
      <top style="thin">
        <color indexed="64"/>
      </top>
      <bottom style="double">
        <color indexed="64"/>
      </bottom>
      <diagonal/>
    </border>
    <border>
      <left/>
      <right/>
      <top style="double">
        <color indexed="64"/>
      </top>
      <bottom style="double">
        <color indexed="64"/>
      </bottom>
      <diagonal/>
    </border>
  </borders>
  <cellStyleXfs count="8879">
    <xf numFmtId="0" fontId="0" fillId="0" borderId="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4"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2" borderId="0" applyNumberFormat="0" applyBorder="0" applyAlignment="0" applyProtection="0"/>
    <xf numFmtId="0" fontId="14" fillId="5" borderId="0" applyNumberFormat="0" applyBorder="0" applyAlignment="0" applyProtection="0"/>
    <xf numFmtId="0" fontId="62" fillId="36" borderId="0" applyNumberFormat="0" applyBorder="0" applyAlignment="0" applyProtection="0"/>
    <xf numFmtId="0" fontId="62" fillId="36" borderId="0" applyNumberFormat="0" applyBorder="0" applyAlignment="0" applyProtection="0"/>
    <xf numFmtId="0" fontId="14" fillId="5" borderId="0" applyNumberFormat="0" applyBorder="0" applyAlignment="0" applyProtection="0"/>
    <xf numFmtId="0" fontId="62" fillId="36" borderId="0" applyNumberFormat="0" applyBorder="0" applyAlignment="0" applyProtection="0"/>
    <xf numFmtId="0" fontId="14" fillId="2"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62" fillId="37" borderId="0" applyNumberFormat="0" applyBorder="0" applyAlignment="0" applyProtection="0"/>
    <xf numFmtId="0" fontId="62" fillId="4" borderId="0" applyNumberFormat="0" applyBorder="0" applyAlignment="0" applyProtection="0"/>
    <xf numFmtId="0" fontId="62" fillId="37" borderId="0" applyNumberFormat="0" applyBorder="0" applyAlignment="0" applyProtection="0"/>
    <xf numFmtId="0" fontId="14" fillId="6" borderId="0" applyNumberFormat="0" applyBorder="0" applyAlignment="0" applyProtection="0"/>
    <xf numFmtId="0" fontId="14" fillId="9" borderId="0" applyNumberFormat="0" applyBorder="0" applyAlignment="0" applyProtection="0"/>
    <xf numFmtId="0" fontId="62"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62" fillId="38" borderId="0" applyNumberFormat="0" applyBorder="0" applyAlignment="0" applyProtection="0"/>
    <xf numFmtId="0" fontId="62" fillId="9" borderId="0" applyNumberFormat="0" applyBorder="0" applyAlignment="0" applyProtection="0"/>
    <xf numFmtId="0" fontId="62" fillId="38"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4" borderId="0" applyNumberFormat="0" applyBorder="0" applyAlignment="0" applyProtection="0"/>
    <xf numFmtId="0" fontId="62" fillId="39" borderId="0" applyNumberFormat="0" applyBorder="0" applyAlignment="0" applyProtection="0"/>
    <xf numFmtId="0" fontId="62" fillId="39" borderId="0" applyNumberFormat="0" applyBorder="0" applyAlignment="0" applyProtection="0"/>
    <xf numFmtId="0" fontId="14" fillId="4" borderId="0" applyNumberFormat="0" applyBorder="0" applyAlignment="0" applyProtection="0"/>
    <xf numFmtId="0" fontId="62" fillId="39" borderId="0" applyNumberFormat="0" applyBorder="0" applyAlignment="0" applyProtection="0"/>
    <xf numFmtId="0" fontId="14" fillId="10" borderId="0" applyNumberFormat="0" applyBorder="0" applyAlignment="0" applyProtection="0"/>
    <xf numFmtId="0" fontId="62" fillId="40" borderId="0" applyNumberFormat="0" applyBorder="0" applyAlignment="0" applyProtection="0"/>
    <xf numFmtId="0" fontId="14" fillId="11" borderId="0" applyNumberFormat="0" applyBorder="0" applyAlignment="0" applyProtection="0"/>
    <xf numFmtId="0" fontId="62" fillId="40" borderId="0" applyNumberFormat="0" applyBorder="0" applyAlignment="0" applyProtection="0"/>
    <xf numFmtId="0" fontId="14" fillId="11" borderId="0" applyNumberFormat="0" applyBorder="0" applyAlignment="0" applyProtection="0"/>
    <xf numFmtId="0" fontId="62" fillId="40" borderId="0" applyNumberFormat="0" applyBorder="0" applyAlignment="0" applyProtection="0"/>
    <xf numFmtId="0" fontId="14" fillId="11"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0" borderId="0" applyNumberFormat="0" applyBorder="0" applyAlignment="0" applyProtection="0"/>
    <xf numFmtId="0" fontId="62" fillId="41"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14" fillId="9" borderId="0" applyNumberFormat="0" applyBorder="0" applyAlignment="0" applyProtection="0"/>
    <xf numFmtId="0" fontId="14" fillId="4"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62" fillId="4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1"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14" fillId="5" borderId="0" applyNumberFormat="0" applyBorder="0" applyAlignment="0" applyProtection="0"/>
    <xf numFmtId="0" fontId="62" fillId="43" borderId="0" applyNumberFormat="0" applyBorder="0" applyAlignment="0" applyProtection="0"/>
    <xf numFmtId="0" fontId="14" fillId="7" borderId="0" applyNumberFormat="0" applyBorder="0" applyAlignment="0" applyProtection="0"/>
    <xf numFmtId="0" fontId="62" fillId="43" borderId="0" applyNumberFormat="0" applyBorder="0" applyAlignment="0" applyProtection="0"/>
    <xf numFmtId="0" fontId="14" fillId="7" borderId="0" applyNumberFormat="0" applyBorder="0" applyAlignment="0" applyProtection="0"/>
    <xf numFmtId="0" fontId="62" fillId="43" borderId="0" applyNumberFormat="0" applyBorder="0" applyAlignment="0" applyProtection="0"/>
    <xf numFmtId="0" fontId="14" fillId="7"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62" fillId="43"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62" fillId="44" borderId="0" applyNumberFormat="0" applyBorder="0" applyAlignment="0" applyProtection="0"/>
    <xf numFmtId="0" fontId="62" fillId="9" borderId="0" applyNumberFormat="0" applyBorder="0" applyAlignment="0" applyProtection="0"/>
    <xf numFmtId="0" fontId="62" fillId="44" borderId="0" applyNumberFormat="0" applyBorder="0" applyAlignment="0" applyProtection="0"/>
    <xf numFmtId="0" fontId="14" fillId="12" borderId="0" applyNumberFormat="0" applyBorder="0" applyAlignment="0" applyProtection="0"/>
    <xf numFmtId="0" fontId="62" fillId="45"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14" fillId="10" borderId="0" applyNumberFormat="0" applyBorder="0" applyAlignment="0" applyProtection="0"/>
    <xf numFmtId="0" fontId="62" fillId="46"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5"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9" borderId="0" applyNumberFormat="0" applyBorder="0" applyAlignment="0" applyProtection="0"/>
    <xf numFmtId="0" fontId="62" fillId="47" borderId="0" applyNumberFormat="0" applyBorder="0" applyAlignment="0" applyProtection="0"/>
    <xf numFmtId="0" fontId="62" fillId="47" borderId="0" applyNumberFormat="0" applyBorder="0" applyAlignment="0" applyProtection="0"/>
    <xf numFmtId="0" fontId="14" fillId="14" borderId="0" applyNumberFormat="0" applyBorder="0" applyAlignment="0" applyProtection="0"/>
    <xf numFmtId="0" fontId="63" fillId="48"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63" fillId="48" borderId="0" applyNumberFormat="0" applyBorder="0" applyAlignment="0" applyProtection="0"/>
    <xf numFmtId="0" fontId="63" fillId="49"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8" borderId="0" applyNumberFormat="0" applyBorder="0" applyAlignment="0" applyProtection="0"/>
    <xf numFmtId="0" fontId="15" fillId="7" borderId="0" applyNumberFormat="0" applyBorder="0" applyAlignment="0" applyProtection="0"/>
    <xf numFmtId="0" fontId="15" fillId="18" borderId="0" applyNumberFormat="0" applyBorder="0" applyAlignment="0" applyProtection="0"/>
    <xf numFmtId="0" fontId="63" fillId="49"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4"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15" fillId="6" borderId="0" applyNumberFormat="0" applyBorder="0" applyAlignment="0" applyProtection="0"/>
    <xf numFmtId="0" fontId="63" fillId="52"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1" borderId="0" applyNumberFormat="0" applyBorder="0" applyAlignment="0" applyProtection="0"/>
    <xf numFmtId="0" fontId="15" fillId="16" borderId="0" applyNumberFormat="0" applyBorder="0" applyAlignment="0" applyProtection="0"/>
    <xf numFmtId="0" fontId="15" fillId="11" borderId="0" applyNumberFormat="0" applyBorder="0" applyAlignment="0" applyProtection="0"/>
    <xf numFmtId="0" fontId="63" fillId="52" borderId="0" applyNumberFormat="0" applyBorder="0" applyAlignment="0" applyProtection="0"/>
    <xf numFmtId="0" fontId="15" fillId="7" borderId="0" applyNumberFormat="0" applyBorder="0" applyAlignment="0" applyProtection="0"/>
    <xf numFmtId="0" fontId="15" fillId="4" borderId="0" applyNumberFormat="0" applyBorder="0" applyAlignment="0" applyProtection="0"/>
    <xf numFmtId="0" fontId="15" fillId="7" borderId="0" applyNumberFormat="0" applyBorder="0" applyAlignment="0" applyProtection="0"/>
    <xf numFmtId="0" fontId="15" fillId="20" borderId="0" applyNumberFormat="0" applyBorder="0" applyAlignment="0" applyProtection="0"/>
    <xf numFmtId="0" fontId="15" fillId="7"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63" fillId="55" borderId="0" applyNumberFormat="0" applyBorder="0" applyAlignment="0" applyProtection="0"/>
    <xf numFmtId="0" fontId="63" fillId="56"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22" borderId="0" applyNumberFormat="0" applyBorder="0" applyAlignment="0" applyProtection="0"/>
    <xf numFmtId="0" fontId="15" fillId="14" borderId="0" applyNumberFormat="0" applyBorder="0" applyAlignment="0" applyProtection="0"/>
    <xf numFmtId="0" fontId="15" fillId="24" borderId="0" applyNumberFormat="0" applyBorder="0" applyAlignment="0" applyProtection="0"/>
    <xf numFmtId="0" fontId="15" fillId="14" borderId="0" applyNumberFormat="0" applyBorder="0" applyAlignment="0" applyProtection="0"/>
    <xf numFmtId="0" fontId="63" fillId="56" borderId="0" applyNumberFormat="0" applyBorder="0" applyAlignment="0" applyProtection="0"/>
    <xf numFmtId="0" fontId="63" fillId="5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5" borderId="0" applyNumberFormat="0" applyBorder="0" applyAlignment="0" applyProtection="0"/>
    <xf numFmtId="0" fontId="15" fillId="25" borderId="0" applyNumberFormat="0" applyBorder="0" applyAlignment="0" applyProtection="0"/>
    <xf numFmtId="0" fontId="15" fillId="19" borderId="0" applyNumberFormat="0" applyBorder="0" applyAlignment="0" applyProtection="0"/>
    <xf numFmtId="0" fontId="15" fillId="25" borderId="0" applyNumberFormat="0" applyBorder="0" applyAlignment="0" applyProtection="0"/>
    <xf numFmtId="0" fontId="63" fillId="57" borderId="0" applyNumberFormat="0" applyBorder="0" applyAlignment="0" applyProtection="0"/>
    <xf numFmtId="0" fontId="63" fillId="58" borderId="0" applyNumberFormat="0" applyBorder="0" applyAlignment="0" applyProtection="0"/>
    <xf numFmtId="0" fontId="15" fillId="17" borderId="0" applyNumberFormat="0" applyBorder="0" applyAlignment="0" applyProtection="0"/>
    <xf numFmtId="0" fontId="63" fillId="58"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63" fillId="58" borderId="0" applyNumberFormat="0" applyBorder="0" applyAlignment="0" applyProtection="0"/>
    <xf numFmtId="0" fontId="63" fillId="59"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3"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63" fillId="59" borderId="0" applyNumberFormat="0" applyBorder="0" applyAlignment="0" applyProtection="0"/>
    <xf numFmtId="41" fontId="2" fillId="0" borderId="0"/>
    <xf numFmtId="41" fontId="2" fillId="0" borderId="0"/>
    <xf numFmtId="41" fontId="2" fillId="0" borderId="0"/>
    <xf numFmtId="41" fontId="2" fillId="0" borderId="0"/>
    <xf numFmtId="41" fontId="2" fillId="0" borderId="0"/>
    <xf numFmtId="41" fontId="2" fillId="0" borderId="0"/>
    <xf numFmtId="41" fontId="2" fillId="0" borderId="0"/>
    <xf numFmtId="49" fontId="48" fillId="0" borderId="0" applyFill="0" applyBorder="0" applyAlignment="0" applyProtection="0"/>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64" fillId="60"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10" borderId="0" applyNumberFormat="0" applyBorder="0" applyAlignment="0" applyProtection="0"/>
    <xf numFmtId="0" fontId="16" fillId="6" borderId="0" applyNumberFormat="0" applyBorder="0" applyAlignment="0" applyProtection="0"/>
    <xf numFmtId="0" fontId="16" fillId="10" borderId="0" applyNumberFormat="0" applyBorder="0" applyAlignment="0" applyProtection="0"/>
    <xf numFmtId="0" fontId="64" fillId="60" borderId="0" applyNumberFormat="0" applyBorder="0" applyAlignment="0" applyProtection="0"/>
    <xf numFmtId="3" fontId="2" fillId="0" borderId="0"/>
    <xf numFmtId="3" fontId="2" fillId="0" borderId="0"/>
    <xf numFmtId="3" fontId="2" fillId="0" borderId="0"/>
    <xf numFmtId="3" fontId="2" fillId="0" borderId="0"/>
    <xf numFmtId="0" fontId="65" fillId="61" borderId="20"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9"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26"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17" fillId="3" borderId="2" applyNumberFormat="0" applyAlignment="0" applyProtection="0"/>
    <xf numFmtId="0" fontId="44" fillId="26" borderId="2" applyNumberFormat="0" applyAlignment="0" applyProtection="0"/>
    <xf numFmtId="0" fontId="65" fillId="61" borderId="20"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44" fillId="26" borderId="2" applyNumberFormat="0" applyAlignment="0" applyProtection="0"/>
    <xf numFmtId="0" fontId="66" fillId="62" borderId="21" applyNumberFormat="0" applyAlignment="0" applyProtection="0"/>
    <xf numFmtId="0" fontId="18" fillId="28" borderId="4" applyNumberFormat="0" applyAlignment="0" applyProtection="0"/>
    <xf numFmtId="0" fontId="18" fillId="28" borderId="4" applyNumberFormat="0" applyAlignment="0" applyProtection="0"/>
    <xf numFmtId="0" fontId="18" fillId="28" borderId="4" applyNumberFormat="0" applyAlignment="0" applyProtection="0"/>
    <xf numFmtId="0" fontId="18" fillId="27" borderId="3" applyNumberFormat="0" applyAlignment="0" applyProtection="0"/>
    <xf numFmtId="0" fontId="18" fillId="28" borderId="4" applyNumberFormat="0" applyAlignment="0" applyProtection="0"/>
    <xf numFmtId="0" fontId="18" fillId="27" borderId="3" applyNumberFormat="0" applyAlignment="0" applyProtection="0"/>
    <xf numFmtId="0" fontId="66" fillId="62" borderId="21" applyNumberFormat="0" applyAlignment="0" applyProtection="0"/>
    <xf numFmtId="0" fontId="50" fillId="29" borderId="0" applyNumberFormat="0" applyBorder="0" applyAlignment="0" applyProtection="0">
      <alignment horizontal="center"/>
      <protection hidden="1"/>
    </xf>
    <xf numFmtId="0" fontId="2" fillId="30" borderId="0">
      <alignment horizontal="center"/>
    </xf>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51"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29" fillId="0" borderId="0" applyFont="0" applyFill="0" applyBorder="0" applyAlignment="0" applyProtection="0">
      <alignment vertical="top"/>
    </xf>
    <xf numFmtId="43" fontId="29" fillId="0" borderId="0" applyFont="0" applyFill="0" applyBorder="0" applyAlignment="0" applyProtection="0">
      <alignment vertical="top"/>
    </xf>
    <xf numFmtId="43" fontId="2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1" fontId="31" fillId="31" borderId="0">
      <alignment horizontal="left"/>
    </xf>
    <xf numFmtId="43"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5" fillId="0" borderId="0" applyFont="0" applyFill="0" applyBorder="0" applyAlignment="0" applyProtection="0"/>
    <xf numFmtId="43" fontId="2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28"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3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3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6"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 fontId="29" fillId="0" borderId="0"/>
    <xf numFmtId="3" fontId="42" fillId="0" borderId="0" applyFont="0" applyFill="0" applyBorder="0" applyAlignment="0" applyProtection="0"/>
    <xf numFmtId="0" fontId="30" fillId="0" borderId="0"/>
    <xf numFmtId="0" fontId="30" fillId="0" borderId="0"/>
    <xf numFmtId="0" fontId="13" fillId="32" borderId="5" applyAlignment="0">
      <alignment horizontal="right"/>
      <protection locked="0"/>
    </xf>
    <xf numFmtId="44" fontId="28"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3" fillId="0" borderId="0" applyFont="0" applyFill="0" applyBorder="0" applyAlignment="0" applyProtection="0"/>
    <xf numFmtId="44" fontId="28"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6" fillId="0" borderId="0" applyFont="0" applyFill="0" applyBorder="0" applyAlignment="0" applyProtection="0"/>
    <xf numFmtId="44" fontId="28" fillId="0" borderId="0" applyFont="0" applyFill="0" applyBorder="0" applyAlignment="0" applyProtection="0"/>
    <xf numFmtId="44" fontId="28" fillId="0" borderId="0" applyFont="0" applyFill="0" applyBorder="0" applyAlignment="0" applyProtection="0"/>
    <xf numFmtId="44" fontId="45" fillId="0" borderId="0" applyFont="0" applyFill="0" applyBorder="0" applyAlignment="0" applyProtection="0"/>
    <xf numFmtId="44" fontId="5" fillId="0" borderId="0" applyFont="0" applyFill="0" applyBorder="0" applyAlignment="0" applyProtection="0"/>
    <xf numFmtId="44" fontId="2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9" fillId="0" borderId="0" applyFont="0" applyFill="0" applyBorder="0" applyAlignment="0" applyProtection="0">
      <alignment vertical="top"/>
    </xf>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52"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31"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3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alignment wrapText="1"/>
    </xf>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4"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2"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167" fontId="42" fillId="0" borderId="0" applyFont="0" applyFill="0" applyBorder="0" applyAlignment="0" applyProtection="0"/>
    <xf numFmtId="0" fontId="5" fillId="0" borderId="0"/>
    <xf numFmtId="0" fontId="5" fillId="0" borderId="0"/>
    <xf numFmtId="0" fontId="5" fillId="0" borderId="6"/>
    <xf numFmtId="0" fontId="5" fillId="0" borderId="6"/>
    <xf numFmtId="0" fontId="5" fillId="0" borderId="6"/>
    <xf numFmtId="0" fontId="5" fillId="0" borderId="6"/>
    <xf numFmtId="0" fontId="5" fillId="0" borderId="6"/>
    <xf numFmtId="0" fontId="33" fillId="33" borderId="0">
      <alignment horizontal="right"/>
      <protection locked="0"/>
    </xf>
    <xf numFmtId="14" fontId="2" fillId="0" borderId="0"/>
    <xf numFmtId="168" fontId="2" fillId="0" borderId="0" applyFont="0" applyFill="0" applyBorder="0" applyAlignment="0" applyProtection="0"/>
    <xf numFmtId="168" fontId="2" fillId="0" borderId="0" applyFont="0" applyFill="0" applyBorder="0" applyAlignment="0" applyProtection="0"/>
    <xf numFmtId="0" fontId="67"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7" fillId="0" borderId="0" applyNumberFormat="0" applyFill="0" applyBorder="0" applyAlignment="0" applyProtection="0"/>
    <xf numFmtId="0" fontId="2" fillId="0" borderId="0"/>
    <xf numFmtId="2" fontId="33" fillId="33" borderId="0">
      <alignment horizontal="right"/>
      <protection locked="0"/>
    </xf>
    <xf numFmtId="1" fontId="2" fillId="0" borderId="0">
      <alignment horizontal="center"/>
    </xf>
    <xf numFmtId="0" fontId="68" fillId="63"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68" fillId="63"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9" fillId="0" borderId="22" applyNumberFormat="0" applyFill="0" applyAlignment="0" applyProtection="0"/>
    <xf numFmtId="0" fontId="34" fillId="0" borderId="8" applyNumberFormat="0" applyFill="0" applyAlignment="0" applyProtection="0"/>
    <xf numFmtId="0" fontId="34" fillId="0" borderId="8" applyNumberFormat="0" applyFill="0" applyAlignment="0" applyProtection="0"/>
    <xf numFmtId="0" fontId="34" fillId="0" borderId="8" applyNumberFormat="0" applyFill="0" applyAlignment="0" applyProtection="0"/>
    <xf numFmtId="0" fontId="53" fillId="0" borderId="9" applyNumberFormat="0" applyFill="0" applyAlignment="0" applyProtection="0"/>
    <xf numFmtId="0" fontId="34" fillId="0" borderId="10" applyNumberFormat="0" applyFill="0" applyAlignment="0" applyProtection="0"/>
    <xf numFmtId="0" fontId="21" fillId="0" borderId="7" applyNumberFormat="0" applyFill="0" applyAlignment="0" applyProtection="0"/>
    <xf numFmtId="0" fontId="21" fillId="0" borderId="7"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0" fontId="69" fillId="0" borderId="22" applyNumberFormat="0" applyFill="0" applyAlignment="0" applyProtection="0"/>
    <xf numFmtId="0" fontId="70" fillId="0" borderId="23" applyNumberFormat="0" applyFill="0" applyAlignment="0" applyProtection="0"/>
    <xf numFmtId="0" fontId="35" fillId="0" borderId="11" applyNumberFormat="0" applyFill="0" applyAlignment="0" applyProtection="0"/>
    <xf numFmtId="0" fontId="35" fillId="0" borderId="11" applyNumberFormat="0" applyFill="0" applyAlignment="0" applyProtection="0"/>
    <xf numFmtId="0" fontId="54" fillId="0" borderId="11" applyNumberFormat="0" applyFill="0" applyAlignment="0" applyProtection="0"/>
    <xf numFmtId="0" fontId="35" fillId="0" borderId="12" applyNumberFormat="0" applyFill="0" applyAlignment="0" applyProtection="0"/>
    <xf numFmtId="0" fontId="22" fillId="0" borderId="11" applyNumberFormat="0" applyFill="0" applyAlignment="0" applyProtection="0"/>
    <xf numFmtId="0" fontId="22" fillId="0" borderId="11" applyNumberFormat="0" applyFill="0" applyAlignment="0" applyProtection="0"/>
    <xf numFmtId="0" fontId="35" fillId="0" borderId="12" applyNumberFormat="0" applyFill="0" applyAlignment="0" applyProtection="0"/>
    <xf numFmtId="0" fontId="35" fillId="0" borderId="12" applyNumberFormat="0" applyFill="0" applyAlignment="0" applyProtection="0"/>
    <xf numFmtId="0" fontId="70" fillId="0" borderId="23" applyNumberFormat="0" applyFill="0" applyAlignment="0" applyProtection="0"/>
    <xf numFmtId="0" fontId="71" fillId="0" borderId="2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6" fillId="0" borderId="14" applyNumberFormat="0" applyFill="0" applyAlignment="0" applyProtection="0"/>
    <xf numFmtId="0" fontId="37" fillId="0" borderId="15" applyNumberFormat="0" applyFill="0" applyAlignment="0" applyProtection="0"/>
    <xf numFmtId="0" fontId="36" fillId="0" borderId="16" applyNumberFormat="0" applyFill="0" applyAlignment="0" applyProtection="0"/>
    <xf numFmtId="0" fontId="23" fillId="0" borderId="13" applyNumberFormat="0" applyFill="0" applyAlignment="0" applyProtection="0"/>
    <xf numFmtId="0" fontId="23" fillId="0" borderId="13" applyNumberFormat="0" applyFill="0" applyAlignment="0" applyProtection="0"/>
    <xf numFmtId="0" fontId="36" fillId="0" borderId="16" applyNumberFormat="0" applyFill="0" applyAlignment="0" applyProtection="0"/>
    <xf numFmtId="0" fontId="36" fillId="0" borderId="16" applyNumberFormat="0" applyFill="0" applyAlignment="0" applyProtection="0"/>
    <xf numFmtId="0" fontId="71" fillId="0" borderId="24" applyNumberFormat="0" applyFill="0" applyAlignment="0" applyProtection="0"/>
    <xf numFmtId="0" fontId="71"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74"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75" fillId="0" borderId="0" applyNumberFormat="0" applyFill="0" applyBorder="0" applyAlignment="0" applyProtection="0"/>
    <xf numFmtId="0" fontId="60"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7" fillId="64" borderId="20" applyNumberFormat="0" applyAlignment="0" applyProtection="0"/>
    <xf numFmtId="0" fontId="40" fillId="13" borderId="2" applyNumberFormat="0" applyAlignment="0" applyProtection="0"/>
    <xf numFmtId="0" fontId="40"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40" fillId="13" borderId="2" applyNumberFormat="0" applyAlignment="0" applyProtection="0"/>
    <xf numFmtId="0" fontId="24" fillId="4"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13"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24" fillId="4" borderId="2" applyNumberFormat="0" applyAlignment="0" applyProtection="0"/>
    <xf numFmtId="0" fontId="77" fillId="64" borderId="20" applyNumberFormat="0" applyAlignment="0" applyProtection="0"/>
    <xf numFmtId="3" fontId="41" fillId="34" borderId="0">
      <protection locked="0"/>
    </xf>
    <xf numFmtId="4" fontId="41" fillId="34" borderId="0">
      <protection locked="0"/>
    </xf>
    <xf numFmtId="0" fontId="47" fillId="0" borderId="1" applyBorder="0">
      <alignment horizontal="center" vertical="center" wrapText="1"/>
    </xf>
    <xf numFmtId="0" fontId="61" fillId="35" borderId="6"/>
    <xf numFmtId="0" fontId="61" fillId="35" borderId="6"/>
    <xf numFmtId="0" fontId="61" fillId="35" borderId="6"/>
    <xf numFmtId="0" fontId="61" fillId="35" borderId="6"/>
    <xf numFmtId="0" fontId="61" fillId="35" borderId="6"/>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47" fillId="0" borderId="1" applyBorder="0">
      <alignment horizontal="center" vertical="center" wrapText="1"/>
    </xf>
    <xf numFmtId="0" fontId="78" fillId="0" borderId="25" applyNumberFormat="0" applyFill="0" applyAlignment="0" applyProtection="0"/>
    <xf numFmtId="0" fontId="25" fillId="0" borderId="17" applyNumberFormat="0" applyFill="0" applyAlignment="0" applyProtection="0"/>
    <xf numFmtId="0" fontId="25" fillId="0" borderId="17" applyNumberFormat="0" applyFill="0" applyAlignment="0" applyProtection="0"/>
    <xf numFmtId="0" fontId="57" fillId="0" borderId="18" applyNumberFormat="0" applyFill="0" applyAlignment="0" applyProtection="0"/>
    <xf numFmtId="0" fontId="27" fillId="0" borderId="19" applyNumberFormat="0" applyFill="0" applyAlignment="0" applyProtection="0"/>
    <xf numFmtId="0" fontId="25" fillId="0" borderId="17" applyNumberFormat="0" applyFill="0" applyAlignment="0" applyProtection="0"/>
    <xf numFmtId="0" fontId="27" fillId="0" borderId="19" applyNumberFormat="0" applyFill="0" applyAlignment="0" applyProtection="0"/>
    <xf numFmtId="0" fontId="78" fillId="0" borderId="25" applyNumberFormat="0" applyFill="0" applyAlignment="0" applyProtection="0"/>
    <xf numFmtId="0" fontId="79" fillId="65"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26" fillId="13" borderId="0" applyNumberFormat="0" applyBorder="0" applyAlignment="0" applyProtection="0"/>
    <xf numFmtId="0" fontId="58" fillId="13" borderId="0" applyNumberFormat="0" applyBorder="0" applyAlignment="0" applyProtection="0"/>
    <xf numFmtId="0" fontId="59" fillId="13" borderId="0" applyNumberFormat="0" applyBorder="0" applyAlignment="0" applyProtection="0"/>
    <xf numFmtId="0" fontId="26" fillId="13" borderId="0" applyNumberFormat="0" applyBorder="0" applyAlignment="0" applyProtection="0"/>
    <xf numFmtId="0" fontId="59" fillId="13" borderId="0" applyNumberFormat="0" applyBorder="0" applyAlignment="0" applyProtection="0"/>
    <xf numFmtId="0" fontId="79" fillId="65" borderId="0" applyNumberFormat="0" applyBorder="0" applyAlignment="0" applyProtection="0"/>
    <xf numFmtId="43"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62" fillId="0" borderId="0"/>
    <xf numFmtId="0" fontId="62" fillId="0" borderId="0"/>
    <xf numFmtId="0" fontId="62" fillId="0" borderId="0"/>
    <xf numFmtId="0" fontId="14"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alignment wrapText="1"/>
    </xf>
    <xf numFmtId="0" fontId="62" fillId="0" borderId="0"/>
    <xf numFmtId="0" fontId="62" fillId="0" borderId="0"/>
    <xf numFmtId="0" fontId="2" fillId="0" borderId="0">
      <alignment wrapText="1"/>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29" fillId="0" borderId="0">
      <alignment vertical="top"/>
    </xf>
    <xf numFmtId="0" fontId="62" fillId="0" borderId="0"/>
    <xf numFmtId="0" fontId="2" fillId="0" borderId="0"/>
    <xf numFmtId="0" fontId="2" fillId="0" borderId="0"/>
    <xf numFmtId="0" fontId="62" fillId="0" borderId="0"/>
    <xf numFmtId="0" fontId="2" fillId="0" borderId="0"/>
    <xf numFmtId="0" fontId="2" fillId="0" borderId="0"/>
    <xf numFmtId="0" fontId="62" fillId="0" borderId="0"/>
    <xf numFmtId="0" fontId="2" fillId="0" borderId="0"/>
    <xf numFmtId="0" fontId="62" fillId="0" borderId="0"/>
    <xf numFmtId="0" fontId="2" fillId="0" borderId="0"/>
    <xf numFmtId="0" fontId="62" fillId="0" borderId="0"/>
    <xf numFmtId="0" fontId="2" fillId="0" borderId="0"/>
    <xf numFmtId="0" fontId="62" fillId="0" borderId="0"/>
    <xf numFmtId="0" fontId="2" fillId="0" borderId="0"/>
    <xf numFmtId="0" fontId="62" fillId="0" borderId="0"/>
    <xf numFmtId="0" fontId="2" fillId="0" borderId="0"/>
    <xf numFmtId="0" fontId="2" fillId="0" borderId="0"/>
    <xf numFmtId="0" fontId="62" fillId="0" borderId="0"/>
    <xf numFmtId="0" fontId="2" fillId="0" borderId="0"/>
    <xf numFmtId="0" fontId="62" fillId="0" borderId="0"/>
    <xf numFmtId="0" fontId="2" fillId="0" borderId="0"/>
    <xf numFmtId="0" fontId="2" fillId="0" borderId="0"/>
    <xf numFmtId="0" fontId="80" fillId="0" borderId="0"/>
    <xf numFmtId="0" fontId="62" fillId="0" borderId="0"/>
    <xf numFmtId="0" fontId="80" fillId="0" borderId="0"/>
    <xf numFmtId="0" fontId="1" fillId="0" borderId="0"/>
    <xf numFmtId="0" fontId="62" fillId="0" borderId="0"/>
    <xf numFmtId="0" fontId="62" fillId="0" borderId="0"/>
    <xf numFmtId="0" fontId="2" fillId="0" borderId="0"/>
    <xf numFmtId="0" fontId="2" fillId="0" borderId="0"/>
    <xf numFmtId="0" fontId="14"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2" fillId="0" borderId="0"/>
    <xf numFmtId="0" fontId="62" fillId="0" borderId="0"/>
    <xf numFmtId="0" fontId="14" fillId="0" borderId="0"/>
    <xf numFmtId="0" fontId="2" fillId="0" borderId="0"/>
    <xf numFmtId="0" fontId="62" fillId="0" borderId="0"/>
    <xf numFmtId="0" fontId="14" fillId="0" borderId="0"/>
    <xf numFmtId="0" fontId="2" fillId="0" borderId="0"/>
    <xf numFmtId="0" fontId="2" fillId="0" borderId="0"/>
    <xf numFmtId="0" fontId="62" fillId="0" borderId="0"/>
    <xf numFmtId="0" fontId="2" fillId="0" borderId="0"/>
    <xf numFmtId="0" fontId="62" fillId="0" borderId="0"/>
    <xf numFmtId="0" fontId="62" fillId="0" borderId="0"/>
    <xf numFmtId="0" fontId="62" fillId="0" borderId="0"/>
    <xf numFmtId="0" fontId="2" fillId="0" borderId="0"/>
    <xf numFmtId="0" fontId="2" fillId="0" borderId="0"/>
    <xf numFmtId="0" fontId="2" fillId="0" borderId="0"/>
    <xf numFmtId="0" fontId="2" fillId="0" borderId="0"/>
    <xf numFmtId="0" fontId="2" fillId="0" borderId="0"/>
    <xf numFmtId="0" fontId="62" fillId="0" borderId="0"/>
    <xf numFmtId="0" fontId="62" fillId="0" borderId="0"/>
    <xf numFmtId="0" fontId="62" fillId="0" borderId="0"/>
    <xf numFmtId="0" fontId="14"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81"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81" fillId="0" borderId="0"/>
    <xf numFmtId="0" fontId="62" fillId="0" borderId="0"/>
    <xf numFmtId="0" fontId="62" fillId="0" borderId="0"/>
    <xf numFmtId="0" fontId="62" fillId="0" borderId="0"/>
    <xf numFmtId="0" fontId="29" fillId="0" borderId="0">
      <alignment vertical="top"/>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2" fillId="0" borderId="0"/>
    <xf numFmtId="0" fontId="62" fillId="0" borderId="0"/>
    <xf numFmtId="0" fontId="62" fillId="0" borderId="0"/>
    <xf numFmtId="0" fontId="62" fillId="0" borderId="0"/>
    <xf numFmtId="0" fontId="14" fillId="0" borderId="0"/>
    <xf numFmtId="0" fontId="62" fillId="0" borderId="0"/>
    <xf numFmtId="0" fontId="4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1" fillId="0" borderId="0"/>
    <xf numFmtId="0" fontId="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2" fillId="0" borderId="0"/>
    <xf numFmtId="0" fontId="62" fillId="0" borderId="0"/>
    <xf numFmtId="0" fontId="62" fillId="0" borderId="0"/>
    <xf numFmtId="0" fontId="62" fillId="0" borderId="0"/>
    <xf numFmtId="0" fontId="62" fillId="0" borderId="0"/>
    <xf numFmtId="0" fontId="62" fillId="0" borderId="0"/>
    <xf numFmtId="0" fontId="51" fillId="0" borderId="0"/>
    <xf numFmtId="0" fontId="62" fillId="0" borderId="0"/>
    <xf numFmtId="0" fontId="62" fillId="0" borderId="0"/>
    <xf numFmtId="0" fontId="62" fillId="0" borderId="0"/>
    <xf numFmtId="0" fontId="62" fillId="0" borderId="0"/>
    <xf numFmtId="0" fontId="62" fillId="0" borderId="0"/>
    <xf numFmtId="0" fontId="14" fillId="0" borderId="0"/>
    <xf numFmtId="0" fontId="62" fillId="0" borderId="0"/>
    <xf numFmtId="0" fontId="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3" fontId="5" fillId="0" borderId="0" applyFont="0" applyFill="0" applyBorder="0" applyAlignment="0" applyProtection="0"/>
  </cellStyleXfs>
  <cellXfs count="258">
    <xf numFmtId="0" fontId="0" fillId="0" borderId="0" xfId="0"/>
    <xf numFmtId="0" fontId="82" fillId="0" borderId="0" xfId="0" applyFont="1"/>
    <xf numFmtId="0" fontId="83" fillId="0" borderId="0" xfId="0" applyFont="1"/>
    <xf numFmtId="0" fontId="84" fillId="0" borderId="0" xfId="0" applyFont="1"/>
    <xf numFmtId="0" fontId="84" fillId="0" borderId="0" xfId="0" applyFont="1" applyFill="1"/>
    <xf numFmtId="3" fontId="84" fillId="0" borderId="0" xfId="0" applyNumberFormat="1" applyFont="1"/>
    <xf numFmtId="0" fontId="82" fillId="0" borderId="0" xfId="0" applyFont="1" applyFill="1" applyBorder="1" applyAlignment="1">
      <alignment horizontal="center"/>
    </xf>
    <xf numFmtId="0" fontId="82" fillId="0" borderId="0" xfId="0" applyFont="1" applyAlignment="1">
      <alignment horizontal="center"/>
    </xf>
    <xf numFmtId="0" fontId="82" fillId="0" borderId="0" xfId="0" applyFont="1" applyFill="1" applyBorder="1" applyAlignment="1">
      <alignment horizontal="center" vertical="center" wrapText="1"/>
    </xf>
    <xf numFmtId="14" fontId="82" fillId="0" borderId="0" xfId="0" quotePrefix="1" applyNumberFormat="1" applyFont="1" applyAlignment="1">
      <alignment horizontal="center"/>
    </xf>
    <xf numFmtId="14" fontId="82" fillId="0" borderId="0" xfId="0" applyNumberFormat="1" applyFont="1" applyAlignment="1">
      <alignment horizontal="center"/>
    </xf>
    <xf numFmtId="0" fontId="85" fillId="0" borderId="0" xfId="0" applyFont="1"/>
    <xf numFmtId="164" fontId="84" fillId="0" borderId="0" xfId="339" applyNumberFormat="1" applyFont="1" applyFill="1"/>
    <xf numFmtId="164" fontId="84" fillId="0" borderId="0" xfId="0" applyNumberFormat="1" applyFont="1"/>
    <xf numFmtId="164" fontId="84" fillId="66" borderId="0" xfId="339" applyNumberFormat="1" applyFont="1" applyFill="1"/>
    <xf numFmtId="0" fontId="84" fillId="0" borderId="0" xfId="0" applyFont="1" applyAlignment="1">
      <alignment horizontal="left"/>
    </xf>
    <xf numFmtId="164" fontId="82" fillId="0" borderId="0" xfId="0" applyNumberFormat="1" applyFont="1" applyFill="1" applyAlignment="1">
      <alignment horizontal="left"/>
    </xf>
    <xf numFmtId="164" fontId="84" fillId="67" borderId="0" xfId="339" applyNumberFormat="1" applyFont="1" applyFill="1"/>
    <xf numFmtId="164" fontId="82" fillId="0" borderId="0" xfId="0" applyNumberFormat="1" applyFont="1" applyFill="1"/>
    <xf numFmtId="43" fontId="84" fillId="67" borderId="0" xfId="339" applyNumberFormat="1" applyFont="1" applyFill="1"/>
    <xf numFmtId="164" fontId="82" fillId="0" borderId="0" xfId="0" applyNumberFormat="1" applyFont="1"/>
    <xf numFmtId="9" fontId="84" fillId="66" borderId="0" xfId="8877" applyFont="1" applyFill="1"/>
    <xf numFmtId="164" fontId="84" fillId="0" borderId="0" xfId="0" applyNumberFormat="1" applyFont="1" applyFill="1" applyBorder="1"/>
    <xf numFmtId="164" fontId="84" fillId="0" borderId="0" xfId="0" applyNumberFormat="1" applyFont="1" applyFill="1"/>
    <xf numFmtId="9" fontId="84" fillId="0" borderId="0" xfId="8877" applyFont="1"/>
    <xf numFmtId="43" fontId="84" fillId="67" borderId="0" xfId="339" applyFont="1" applyFill="1"/>
    <xf numFmtId="43" fontId="84" fillId="0" borderId="0" xfId="339" applyFont="1" applyFill="1"/>
    <xf numFmtId="164" fontId="82" fillId="0" borderId="0" xfId="0" applyNumberFormat="1" applyFont="1" applyFill="1" applyBorder="1" applyAlignment="1">
      <alignment horizontal="center"/>
    </xf>
    <xf numFmtId="164" fontId="84" fillId="0" borderId="0" xfId="0" applyNumberFormat="1" applyFont="1" applyFill="1" applyBorder="1" applyAlignment="1">
      <alignment horizontal="right"/>
    </xf>
    <xf numFmtId="164" fontId="82" fillId="0" borderId="0" xfId="0" applyNumberFormat="1" applyFont="1" applyFill="1" applyBorder="1"/>
    <xf numFmtId="169" fontId="84" fillId="0" borderId="0" xfId="8235" applyNumberFormat="1" applyFont="1" applyFill="1" applyBorder="1"/>
    <xf numFmtId="43" fontId="84" fillId="0" borderId="0" xfId="339" applyNumberFormat="1" applyFont="1" applyFill="1"/>
    <xf numFmtId="0" fontId="84" fillId="0" borderId="0" xfId="0" applyFont="1" applyAlignment="1">
      <alignment horizontal="right"/>
    </xf>
    <xf numFmtId="43" fontId="84" fillId="0" borderId="0" xfId="0" applyNumberFormat="1" applyFont="1" applyFill="1"/>
    <xf numFmtId="43" fontId="82" fillId="34" borderId="0" xfId="0" applyNumberFormat="1" applyFont="1" applyFill="1"/>
    <xf numFmtId="164" fontId="82" fillId="34" borderId="0" xfId="339" applyNumberFormat="1" applyFont="1" applyFill="1"/>
    <xf numFmtId="0" fontId="82" fillId="0" borderId="0" xfId="0" applyFont="1" applyFill="1"/>
    <xf numFmtId="0" fontId="85" fillId="0" borderId="0" xfId="0" applyFont="1" applyFill="1"/>
    <xf numFmtId="164" fontId="82" fillId="0" borderId="0" xfId="339" applyNumberFormat="1" applyFont="1" applyFill="1" applyBorder="1"/>
    <xf numFmtId="0" fontId="82" fillId="0" borderId="40" xfId="0" applyFont="1" applyBorder="1"/>
    <xf numFmtId="164" fontId="82" fillId="0" borderId="40" xfId="339" applyNumberFormat="1" applyFont="1" applyBorder="1"/>
    <xf numFmtId="164" fontId="82" fillId="0" borderId="40" xfId="339" applyNumberFormat="1" applyFont="1" applyFill="1" applyBorder="1"/>
    <xf numFmtId="0" fontId="84" fillId="0" borderId="0" xfId="0" applyFont="1" applyFill="1" applyBorder="1"/>
    <xf numFmtId="164" fontId="84" fillId="0" borderId="0" xfId="339" applyNumberFormat="1" applyFont="1"/>
    <xf numFmtId="9" fontId="84" fillId="0" borderId="0" xfId="8877" applyFont="1" applyFill="1"/>
    <xf numFmtId="170" fontId="86" fillId="0" borderId="0" xfId="0" applyNumberFormat="1" applyFont="1" applyFill="1" applyBorder="1"/>
    <xf numFmtId="164" fontId="87" fillId="0" borderId="0" xfId="0" applyNumberFormat="1" applyFont="1" applyFill="1" applyAlignment="1">
      <alignment horizontal="left"/>
    </xf>
    <xf numFmtId="169" fontId="84" fillId="0" borderId="0" xfId="0" applyNumberFormat="1" applyFont="1" applyFill="1"/>
    <xf numFmtId="164" fontId="82" fillId="0" borderId="0" xfId="0" applyNumberFormat="1" applyFont="1" applyAlignment="1">
      <alignment horizontal="left"/>
    </xf>
    <xf numFmtId="164" fontId="84" fillId="0" borderId="0" xfId="0" applyNumberFormat="1" applyFont="1" applyAlignment="1">
      <alignment horizontal="left"/>
    </xf>
    <xf numFmtId="0" fontId="82" fillId="34" borderId="0" xfId="0" applyFont="1" applyFill="1"/>
    <xf numFmtId="164" fontId="88" fillId="0" borderId="0" xfId="339" applyNumberFormat="1" applyFont="1"/>
    <xf numFmtId="164" fontId="88" fillId="0" borderId="0" xfId="339" applyNumberFormat="1" applyFont="1" applyFill="1"/>
    <xf numFmtId="164" fontId="84" fillId="0" borderId="0" xfId="0" applyNumberFormat="1" applyFont="1" applyFill="1" applyAlignment="1">
      <alignment horizontal="left"/>
    </xf>
    <xf numFmtId="43" fontId="84" fillId="0" borderId="0" xfId="339" applyFont="1"/>
    <xf numFmtId="164" fontId="84" fillId="69" borderId="0" xfId="339" applyNumberFormat="1" applyFont="1" applyFill="1"/>
    <xf numFmtId="164" fontId="82" fillId="0" borderId="0" xfId="339" applyNumberFormat="1" applyFont="1" applyFill="1"/>
    <xf numFmtId="164" fontId="84" fillId="66" borderId="0" xfId="0" applyNumberFormat="1" applyFont="1" applyFill="1" applyBorder="1"/>
    <xf numFmtId="0" fontId="84" fillId="0" borderId="0" xfId="8235" applyFont="1"/>
    <xf numFmtId="0" fontId="84" fillId="0" borderId="0" xfId="2847" applyFont="1"/>
    <xf numFmtId="0" fontId="84" fillId="0" borderId="0" xfId="2847" applyFont="1" applyBorder="1"/>
    <xf numFmtId="0" fontId="85" fillId="70" borderId="0" xfId="2847" applyFont="1" applyFill="1"/>
    <xf numFmtId="0" fontId="84" fillId="70" borderId="0" xfId="2847" applyFont="1" applyFill="1"/>
    <xf numFmtId="0" fontId="82" fillId="0" borderId="0" xfId="2847" applyFont="1" applyBorder="1" applyAlignment="1">
      <alignment horizontal="center"/>
    </xf>
    <xf numFmtId="0" fontId="82" fillId="0" borderId="5" xfId="2847" applyFont="1" applyBorder="1" applyAlignment="1">
      <alignment horizontal="center"/>
    </xf>
    <xf numFmtId="164" fontId="84" fillId="0" borderId="0" xfId="2847" applyNumberFormat="1" applyFont="1"/>
    <xf numFmtId="3" fontId="84" fillId="0" borderId="0" xfId="2847" applyNumberFormat="1" applyFont="1" applyFill="1"/>
    <xf numFmtId="164" fontId="84" fillId="0" borderId="5" xfId="2847" applyNumberFormat="1" applyFont="1" applyBorder="1"/>
    <xf numFmtId="0" fontId="84" fillId="0" borderId="5" xfId="2847" applyFont="1" applyBorder="1"/>
    <xf numFmtId="0" fontId="84" fillId="0" borderId="0" xfId="2847" applyFont="1" applyFill="1"/>
    <xf numFmtId="164" fontId="82" fillId="0" borderId="0" xfId="2847" applyNumberFormat="1" applyFont="1"/>
    <xf numFmtId="0" fontId="82" fillId="0" borderId="0" xfId="2847" applyFont="1"/>
    <xf numFmtId="164" fontId="84" fillId="66" borderId="0" xfId="0" applyNumberFormat="1" applyFont="1" applyFill="1"/>
    <xf numFmtId="0" fontId="84" fillId="69" borderId="0" xfId="0" applyFont="1" applyFill="1"/>
    <xf numFmtId="0" fontId="82" fillId="0" borderId="40" xfId="2847" applyFont="1" applyBorder="1"/>
    <xf numFmtId="164" fontId="82" fillId="0" borderId="40" xfId="2847" applyNumberFormat="1" applyFont="1" applyBorder="1"/>
    <xf numFmtId="0" fontId="90" fillId="0" borderId="32" xfId="2847" applyFont="1" applyBorder="1" applyAlignment="1"/>
    <xf numFmtId="0" fontId="85" fillId="0" borderId="33" xfId="2847" applyFont="1" applyBorder="1" applyAlignment="1"/>
    <xf numFmtId="0" fontId="85" fillId="0" borderId="34" xfId="2847" applyFont="1" applyBorder="1" applyAlignment="1"/>
    <xf numFmtId="0" fontId="84" fillId="0" borderId="32" xfId="2847" applyFont="1" applyFill="1" applyBorder="1"/>
    <xf numFmtId="0" fontId="84" fillId="0" borderId="33" xfId="2847" applyFont="1" applyFill="1" applyBorder="1"/>
    <xf numFmtId="0" fontId="84" fillId="0" borderId="34" xfId="2847" applyFont="1" applyBorder="1"/>
    <xf numFmtId="0" fontId="84" fillId="0" borderId="35" xfId="2847" applyFont="1" applyBorder="1"/>
    <xf numFmtId="0" fontId="84" fillId="0" borderId="36" xfId="2847" applyFont="1" applyBorder="1"/>
    <xf numFmtId="0" fontId="84" fillId="0" borderId="35" xfId="2847" applyFont="1" applyFill="1" applyBorder="1"/>
    <xf numFmtId="0" fontId="84" fillId="0" borderId="0" xfId="2847" applyFont="1" applyFill="1" applyBorder="1"/>
    <xf numFmtId="0" fontId="85" fillId="0" borderId="35" xfId="2847" applyFont="1" applyBorder="1"/>
    <xf numFmtId="0" fontId="85" fillId="0" borderId="0" xfId="2847" applyFont="1" applyBorder="1"/>
    <xf numFmtId="164" fontId="84" fillId="0" borderId="35" xfId="0" applyNumberFormat="1" applyFont="1" applyFill="1" applyBorder="1"/>
    <xf numFmtId="164" fontId="82" fillId="0" borderId="5" xfId="0" applyNumberFormat="1" applyFont="1" applyFill="1" applyBorder="1"/>
    <xf numFmtId="164" fontId="84" fillId="0" borderId="5" xfId="0" applyNumberFormat="1" applyFont="1" applyFill="1" applyBorder="1"/>
    <xf numFmtId="164" fontId="84" fillId="0" borderId="42" xfId="0" applyNumberFormat="1" applyFont="1" applyBorder="1"/>
    <xf numFmtId="0" fontId="84" fillId="0" borderId="35" xfId="2847" applyFont="1" applyBorder="1" applyAlignment="1">
      <alignment horizontal="right"/>
    </xf>
    <xf numFmtId="164" fontId="84" fillId="0" borderId="0" xfId="339" applyNumberFormat="1" applyFont="1" applyBorder="1"/>
    <xf numFmtId="9" fontId="84" fillId="0" borderId="36" xfId="8235" applyNumberFormat="1" applyFont="1" applyBorder="1"/>
    <xf numFmtId="164" fontId="84" fillId="0" borderId="35" xfId="0" applyNumberFormat="1" applyFont="1" applyBorder="1"/>
    <xf numFmtId="164" fontId="84" fillId="0" borderId="0" xfId="0" applyNumberFormat="1" applyFont="1" applyBorder="1" applyAlignment="1">
      <alignment horizontal="right"/>
    </xf>
    <xf numFmtId="164" fontId="84" fillId="0" borderId="0" xfId="2847" applyNumberFormat="1" applyFont="1" applyBorder="1"/>
    <xf numFmtId="164" fontId="84" fillId="0" borderId="0" xfId="0" applyNumberFormat="1" applyFont="1" applyBorder="1"/>
    <xf numFmtId="164" fontId="84" fillId="0" borderId="43" xfId="0" applyNumberFormat="1" applyFont="1" applyBorder="1"/>
    <xf numFmtId="9" fontId="84" fillId="0" borderId="44" xfId="8235" applyNumberFormat="1" applyFont="1" applyBorder="1"/>
    <xf numFmtId="164" fontId="84" fillId="0" borderId="37" xfId="0" applyNumberFormat="1" applyFont="1" applyBorder="1"/>
    <xf numFmtId="164" fontId="84" fillId="0" borderId="38" xfId="0" applyNumberFormat="1" applyFont="1" applyBorder="1"/>
    <xf numFmtId="164" fontId="84" fillId="0" borderId="39" xfId="0" applyNumberFormat="1" applyFont="1" applyBorder="1"/>
    <xf numFmtId="164" fontId="84" fillId="0" borderId="5" xfId="339" applyNumberFormat="1" applyFont="1" applyBorder="1"/>
    <xf numFmtId="0" fontId="82" fillId="0" borderId="45" xfId="2847" applyFont="1" applyBorder="1" applyAlignment="1">
      <alignment horizontal="right"/>
    </xf>
    <xf numFmtId="0" fontId="84" fillId="0" borderId="39" xfId="2847" applyFont="1" applyBorder="1"/>
    <xf numFmtId="164" fontId="84" fillId="0" borderId="34" xfId="0" applyNumberFormat="1" applyFont="1" applyBorder="1"/>
    <xf numFmtId="164" fontId="84" fillId="0" borderId="36" xfId="0" applyNumberFormat="1" applyFont="1" applyBorder="1"/>
    <xf numFmtId="0" fontId="84" fillId="0" borderId="36" xfId="0" applyFont="1" applyBorder="1"/>
    <xf numFmtId="0" fontId="92" fillId="0" borderId="46" xfId="8077" applyFont="1" applyBorder="1" applyAlignment="1">
      <alignment horizontal="center" wrapText="1"/>
    </xf>
    <xf numFmtId="0" fontId="92" fillId="0" borderId="5" xfId="8077" applyFont="1" applyBorder="1" applyAlignment="1">
      <alignment horizontal="center"/>
    </xf>
    <xf numFmtId="0" fontId="92" fillId="0" borderId="42" xfId="8077" applyFont="1" applyBorder="1" applyAlignment="1">
      <alignment horizontal="center"/>
    </xf>
    <xf numFmtId="0" fontId="92" fillId="0" borderId="47" xfId="8077" applyFont="1" applyBorder="1" applyAlignment="1">
      <alignment horizontal="center"/>
    </xf>
    <xf numFmtId="0" fontId="92" fillId="0" borderId="28" xfId="8077" applyFont="1" applyBorder="1" applyAlignment="1">
      <alignment horizontal="center"/>
    </xf>
    <xf numFmtId="0" fontId="92" fillId="0" borderId="48" xfId="8077" applyFont="1" applyBorder="1" applyAlignment="1">
      <alignment horizontal="center"/>
    </xf>
    <xf numFmtId="0" fontId="93" fillId="0" borderId="0" xfId="8077" applyFont="1" applyBorder="1" applyAlignment="1">
      <alignment horizontal="right" wrapText="1"/>
    </xf>
    <xf numFmtId="43" fontId="84" fillId="0" borderId="0" xfId="339" applyFont="1" applyAlignment="1">
      <alignment horizontal="left"/>
    </xf>
    <xf numFmtId="169" fontId="84" fillId="0" borderId="0" xfId="0" applyNumberFormat="1" applyFont="1" applyAlignment="1">
      <alignment horizontal="left"/>
    </xf>
    <xf numFmtId="0" fontId="93" fillId="0" borderId="0" xfId="8077" applyFont="1" applyBorder="1" applyAlignment="1">
      <alignment horizontal="right"/>
    </xf>
    <xf numFmtId="43" fontId="84" fillId="0" borderId="5" xfId="339" applyFont="1" applyFill="1" applyBorder="1" applyAlignment="1">
      <alignment horizontal="right"/>
    </xf>
    <xf numFmtId="43" fontId="84" fillId="0" borderId="42" xfId="339" applyFont="1" applyFill="1" applyBorder="1" applyAlignment="1">
      <alignment horizontal="right"/>
    </xf>
    <xf numFmtId="0" fontId="86" fillId="0" borderId="49" xfId="8077" applyFont="1" applyBorder="1"/>
    <xf numFmtId="169" fontId="86" fillId="0" borderId="49" xfId="8249" applyNumberFormat="1" applyFont="1" applyFill="1" applyBorder="1"/>
    <xf numFmtId="169" fontId="86" fillId="0" borderId="50" xfId="8249" applyNumberFormat="1" applyFont="1" applyFill="1" applyBorder="1"/>
    <xf numFmtId="0" fontId="86" fillId="0" borderId="0" xfId="8077" applyFont="1" applyBorder="1"/>
    <xf numFmtId="169" fontId="86" fillId="0" borderId="51" xfId="8077" applyNumberFormat="1" applyFont="1" applyFill="1" applyBorder="1"/>
    <xf numFmtId="0" fontId="84" fillId="0" borderId="37" xfId="0" applyFont="1" applyBorder="1"/>
    <xf numFmtId="0" fontId="84" fillId="0" borderId="38" xfId="0" applyFont="1" applyBorder="1"/>
    <xf numFmtId="0" fontId="84" fillId="0" borderId="39" xfId="0" applyFont="1" applyBorder="1"/>
    <xf numFmtId="164" fontId="82" fillId="0" borderId="0" xfId="0" applyNumberFormat="1" applyFont="1" applyFill="1" applyAlignment="1">
      <alignment horizontal="right"/>
    </xf>
    <xf numFmtId="0" fontId="94" fillId="0" borderId="32" xfId="0" applyFont="1" applyBorder="1"/>
    <xf numFmtId="3" fontId="86" fillId="0" borderId="33" xfId="0" applyNumberFormat="1" applyFont="1" applyBorder="1"/>
    <xf numFmtId="3" fontId="86" fillId="0" borderId="34" xfId="0" applyNumberFormat="1" applyFont="1" applyBorder="1"/>
    <xf numFmtId="164" fontId="84" fillId="0" borderId="0" xfId="0" applyNumberFormat="1" applyFont="1" applyAlignment="1">
      <alignment horizontal="right"/>
    </xf>
    <xf numFmtId="0" fontId="93" fillId="0" borderId="35" xfId="0" applyFont="1" applyBorder="1"/>
    <xf numFmtId="10" fontId="93" fillId="0" borderId="36" xfId="0" applyNumberFormat="1" applyFont="1" applyBorder="1"/>
    <xf numFmtId="164" fontId="82" fillId="0" borderId="0" xfId="0" applyNumberFormat="1" applyFont="1" applyAlignment="1">
      <alignment horizontal="right"/>
    </xf>
    <xf numFmtId="0" fontId="86" fillId="0" borderId="35" xfId="0" applyFont="1" applyFill="1" applyBorder="1"/>
    <xf numFmtId="3" fontId="86" fillId="0" borderId="0" xfId="0" applyNumberFormat="1" applyFont="1" applyFill="1" applyBorder="1"/>
    <xf numFmtId="10" fontId="86" fillId="0" borderId="36" xfId="0" applyNumberFormat="1" applyFont="1" applyBorder="1"/>
    <xf numFmtId="0" fontId="86" fillId="0" borderId="37" xfId="0" applyFont="1" applyBorder="1"/>
    <xf numFmtId="3" fontId="86" fillId="0" borderId="38" xfId="0" applyNumberFormat="1" applyFont="1" applyBorder="1"/>
    <xf numFmtId="0" fontId="93" fillId="0" borderId="39" xfId="0" applyFont="1" applyBorder="1"/>
    <xf numFmtId="0" fontId="87" fillId="0" borderId="0" xfId="0" applyFont="1" applyFill="1" applyAlignment="1">
      <alignment horizontal="right"/>
    </xf>
    <xf numFmtId="0" fontId="82" fillId="68" borderId="41" xfId="0" applyFont="1" applyFill="1" applyBorder="1" applyAlignment="1">
      <alignment horizontal="center"/>
    </xf>
    <xf numFmtId="0" fontId="84" fillId="0" borderId="35" xfId="8077" applyFont="1" applyBorder="1" applyAlignment="1">
      <alignment horizontal="center"/>
    </xf>
    <xf numFmtId="0" fontId="91" fillId="0" borderId="28" xfId="8077" applyFont="1" applyBorder="1" applyAlignment="1"/>
    <xf numFmtId="0" fontId="91" fillId="0" borderId="48" xfId="8077" applyFont="1" applyBorder="1" applyAlignment="1"/>
    <xf numFmtId="0" fontId="91" fillId="0" borderId="0" xfId="8077" applyFont="1" applyBorder="1" applyAlignment="1">
      <alignment horizontal="left"/>
    </xf>
    <xf numFmtId="0" fontId="91" fillId="0" borderId="36" xfId="8077" applyFont="1" applyBorder="1" applyAlignment="1">
      <alignment horizontal="left"/>
    </xf>
    <xf numFmtId="164" fontId="84" fillId="0" borderId="0" xfId="593" applyNumberFormat="1" applyFont="1" applyBorder="1"/>
    <xf numFmtId="164" fontId="84" fillId="0" borderId="36" xfId="593" applyNumberFormat="1" applyFont="1" applyBorder="1"/>
    <xf numFmtId="0" fontId="84" fillId="0" borderId="0" xfId="8077" applyFont="1" applyBorder="1" applyAlignment="1">
      <alignment horizontal="right"/>
    </xf>
    <xf numFmtId="10" fontId="84" fillId="0" borderId="49" xfId="8235" applyNumberFormat="1" applyFont="1" applyBorder="1"/>
    <xf numFmtId="169" fontId="84" fillId="0" borderId="49" xfId="8249" applyNumberFormat="1" applyFont="1" applyBorder="1"/>
    <xf numFmtId="10" fontId="84" fillId="0" borderId="50" xfId="8235" applyNumberFormat="1" applyFont="1" applyBorder="1"/>
    <xf numFmtId="169" fontId="84" fillId="0" borderId="0" xfId="8249" applyNumberFormat="1" applyFont="1" applyBorder="1"/>
    <xf numFmtId="169" fontId="84" fillId="0" borderId="36" xfId="8249" applyNumberFormat="1" applyFont="1" applyBorder="1"/>
    <xf numFmtId="164" fontId="84" fillId="0" borderId="0" xfId="606" applyNumberFormat="1" applyFont="1" applyBorder="1"/>
    <xf numFmtId="164" fontId="84" fillId="0" borderId="36" xfId="606" applyNumberFormat="1" applyFont="1" applyBorder="1"/>
    <xf numFmtId="169" fontId="84" fillId="0" borderId="50" xfId="8249" applyNumberFormat="1" applyFont="1" applyBorder="1"/>
    <xf numFmtId="0" fontId="84" fillId="0" borderId="0" xfId="8077" applyFont="1" applyBorder="1"/>
    <xf numFmtId="0" fontId="84" fillId="0" borderId="36" xfId="8077" applyFont="1" applyBorder="1"/>
    <xf numFmtId="164" fontId="84" fillId="66" borderId="0" xfId="606" applyNumberFormat="1" applyFont="1" applyFill="1" applyBorder="1"/>
    <xf numFmtId="164" fontId="84" fillId="66" borderId="36" xfId="606" applyNumberFormat="1" applyFont="1" applyFill="1" applyBorder="1"/>
    <xf numFmtId="169" fontId="84" fillId="0" borderId="0" xfId="8077" applyNumberFormat="1" applyFont="1" applyBorder="1"/>
    <xf numFmtId="169" fontId="84" fillId="0" borderId="36" xfId="8077" applyNumberFormat="1" applyFont="1" applyBorder="1"/>
    <xf numFmtId="0" fontId="95" fillId="0" borderId="0" xfId="0" applyFont="1"/>
    <xf numFmtId="0" fontId="82" fillId="0" borderId="28" xfId="0" applyFont="1" applyBorder="1"/>
    <xf numFmtId="164" fontId="84" fillId="0" borderId="0" xfId="8878" applyNumberFormat="1" applyFont="1"/>
    <xf numFmtId="164" fontId="82" fillId="0" borderId="28" xfId="8878" applyNumberFormat="1" applyFont="1" applyBorder="1"/>
    <xf numFmtId="165" fontId="84" fillId="0" borderId="0" xfId="0" applyNumberFormat="1" applyFont="1"/>
    <xf numFmtId="165" fontId="84" fillId="0" borderId="0" xfId="8878" applyNumberFormat="1" applyFont="1"/>
    <xf numFmtId="165" fontId="82" fillId="0" borderId="28" xfId="8878" applyNumberFormat="1" applyFont="1" applyBorder="1"/>
    <xf numFmtId="0" fontId="84" fillId="0" borderId="0" xfId="0" applyFont="1" applyAlignment="1">
      <alignment horizontal="center"/>
    </xf>
    <xf numFmtId="0" fontId="82" fillId="0" borderId="0" xfId="0" applyFont="1" applyAlignment="1">
      <alignment horizontal="right"/>
    </xf>
    <xf numFmtId="165" fontId="82" fillId="0" borderId="0" xfId="0" applyNumberFormat="1" applyFont="1"/>
    <xf numFmtId="164" fontId="82" fillId="0" borderId="0" xfId="8878" applyNumberFormat="1" applyFont="1"/>
    <xf numFmtId="0" fontId="82" fillId="0" borderId="28" xfId="0" applyFont="1" applyBorder="1" applyAlignment="1">
      <alignment horizontal="center"/>
    </xf>
    <xf numFmtId="165" fontId="82" fillId="0" borderId="28" xfId="0" applyNumberFormat="1" applyFont="1" applyBorder="1"/>
    <xf numFmtId="0" fontId="82" fillId="0" borderId="28" xfId="0" applyFont="1" applyBorder="1" applyAlignment="1">
      <alignment horizontal="right"/>
    </xf>
    <xf numFmtId="0" fontId="96" fillId="0" borderId="0" xfId="0" applyFont="1"/>
    <xf numFmtId="0" fontId="96" fillId="66" borderId="0" xfId="0" applyFont="1" applyFill="1"/>
    <xf numFmtId="14" fontId="96" fillId="0" borderId="0" xfId="0" applyNumberFormat="1" applyFont="1"/>
    <xf numFmtId="14" fontId="82" fillId="0" borderId="0" xfId="0" applyNumberFormat="1" applyFont="1"/>
    <xf numFmtId="165" fontId="96" fillId="0" borderId="0" xfId="0" applyNumberFormat="1" applyFont="1"/>
    <xf numFmtId="0" fontId="96" fillId="0" borderId="0" xfId="0" applyFont="1" applyAlignment="1">
      <alignment horizontal="center"/>
    </xf>
    <xf numFmtId="0" fontId="96" fillId="0" borderId="0" xfId="0" applyFont="1" applyAlignment="1">
      <alignment horizontal="right"/>
    </xf>
    <xf numFmtId="0" fontId="82" fillId="66" borderId="0" xfId="0" applyFont="1" applyFill="1"/>
    <xf numFmtId="164" fontId="84" fillId="0" borderId="0" xfId="8878" applyNumberFormat="1" applyFont="1"/>
    <xf numFmtId="164" fontId="84" fillId="67" borderId="0" xfId="8878" applyNumberFormat="1" applyFont="1" applyFill="1"/>
    <xf numFmtId="164" fontId="84" fillId="0" borderId="0" xfId="8878" applyNumberFormat="1" applyFont="1" applyFill="1"/>
    <xf numFmtId="164" fontId="82" fillId="0" borderId="0" xfId="8878" applyNumberFormat="1" applyFont="1" applyFill="1"/>
    <xf numFmtId="43" fontId="84" fillId="67" borderId="0" xfId="8878" applyNumberFormat="1" applyFont="1" applyFill="1"/>
    <xf numFmtId="0" fontId="82" fillId="0" borderId="0" xfId="0" applyFont="1"/>
    <xf numFmtId="164" fontId="84" fillId="0" borderId="0" xfId="8878" applyNumberFormat="1" applyFont="1"/>
    <xf numFmtId="0" fontId="84" fillId="0" borderId="0" xfId="0" applyFont="1"/>
    <xf numFmtId="0" fontId="82" fillId="0" borderId="0" xfId="0" applyFont="1"/>
    <xf numFmtId="0" fontId="89" fillId="0" borderId="0" xfId="0" applyFont="1"/>
    <xf numFmtId="0" fontId="89" fillId="71" borderId="0" xfId="0" applyFont="1" applyFill="1"/>
    <xf numFmtId="164" fontId="89" fillId="71" borderId="0" xfId="8878" applyNumberFormat="1" applyFont="1" applyFill="1"/>
    <xf numFmtId="165" fontId="89" fillId="71" borderId="0" xfId="0" applyNumberFormat="1" applyFont="1" applyFill="1"/>
    <xf numFmtId="0" fontId="84" fillId="72" borderId="0" xfId="0" applyFont="1" applyFill="1"/>
    <xf numFmtId="165" fontId="84" fillId="72" borderId="0" xfId="0" applyNumberFormat="1" applyFont="1" applyFill="1"/>
    <xf numFmtId="164" fontId="84" fillId="72" borderId="0" xfId="8878" applyNumberFormat="1" applyFont="1" applyFill="1"/>
    <xf numFmtId="0" fontId="84" fillId="0" borderId="0" xfId="8878" applyNumberFormat="1" applyFont="1"/>
    <xf numFmtId="165" fontId="89" fillId="71" borderId="0" xfId="8878" applyNumberFormat="1" applyFont="1" applyFill="1"/>
    <xf numFmtId="165" fontId="84" fillId="72" borderId="0" xfId="8878" applyNumberFormat="1" applyFont="1" applyFill="1"/>
    <xf numFmtId="0" fontId="84" fillId="72" borderId="0" xfId="0" applyFont="1" applyFill="1" applyAlignment="1">
      <alignment horizontal="right"/>
    </xf>
    <xf numFmtId="0" fontId="84" fillId="72" borderId="0" xfId="0" applyFont="1" applyFill="1" applyAlignment="1">
      <alignment horizontal="center"/>
    </xf>
    <xf numFmtId="164" fontId="84" fillId="0" borderId="0" xfId="8878" applyNumberFormat="1" applyFont="1"/>
    <xf numFmtId="0" fontId="82" fillId="72" borderId="0" xfId="0" applyFont="1" applyFill="1"/>
    <xf numFmtId="43" fontId="84" fillId="0" borderId="0" xfId="339" applyNumberFormat="1" applyFont="1"/>
    <xf numFmtId="10" fontId="89" fillId="0" borderId="0" xfId="8877" applyNumberFormat="1" applyFont="1"/>
    <xf numFmtId="9" fontId="84" fillId="0" borderId="49" xfId="8877" applyFont="1" applyBorder="1"/>
    <xf numFmtId="9" fontId="84" fillId="0" borderId="50" xfId="8877" applyFont="1" applyBorder="1"/>
    <xf numFmtId="3" fontId="97" fillId="66" borderId="0" xfId="0" applyNumberFormat="1" applyFont="1" applyFill="1" applyBorder="1"/>
    <xf numFmtId="9" fontId="89" fillId="0" borderId="0" xfId="8877" applyFont="1"/>
    <xf numFmtId="43" fontId="84" fillId="0" borderId="0" xfId="0" applyNumberFormat="1" applyFont="1"/>
    <xf numFmtId="0" fontId="82" fillId="0" borderId="40" xfId="0" applyFont="1" applyBorder="1" applyAlignment="1">
      <alignment horizontal="left"/>
    </xf>
    <xf numFmtId="164" fontId="84" fillId="0" borderId="40" xfId="0" applyNumberFormat="1" applyFont="1" applyBorder="1"/>
    <xf numFmtId="164" fontId="82" fillId="0" borderId="40" xfId="0" applyNumberFormat="1" applyFont="1" applyFill="1" applyBorder="1"/>
    <xf numFmtId="0" fontId="84" fillId="0" borderId="40" xfId="0" applyFont="1" applyBorder="1" applyAlignment="1">
      <alignment horizontal="left"/>
    </xf>
    <xf numFmtId="164" fontId="84" fillId="0" borderId="40" xfId="339" applyNumberFormat="1" applyFont="1" applyFill="1" applyBorder="1"/>
    <xf numFmtId="164" fontId="84" fillId="66" borderId="0" xfId="8878" applyNumberFormat="1" applyFont="1" applyFill="1"/>
    <xf numFmtId="9" fontId="84" fillId="0" borderId="36" xfId="8877" applyFont="1" applyBorder="1"/>
    <xf numFmtId="164" fontId="84" fillId="0" borderId="0" xfId="8878" applyNumberFormat="1" applyFont="1" applyBorder="1"/>
    <xf numFmtId="10" fontId="89" fillId="0" borderId="0" xfId="0" applyNumberFormat="1" applyFont="1"/>
    <xf numFmtId="0" fontId="84" fillId="0" borderId="5" xfId="0" applyFont="1" applyBorder="1"/>
    <xf numFmtId="164" fontId="84" fillId="0" borderId="0" xfId="8878" applyNumberFormat="1" applyFont="1"/>
    <xf numFmtId="0" fontId="84" fillId="0" borderId="0" xfId="0" applyFont="1" applyAlignment="1">
      <alignment horizontal="center" vertical="center"/>
    </xf>
    <xf numFmtId="0" fontId="82" fillId="0" borderId="0" xfId="0" applyFont="1" applyAlignment="1">
      <alignment horizontal="center" vertical="center"/>
    </xf>
    <xf numFmtId="165" fontId="82" fillId="0" borderId="0" xfId="0" applyNumberFormat="1" applyFont="1" applyAlignment="1">
      <alignment horizontal="center"/>
    </xf>
    <xf numFmtId="165" fontId="82" fillId="0" borderId="0" xfId="0" applyNumberFormat="1" applyFont="1" applyAlignment="1">
      <alignment horizontal="center" vertical="center"/>
    </xf>
    <xf numFmtId="14" fontId="82" fillId="0" borderId="0" xfId="0" applyNumberFormat="1" applyFont="1" applyAlignment="1">
      <alignment horizontal="center" vertical="center"/>
    </xf>
    <xf numFmtId="0" fontId="82" fillId="0" borderId="0" xfId="0" applyFont="1" applyAlignment="1">
      <alignment horizontal="left"/>
    </xf>
    <xf numFmtId="0" fontId="98" fillId="0" borderId="0" xfId="0" applyFont="1"/>
    <xf numFmtId="164" fontId="98" fillId="0" borderId="0" xfId="8878" applyNumberFormat="1" applyFont="1"/>
    <xf numFmtId="14" fontId="98" fillId="0" borderId="0" xfId="8878" applyNumberFormat="1" applyFont="1"/>
    <xf numFmtId="14" fontId="98" fillId="0" borderId="0" xfId="0" applyNumberFormat="1" applyFont="1"/>
    <xf numFmtId="0" fontId="82" fillId="34" borderId="29" xfId="0" applyFont="1" applyFill="1" applyBorder="1" applyAlignment="1">
      <alignment horizontal="center" vertical="center" wrapText="1"/>
    </xf>
    <xf numFmtId="0" fontId="82" fillId="34" borderId="30" xfId="0" applyFont="1" applyFill="1" applyBorder="1" applyAlignment="1">
      <alignment horizontal="center" vertical="center" wrapText="1"/>
    </xf>
    <xf numFmtId="0" fontId="82" fillId="34" borderId="31" xfId="0" applyFont="1" applyFill="1" applyBorder="1" applyAlignment="1">
      <alignment horizontal="center" vertical="center" wrapText="1"/>
    </xf>
    <xf numFmtId="0" fontId="82" fillId="34" borderId="26" xfId="0" applyFont="1" applyFill="1" applyBorder="1" applyAlignment="1">
      <alignment horizontal="center"/>
    </xf>
    <xf numFmtId="0" fontId="82" fillId="34" borderId="27" xfId="0" applyFont="1" applyFill="1" applyBorder="1" applyAlignment="1">
      <alignment horizontal="center"/>
    </xf>
    <xf numFmtId="0" fontId="82" fillId="34" borderId="28" xfId="0" applyFont="1" applyFill="1" applyBorder="1" applyAlignment="1">
      <alignment horizontal="center"/>
    </xf>
    <xf numFmtId="0" fontId="90" fillId="0" borderId="35" xfId="8077" applyFont="1" applyBorder="1" applyAlignment="1">
      <alignment horizontal="center" wrapText="1"/>
    </xf>
    <xf numFmtId="0" fontId="90" fillId="0" borderId="0" xfId="8077" applyFont="1" applyBorder="1" applyAlignment="1">
      <alignment horizontal="center" wrapText="1"/>
    </xf>
    <xf numFmtId="0" fontId="86" fillId="0" borderId="32" xfId="8077" applyFont="1" applyBorder="1" applyAlignment="1">
      <alignment horizontal="center" wrapText="1"/>
    </xf>
    <xf numFmtId="0" fontId="86" fillId="0" borderId="33" xfId="8077" applyFont="1" applyBorder="1" applyAlignment="1">
      <alignment horizontal="center" wrapText="1"/>
    </xf>
    <xf numFmtId="0" fontId="86" fillId="0" borderId="35" xfId="8077" applyFont="1" applyBorder="1" applyAlignment="1">
      <alignment horizontal="center" wrapText="1"/>
    </xf>
    <xf numFmtId="0" fontId="86" fillId="0" borderId="0" xfId="8077" applyFont="1" applyBorder="1" applyAlignment="1">
      <alignment horizontal="center" wrapText="1"/>
    </xf>
    <xf numFmtId="0" fontId="91" fillId="0" borderId="35" xfId="8077" applyFont="1" applyFill="1" applyBorder="1" applyAlignment="1">
      <alignment horizontal="center"/>
    </xf>
    <xf numFmtId="0" fontId="91" fillId="0" borderId="0" xfId="8077" applyFont="1" applyFill="1" applyBorder="1" applyAlignment="1">
      <alignment horizontal="center"/>
    </xf>
    <xf numFmtId="0" fontId="82" fillId="0" borderId="0" xfId="0" applyFont="1"/>
    <xf numFmtId="0" fontId="82" fillId="0" borderId="0" xfId="0" applyFont="1" applyAlignment="1">
      <alignment horizontal="center" vertical="center"/>
    </xf>
    <xf numFmtId="0" fontId="82" fillId="0" borderId="0" xfId="0" applyFont="1" applyAlignment="1">
      <alignment horizontal="center"/>
    </xf>
  </cellXfs>
  <cellStyles count="8879">
    <cellStyle name="20% - Accent1 2" xfId="1"/>
    <cellStyle name="20% - Accent1 2 2" xfId="2"/>
    <cellStyle name="20% - Accent1 2 2 2" xfId="3"/>
    <cellStyle name="20% - Accent1 2 3" xfId="4"/>
    <cellStyle name="20% - Accent1 2 4" xfId="5"/>
    <cellStyle name="20% - Accent1 2 5" xfId="6"/>
    <cellStyle name="20% - Accent1 3" xfId="7"/>
    <cellStyle name="20% - Accent1 3 2" xfId="8"/>
    <cellStyle name="20% - Accent1 3 2 2" xfId="9"/>
    <cellStyle name="20% - Accent1 3 3" xfId="10"/>
    <cellStyle name="20% - Accent1 4" xfId="11"/>
    <cellStyle name="20% - Accent1 4 2" xfId="12"/>
    <cellStyle name="20% - Accent1 4 3" xfId="13"/>
    <cellStyle name="20% - Accent1 5" xfId="14"/>
    <cellStyle name="20% - Accent1 6" xfId="15"/>
    <cellStyle name="20% - Accent2 2" xfId="16"/>
    <cellStyle name="20% - Accent2 2 2" xfId="17"/>
    <cellStyle name="20% - Accent2 2 3" xfId="18"/>
    <cellStyle name="20% - Accent2 3" xfId="19"/>
    <cellStyle name="20% - Accent2 3 2" xfId="20"/>
    <cellStyle name="20% - Accent2 3 3" xfId="21"/>
    <cellStyle name="20% - Accent2 4" xfId="22"/>
    <cellStyle name="20% - Accent2 4 2" xfId="23"/>
    <cellStyle name="20% - Accent2 5" xfId="24"/>
    <cellStyle name="20% - Accent2 6" xfId="25"/>
    <cellStyle name="20% - Accent3 2" xfId="26"/>
    <cellStyle name="20% - Accent3 2 2" xfId="27"/>
    <cellStyle name="20% - Accent3 3" xfId="28"/>
    <cellStyle name="20% - Accent3 3 2" xfId="29"/>
    <cellStyle name="20% - Accent3 3 3" xfId="30"/>
    <cellStyle name="20% - Accent3 4" xfId="31"/>
    <cellStyle name="20% - Accent3 4 2" xfId="32"/>
    <cellStyle name="20% - Accent3 5" xfId="33"/>
    <cellStyle name="20% - Accent3 6" xfId="34"/>
    <cellStyle name="20% - Accent4 2" xfId="35"/>
    <cellStyle name="20% - Accent4 2 2" xfId="36"/>
    <cellStyle name="20% - Accent4 2 2 2" xfId="37"/>
    <cellStyle name="20% - Accent4 2 3" xfId="38"/>
    <cellStyle name="20% - Accent4 3" xfId="39"/>
    <cellStyle name="20% - Accent4 3 2" xfId="40"/>
    <cellStyle name="20% - Accent4 3 2 2" xfId="41"/>
    <cellStyle name="20% - Accent4 3 3" xfId="42"/>
    <cellStyle name="20% - Accent4 4" xfId="43"/>
    <cellStyle name="20% - Accent4 4 2" xfId="44"/>
    <cellStyle name="20% - Accent4 4 3" xfId="45"/>
    <cellStyle name="20% - Accent4 5" xfId="46"/>
    <cellStyle name="20% - Accent4 6" xfId="47"/>
    <cellStyle name="20% - Accent5" xfId="48" builtinId="46" customBuiltin="1"/>
    <cellStyle name="20% - Accent5 2" xfId="49"/>
    <cellStyle name="20% - Accent5 2 2" xfId="50"/>
    <cellStyle name="20% - Accent5 3" xfId="51"/>
    <cellStyle name="20% - Accent5 3 2" xfId="52"/>
    <cellStyle name="20% - Accent5 3 3" xfId="53"/>
    <cellStyle name="20% - Accent5 4" xfId="54"/>
    <cellStyle name="20% - Accent5 4 2" xfId="55"/>
    <cellStyle name="20% - Accent5 5" xfId="56"/>
    <cellStyle name="20% - Accent6" xfId="57" builtinId="50" customBuiltin="1"/>
    <cellStyle name="20% - Accent6 2" xfId="58"/>
    <cellStyle name="20% - Accent6 2 2" xfId="59"/>
    <cellStyle name="20% - Accent6 2 3" xfId="60"/>
    <cellStyle name="20% - Accent6 3" xfId="61"/>
    <cellStyle name="20% - Accent6 3 2" xfId="62"/>
    <cellStyle name="20% - Accent6 3 3" xfId="63"/>
    <cellStyle name="20% - Accent6 4" xfId="64"/>
    <cellStyle name="20% - Accent6 4 2" xfId="65"/>
    <cellStyle name="20% - Accent6 5" xfId="66"/>
    <cellStyle name="40% - Accent1" xfId="67" builtinId="31" customBuiltin="1"/>
    <cellStyle name="40% - Accent1 2" xfId="68"/>
    <cellStyle name="40% - Accent1 2 2" xfId="69"/>
    <cellStyle name="40% - Accent1 2 3" xfId="70"/>
    <cellStyle name="40% - Accent1 3" xfId="71"/>
    <cellStyle name="40% - Accent1 3 2" xfId="72"/>
    <cellStyle name="40% - Accent1 3 2 2" xfId="73"/>
    <cellStyle name="40% - Accent1 3 3" xfId="74"/>
    <cellStyle name="40% - Accent1 4" xfId="75"/>
    <cellStyle name="40% - Accent1 4 2" xfId="76"/>
    <cellStyle name="40% - Accent1 5" xfId="77"/>
    <cellStyle name="40% - Accent1 6" xfId="78"/>
    <cellStyle name="40% - Accent2" xfId="79" builtinId="35" customBuiltin="1"/>
    <cellStyle name="40% - Accent2 2" xfId="80"/>
    <cellStyle name="40% - Accent2 2 2" xfId="81"/>
    <cellStyle name="40% - Accent2 3" xfId="82"/>
    <cellStyle name="40% - Accent2 3 2" xfId="83"/>
    <cellStyle name="40% - Accent2 3 3" xfId="84"/>
    <cellStyle name="40% - Accent2 4" xfId="85"/>
    <cellStyle name="40% - Accent2 4 2" xfId="86"/>
    <cellStyle name="40% - Accent2 5" xfId="87"/>
    <cellStyle name="40% - Accent3 2" xfId="88"/>
    <cellStyle name="40% - Accent3 2 2" xfId="89"/>
    <cellStyle name="40% - Accent3 2 3" xfId="90"/>
    <cellStyle name="40% - Accent3 3" xfId="91"/>
    <cellStyle name="40% - Accent3 3 2" xfId="92"/>
    <cellStyle name="40% - Accent3 3 3" xfId="93"/>
    <cellStyle name="40% - Accent3 4" xfId="94"/>
    <cellStyle name="40% - Accent3 4 2" xfId="95"/>
    <cellStyle name="40% - Accent3 5" xfId="96"/>
    <cellStyle name="40% - Accent3 6" xfId="97"/>
    <cellStyle name="40% - Accent4" xfId="98" builtinId="43" customBuiltin="1"/>
    <cellStyle name="40% - Accent4 2" xfId="99"/>
    <cellStyle name="40% - Accent4 2 2" xfId="100"/>
    <cellStyle name="40% - Accent4 2 3" xfId="101"/>
    <cellStyle name="40% - Accent4 3" xfId="102"/>
    <cellStyle name="40% - Accent4 3 2" xfId="103"/>
    <cellStyle name="40% - Accent4 3 2 2" xfId="104"/>
    <cellStyle name="40% - Accent4 3 3" xfId="105"/>
    <cellStyle name="40% - Accent4 4" xfId="106"/>
    <cellStyle name="40% - Accent4 4 2" xfId="107"/>
    <cellStyle name="40% - Accent4 5" xfId="108"/>
    <cellStyle name="40% - Accent4 6" xfId="109"/>
    <cellStyle name="40% - Accent5" xfId="110" builtinId="47" customBuiltin="1"/>
    <cellStyle name="40% - Accent5 2" xfId="111"/>
    <cellStyle name="40% - Accent5 2 2" xfId="112"/>
    <cellStyle name="40% - Accent5 2 3" xfId="113"/>
    <cellStyle name="40% - Accent5 3" xfId="114"/>
    <cellStyle name="40% - Accent5 3 2" xfId="115"/>
    <cellStyle name="40% - Accent5 3 3" xfId="116"/>
    <cellStyle name="40% - Accent5 4" xfId="117"/>
    <cellStyle name="40% - Accent5 4 2" xfId="118"/>
    <cellStyle name="40% - Accent5 5" xfId="119"/>
    <cellStyle name="40% - Accent6" xfId="120" builtinId="51" customBuiltin="1"/>
    <cellStyle name="40% - Accent6 2" xfId="121"/>
    <cellStyle name="40% - Accent6 2 2" xfId="122"/>
    <cellStyle name="40% - Accent6 2 2 2" xfId="123"/>
    <cellStyle name="40% - Accent6 2 3" xfId="124"/>
    <cellStyle name="40% - Accent6 3" xfId="125"/>
    <cellStyle name="40% - Accent6 3 2" xfId="126"/>
    <cellStyle name="40% - Accent6 3 2 2" xfId="127"/>
    <cellStyle name="40% - Accent6 3 3" xfId="128"/>
    <cellStyle name="40% - Accent6 4" xfId="129"/>
    <cellStyle name="40% - Accent6 4 2" xfId="130"/>
    <cellStyle name="40% - Accent6 5" xfId="131"/>
    <cellStyle name="40% - Accent6 6" xfId="132"/>
    <cellStyle name="60% - Accent1" xfId="133" builtinId="32" customBuiltin="1"/>
    <cellStyle name="60% - Accent1 2" xfId="134"/>
    <cellStyle name="60% - Accent1 2 2" xfId="135"/>
    <cellStyle name="60% - Accent1 2 2 2" xfId="136"/>
    <cellStyle name="60% - Accent1 2 3" xfId="137"/>
    <cellStyle name="60% - Accent1 2 4" xfId="138"/>
    <cellStyle name="60% - Accent1 3" xfId="139"/>
    <cellStyle name="60% - Accent1 3 2" xfId="140"/>
    <cellStyle name="60% - Accent1 3 3" xfId="141"/>
    <cellStyle name="60% - Accent1 4" xfId="142"/>
    <cellStyle name="60% - Accent1 4 2" xfId="143"/>
    <cellStyle name="60% - Accent2" xfId="144" builtinId="36" customBuiltin="1"/>
    <cellStyle name="60% - Accent2 2" xfId="145"/>
    <cellStyle name="60% - Accent2 2 2" xfId="146"/>
    <cellStyle name="60% - Accent2 2 3" xfId="147"/>
    <cellStyle name="60% - Accent2 3" xfId="148"/>
    <cellStyle name="60% - Accent2 3 2" xfId="149"/>
    <cellStyle name="60% - Accent2 4" xfId="150"/>
    <cellStyle name="60% - Accent3 2" xfId="151"/>
    <cellStyle name="60% - Accent3 2 2" xfId="152"/>
    <cellStyle name="60% - Accent3 2 3" xfId="153"/>
    <cellStyle name="60% - Accent3 3" xfId="154"/>
    <cellStyle name="60% - Accent3 3 2" xfId="155"/>
    <cellStyle name="60% - Accent3 3 3" xfId="156"/>
    <cellStyle name="60% - Accent3 4" xfId="157"/>
    <cellStyle name="60% - Accent3 4 2" xfId="158"/>
    <cellStyle name="60% - Accent3 4 3" xfId="159"/>
    <cellStyle name="60% - Accent4 2" xfId="160"/>
    <cellStyle name="60% - Accent4 2 2" xfId="161"/>
    <cellStyle name="60% - Accent4 2 3" xfId="162"/>
    <cellStyle name="60% - Accent4 3" xfId="163"/>
    <cellStyle name="60% - Accent4 3 2" xfId="164"/>
    <cellStyle name="60% - Accent4 3 3" xfId="165"/>
    <cellStyle name="60% - Accent4 4" xfId="166"/>
    <cellStyle name="60% - Accent4 4 2" xfId="167"/>
    <cellStyle name="60% - Accent4 4 3" xfId="168"/>
    <cellStyle name="60% - Accent5" xfId="169" builtinId="48" customBuiltin="1"/>
    <cellStyle name="60% - Accent5 2" xfId="170"/>
    <cellStyle name="60% - Accent5 2 2" xfId="171"/>
    <cellStyle name="60% - Accent5 2 2 2" xfId="172"/>
    <cellStyle name="60% - Accent5 2 3" xfId="173"/>
    <cellStyle name="60% - Accent5 2 4" xfId="174"/>
    <cellStyle name="60% - Accent5 3" xfId="175"/>
    <cellStyle name="60% - Accent5 3 2" xfId="176"/>
    <cellStyle name="60% - Accent5 4" xfId="177"/>
    <cellStyle name="60% - Accent6 2" xfId="178"/>
    <cellStyle name="60% - Accent6 2 2" xfId="179"/>
    <cellStyle name="60% - Accent6 2 3" xfId="180"/>
    <cellStyle name="60% - Accent6 3" xfId="181"/>
    <cellStyle name="60% - Accent6 3 2" xfId="182"/>
    <cellStyle name="60% - Accent6 4" xfId="183"/>
    <cellStyle name="Accent1" xfId="184" builtinId="29" customBuiltin="1"/>
    <cellStyle name="Accent1 2" xfId="185"/>
    <cellStyle name="Accent1 2 2" xfId="186"/>
    <cellStyle name="Accent1 2 2 2" xfId="187"/>
    <cellStyle name="Accent1 2 3" xfId="188"/>
    <cellStyle name="Accent1 2 4" xfId="189"/>
    <cellStyle name="Accent1 3" xfId="190"/>
    <cellStyle name="Accent1 3 2" xfId="191"/>
    <cellStyle name="Accent1 3 3" xfId="192"/>
    <cellStyle name="Accent1 4" xfId="193"/>
    <cellStyle name="Accent1 4 2" xfId="194"/>
    <cellStyle name="Accent2" xfId="195" builtinId="33" customBuiltin="1"/>
    <cellStyle name="Accent2 2" xfId="196"/>
    <cellStyle name="Accent2 2 2" xfId="197"/>
    <cellStyle name="Accent2 2 3" xfId="198"/>
    <cellStyle name="Accent2 3" xfId="199"/>
    <cellStyle name="Accent2 3 2" xfId="200"/>
    <cellStyle name="Accent2 4" xfId="201"/>
    <cellStyle name="Accent3" xfId="202" builtinId="37" customBuiltin="1"/>
    <cellStyle name="Accent3 2" xfId="203"/>
    <cellStyle name="Accent3 2 2" xfId="204"/>
    <cellStyle name="Accent3 2 3" xfId="205"/>
    <cellStyle name="Accent3 2 4" xfId="206"/>
    <cellStyle name="Accent3 3" xfId="207"/>
    <cellStyle name="Accent3 3 2" xfId="208"/>
    <cellStyle name="Accent3 4" xfId="209"/>
    <cellStyle name="Accent4" xfId="210" builtinId="41" customBuiltin="1"/>
    <cellStyle name="Accent4 2" xfId="211"/>
    <cellStyle name="Accent4 2 2" xfId="212"/>
    <cellStyle name="Accent4 2 2 2" xfId="213"/>
    <cellStyle name="Accent4 2 3" xfId="214"/>
    <cellStyle name="Accent4 3" xfId="215"/>
    <cellStyle name="Accent4 3 2" xfId="216"/>
    <cellStyle name="Accent4 4" xfId="217"/>
    <cellStyle name="Accent5" xfId="218" builtinId="45" customBuiltin="1"/>
    <cellStyle name="Accent5 2" xfId="219"/>
    <cellStyle name="Accent5 2 2" xfId="220"/>
    <cellStyle name="Accent5 2 2 2" xfId="221"/>
    <cellStyle name="Accent5 2 3" xfId="222"/>
    <cellStyle name="Accent5 2 3 2" xfId="223"/>
    <cellStyle name="Accent5 2 4" xfId="224"/>
    <cellStyle name="Accent5 3" xfId="225"/>
    <cellStyle name="Accent5 4" xfId="226"/>
    <cellStyle name="Accent6" xfId="227" builtinId="49" customBuiltin="1"/>
    <cellStyle name="Accent6 2" xfId="228"/>
    <cellStyle name="Accent6 2 2" xfId="229"/>
    <cellStyle name="Accent6 2 3" xfId="230"/>
    <cellStyle name="Accent6 2 4" xfId="231"/>
    <cellStyle name="Accent6 3" xfId="232"/>
    <cellStyle name="Accent6 3 2" xfId="233"/>
    <cellStyle name="Accent6 4" xfId="234"/>
    <cellStyle name="Accounting" xfId="235"/>
    <cellStyle name="Accounting 2" xfId="236"/>
    <cellStyle name="Accounting 2 2" xfId="237"/>
    <cellStyle name="Accounting 3" xfId="238"/>
    <cellStyle name="Accounting 3 2" xfId="239"/>
    <cellStyle name="Accounting 4" xfId="240"/>
    <cellStyle name="Accounting_2011-11" xfId="241"/>
    <cellStyle name="APS" xfId="242"/>
    <cellStyle name="APSLabels" xfId="243"/>
    <cellStyle name="APSLabels 2" xfId="244"/>
    <cellStyle name="APSLabels 2 2" xfId="245"/>
    <cellStyle name="APSLabels 3" xfId="246"/>
    <cellStyle name="APSLabels 4" xfId="247"/>
    <cellStyle name="Bad" xfId="248" builtinId="27" customBuiltin="1"/>
    <cellStyle name="Bad 2" xfId="249"/>
    <cellStyle name="Bad 2 2" xfId="250"/>
    <cellStyle name="Bad 2 3" xfId="251"/>
    <cellStyle name="Bad 3" xfId="252"/>
    <cellStyle name="Bad 3 2" xfId="253"/>
    <cellStyle name="Bad 4" xfId="254"/>
    <cellStyle name="Budget" xfId="255"/>
    <cellStyle name="Budget 2" xfId="256"/>
    <cellStyle name="Budget 3" xfId="257"/>
    <cellStyle name="Budget_2011-11" xfId="258"/>
    <cellStyle name="Calculation" xfId="259" builtinId="22" customBuiltin="1"/>
    <cellStyle name="Calculation 2" xfId="260"/>
    <cellStyle name="Calculation 2 2" xfId="261"/>
    <cellStyle name="Calculation 2 2 2" xfId="262"/>
    <cellStyle name="Calculation 2 2 2 2" xfId="263"/>
    <cellStyle name="Calculation 2 2 2 3" xfId="264"/>
    <cellStyle name="Calculation 2 2 2 4" xfId="265"/>
    <cellStyle name="Calculation 2 2 2 5" xfId="266"/>
    <cellStyle name="Calculation 2 2 3" xfId="267"/>
    <cellStyle name="Calculation 2 2 3 2" xfId="268"/>
    <cellStyle name="Calculation 2 2 3 3" xfId="269"/>
    <cellStyle name="Calculation 2 2 3 4" xfId="270"/>
    <cellStyle name="Calculation 2 2 3 5" xfId="271"/>
    <cellStyle name="Calculation 2 3" xfId="272"/>
    <cellStyle name="Calculation 2 3 2" xfId="273"/>
    <cellStyle name="Calculation 2 3 2 2" xfId="274"/>
    <cellStyle name="Calculation 2 3 2 3" xfId="275"/>
    <cellStyle name="Calculation 2 3 2 4" xfId="276"/>
    <cellStyle name="Calculation 2 3 2 5" xfId="277"/>
    <cellStyle name="Calculation 2 3 3" xfId="278"/>
    <cellStyle name="Calculation 2 4" xfId="279"/>
    <cellStyle name="Calculation 2 4 2" xfId="280"/>
    <cellStyle name="Calculation 2 4 2 2" xfId="281"/>
    <cellStyle name="Calculation 2 4 2 3" xfId="282"/>
    <cellStyle name="Calculation 2 4 2 4" xfId="283"/>
    <cellStyle name="Calculation 2 4 2 5" xfId="284"/>
    <cellStyle name="Calculation 2 4 3" xfId="285"/>
    <cellStyle name="Calculation 2 5" xfId="286"/>
    <cellStyle name="Calculation 2 5 2" xfId="287"/>
    <cellStyle name="Calculation 2 5 3" xfId="288"/>
    <cellStyle name="Calculation 2 5 4" xfId="289"/>
    <cellStyle name="Calculation 2 5 5" xfId="290"/>
    <cellStyle name="Calculation 2 6" xfId="291"/>
    <cellStyle name="Calculation 3" xfId="292"/>
    <cellStyle name="Calculation 3 2" xfId="293"/>
    <cellStyle name="Calculation 3 2 2" xfId="294"/>
    <cellStyle name="Calculation 3 2 2 2" xfId="295"/>
    <cellStyle name="Calculation 3 2 2 3" xfId="296"/>
    <cellStyle name="Calculation 3 2 2 4" xfId="297"/>
    <cellStyle name="Calculation 3 2 2 5" xfId="298"/>
    <cellStyle name="Calculation 3 2 3" xfId="299"/>
    <cellStyle name="Calculation 3 2 3 2" xfId="300"/>
    <cellStyle name="Calculation 3 2 3 3" xfId="301"/>
    <cellStyle name="Calculation 3 2 3 4" xfId="302"/>
    <cellStyle name="Calculation 3 2 3 5" xfId="303"/>
    <cellStyle name="Calculation 3 3" xfId="304"/>
    <cellStyle name="Calculation 3 3 2" xfId="305"/>
    <cellStyle name="Calculation 3 3 2 2" xfId="306"/>
    <cellStyle name="Calculation 3 3 2 3" xfId="307"/>
    <cellStyle name="Calculation 3 3 2 4" xfId="308"/>
    <cellStyle name="Calculation 3 3 2 5" xfId="309"/>
    <cellStyle name="Calculation 3 3 3" xfId="310"/>
    <cellStyle name="Calculation 3 4" xfId="311"/>
    <cellStyle name="Calculation 3 4 2" xfId="312"/>
    <cellStyle name="Calculation 3 4 3" xfId="313"/>
    <cellStyle name="Calculation 3 4 4" xfId="314"/>
    <cellStyle name="Calculation 3 4 5" xfId="315"/>
    <cellStyle name="Calculation 3 5" xfId="316"/>
    <cellStyle name="Calculation 3 5 2" xfId="317"/>
    <cellStyle name="Calculation 3 5 3" xfId="318"/>
    <cellStyle name="Calculation 3 5 4" xfId="319"/>
    <cellStyle name="Calculation 3 5 5" xfId="320"/>
    <cellStyle name="Calculation 4" xfId="321"/>
    <cellStyle name="Calculation 4 2" xfId="322"/>
    <cellStyle name="Calculation 4 3" xfId="323"/>
    <cellStyle name="Calculation 4 3 2" xfId="324"/>
    <cellStyle name="Calculation 4 3 3" xfId="325"/>
    <cellStyle name="Calculation 4 3 4" xfId="326"/>
    <cellStyle name="Calculation 4 3 5" xfId="327"/>
    <cellStyle name="Calculation 4 4" xfId="328"/>
    <cellStyle name="Check Cell" xfId="329" builtinId="23" customBuiltin="1"/>
    <cellStyle name="Check Cell 2" xfId="330"/>
    <cellStyle name="Check Cell 2 2" xfId="331"/>
    <cellStyle name="Check Cell 2 2 2" xfId="332"/>
    <cellStyle name="Check Cell 2 3" xfId="333"/>
    <cellStyle name="Check Cell 2 4" xfId="334"/>
    <cellStyle name="Check Cell 3" xfId="335"/>
    <cellStyle name="Check Cell 4" xfId="336"/>
    <cellStyle name="Color" xfId="337"/>
    <cellStyle name="combo" xfId="338"/>
    <cellStyle name="Comma" xfId="8878" builtinId="3"/>
    <cellStyle name="Comma 10" xfId="339"/>
    <cellStyle name="Comma 10 2" xfId="340"/>
    <cellStyle name="Comma 11" xfId="341"/>
    <cellStyle name="Comma 11 2" xfId="342"/>
    <cellStyle name="Comma 11 2 2" xfId="343"/>
    <cellStyle name="Comma 11 2 2 2" xfId="344"/>
    <cellStyle name="Comma 11 2 2 2 2" xfId="345"/>
    <cellStyle name="Comma 11 2 2 2 2 2" xfId="346"/>
    <cellStyle name="Comma 11 2 2 2 2 2 2" xfId="347"/>
    <cellStyle name="Comma 11 2 2 2 2 3" xfId="348"/>
    <cellStyle name="Comma 11 2 2 2 2 3 2" xfId="349"/>
    <cellStyle name="Comma 11 2 2 2 2 4" xfId="350"/>
    <cellStyle name="Comma 11 2 2 2 3" xfId="351"/>
    <cellStyle name="Comma 11 2 2 2 3 2" xfId="352"/>
    <cellStyle name="Comma 11 2 2 2 4" xfId="353"/>
    <cellStyle name="Comma 11 2 2 2 4 2" xfId="354"/>
    <cellStyle name="Comma 11 2 2 2 5" xfId="355"/>
    <cellStyle name="Comma 11 2 2 3" xfId="356"/>
    <cellStyle name="Comma 11 2 2 3 2" xfId="357"/>
    <cellStyle name="Comma 11 2 2 3 2 2" xfId="358"/>
    <cellStyle name="Comma 11 2 2 3 3" xfId="359"/>
    <cellStyle name="Comma 11 2 2 3 3 2" xfId="360"/>
    <cellStyle name="Comma 11 2 2 3 4" xfId="361"/>
    <cellStyle name="Comma 11 2 2 4" xfId="362"/>
    <cellStyle name="Comma 11 2 2 4 2" xfId="363"/>
    <cellStyle name="Comma 11 2 2 5" xfId="364"/>
    <cellStyle name="Comma 11 2 2 5 2" xfId="365"/>
    <cellStyle name="Comma 11 2 2 6" xfId="366"/>
    <cellStyle name="Comma 11 2 3" xfId="367"/>
    <cellStyle name="Comma 11 2 3 2" xfId="368"/>
    <cellStyle name="Comma 11 2 3 2 2" xfId="369"/>
    <cellStyle name="Comma 11 2 3 2 2 2" xfId="370"/>
    <cellStyle name="Comma 11 2 3 2 3" xfId="371"/>
    <cellStyle name="Comma 11 2 3 2 3 2" xfId="372"/>
    <cellStyle name="Comma 11 2 3 2 4" xfId="373"/>
    <cellStyle name="Comma 11 2 3 3" xfId="374"/>
    <cellStyle name="Comma 11 2 3 3 2" xfId="375"/>
    <cellStyle name="Comma 11 2 3 4" xfId="376"/>
    <cellStyle name="Comma 11 2 3 4 2" xfId="377"/>
    <cellStyle name="Comma 11 2 3 5" xfId="378"/>
    <cellStyle name="Comma 11 2 4" xfId="379"/>
    <cellStyle name="Comma 11 2 4 2" xfId="380"/>
    <cellStyle name="Comma 11 2 4 2 2" xfId="381"/>
    <cellStyle name="Comma 11 2 4 3" xfId="382"/>
    <cellStyle name="Comma 11 2 4 3 2" xfId="383"/>
    <cellStyle name="Comma 11 2 4 4" xfId="384"/>
    <cellStyle name="Comma 11 2 5" xfId="385"/>
    <cellStyle name="Comma 11 2 5 2" xfId="386"/>
    <cellStyle name="Comma 11 2 6" xfId="387"/>
    <cellStyle name="Comma 11 2 6 2" xfId="388"/>
    <cellStyle name="Comma 11 2 7" xfId="389"/>
    <cellStyle name="Comma 11 3" xfId="390"/>
    <cellStyle name="Comma 11 3 2" xfId="391"/>
    <cellStyle name="Comma 11 3 2 2" xfId="392"/>
    <cellStyle name="Comma 11 3 2 2 2" xfId="393"/>
    <cellStyle name="Comma 11 3 2 2 2 2" xfId="394"/>
    <cellStyle name="Comma 11 3 2 2 3" xfId="395"/>
    <cellStyle name="Comma 11 3 2 2 3 2" xfId="396"/>
    <cellStyle name="Comma 11 3 2 2 4" xfId="397"/>
    <cellStyle name="Comma 11 3 2 3" xfId="398"/>
    <cellStyle name="Comma 11 3 2 3 2" xfId="399"/>
    <cellStyle name="Comma 11 3 2 4" xfId="400"/>
    <cellStyle name="Comma 11 3 2 4 2" xfId="401"/>
    <cellStyle name="Comma 11 3 2 5" xfId="402"/>
    <cellStyle name="Comma 11 3 3" xfId="403"/>
    <cellStyle name="Comma 11 3 3 2" xfId="404"/>
    <cellStyle name="Comma 11 3 3 2 2" xfId="405"/>
    <cellStyle name="Comma 11 3 3 3" xfId="406"/>
    <cellStyle name="Comma 11 3 3 3 2" xfId="407"/>
    <cellStyle name="Comma 11 3 3 4" xfId="408"/>
    <cellStyle name="Comma 11 3 4" xfId="409"/>
    <cellStyle name="Comma 11 3 4 2" xfId="410"/>
    <cellStyle name="Comma 11 3 5" xfId="411"/>
    <cellStyle name="Comma 11 3 5 2" xfId="412"/>
    <cellStyle name="Comma 11 3 6" xfId="413"/>
    <cellStyle name="Comma 11 4" xfId="414"/>
    <cellStyle name="Comma 11 4 2" xfId="415"/>
    <cellStyle name="Comma 11 4 2 2" xfId="416"/>
    <cellStyle name="Comma 11 4 2 2 2" xfId="417"/>
    <cellStyle name="Comma 11 4 2 3" xfId="418"/>
    <cellStyle name="Comma 11 4 2 3 2" xfId="419"/>
    <cellStyle name="Comma 11 4 2 4" xfId="420"/>
    <cellStyle name="Comma 11 4 3" xfId="421"/>
    <cellStyle name="Comma 11 4 3 2" xfId="422"/>
    <cellStyle name="Comma 11 4 4" xfId="423"/>
    <cellStyle name="Comma 11 4 4 2" xfId="424"/>
    <cellStyle name="Comma 11 4 5" xfId="425"/>
    <cellStyle name="Comma 11 5" xfId="426"/>
    <cellStyle name="Comma 11 5 2" xfId="427"/>
    <cellStyle name="Comma 11 5 2 2" xfId="428"/>
    <cellStyle name="Comma 11 5 3" xfId="429"/>
    <cellStyle name="Comma 11 5 3 2" xfId="430"/>
    <cellStyle name="Comma 11 5 4" xfId="431"/>
    <cellStyle name="Comma 11 6" xfId="432"/>
    <cellStyle name="Comma 11 6 2" xfId="433"/>
    <cellStyle name="Comma 11 7" xfId="434"/>
    <cellStyle name="Comma 11 7 2" xfId="435"/>
    <cellStyle name="Comma 11 8" xfId="436"/>
    <cellStyle name="Comma 12" xfId="437"/>
    <cellStyle name="Comma 12 2" xfId="438"/>
    <cellStyle name="Comma 12 2 2" xfId="439"/>
    <cellStyle name="Comma 12 2 2 2" xfId="440"/>
    <cellStyle name="Comma 12 2 2 2 2" xfId="441"/>
    <cellStyle name="Comma 12 2 2 2 2 2" xfId="442"/>
    <cellStyle name="Comma 12 2 2 2 3" xfId="443"/>
    <cellStyle name="Comma 12 2 2 2 3 2" xfId="444"/>
    <cellStyle name="Comma 12 2 2 2 4" xfId="445"/>
    <cellStyle name="Comma 12 2 2 3" xfId="446"/>
    <cellStyle name="Comma 12 2 2 3 2" xfId="447"/>
    <cellStyle name="Comma 12 2 2 4" xfId="448"/>
    <cellStyle name="Comma 12 2 2 4 2" xfId="449"/>
    <cellStyle name="Comma 12 2 2 5" xfId="450"/>
    <cellStyle name="Comma 12 2 3" xfId="451"/>
    <cellStyle name="Comma 12 2 3 2" xfId="452"/>
    <cellStyle name="Comma 12 2 3 2 2" xfId="453"/>
    <cellStyle name="Comma 12 2 3 3" xfId="454"/>
    <cellStyle name="Comma 12 2 3 3 2" xfId="455"/>
    <cellStyle name="Comma 12 2 3 4" xfId="456"/>
    <cellStyle name="Comma 12 2 4" xfId="457"/>
    <cellStyle name="Comma 12 2 4 2" xfId="458"/>
    <cellStyle name="Comma 12 2 5" xfId="459"/>
    <cellStyle name="Comma 12 2 5 2" xfId="460"/>
    <cellStyle name="Comma 12 2 6" xfId="461"/>
    <cellStyle name="Comma 12 3" xfId="462"/>
    <cellStyle name="Comma 12 4" xfId="463"/>
    <cellStyle name="Comma 12 5" xfId="464"/>
    <cellStyle name="Comma 12 6" xfId="465"/>
    <cellStyle name="Comma 13" xfId="466"/>
    <cellStyle name="Comma 13 2" xfId="467"/>
    <cellStyle name="Comma 13 2 2" xfId="468"/>
    <cellStyle name="Comma 13 2 2 2" xfId="469"/>
    <cellStyle name="Comma 13 2 2 2 2" xfId="470"/>
    <cellStyle name="Comma 13 2 2 2 2 2" xfId="471"/>
    <cellStyle name="Comma 13 2 2 2 3" xfId="472"/>
    <cellStyle name="Comma 13 2 2 2 3 2" xfId="473"/>
    <cellStyle name="Comma 13 2 2 2 4" xfId="474"/>
    <cellStyle name="Comma 13 2 2 3" xfId="475"/>
    <cellStyle name="Comma 13 2 2 3 2" xfId="476"/>
    <cellStyle name="Comma 13 2 2 4" xfId="477"/>
    <cellStyle name="Comma 13 2 2 4 2" xfId="478"/>
    <cellStyle name="Comma 13 2 2 5" xfId="479"/>
    <cellStyle name="Comma 13 2 3" xfId="480"/>
    <cellStyle name="Comma 13 2 3 2" xfId="481"/>
    <cellStyle name="Comma 13 2 3 2 2" xfId="482"/>
    <cellStyle name="Comma 13 2 3 3" xfId="483"/>
    <cellStyle name="Comma 13 2 3 3 2" xfId="484"/>
    <cellStyle name="Comma 13 2 3 4" xfId="485"/>
    <cellStyle name="Comma 13 2 4" xfId="486"/>
    <cellStyle name="Comma 13 2 4 2" xfId="487"/>
    <cellStyle name="Comma 13 2 5" xfId="488"/>
    <cellStyle name="Comma 13 2 5 2" xfId="489"/>
    <cellStyle name="Comma 13 2 6" xfId="490"/>
    <cellStyle name="Comma 13 3" xfId="491"/>
    <cellStyle name="Comma 13 3 2" xfId="492"/>
    <cellStyle name="Comma 13 3 2 2" xfId="493"/>
    <cellStyle name="Comma 13 3 2 2 2" xfId="494"/>
    <cellStyle name="Comma 13 3 2 3" xfId="495"/>
    <cellStyle name="Comma 13 3 2 3 2" xfId="496"/>
    <cellStyle name="Comma 13 3 2 4" xfId="497"/>
    <cellStyle name="Comma 13 3 3" xfId="498"/>
    <cellStyle name="Comma 13 3 3 2" xfId="499"/>
    <cellStyle name="Comma 13 3 4" xfId="500"/>
    <cellStyle name="Comma 13 3 4 2" xfId="501"/>
    <cellStyle name="Comma 13 3 5" xfId="502"/>
    <cellStyle name="Comma 13 4" xfId="503"/>
    <cellStyle name="Comma 13 4 2" xfId="504"/>
    <cellStyle name="Comma 13 4 2 2" xfId="505"/>
    <cellStyle name="Comma 13 4 3" xfId="506"/>
    <cellStyle name="Comma 13 4 3 2" xfId="507"/>
    <cellStyle name="Comma 13 4 4" xfId="508"/>
    <cellStyle name="Comma 13 5" xfId="509"/>
    <cellStyle name="Comma 13 5 2" xfId="510"/>
    <cellStyle name="Comma 13 6" xfId="511"/>
    <cellStyle name="Comma 13 6 2" xfId="512"/>
    <cellStyle name="Comma 13 7" xfId="513"/>
    <cellStyle name="Comma 14" xfId="514"/>
    <cellStyle name="Comma 14 2" xfId="515"/>
    <cellStyle name="Comma 15" xfId="516"/>
    <cellStyle name="Comma 15 2" xfId="517"/>
    <cellStyle name="Comma 15 2 2" xfId="518"/>
    <cellStyle name="Comma 15 3" xfId="519"/>
    <cellStyle name="Comma 15 4" xfId="520"/>
    <cellStyle name="Comma 16" xfId="521"/>
    <cellStyle name="Comma 16 2" xfId="522"/>
    <cellStyle name="Comma 16 2 2" xfId="523"/>
    <cellStyle name="Comma 16 2 2 2" xfId="524"/>
    <cellStyle name="Comma 16 2 3" xfId="525"/>
    <cellStyle name="Comma 16 2 3 2" xfId="526"/>
    <cellStyle name="Comma 16 2 4" xfId="527"/>
    <cellStyle name="Comma 16 3" xfId="528"/>
    <cellStyle name="Comma 16 3 2" xfId="529"/>
    <cellStyle name="Comma 16 4" xfId="530"/>
    <cellStyle name="Comma 16 4 2" xfId="531"/>
    <cellStyle name="Comma 16 5" xfId="532"/>
    <cellStyle name="Comma 17" xfId="533"/>
    <cellStyle name="Comma 17 2" xfId="534"/>
    <cellStyle name="Comma 17 2 2" xfId="535"/>
    <cellStyle name="Comma 17 3" xfId="536"/>
    <cellStyle name="Comma 17 4" xfId="537"/>
    <cellStyle name="Comma 17 5" xfId="538"/>
    <cellStyle name="Comma 18" xfId="539"/>
    <cellStyle name="Comma 18 2" xfId="540"/>
    <cellStyle name="Comma 18 2 2" xfId="541"/>
    <cellStyle name="Comma 18 3" xfId="542"/>
    <cellStyle name="Comma 18 4" xfId="543"/>
    <cellStyle name="Comma 18 5" xfId="544"/>
    <cellStyle name="Comma 19" xfId="545"/>
    <cellStyle name="Comma 19 2" xfId="546"/>
    <cellStyle name="Comma 19 3" xfId="547"/>
    <cellStyle name="Comma 19 4" xfId="548"/>
    <cellStyle name="Comma 19 5" xfId="549"/>
    <cellStyle name="Comma 2" xfId="550"/>
    <cellStyle name="Comma 2 2" xfId="551"/>
    <cellStyle name="Comma 2 2 2" xfId="552"/>
    <cellStyle name="Comma 2 2 2 2" xfId="553"/>
    <cellStyle name="Comma 2 2 2 2 2" xfId="554"/>
    <cellStyle name="Comma 2 2 2 2 3" xfId="555"/>
    <cellStyle name="Comma 2 2 3" xfId="556"/>
    <cellStyle name="Comma 2 2 3 2" xfId="557"/>
    <cellStyle name="Comma 2 2 3 3" xfId="558"/>
    <cellStyle name="Comma 2 3" xfId="559"/>
    <cellStyle name="Comma 2 3 2" xfId="560"/>
    <cellStyle name="Comma 2 4" xfId="561"/>
    <cellStyle name="Comma 2 4 2" xfId="562"/>
    <cellStyle name="Comma 2 4 2 2" xfId="563"/>
    <cellStyle name="Comma 2 4 3" xfId="564"/>
    <cellStyle name="Comma 2 4 4" xfId="565"/>
    <cellStyle name="Comma 2 4 5" xfId="566"/>
    <cellStyle name="Comma 2 5" xfId="567"/>
    <cellStyle name="Comma 2 5 2" xfId="568"/>
    <cellStyle name="Comma 2 5 3" xfId="569"/>
    <cellStyle name="Comma 2 6" xfId="570"/>
    <cellStyle name="Comma 2 6 2" xfId="571"/>
    <cellStyle name="Comma 2 6 2 2" xfId="572"/>
    <cellStyle name="Comma 2 6 3" xfId="573"/>
    <cellStyle name="Comma 2 6 3 2" xfId="574"/>
    <cellStyle name="Comma 2 6 4" xfId="575"/>
    <cellStyle name="Comma 2 7" xfId="576"/>
    <cellStyle name="Comma 2 7 2" xfId="577"/>
    <cellStyle name="Comma 2 7 3" xfId="578"/>
    <cellStyle name="Comma 2 7 4" xfId="579"/>
    <cellStyle name="Comma 2 8" xfId="580"/>
    <cellStyle name="Comma 2 9" xfId="581"/>
    <cellStyle name="Comma 20" xfId="582"/>
    <cellStyle name="Comma 20 2" xfId="583"/>
    <cellStyle name="Comma 20 3" xfId="584"/>
    <cellStyle name="Comma 21" xfId="585"/>
    <cellStyle name="Comma 21 2" xfId="586"/>
    <cellStyle name="Comma 21 3" xfId="587"/>
    <cellStyle name="Comma 22" xfId="588"/>
    <cellStyle name="Comma 22 2" xfId="589"/>
    <cellStyle name="Comma 23" xfId="590"/>
    <cellStyle name="Comma 24" xfId="591"/>
    <cellStyle name="Comma 25" xfId="592"/>
    <cellStyle name="Comma 25 2" xfId="593"/>
    <cellStyle name="Comma 25 2 2" xfId="594"/>
    <cellStyle name="Comma 26" xfId="595"/>
    <cellStyle name="Comma 27" xfId="596"/>
    <cellStyle name="Comma 28" xfId="597"/>
    <cellStyle name="Comma 29" xfId="598"/>
    <cellStyle name="Comma 29 2" xfId="599"/>
    <cellStyle name="Comma 3" xfId="600"/>
    <cellStyle name="Comma 3 2" xfId="601"/>
    <cellStyle name="Comma 3 2 2" xfId="602"/>
    <cellStyle name="Comma 3 3" xfId="603"/>
    <cellStyle name="Comma 3 4" xfId="604"/>
    <cellStyle name="Comma 30" xfId="605"/>
    <cellStyle name="Comma 4" xfId="606"/>
    <cellStyle name="Comma 4 10" xfId="607"/>
    <cellStyle name="Comma 4 11" xfId="608"/>
    <cellStyle name="Comma 4 12" xfId="609"/>
    <cellStyle name="Comma 4 2" xfId="610"/>
    <cellStyle name="Comma 4 2 2" xfId="611"/>
    <cellStyle name="Comma 4 2 2 2" xfId="612"/>
    <cellStyle name="Comma 4 2 2 2 2" xfId="613"/>
    <cellStyle name="Comma 4 2 2 2 2 2" xfId="614"/>
    <cellStyle name="Comma 4 2 2 2 2 2 2" xfId="615"/>
    <cellStyle name="Comma 4 2 2 2 2 2 2 2" xfId="616"/>
    <cellStyle name="Comma 4 2 2 2 2 2 3" xfId="617"/>
    <cellStyle name="Comma 4 2 2 2 2 2 3 2" xfId="618"/>
    <cellStyle name="Comma 4 2 2 2 2 2 4" xfId="619"/>
    <cellStyle name="Comma 4 2 2 2 2 3" xfId="620"/>
    <cellStyle name="Comma 4 2 2 2 2 3 2" xfId="621"/>
    <cellStyle name="Comma 4 2 2 2 2 4" xfId="622"/>
    <cellStyle name="Comma 4 2 2 2 2 4 2" xfId="623"/>
    <cellStyle name="Comma 4 2 2 2 2 5" xfId="624"/>
    <cellStyle name="Comma 4 2 2 2 3" xfId="625"/>
    <cellStyle name="Comma 4 2 2 2 3 2" xfId="626"/>
    <cellStyle name="Comma 4 2 2 2 3 2 2" xfId="627"/>
    <cellStyle name="Comma 4 2 2 2 3 3" xfId="628"/>
    <cellStyle name="Comma 4 2 2 2 3 3 2" xfId="629"/>
    <cellStyle name="Comma 4 2 2 2 3 4" xfId="630"/>
    <cellStyle name="Comma 4 2 2 2 4" xfId="631"/>
    <cellStyle name="Comma 4 2 2 2 4 2" xfId="632"/>
    <cellStyle name="Comma 4 2 2 2 5" xfId="633"/>
    <cellStyle name="Comma 4 2 2 2 5 2" xfId="634"/>
    <cellStyle name="Comma 4 2 2 2 6" xfId="635"/>
    <cellStyle name="Comma 4 2 2 3" xfId="636"/>
    <cellStyle name="Comma 4 2 2 3 2" xfId="637"/>
    <cellStyle name="Comma 4 2 2 3 2 2" xfId="638"/>
    <cellStyle name="Comma 4 2 2 3 2 2 2" xfId="639"/>
    <cellStyle name="Comma 4 2 2 3 2 2 2 2" xfId="640"/>
    <cellStyle name="Comma 4 2 2 3 2 2 3" xfId="641"/>
    <cellStyle name="Comma 4 2 2 3 2 2 3 2" xfId="642"/>
    <cellStyle name="Comma 4 2 2 3 2 2 4" xfId="643"/>
    <cellStyle name="Comma 4 2 2 3 2 3" xfId="644"/>
    <cellStyle name="Comma 4 2 2 3 2 3 2" xfId="645"/>
    <cellStyle name="Comma 4 2 2 3 2 4" xfId="646"/>
    <cellStyle name="Comma 4 2 2 3 2 4 2" xfId="647"/>
    <cellStyle name="Comma 4 2 2 3 2 5" xfId="648"/>
    <cellStyle name="Comma 4 2 2 3 3" xfId="649"/>
    <cellStyle name="Comma 4 2 2 3 3 2" xfId="650"/>
    <cellStyle name="Comma 4 2 2 3 3 2 2" xfId="651"/>
    <cellStyle name="Comma 4 2 2 3 3 3" xfId="652"/>
    <cellStyle name="Comma 4 2 2 3 3 3 2" xfId="653"/>
    <cellStyle name="Comma 4 2 2 3 3 4" xfId="654"/>
    <cellStyle name="Comma 4 2 2 3 4" xfId="655"/>
    <cellStyle name="Comma 4 2 2 3 4 2" xfId="656"/>
    <cellStyle name="Comma 4 2 2 3 5" xfId="657"/>
    <cellStyle name="Comma 4 2 2 3 5 2" xfId="658"/>
    <cellStyle name="Comma 4 2 2 3 6" xfId="659"/>
    <cellStyle name="Comma 4 2 2 4" xfId="660"/>
    <cellStyle name="Comma 4 2 2 4 2" xfId="661"/>
    <cellStyle name="Comma 4 2 2 4 2 2" xfId="662"/>
    <cellStyle name="Comma 4 2 2 4 2 2 2" xfId="663"/>
    <cellStyle name="Comma 4 2 2 4 2 3" xfId="664"/>
    <cellStyle name="Comma 4 2 2 4 2 3 2" xfId="665"/>
    <cellStyle name="Comma 4 2 2 4 2 4" xfId="666"/>
    <cellStyle name="Comma 4 2 2 4 3" xfId="667"/>
    <cellStyle name="Comma 4 2 2 4 3 2" xfId="668"/>
    <cellStyle name="Comma 4 2 2 4 4" xfId="669"/>
    <cellStyle name="Comma 4 2 2 4 4 2" xfId="670"/>
    <cellStyle name="Comma 4 2 2 4 5" xfId="671"/>
    <cellStyle name="Comma 4 2 2 5" xfId="672"/>
    <cellStyle name="Comma 4 2 2 5 2" xfId="673"/>
    <cellStyle name="Comma 4 2 2 5 2 2" xfId="674"/>
    <cellStyle name="Comma 4 2 2 5 3" xfId="675"/>
    <cellStyle name="Comma 4 2 2 5 3 2" xfId="676"/>
    <cellStyle name="Comma 4 2 2 5 4" xfId="677"/>
    <cellStyle name="Comma 4 2 2 6" xfId="678"/>
    <cellStyle name="Comma 4 2 2 6 2" xfId="679"/>
    <cellStyle name="Comma 4 2 2 7" xfId="680"/>
    <cellStyle name="Comma 4 2 2 7 2" xfId="681"/>
    <cellStyle name="Comma 4 2 2 8" xfId="682"/>
    <cellStyle name="Comma 4 2 2 9" xfId="683"/>
    <cellStyle name="Comma 4 2 3" xfId="684"/>
    <cellStyle name="Comma 4 2 3 2" xfId="685"/>
    <cellStyle name="Comma 4 2 3 2 2" xfId="686"/>
    <cellStyle name="Comma 4 2 3 2 2 2" xfId="687"/>
    <cellStyle name="Comma 4 2 3 2 2 2 2" xfId="688"/>
    <cellStyle name="Comma 4 2 3 2 2 3" xfId="689"/>
    <cellStyle name="Comma 4 2 3 2 2 3 2" xfId="690"/>
    <cellStyle name="Comma 4 2 3 2 2 4" xfId="691"/>
    <cellStyle name="Comma 4 2 3 2 3" xfId="692"/>
    <cellStyle name="Comma 4 2 3 2 3 2" xfId="693"/>
    <cellStyle name="Comma 4 2 3 2 4" xfId="694"/>
    <cellStyle name="Comma 4 2 3 2 4 2" xfId="695"/>
    <cellStyle name="Comma 4 2 3 2 5" xfId="696"/>
    <cellStyle name="Comma 4 2 3 3" xfId="697"/>
    <cellStyle name="Comma 4 2 3 3 2" xfId="698"/>
    <cellStyle name="Comma 4 2 3 3 2 2" xfId="699"/>
    <cellStyle name="Comma 4 2 3 3 3" xfId="700"/>
    <cellStyle name="Comma 4 2 3 3 3 2" xfId="701"/>
    <cellStyle name="Comma 4 2 3 3 4" xfId="702"/>
    <cellStyle name="Comma 4 2 3 4" xfId="703"/>
    <cellStyle name="Comma 4 2 3 4 2" xfId="704"/>
    <cellStyle name="Comma 4 2 3 5" xfId="705"/>
    <cellStyle name="Comma 4 2 3 5 2" xfId="706"/>
    <cellStyle name="Comma 4 2 3 6" xfId="707"/>
    <cellStyle name="Comma 4 2 4" xfId="708"/>
    <cellStyle name="Comma 4 2 4 2" xfId="709"/>
    <cellStyle name="Comma 4 2 4 2 2" xfId="710"/>
    <cellStyle name="Comma 4 2 4 2 2 2" xfId="711"/>
    <cellStyle name="Comma 4 2 4 2 2 2 2" xfId="712"/>
    <cellStyle name="Comma 4 2 4 2 2 3" xfId="713"/>
    <cellStyle name="Comma 4 2 4 2 2 3 2" xfId="714"/>
    <cellStyle name="Comma 4 2 4 2 2 4" xfId="715"/>
    <cellStyle name="Comma 4 2 4 2 3" xfId="716"/>
    <cellStyle name="Comma 4 2 4 2 3 2" xfId="717"/>
    <cellStyle name="Comma 4 2 4 2 4" xfId="718"/>
    <cellStyle name="Comma 4 2 4 2 4 2" xfId="719"/>
    <cellStyle name="Comma 4 2 4 2 5" xfId="720"/>
    <cellStyle name="Comma 4 2 4 3" xfId="721"/>
    <cellStyle name="Comma 4 2 4 3 2" xfId="722"/>
    <cellStyle name="Comma 4 2 4 3 2 2" xfId="723"/>
    <cellStyle name="Comma 4 2 4 3 3" xfId="724"/>
    <cellStyle name="Comma 4 2 4 3 3 2" xfId="725"/>
    <cellStyle name="Comma 4 2 4 3 4" xfId="726"/>
    <cellStyle name="Comma 4 2 4 4" xfId="727"/>
    <cellStyle name="Comma 4 2 4 4 2" xfId="728"/>
    <cellStyle name="Comma 4 2 4 5" xfId="729"/>
    <cellStyle name="Comma 4 2 4 5 2" xfId="730"/>
    <cellStyle name="Comma 4 2 4 6" xfId="731"/>
    <cellStyle name="Comma 4 2 5" xfId="732"/>
    <cellStyle name="Comma 4 2 5 2" xfId="733"/>
    <cellStyle name="Comma 4 2 5 2 2" xfId="734"/>
    <cellStyle name="Comma 4 2 5 2 2 2" xfId="735"/>
    <cellStyle name="Comma 4 2 5 2 3" xfId="736"/>
    <cellStyle name="Comma 4 2 5 2 3 2" xfId="737"/>
    <cellStyle name="Comma 4 2 5 2 4" xfId="738"/>
    <cellStyle name="Comma 4 2 5 3" xfId="739"/>
    <cellStyle name="Comma 4 2 5 3 2" xfId="740"/>
    <cellStyle name="Comma 4 2 5 4" xfId="741"/>
    <cellStyle name="Comma 4 2 5 4 2" xfId="742"/>
    <cellStyle name="Comma 4 2 5 5" xfId="743"/>
    <cellStyle name="Comma 4 2 6" xfId="744"/>
    <cellStyle name="Comma 4 2 6 2" xfId="745"/>
    <cellStyle name="Comma 4 2 6 2 2" xfId="746"/>
    <cellStyle name="Comma 4 2 6 3" xfId="747"/>
    <cellStyle name="Comma 4 2 6 3 2" xfId="748"/>
    <cellStyle name="Comma 4 2 6 4" xfId="749"/>
    <cellStyle name="Comma 4 2 7" xfId="750"/>
    <cellStyle name="Comma 4 2 7 2" xfId="751"/>
    <cellStyle name="Comma 4 2 8" xfId="752"/>
    <cellStyle name="Comma 4 2 8 2" xfId="753"/>
    <cellStyle name="Comma 4 2 9" xfId="754"/>
    <cellStyle name="Comma 4 3" xfId="755"/>
    <cellStyle name="Comma 4 3 10" xfId="756"/>
    <cellStyle name="Comma 4 3 2" xfId="757"/>
    <cellStyle name="Comma 4 3 2 2" xfId="758"/>
    <cellStyle name="Comma 4 3 2 2 2" xfId="759"/>
    <cellStyle name="Comma 4 3 2 2 2 2" xfId="760"/>
    <cellStyle name="Comma 4 3 2 2 2 2 2" xfId="761"/>
    <cellStyle name="Comma 4 3 2 2 2 3" xfId="762"/>
    <cellStyle name="Comma 4 3 2 2 2 3 2" xfId="763"/>
    <cellStyle name="Comma 4 3 2 2 2 4" xfId="764"/>
    <cellStyle name="Comma 4 3 2 2 3" xfId="765"/>
    <cellStyle name="Comma 4 3 2 2 3 2" xfId="766"/>
    <cellStyle name="Comma 4 3 2 2 4" xfId="767"/>
    <cellStyle name="Comma 4 3 2 2 4 2" xfId="768"/>
    <cellStyle name="Comma 4 3 2 2 5" xfId="769"/>
    <cellStyle name="Comma 4 3 2 3" xfId="770"/>
    <cellStyle name="Comma 4 3 2 3 2" xfId="771"/>
    <cellStyle name="Comma 4 3 2 3 2 2" xfId="772"/>
    <cellStyle name="Comma 4 3 2 3 3" xfId="773"/>
    <cellStyle name="Comma 4 3 2 3 3 2" xfId="774"/>
    <cellStyle name="Comma 4 3 2 3 4" xfId="775"/>
    <cellStyle name="Comma 4 3 2 4" xfId="776"/>
    <cellStyle name="Comma 4 3 2 4 2" xfId="777"/>
    <cellStyle name="Comma 4 3 2 5" xfId="778"/>
    <cellStyle name="Comma 4 3 2 5 2" xfId="779"/>
    <cellStyle name="Comma 4 3 2 6" xfId="780"/>
    <cellStyle name="Comma 4 3 2 7" xfId="781"/>
    <cellStyle name="Comma 4 3 3" xfId="782"/>
    <cellStyle name="Comma 4 3 3 2" xfId="783"/>
    <cellStyle name="Comma 4 3 3 2 2" xfId="784"/>
    <cellStyle name="Comma 4 3 3 2 2 2" xfId="785"/>
    <cellStyle name="Comma 4 3 3 2 2 2 2" xfId="786"/>
    <cellStyle name="Comma 4 3 3 2 2 3" xfId="787"/>
    <cellStyle name="Comma 4 3 3 2 2 3 2" xfId="788"/>
    <cellStyle name="Comma 4 3 3 2 2 4" xfId="789"/>
    <cellStyle name="Comma 4 3 3 2 3" xfId="790"/>
    <cellStyle name="Comma 4 3 3 2 3 2" xfId="791"/>
    <cellStyle name="Comma 4 3 3 2 4" xfId="792"/>
    <cellStyle name="Comma 4 3 3 2 4 2" xfId="793"/>
    <cellStyle name="Comma 4 3 3 2 5" xfId="794"/>
    <cellStyle name="Comma 4 3 3 3" xfId="795"/>
    <cellStyle name="Comma 4 3 3 3 2" xfId="796"/>
    <cellStyle name="Comma 4 3 3 3 2 2" xfId="797"/>
    <cellStyle name="Comma 4 3 3 3 3" xfId="798"/>
    <cellStyle name="Comma 4 3 3 3 3 2" xfId="799"/>
    <cellStyle name="Comma 4 3 3 3 4" xfId="800"/>
    <cellStyle name="Comma 4 3 3 4" xfId="801"/>
    <cellStyle name="Comma 4 3 3 4 2" xfId="802"/>
    <cellStyle name="Comma 4 3 3 5" xfId="803"/>
    <cellStyle name="Comma 4 3 3 5 2" xfId="804"/>
    <cellStyle name="Comma 4 3 3 6" xfId="805"/>
    <cellStyle name="Comma 4 3 4" xfId="806"/>
    <cellStyle name="Comma 4 3 4 2" xfId="807"/>
    <cellStyle name="Comma 4 3 4 2 2" xfId="808"/>
    <cellStyle name="Comma 4 3 4 2 2 2" xfId="809"/>
    <cellStyle name="Comma 4 3 4 2 3" xfId="810"/>
    <cellStyle name="Comma 4 3 4 2 3 2" xfId="811"/>
    <cellStyle name="Comma 4 3 4 2 4" xfId="812"/>
    <cellStyle name="Comma 4 3 4 3" xfId="813"/>
    <cellStyle name="Comma 4 3 4 3 2" xfId="814"/>
    <cellStyle name="Comma 4 3 4 4" xfId="815"/>
    <cellStyle name="Comma 4 3 4 4 2" xfId="816"/>
    <cellStyle name="Comma 4 3 4 5" xfId="817"/>
    <cellStyle name="Comma 4 3 5" xfId="818"/>
    <cellStyle name="Comma 4 3 5 2" xfId="819"/>
    <cellStyle name="Comma 4 3 5 2 2" xfId="820"/>
    <cellStyle name="Comma 4 3 5 3" xfId="821"/>
    <cellStyle name="Comma 4 3 5 3 2" xfId="822"/>
    <cellStyle name="Comma 4 3 5 4" xfId="823"/>
    <cellStyle name="Comma 4 3 6" xfId="824"/>
    <cellStyle name="Comma 4 3 6 2" xfId="825"/>
    <cellStyle name="Comma 4 3 7" xfId="826"/>
    <cellStyle name="Comma 4 3 7 2" xfId="827"/>
    <cellStyle name="Comma 4 3 8" xfId="828"/>
    <cellStyle name="Comma 4 3 9" xfId="829"/>
    <cellStyle name="Comma 4 4" xfId="830"/>
    <cellStyle name="Comma 4 4 10" xfId="831"/>
    <cellStyle name="Comma 4 4 2" xfId="832"/>
    <cellStyle name="Comma 4 4 2 2" xfId="833"/>
    <cellStyle name="Comma 4 4 2 2 2" xfId="834"/>
    <cellStyle name="Comma 4 4 2 2 2 2" xfId="835"/>
    <cellStyle name="Comma 4 4 2 2 2 2 2" xfId="836"/>
    <cellStyle name="Comma 4 4 2 2 2 3" xfId="837"/>
    <cellStyle name="Comma 4 4 2 2 2 3 2" xfId="838"/>
    <cellStyle name="Comma 4 4 2 2 2 4" xfId="839"/>
    <cellStyle name="Comma 4 4 2 2 3" xfId="840"/>
    <cellStyle name="Comma 4 4 2 2 3 2" xfId="841"/>
    <cellStyle name="Comma 4 4 2 2 4" xfId="842"/>
    <cellStyle name="Comma 4 4 2 2 4 2" xfId="843"/>
    <cellStyle name="Comma 4 4 2 2 5" xfId="844"/>
    <cellStyle name="Comma 4 4 2 3" xfId="845"/>
    <cellStyle name="Comma 4 4 2 3 2" xfId="846"/>
    <cellStyle name="Comma 4 4 2 3 2 2" xfId="847"/>
    <cellStyle name="Comma 4 4 2 3 3" xfId="848"/>
    <cellStyle name="Comma 4 4 2 3 3 2" xfId="849"/>
    <cellStyle name="Comma 4 4 2 3 4" xfId="850"/>
    <cellStyle name="Comma 4 4 2 4" xfId="851"/>
    <cellStyle name="Comma 4 4 2 4 2" xfId="852"/>
    <cellStyle name="Comma 4 4 2 5" xfId="853"/>
    <cellStyle name="Comma 4 4 2 5 2" xfId="854"/>
    <cellStyle name="Comma 4 4 2 6" xfId="855"/>
    <cellStyle name="Comma 4 4 3" xfId="856"/>
    <cellStyle name="Comma 4 4 3 2" xfId="857"/>
    <cellStyle name="Comma 4 4 3 2 2" xfId="858"/>
    <cellStyle name="Comma 4 4 3 2 2 2" xfId="859"/>
    <cellStyle name="Comma 4 4 3 2 3" xfId="860"/>
    <cellStyle name="Comma 4 4 3 2 3 2" xfId="861"/>
    <cellStyle name="Comma 4 4 3 2 4" xfId="862"/>
    <cellStyle name="Comma 4 4 3 3" xfId="863"/>
    <cellStyle name="Comma 4 4 3 3 2" xfId="864"/>
    <cellStyle name="Comma 4 4 3 4" xfId="865"/>
    <cellStyle name="Comma 4 4 3 4 2" xfId="866"/>
    <cellStyle name="Comma 4 4 3 5" xfId="867"/>
    <cellStyle name="Comma 4 4 4" xfId="868"/>
    <cellStyle name="Comma 4 4 4 2" xfId="869"/>
    <cellStyle name="Comma 4 4 4 2 2" xfId="870"/>
    <cellStyle name="Comma 4 4 4 3" xfId="871"/>
    <cellStyle name="Comma 4 4 4 3 2" xfId="872"/>
    <cellStyle name="Comma 4 4 4 4" xfId="873"/>
    <cellStyle name="Comma 4 4 5" xfId="874"/>
    <cellStyle name="Comma 4 4 5 2" xfId="875"/>
    <cellStyle name="Comma 4 4 5 3" xfId="876"/>
    <cellStyle name="Comma 4 4 6" xfId="877"/>
    <cellStyle name="Comma 4 4 6 2" xfId="878"/>
    <cellStyle name="Comma 4 4 7" xfId="879"/>
    <cellStyle name="Comma 4 4 8" xfId="880"/>
    <cellStyle name="Comma 4 4 9" xfId="881"/>
    <cellStyle name="Comma 4 5" xfId="882"/>
    <cellStyle name="Comma 4 5 2" xfId="883"/>
    <cellStyle name="Comma 4 5 2 2" xfId="884"/>
    <cellStyle name="Comma 4 5 2 2 2" xfId="885"/>
    <cellStyle name="Comma 4 5 2 2 2 2" xfId="886"/>
    <cellStyle name="Comma 4 5 2 2 3" xfId="887"/>
    <cellStyle name="Comma 4 5 2 2 3 2" xfId="888"/>
    <cellStyle name="Comma 4 5 2 2 4" xfId="889"/>
    <cellStyle name="Comma 4 5 2 3" xfId="890"/>
    <cellStyle name="Comma 4 5 2 3 2" xfId="891"/>
    <cellStyle name="Comma 4 5 2 4" xfId="892"/>
    <cellStyle name="Comma 4 5 2 4 2" xfId="893"/>
    <cellStyle name="Comma 4 5 2 5" xfId="894"/>
    <cellStyle name="Comma 4 5 3" xfId="895"/>
    <cellStyle name="Comma 4 5 3 2" xfId="896"/>
    <cellStyle name="Comma 4 5 3 2 2" xfId="897"/>
    <cellStyle name="Comma 4 5 3 3" xfId="898"/>
    <cellStyle name="Comma 4 5 3 3 2" xfId="899"/>
    <cellStyle name="Comma 4 5 3 4" xfId="900"/>
    <cellStyle name="Comma 4 5 4" xfId="901"/>
    <cellStyle name="Comma 4 5 4 2" xfId="902"/>
    <cellStyle name="Comma 4 5 5" xfId="903"/>
    <cellStyle name="Comma 4 5 5 2" xfId="904"/>
    <cellStyle name="Comma 4 5 6" xfId="905"/>
    <cellStyle name="Comma 4 6" xfId="906"/>
    <cellStyle name="Comma 4 6 2" xfId="907"/>
    <cellStyle name="Comma 4 6 2 2" xfId="908"/>
    <cellStyle name="Comma 4 6 2 2 2" xfId="909"/>
    <cellStyle name="Comma 4 6 2 3" xfId="910"/>
    <cellStyle name="Comma 4 6 2 3 2" xfId="911"/>
    <cellStyle name="Comma 4 6 2 4" xfId="912"/>
    <cellStyle name="Comma 4 6 3" xfId="913"/>
    <cellStyle name="Comma 4 6 3 2" xfId="914"/>
    <cellStyle name="Comma 4 6 4" xfId="915"/>
    <cellStyle name="Comma 4 6 4 2" xfId="916"/>
    <cellStyle name="Comma 4 6 5" xfId="917"/>
    <cellStyle name="Comma 4 6 6" xfId="918"/>
    <cellStyle name="Comma 4 7" xfId="919"/>
    <cellStyle name="Comma 4 7 2" xfId="920"/>
    <cellStyle name="Comma 4 7 2 2" xfId="921"/>
    <cellStyle name="Comma 4 7 3" xfId="922"/>
    <cellStyle name="Comma 4 7 3 2" xfId="923"/>
    <cellStyle name="Comma 4 7 4" xfId="924"/>
    <cellStyle name="Comma 4 8" xfId="925"/>
    <cellStyle name="Comma 4 8 2" xfId="926"/>
    <cellStyle name="Comma 4 9" xfId="927"/>
    <cellStyle name="Comma 4 9 2" xfId="928"/>
    <cellStyle name="Comma 5" xfId="929"/>
    <cellStyle name="Comma 5 10" xfId="930"/>
    <cellStyle name="Comma 5 2" xfId="931"/>
    <cellStyle name="Comma 5 2 2" xfId="932"/>
    <cellStyle name="Comma 5 2 2 2" xfId="933"/>
    <cellStyle name="Comma 5 2 2 2 2" xfId="934"/>
    <cellStyle name="Comma 5 2 2 2 2 2" xfId="935"/>
    <cellStyle name="Comma 5 2 2 2 2 2 2" xfId="936"/>
    <cellStyle name="Comma 5 2 2 2 2 2 2 2" xfId="937"/>
    <cellStyle name="Comma 5 2 2 2 2 2 3" xfId="938"/>
    <cellStyle name="Comma 5 2 2 2 2 2 3 2" xfId="939"/>
    <cellStyle name="Comma 5 2 2 2 2 2 4" xfId="940"/>
    <cellStyle name="Comma 5 2 2 2 2 3" xfId="941"/>
    <cellStyle name="Comma 5 2 2 2 2 3 2" xfId="942"/>
    <cellStyle name="Comma 5 2 2 2 2 4" xfId="943"/>
    <cellStyle name="Comma 5 2 2 2 2 4 2" xfId="944"/>
    <cellStyle name="Comma 5 2 2 2 2 5" xfId="945"/>
    <cellStyle name="Comma 5 2 2 2 3" xfId="946"/>
    <cellStyle name="Comma 5 2 2 2 3 2" xfId="947"/>
    <cellStyle name="Comma 5 2 2 2 3 2 2" xfId="948"/>
    <cellStyle name="Comma 5 2 2 2 3 3" xfId="949"/>
    <cellStyle name="Comma 5 2 2 2 3 3 2" xfId="950"/>
    <cellStyle name="Comma 5 2 2 2 3 4" xfId="951"/>
    <cellStyle name="Comma 5 2 2 2 4" xfId="952"/>
    <cellStyle name="Comma 5 2 2 2 4 2" xfId="953"/>
    <cellStyle name="Comma 5 2 2 2 5" xfId="954"/>
    <cellStyle name="Comma 5 2 2 2 5 2" xfId="955"/>
    <cellStyle name="Comma 5 2 2 2 6" xfId="956"/>
    <cellStyle name="Comma 5 2 2 3" xfId="957"/>
    <cellStyle name="Comma 5 2 2 3 2" xfId="958"/>
    <cellStyle name="Comma 5 2 2 3 2 2" xfId="959"/>
    <cellStyle name="Comma 5 2 2 3 2 2 2" xfId="960"/>
    <cellStyle name="Comma 5 2 2 3 2 3" xfId="961"/>
    <cellStyle name="Comma 5 2 2 3 2 3 2" xfId="962"/>
    <cellStyle name="Comma 5 2 2 3 2 4" xfId="963"/>
    <cellStyle name="Comma 5 2 2 3 3" xfId="964"/>
    <cellStyle name="Comma 5 2 2 3 3 2" xfId="965"/>
    <cellStyle name="Comma 5 2 2 3 4" xfId="966"/>
    <cellStyle name="Comma 5 2 2 3 4 2" xfId="967"/>
    <cellStyle name="Comma 5 2 2 3 5" xfId="968"/>
    <cellStyle name="Comma 5 2 2 4" xfId="969"/>
    <cellStyle name="Comma 5 2 2 4 2" xfId="970"/>
    <cellStyle name="Comma 5 2 2 4 2 2" xfId="971"/>
    <cellStyle name="Comma 5 2 2 4 3" xfId="972"/>
    <cellStyle name="Comma 5 2 2 4 3 2" xfId="973"/>
    <cellStyle name="Comma 5 2 2 4 4" xfId="974"/>
    <cellStyle name="Comma 5 2 2 5" xfId="975"/>
    <cellStyle name="Comma 5 2 2 5 2" xfId="976"/>
    <cellStyle name="Comma 5 2 2 6" xfId="977"/>
    <cellStyle name="Comma 5 2 2 6 2" xfId="978"/>
    <cellStyle name="Comma 5 2 2 7" xfId="979"/>
    <cellStyle name="Comma 5 2 3" xfId="980"/>
    <cellStyle name="Comma 5 2 3 2" xfId="981"/>
    <cellStyle name="Comma 5 2 3 2 2" xfId="982"/>
    <cellStyle name="Comma 5 2 3 2 2 2" xfId="983"/>
    <cellStyle name="Comma 5 2 3 2 2 2 2" xfId="984"/>
    <cellStyle name="Comma 5 2 3 2 2 3" xfId="985"/>
    <cellStyle name="Comma 5 2 3 2 2 3 2" xfId="986"/>
    <cellStyle name="Comma 5 2 3 2 2 4" xfId="987"/>
    <cellStyle name="Comma 5 2 3 2 3" xfId="988"/>
    <cellStyle name="Comma 5 2 3 2 3 2" xfId="989"/>
    <cellStyle name="Comma 5 2 3 2 4" xfId="990"/>
    <cellStyle name="Comma 5 2 3 2 4 2" xfId="991"/>
    <cellStyle name="Comma 5 2 3 2 5" xfId="992"/>
    <cellStyle name="Comma 5 2 3 3" xfId="993"/>
    <cellStyle name="Comma 5 2 3 3 2" xfId="994"/>
    <cellStyle name="Comma 5 2 3 3 2 2" xfId="995"/>
    <cellStyle name="Comma 5 2 3 3 3" xfId="996"/>
    <cellStyle name="Comma 5 2 3 3 3 2" xfId="997"/>
    <cellStyle name="Comma 5 2 3 3 4" xfId="998"/>
    <cellStyle name="Comma 5 2 3 4" xfId="999"/>
    <cellStyle name="Comma 5 2 3 4 2" xfId="1000"/>
    <cellStyle name="Comma 5 2 3 5" xfId="1001"/>
    <cellStyle name="Comma 5 2 3 5 2" xfId="1002"/>
    <cellStyle name="Comma 5 2 3 6" xfId="1003"/>
    <cellStyle name="Comma 5 2 4" xfId="1004"/>
    <cellStyle name="Comma 5 2 4 2" xfId="1005"/>
    <cellStyle name="Comma 5 2 4 2 2" xfId="1006"/>
    <cellStyle name="Comma 5 2 4 2 2 2" xfId="1007"/>
    <cellStyle name="Comma 5 2 4 2 3" xfId="1008"/>
    <cellStyle name="Comma 5 2 4 2 3 2" xfId="1009"/>
    <cellStyle name="Comma 5 2 4 2 4" xfId="1010"/>
    <cellStyle name="Comma 5 2 4 3" xfId="1011"/>
    <cellStyle name="Comma 5 2 4 3 2" xfId="1012"/>
    <cellStyle name="Comma 5 2 4 4" xfId="1013"/>
    <cellStyle name="Comma 5 2 4 4 2" xfId="1014"/>
    <cellStyle name="Comma 5 2 4 5" xfId="1015"/>
    <cellStyle name="Comma 5 2 5" xfId="1016"/>
    <cellStyle name="Comma 5 2 5 2" xfId="1017"/>
    <cellStyle name="Comma 5 2 5 2 2" xfId="1018"/>
    <cellStyle name="Comma 5 2 5 3" xfId="1019"/>
    <cellStyle name="Comma 5 2 5 3 2" xfId="1020"/>
    <cellStyle name="Comma 5 2 5 4" xfId="1021"/>
    <cellStyle name="Comma 5 2 6" xfId="1022"/>
    <cellStyle name="Comma 5 2 6 2" xfId="1023"/>
    <cellStyle name="Comma 5 2 7" xfId="1024"/>
    <cellStyle name="Comma 5 2 7 2" xfId="1025"/>
    <cellStyle name="Comma 5 2 8" xfId="1026"/>
    <cellStyle name="Comma 5 2 9" xfId="1027"/>
    <cellStyle name="Comma 5 3" xfId="1028"/>
    <cellStyle name="Comma 5 3 2" xfId="1029"/>
    <cellStyle name="Comma 5 3 2 2" xfId="1030"/>
    <cellStyle name="Comma 5 3 2 2 2" xfId="1031"/>
    <cellStyle name="Comma 5 3 2 2 2 2" xfId="1032"/>
    <cellStyle name="Comma 5 3 2 2 2 2 2" xfId="1033"/>
    <cellStyle name="Comma 5 3 2 2 2 3" xfId="1034"/>
    <cellStyle name="Comma 5 3 2 2 2 3 2" xfId="1035"/>
    <cellStyle name="Comma 5 3 2 2 2 4" xfId="1036"/>
    <cellStyle name="Comma 5 3 2 2 3" xfId="1037"/>
    <cellStyle name="Comma 5 3 2 2 3 2" xfId="1038"/>
    <cellStyle name="Comma 5 3 2 2 4" xfId="1039"/>
    <cellStyle name="Comma 5 3 2 2 4 2" xfId="1040"/>
    <cellStyle name="Comma 5 3 2 2 5" xfId="1041"/>
    <cellStyle name="Comma 5 3 2 3" xfId="1042"/>
    <cellStyle name="Comma 5 3 2 3 2" xfId="1043"/>
    <cellStyle name="Comma 5 3 2 3 2 2" xfId="1044"/>
    <cellStyle name="Comma 5 3 2 3 3" xfId="1045"/>
    <cellStyle name="Comma 5 3 2 3 3 2" xfId="1046"/>
    <cellStyle name="Comma 5 3 2 3 4" xfId="1047"/>
    <cellStyle name="Comma 5 3 2 4" xfId="1048"/>
    <cellStyle name="Comma 5 3 2 4 2" xfId="1049"/>
    <cellStyle name="Comma 5 3 2 5" xfId="1050"/>
    <cellStyle name="Comma 5 3 2 5 2" xfId="1051"/>
    <cellStyle name="Comma 5 3 2 6" xfId="1052"/>
    <cellStyle name="Comma 5 3 3" xfId="1053"/>
    <cellStyle name="Comma 5 3 3 2" xfId="1054"/>
    <cellStyle name="Comma 5 3 3 2 2" xfId="1055"/>
    <cellStyle name="Comma 5 3 3 2 2 2" xfId="1056"/>
    <cellStyle name="Comma 5 3 3 2 3" xfId="1057"/>
    <cellStyle name="Comma 5 3 3 2 3 2" xfId="1058"/>
    <cellStyle name="Comma 5 3 3 2 4" xfId="1059"/>
    <cellStyle name="Comma 5 3 3 3" xfId="1060"/>
    <cellStyle name="Comma 5 3 3 3 2" xfId="1061"/>
    <cellStyle name="Comma 5 3 3 4" xfId="1062"/>
    <cellStyle name="Comma 5 3 3 4 2" xfId="1063"/>
    <cellStyle name="Comma 5 3 3 5" xfId="1064"/>
    <cellStyle name="Comma 5 3 4" xfId="1065"/>
    <cellStyle name="Comma 5 3 4 2" xfId="1066"/>
    <cellStyle name="Comma 5 3 4 2 2" xfId="1067"/>
    <cellStyle name="Comma 5 3 4 3" xfId="1068"/>
    <cellStyle name="Comma 5 3 4 3 2" xfId="1069"/>
    <cellStyle name="Comma 5 3 4 4" xfId="1070"/>
    <cellStyle name="Comma 5 3 5" xfId="1071"/>
    <cellStyle name="Comma 5 3 5 2" xfId="1072"/>
    <cellStyle name="Comma 5 3 6" xfId="1073"/>
    <cellStyle name="Comma 5 3 6 2" xfId="1074"/>
    <cellStyle name="Comma 5 3 7" xfId="1075"/>
    <cellStyle name="Comma 5 4" xfId="1076"/>
    <cellStyle name="Comma 5 4 2" xfId="1077"/>
    <cellStyle name="Comma 5 4 2 2" xfId="1078"/>
    <cellStyle name="Comma 5 4 2 2 2" xfId="1079"/>
    <cellStyle name="Comma 5 4 2 2 2 2" xfId="1080"/>
    <cellStyle name="Comma 5 4 2 2 2 2 2" xfId="1081"/>
    <cellStyle name="Comma 5 4 2 2 2 3" xfId="1082"/>
    <cellStyle name="Comma 5 4 2 2 2 3 2" xfId="1083"/>
    <cellStyle name="Comma 5 4 2 2 2 4" xfId="1084"/>
    <cellStyle name="Comma 5 4 2 2 3" xfId="1085"/>
    <cellStyle name="Comma 5 4 2 2 3 2" xfId="1086"/>
    <cellStyle name="Comma 5 4 2 2 4" xfId="1087"/>
    <cellStyle name="Comma 5 4 2 2 4 2" xfId="1088"/>
    <cellStyle name="Comma 5 4 2 2 5" xfId="1089"/>
    <cellStyle name="Comma 5 4 2 3" xfId="1090"/>
    <cellStyle name="Comma 5 4 2 3 2" xfId="1091"/>
    <cellStyle name="Comma 5 4 2 3 2 2" xfId="1092"/>
    <cellStyle name="Comma 5 4 2 3 3" xfId="1093"/>
    <cellStyle name="Comma 5 4 2 3 3 2" xfId="1094"/>
    <cellStyle name="Comma 5 4 2 3 4" xfId="1095"/>
    <cellStyle name="Comma 5 4 2 4" xfId="1096"/>
    <cellStyle name="Comma 5 4 2 4 2" xfId="1097"/>
    <cellStyle name="Comma 5 4 2 5" xfId="1098"/>
    <cellStyle name="Comma 5 4 2 5 2" xfId="1099"/>
    <cellStyle name="Comma 5 4 2 6" xfId="1100"/>
    <cellStyle name="Comma 5 4 3" xfId="1101"/>
    <cellStyle name="Comma 5 4 3 2" xfId="1102"/>
    <cellStyle name="Comma 5 4 3 2 2" xfId="1103"/>
    <cellStyle name="Comma 5 4 3 2 2 2" xfId="1104"/>
    <cellStyle name="Comma 5 4 3 2 3" xfId="1105"/>
    <cellStyle name="Comma 5 4 3 2 3 2" xfId="1106"/>
    <cellStyle name="Comma 5 4 3 2 4" xfId="1107"/>
    <cellStyle name="Comma 5 4 3 3" xfId="1108"/>
    <cellStyle name="Comma 5 4 3 3 2" xfId="1109"/>
    <cellStyle name="Comma 5 4 3 4" xfId="1110"/>
    <cellStyle name="Comma 5 4 3 4 2" xfId="1111"/>
    <cellStyle name="Comma 5 4 3 5" xfId="1112"/>
    <cellStyle name="Comma 5 4 4" xfId="1113"/>
    <cellStyle name="Comma 5 4 4 2" xfId="1114"/>
    <cellStyle name="Comma 5 4 4 2 2" xfId="1115"/>
    <cellStyle name="Comma 5 4 4 3" xfId="1116"/>
    <cellStyle name="Comma 5 4 4 3 2" xfId="1117"/>
    <cellStyle name="Comma 5 4 4 4" xfId="1118"/>
    <cellStyle name="Comma 5 4 5" xfId="1119"/>
    <cellStyle name="Comma 5 4 5 2" xfId="1120"/>
    <cellStyle name="Comma 5 4 6" xfId="1121"/>
    <cellStyle name="Comma 5 4 6 2" xfId="1122"/>
    <cellStyle name="Comma 5 4 7" xfId="1123"/>
    <cellStyle name="Comma 5 5" xfId="1124"/>
    <cellStyle name="Comma 5 5 2" xfId="1125"/>
    <cellStyle name="Comma 5 5 2 2" xfId="1126"/>
    <cellStyle name="Comma 5 5 2 2 2" xfId="1127"/>
    <cellStyle name="Comma 5 5 2 2 2 2" xfId="1128"/>
    <cellStyle name="Comma 5 5 2 2 3" xfId="1129"/>
    <cellStyle name="Comma 5 5 2 2 3 2" xfId="1130"/>
    <cellStyle name="Comma 5 5 2 2 4" xfId="1131"/>
    <cellStyle name="Comma 5 5 2 3" xfId="1132"/>
    <cellStyle name="Comma 5 5 2 3 2" xfId="1133"/>
    <cellStyle name="Comma 5 5 2 4" xfId="1134"/>
    <cellStyle name="Comma 5 5 2 4 2" xfId="1135"/>
    <cellStyle name="Comma 5 5 2 5" xfId="1136"/>
    <cellStyle name="Comma 5 5 3" xfId="1137"/>
    <cellStyle name="Comma 5 5 3 2" xfId="1138"/>
    <cellStyle name="Comma 5 5 3 2 2" xfId="1139"/>
    <cellStyle name="Comma 5 5 3 3" xfId="1140"/>
    <cellStyle name="Comma 5 5 3 3 2" xfId="1141"/>
    <cellStyle name="Comma 5 5 3 4" xfId="1142"/>
    <cellStyle name="Comma 5 5 4" xfId="1143"/>
    <cellStyle name="Comma 5 5 4 2" xfId="1144"/>
    <cellStyle name="Comma 5 5 5" xfId="1145"/>
    <cellStyle name="Comma 5 5 5 2" xfId="1146"/>
    <cellStyle name="Comma 5 5 6" xfId="1147"/>
    <cellStyle name="Comma 5 6" xfId="1148"/>
    <cellStyle name="Comma 5 6 2" xfId="1149"/>
    <cellStyle name="Comma 5 6 2 2" xfId="1150"/>
    <cellStyle name="Comma 5 6 2 2 2" xfId="1151"/>
    <cellStyle name="Comma 5 6 2 3" xfId="1152"/>
    <cellStyle name="Comma 5 6 2 3 2" xfId="1153"/>
    <cellStyle name="Comma 5 6 2 4" xfId="1154"/>
    <cellStyle name="Comma 5 6 3" xfId="1155"/>
    <cellStyle name="Comma 5 6 3 2" xfId="1156"/>
    <cellStyle name="Comma 5 6 4" xfId="1157"/>
    <cellStyle name="Comma 5 6 4 2" xfId="1158"/>
    <cellStyle name="Comma 5 6 5" xfId="1159"/>
    <cellStyle name="Comma 5 7" xfId="1160"/>
    <cellStyle name="Comma 5 7 2" xfId="1161"/>
    <cellStyle name="Comma 5 7 2 2" xfId="1162"/>
    <cellStyle name="Comma 5 7 3" xfId="1163"/>
    <cellStyle name="Comma 5 7 3 2" xfId="1164"/>
    <cellStyle name="Comma 5 7 4" xfId="1165"/>
    <cellStyle name="Comma 5 8" xfId="1166"/>
    <cellStyle name="Comma 5 8 2" xfId="1167"/>
    <cellStyle name="Comma 5 9" xfId="1168"/>
    <cellStyle name="Comma 5 9 2" xfId="1169"/>
    <cellStyle name="Comma 6" xfId="1170"/>
    <cellStyle name="Comma 6 10" xfId="1171"/>
    <cellStyle name="Comma 6 2" xfId="1172"/>
    <cellStyle name="Comma 6 2 2" xfId="1173"/>
    <cellStyle name="Comma 6 2 2 2" xfId="1174"/>
    <cellStyle name="Comma 6 2 2 2 2" xfId="1175"/>
    <cellStyle name="Comma 6 2 2 2 2 2" xfId="1176"/>
    <cellStyle name="Comma 6 2 2 2 2 2 2" xfId="1177"/>
    <cellStyle name="Comma 6 2 2 2 2 2 2 2" xfId="1178"/>
    <cellStyle name="Comma 6 2 2 2 2 2 3" xfId="1179"/>
    <cellStyle name="Comma 6 2 2 2 2 2 3 2" xfId="1180"/>
    <cellStyle name="Comma 6 2 2 2 2 2 4" xfId="1181"/>
    <cellStyle name="Comma 6 2 2 2 2 3" xfId="1182"/>
    <cellStyle name="Comma 6 2 2 2 2 3 2" xfId="1183"/>
    <cellStyle name="Comma 6 2 2 2 2 4" xfId="1184"/>
    <cellStyle name="Comma 6 2 2 2 2 4 2" xfId="1185"/>
    <cellStyle name="Comma 6 2 2 2 2 5" xfId="1186"/>
    <cellStyle name="Comma 6 2 2 2 3" xfId="1187"/>
    <cellStyle name="Comma 6 2 2 2 3 2" xfId="1188"/>
    <cellStyle name="Comma 6 2 2 2 3 2 2" xfId="1189"/>
    <cellStyle name="Comma 6 2 2 2 3 3" xfId="1190"/>
    <cellStyle name="Comma 6 2 2 2 3 3 2" xfId="1191"/>
    <cellStyle name="Comma 6 2 2 2 3 4" xfId="1192"/>
    <cellStyle name="Comma 6 2 2 2 4" xfId="1193"/>
    <cellStyle name="Comma 6 2 2 2 4 2" xfId="1194"/>
    <cellStyle name="Comma 6 2 2 2 5" xfId="1195"/>
    <cellStyle name="Comma 6 2 2 2 5 2" xfId="1196"/>
    <cellStyle name="Comma 6 2 2 2 6" xfId="1197"/>
    <cellStyle name="Comma 6 2 2 3" xfId="1198"/>
    <cellStyle name="Comma 6 2 2 3 2" xfId="1199"/>
    <cellStyle name="Comma 6 2 2 3 2 2" xfId="1200"/>
    <cellStyle name="Comma 6 2 2 3 2 2 2" xfId="1201"/>
    <cellStyle name="Comma 6 2 2 3 2 3" xfId="1202"/>
    <cellStyle name="Comma 6 2 2 3 2 3 2" xfId="1203"/>
    <cellStyle name="Comma 6 2 2 3 2 4" xfId="1204"/>
    <cellStyle name="Comma 6 2 2 3 3" xfId="1205"/>
    <cellStyle name="Comma 6 2 2 3 3 2" xfId="1206"/>
    <cellStyle name="Comma 6 2 2 3 4" xfId="1207"/>
    <cellStyle name="Comma 6 2 2 3 4 2" xfId="1208"/>
    <cellStyle name="Comma 6 2 2 3 5" xfId="1209"/>
    <cellStyle name="Comma 6 2 2 4" xfId="1210"/>
    <cellStyle name="Comma 6 2 2 4 2" xfId="1211"/>
    <cellStyle name="Comma 6 2 2 4 2 2" xfId="1212"/>
    <cellStyle name="Comma 6 2 2 4 3" xfId="1213"/>
    <cellStyle name="Comma 6 2 2 4 3 2" xfId="1214"/>
    <cellStyle name="Comma 6 2 2 4 4" xfId="1215"/>
    <cellStyle name="Comma 6 2 2 5" xfId="1216"/>
    <cellStyle name="Comma 6 2 2 5 2" xfId="1217"/>
    <cellStyle name="Comma 6 2 2 6" xfId="1218"/>
    <cellStyle name="Comma 6 2 2 6 2" xfId="1219"/>
    <cellStyle name="Comma 6 2 2 7" xfId="1220"/>
    <cellStyle name="Comma 6 2 3" xfId="1221"/>
    <cellStyle name="Comma 6 2 3 2" xfId="1222"/>
    <cellStyle name="Comma 6 2 3 2 2" xfId="1223"/>
    <cellStyle name="Comma 6 2 3 2 2 2" xfId="1224"/>
    <cellStyle name="Comma 6 2 3 2 2 2 2" xfId="1225"/>
    <cellStyle name="Comma 6 2 3 2 2 3" xfId="1226"/>
    <cellStyle name="Comma 6 2 3 2 2 3 2" xfId="1227"/>
    <cellStyle name="Comma 6 2 3 2 2 4" xfId="1228"/>
    <cellStyle name="Comma 6 2 3 2 3" xfId="1229"/>
    <cellStyle name="Comma 6 2 3 2 3 2" xfId="1230"/>
    <cellStyle name="Comma 6 2 3 2 4" xfId="1231"/>
    <cellStyle name="Comma 6 2 3 2 4 2" xfId="1232"/>
    <cellStyle name="Comma 6 2 3 2 5" xfId="1233"/>
    <cellStyle name="Comma 6 2 3 3" xfId="1234"/>
    <cellStyle name="Comma 6 2 3 3 2" xfId="1235"/>
    <cellStyle name="Comma 6 2 3 3 2 2" xfId="1236"/>
    <cellStyle name="Comma 6 2 3 3 3" xfId="1237"/>
    <cellStyle name="Comma 6 2 3 3 3 2" xfId="1238"/>
    <cellStyle name="Comma 6 2 3 3 4" xfId="1239"/>
    <cellStyle name="Comma 6 2 3 4" xfId="1240"/>
    <cellStyle name="Comma 6 2 3 4 2" xfId="1241"/>
    <cellStyle name="Comma 6 2 3 5" xfId="1242"/>
    <cellStyle name="Comma 6 2 3 5 2" xfId="1243"/>
    <cellStyle name="Comma 6 2 3 6" xfId="1244"/>
    <cellStyle name="Comma 6 2 4" xfId="1245"/>
    <cellStyle name="Comma 6 2 4 2" xfId="1246"/>
    <cellStyle name="Comma 6 2 4 2 2" xfId="1247"/>
    <cellStyle name="Comma 6 2 4 2 2 2" xfId="1248"/>
    <cellStyle name="Comma 6 2 4 2 3" xfId="1249"/>
    <cellStyle name="Comma 6 2 4 2 3 2" xfId="1250"/>
    <cellStyle name="Comma 6 2 4 2 4" xfId="1251"/>
    <cellStyle name="Comma 6 2 4 3" xfId="1252"/>
    <cellStyle name="Comma 6 2 4 3 2" xfId="1253"/>
    <cellStyle name="Comma 6 2 4 4" xfId="1254"/>
    <cellStyle name="Comma 6 2 4 4 2" xfId="1255"/>
    <cellStyle name="Comma 6 2 4 5" xfId="1256"/>
    <cellStyle name="Comma 6 2 5" xfId="1257"/>
    <cellStyle name="Comma 6 2 5 2" xfId="1258"/>
    <cellStyle name="Comma 6 2 5 2 2" xfId="1259"/>
    <cellStyle name="Comma 6 2 5 3" xfId="1260"/>
    <cellStyle name="Comma 6 2 5 3 2" xfId="1261"/>
    <cellStyle name="Comma 6 2 5 4" xfId="1262"/>
    <cellStyle name="Comma 6 2 6" xfId="1263"/>
    <cellStyle name="Comma 6 2 6 2" xfId="1264"/>
    <cellStyle name="Comma 6 2 7" xfId="1265"/>
    <cellStyle name="Comma 6 2 7 2" xfId="1266"/>
    <cellStyle name="Comma 6 2 8" xfId="1267"/>
    <cellStyle name="Comma 6 3" xfId="1268"/>
    <cellStyle name="Comma 6 3 2" xfId="1269"/>
    <cellStyle name="Comma 6 3 2 2" xfId="1270"/>
    <cellStyle name="Comma 6 3 2 2 2" xfId="1271"/>
    <cellStyle name="Comma 6 3 2 2 2 2" xfId="1272"/>
    <cellStyle name="Comma 6 3 2 2 2 2 2" xfId="1273"/>
    <cellStyle name="Comma 6 3 2 2 2 3" xfId="1274"/>
    <cellStyle name="Comma 6 3 2 2 2 3 2" xfId="1275"/>
    <cellStyle name="Comma 6 3 2 2 2 4" xfId="1276"/>
    <cellStyle name="Comma 6 3 2 2 3" xfId="1277"/>
    <cellStyle name="Comma 6 3 2 2 3 2" xfId="1278"/>
    <cellStyle name="Comma 6 3 2 2 4" xfId="1279"/>
    <cellStyle name="Comma 6 3 2 2 4 2" xfId="1280"/>
    <cellStyle name="Comma 6 3 2 2 5" xfId="1281"/>
    <cellStyle name="Comma 6 3 2 3" xfId="1282"/>
    <cellStyle name="Comma 6 3 2 3 2" xfId="1283"/>
    <cellStyle name="Comma 6 3 2 3 2 2" xfId="1284"/>
    <cellStyle name="Comma 6 3 2 3 3" xfId="1285"/>
    <cellStyle name="Comma 6 3 2 3 3 2" xfId="1286"/>
    <cellStyle name="Comma 6 3 2 3 4" xfId="1287"/>
    <cellStyle name="Comma 6 3 2 4" xfId="1288"/>
    <cellStyle name="Comma 6 3 2 4 2" xfId="1289"/>
    <cellStyle name="Comma 6 3 2 5" xfId="1290"/>
    <cellStyle name="Comma 6 3 2 5 2" xfId="1291"/>
    <cellStyle name="Comma 6 3 2 6" xfId="1292"/>
    <cellStyle name="Comma 6 3 3" xfId="1293"/>
    <cellStyle name="Comma 6 3 3 2" xfId="1294"/>
    <cellStyle name="Comma 6 3 3 2 2" xfId="1295"/>
    <cellStyle name="Comma 6 3 3 2 2 2" xfId="1296"/>
    <cellStyle name="Comma 6 3 3 2 3" xfId="1297"/>
    <cellStyle name="Comma 6 3 3 2 3 2" xfId="1298"/>
    <cellStyle name="Comma 6 3 3 2 4" xfId="1299"/>
    <cellStyle name="Comma 6 3 3 3" xfId="1300"/>
    <cellStyle name="Comma 6 3 3 3 2" xfId="1301"/>
    <cellStyle name="Comma 6 3 3 4" xfId="1302"/>
    <cellStyle name="Comma 6 3 3 4 2" xfId="1303"/>
    <cellStyle name="Comma 6 3 3 5" xfId="1304"/>
    <cellStyle name="Comma 6 3 4" xfId="1305"/>
    <cellStyle name="Comma 6 3 4 2" xfId="1306"/>
    <cellStyle name="Comma 6 3 4 2 2" xfId="1307"/>
    <cellStyle name="Comma 6 3 4 3" xfId="1308"/>
    <cellStyle name="Comma 6 3 4 3 2" xfId="1309"/>
    <cellStyle name="Comma 6 3 4 4" xfId="1310"/>
    <cellStyle name="Comma 6 3 5" xfId="1311"/>
    <cellStyle name="Comma 6 3 5 2" xfId="1312"/>
    <cellStyle name="Comma 6 3 6" xfId="1313"/>
    <cellStyle name="Comma 6 3 6 2" xfId="1314"/>
    <cellStyle name="Comma 6 3 7" xfId="1315"/>
    <cellStyle name="Comma 6 4" xfId="1316"/>
    <cellStyle name="Comma 6 4 2" xfId="1317"/>
    <cellStyle name="Comma 6 4 2 2" xfId="1318"/>
    <cellStyle name="Comma 6 4 2 2 2" xfId="1319"/>
    <cellStyle name="Comma 6 4 2 2 2 2" xfId="1320"/>
    <cellStyle name="Comma 6 4 2 2 2 2 2" xfId="1321"/>
    <cellStyle name="Comma 6 4 2 2 2 3" xfId="1322"/>
    <cellStyle name="Comma 6 4 2 2 2 3 2" xfId="1323"/>
    <cellStyle name="Comma 6 4 2 2 2 4" xfId="1324"/>
    <cellStyle name="Comma 6 4 2 2 3" xfId="1325"/>
    <cellStyle name="Comma 6 4 2 2 3 2" xfId="1326"/>
    <cellStyle name="Comma 6 4 2 2 4" xfId="1327"/>
    <cellStyle name="Comma 6 4 2 2 4 2" xfId="1328"/>
    <cellStyle name="Comma 6 4 2 2 5" xfId="1329"/>
    <cellStyle name="Comma 6 4 2 3" xfId="1330"/>
    <cellStyle name="Comma 6 4 2 3 2" xfId="1331"/>
    <cellStyle name="Comma 6 4 2 3 2 2" xfId="1332"/>
    <cellStyle name="Comma 6 4 2 3 3" xfId="1333"/>
    <cellStyle name="Comma 6 4 2 3 3 2" xfId="1334"/>
    <cellStyle name="Comma 6 4 2 3 4" xfId="1335"/>
    <cellStyle name="Comma 6 4 2 4" xfId="1336"/>
    <cellStyle name="Comma 6 4 2 4 2" xfId="1337"/>
    <cellStyle name="Comma 6 4 2 5" xfId="1338"/>
    <cellStyle name="Comma 6 4 2 5 2" xfId="1339"/>
    <cellStyle name="Comma 6 4 2 6" xfId="1340"/>
    <cellStyle name="Comma 6 4 3" xfId="1341"/>
    <cellStyle name="Comma 6 4 3 2" xfId="1342"/>
    <cellStyle name="Comma 6 4 3 2 2" xfId="1343"/>
    <cellStyle name="Comma 6 4 3 2 2 2" xfId="1344"/>
    <cellStyle name="Comma 6 4 3 2 3" xfId="1345"/>
    <cellStyle name="Comma 6 4 3 2 3 2" xfId="1346"/>
    <cellStyle name="Comma 6 4 3 2 4" xfId="1347"/>
    <cellStyle name="Comma 6 4 3 3" xfId="1348"/>
    <cellStyle name="Comma 6 4 3 3 2" xfId="1349"/>
    <cellStyle name="Comma 6 4 3 4" xfId="1350"/>
    <cellStyle name="Comma 6 4 3 4 2" xfId="1351"/>
    <cellStyle name="Comma 6 4 3 5" xfId="1352"/>
    <cellStyle name="Comma 6 4 4" xfId="1353"/>
    <cellStyle name="Comma 6 4 4 2" xfId="1354"/>
    <cellStyle name="Comma 6 4 4 2 2" xfId="1355"/>
    <cellStyle name="Comma 6 4 4 3" xfId="1356"/>
    <cellStyle name="Comma 6 4 4 3 2" xfId="1357"/>
    <cellStyle name="Comma 6 4 4 4" xfId="1358"/>
    <cellStyle name="Comma 6 4 5" xfId="1359"/>
    <cellStyle name="Comma 6 4 5 2" xfId="1360"/>
    <cellStyle name="Comma 6 4 6" xfId="1361"/>
    <cellStyle name="Comma 6 4 6 2" xfId="1362"/>
    <cellStyle name="Comma 6 4 7" xfId="1363"/>
    <cellStyle name="Comma 6 5" xfId="1364"/>
    <cellStyle name="Comma 6 5 2" xfId="1365"/>
    <cellStyle name="Comma 6 5 2 2" xfId="1366"/>
    <cellStyle name="Comma 6 5 2 2 2" xfId="1367"/>
    <cellStyle name="Comma 6 5 2 2 2 2" xfId="1368"/>
    <cellStyle name="Comma 6 5 2 2 3" xfId="1369"/>
    <cellStyle name="Comma 6 5 2 2 3 2" xfId="1370"/>
    <cellStyle name="Comma 6 5 2 2 4" xfId="1371"/>
    <cellStyle name="Comma 6 5 2 3" xfId="1372"/>
    <cellStyle name="Comma 6 5 2 3 2" xfId="1373"/>
    <cellStyle name="Comma 6 5 2 4" xfId="1374"/>
    <cellStyle name="Comma 6 5 2 4 2" xfId="1375"/>
    <cellStyle name="Comma 6 5 2 5" xfId="1376"/>
    <cellStyle name="Comma 6 5 3" xfId="1377"/>
    <cellStyle name="Comma 6 5 3 2" xfId="1378"/>
    <cellStyle name="Comma 6 5 3 2 2" xfId="1379"/>
    <cellStyle name="Comma 6 5 3 3" xfId="1380"/>
    <cellStyle name="Comma 6 5 3 3 2" xfId="1381"/>
    <cellStyle name="Comma 6 5 3 4" xfId="1382"/>
    <cellStyle name="Comma 6 5 4" xfId="1383"/>
    <cellStyle name="Comma 6 5 4 2" xfId="1384"/>
    <cellStyle name="Comma 6 5 5" xfId="1385"/>
    <cellStyle name="Comma 6 5 5 2" xfId="1386"/>
    <cellStyle name="Comma 6 5 6" xfId="1387"/>
    <cellStyle name="Comma 6 6" xfId="1388"/>
    <cellStyle name="Comma 6 6 2" xfId="1389"/>
    <cellStyle name="Comma 6 6 2 2" xfId="1390"/>
    <cellStyle name="Comma 6 6 2 2 2" xfId="1391"/>
    <cellStyle name="Comma 6 6 2 3" xfId="1392"/>
    <cellStyle name="Comma 6 6 2 3 2" xfId="1393"/>
    <cellStyle name="Comma 6 6 2 4" xfId="1394"/>
    <cellStyle name="Comma 6 6 3" xfId="1395"/>
    <cellStyle name="Comma 6 6 3 2" xfId="1396"/>
    <cellStyle name="Comma 6 6 4" xfId="1397"/>
    <cellStyle name="Comma 6 6 4 2" xfId="1398"/>
    <cellStyle name="Comma 6 6 5" xfId="1399"/>
    <cellStyle name="Comma 6 7" xfId="1400"/>
    <cellStyle name="Comma 6 7 2" xfId="1401"/>
    <cellStyle name="Comma 6 7 2 2" xfId="1402"/>
    <cellStyle name="Comma 6 7 3" xfId="1403"/>
    <cellStyle name="Comma 6 7 3 2" xfId="1404"/>
    <cellStyle name="Comma 6 7 4" xfId="1405"/>
    <cellStyle name="Comma 6 8" xfId="1406"/>
    <cellStyle name="Comma 6 8 2" xfId="1407"/>
    <cellStyle name="Comma 6 9" xfId="1408"/>
    <cellStyle name="Comma 6 9 2" xfId="1409"/>
    <cellStyle name="Comma 7" xfId="1410"/>
    <cellStyle name="Comma 7 10" xfId="1411"/>
    <cellStyle name="Comma 7 2" xfId="1412"/>
    <cellStyle name="Comma 7 2 2" xfId="1413"/>
    <cellStyle name="Comma 7 2 2 2" xfId="1414"/>
    <cellStyle name="Comma 7 2 2 2 2" xfId="1415"/>
    <cellStyle name="Comma 7 2 2 2 2 2" xfId="1416"/>
    <cellStyle name="Comma 7 2 2 2 2 2 2" xfId="1417"/>
    <cellStyle name="Comma 7 2 2 2 2 2 2 2" xfId="1418"/>
    <cellStyle name="Comma 7 2 2 2 2 2 3" xfId="1419"/>
    <cellStyle name="Comma 7 2 2 2 2 2 3 2" xfId="1420"/>
    <cellStyle name="Comma 7 2 2 2 2 2 4" xfId="1421"/>
    <cellStyle name="Comma 7 2 2 2 2 3" xfId="1422"/>
    <cellStyle name="Comma 7 2 2 2 2 3 2" xfId="1423"/>
    <cellStyle name="Comma 7 2 2 2 2 4" xfId="1424"/>
    <cellStyle name="Comma 7 2 2 2 2 4 2" xfId="1425"/>
    <cellStyle name="Comma 7 2 2 2 2 5" xfId="1426"/>
    <cellStyle name="Comma 7 2 2 2 3" xfId="1427"/>
    <cellStyle name="Comma 7 2 2 2 3 2" xfId="1428"/>
    <cellStyle name="Comma 7 2 2 2 3 2 2" xfId="1429"/>
    <cellStyle name="Comma 7 2 2 2 3 3" xfId="1430"/>
    <cellStyle name="Comma 7 2 2 2 3 3 2" xfId="1431"/>
    <cellStyle name="Comma 7 2 2 2 3 4" xfId="1432"/>
    <cellStyle name="Comma 7 2 2 2 4" xfId="1433"/>
    <cellStyle name="Comma 7 2 2 2 4 2" xfId="1434"/>
    <cellStyle name="Comma 7 2 2 2 5" xfId="1435"/>
    <cellStyle name="Comma 7 2 2 2 5 2" xfId="1436"/>
    <cellStyle name="Comma 7 2 2 2 6" xfId="1437"/>
    <cellStyle name="Comma 7 2 2 3" xfId="1438"/>
    <cellStyle name="Comma 7 2 2 3 2" xfId="1439"/>
    <cellStyle name="Comma 7 2 2 3 2 2" xfId="1440"/>
    <cellStyle name="Comma 7 2 2 3 2 2 2" xfId="1441"/>
    <cellStyle name="Comma 7 2 2 3 2 3" xfId="1442"/>
    <cellStyle name="Comma 7 2 2 3 2 3 2" xfId="1443"/>
    <cellStyle name="Comma 7 2 2 3 2 4" xfId="1444"/>
    <cellStyle name="Comma 7 2 2 3 3" xfId="1445"/>
    <cellStyle name="Comma 7 2 2 3 3 2" xfId="1446"/>
    <cellStyle name="Comma 7 2 2 3 4" xfId="1447"/>
    <cellStyle name="Comma 7 2 2 3 4 2" xfId="1448"/>
    <cellStyle name="Comma 7 2 2 3 5" xfId="1449"/>
    <cellStyle name="Comma 7 2 2 4" xfId="1450"/>
    <cellStyle name="Comma 7 2 2 4 2" xfId="1451"/>
    <cellStyle name="Comma 7 2 2 4 2 2" xfId="1452"/>
    <cellStyle name="Comma 7 2 2 4 3" xfId="1453"/>
    <cellStyle name="Comma 7 2 2 4 3 2" xfId="1454"/>
    <cellStyle name="Comma 7 2 2 4 4" xfId="1455"/>
    <cellStyle name="Comma 7 2 2 5" xfId="1456"/>
    <cellStyle name="Comma 7 2 2 5 2" xfId="1457"/>
    <cellStyle name="Comma 7 2 2 6" xfId="1458"/>
    <cellStyle name="Comma 7 2 2 6 2" xfId="1459"/>
    <cellStyle name="Comma 7 2 2 7" xfId="1460"/>
    <cellStyle name="Comma 7 2 3" xfId="1461"/>
    <cellStyle name="Comma 7 2 3 2" xfId="1462"/>
    <cellStyle name="Comma 7 2 3 2 2" xfId="1463"/>
    <cellStyle name="Comma 7 2 3 2 2 2" xfId="1464"/>
    <cellStyle name="Comma 7 2 3 2 2 2 2" xfId="1465"/>
    <cellStyle name="Comma 7 2 3 2 2 3" xfId="1466"/>
    <cellStyle name="Comma 7 2 3 2 2 3 2" xfId="1467"/>
    <cellStyle name="Comma 7 2 3 2 2 4" xfId="1468"/>
    <cellStyle name="Comma 7 2 3 2 3" xfId="1469"/>
    <cellStyle name="Comma 7 2 3 2 3 2" xfId="1470"/>
    <cellStyle name="Comma 7 2 3 2 4" xfId="1471"/>
    <cellStyle name="Comma 7 2 3 2 4 2" xfId="1472"/>
    <cellStyle name="Comma 7 2 3 2 5" xfId="1473"/>
    <cellStyle name="Comma 7 2 3 3" xfId="1474"/>
    <cellStyle name="Comma 7 2 3 3 2" xfId="1475"/>
    <cellStyle name="Comma 7 2 3 3 2 2" xfId="1476"/>
    <cellStyle name="Comma 7 2 3 3 3" xfId="1477"/>
    <cellStyle name="Comma 7 2 3 3 3 2" xfId="1478"/>
    <cellStyle name="Comma 7 2 3 3 4" xfId="1479"/>
    <cellStyle name="Comma 7 2 3 4" xfId="1480"/>
    <cellStyle name="Comma 7 2 3 4 2" xfId="1481"/>
    <cellStyle name="Comma 7 2 3 5" xfId="1482"/>
    <cellStyle name="Comma 7 2 3 5 2" xfId="1483"/>
    <cellStyle name="Comma 7 2 3 6" xfId="1484"/>
    <cellStyle name="Comma 7 2 4" xfId="1485"/>
    <cellStyle name="Comma 7 2 4 2" xfId="1486"/>
    <cellStyle name="Comma 7 2 4 2 2" xfId="1487"/>
    <cellStyle name="Comma 7 2 4 2 2 2" xfId="1488"/>
    <cellStyle name="Comma 7 2 4 2 3" xfId="1489"/>
    <cellStyle name="Comma 7 2 4 2 3 2" xfId="1490"/>
    <cellStyle name="Comma 7 2 4 2 4" xfId="1491"/>
    <cellStyle name="Comma 7 2 4 3" xfId="1492"/>
    <cellStyle name="Comma 7 2 4 3 2" xfId="1493"/>
    <cellStyle name="Comma 7 2 4 4" xfId="1494"/>
    <cellStyle name="Comma 7 2 4 4 2" xfId="1495"/>
    <cellStyle name="Comma 7 2 4 5" xfId="1496"/>
    <cellStyle name="Comma 7 2 5" xfId="1497"/>
    <cellStyle name="Comma 7 2 5 2" xfId="1498"/>
    <cellStyle name="Comma 7 2 5 2 2" xfId="1499"/>
    <cellStyle name="Comma 7 2 5 3" xfId="1500"/>
    <cellStyle name="Comma 7 2 5 3 2" xfId="1501"/>
    <cellStyle name="Comma 7 2 5 4" xfId="1502"/>
    <cellStyle name="Comma 7 2 6" xfId="1503"/>
    <cellStyle name="Comma 7 2 6 2" xfId="1504"/>
    <cellStyle name="Comma 7 2 7" xfId="1505"/>
    <cellStyle name="Comma 7 2 7 2" xfId="1506"/>
    <cellStyle name="Comma 7 2 8" xfId="1507"/>
    <cellStyle name="Comma 7 3" xfId="1508"/>
    <cellStyle name="Comma 7 3 2" xfId="1509"/>
    <cellStyle name="Comma 7 3 2 2" xfId="1510"/>
    <cellStyle name="Comma 7 3 2 2 2" xfId="1511"/>
    <cellStyle name="Comma 7 3 2 2 2 2" xfId="1512"/>
    <cellStyle name="Comma 7 3 2 2 2 2 2" xfId="1513"/>
    <cellStyle name="Comma 7 3 2 2 2 3" xfId="1514"/>
    <cellStyle name="Comma 7 3 2 2 2 3 2" xfId="1515"/>
    <cellStyle name="Comma 7 3 2 2 2 4" xfId="1516"/>
    <cellStyle name="Comma 7 3 2 2 3" xfId="1517"/>
    <cellStyle name="Comma 7 3 2 2 3 2" xfId="1518"/>
    <cellStyle name="Comma 7 3 2 2 4" xfId="1519"/>
    <cellStyle name="Comma 7 3 2 2 4 2" xfId="1520"/>
    <cellStyle name="Comma 7 3 2 2 5" xfId="1521"/>
    <cellStyle name="Comma 7 3 2 3" xfId="1522"/>
    <cellStyle name="Comma 7 3 2 3 2" xfId="1523"/>
    <cellStyle name="Comma 7 3 2 3 2 2" xfId="1524"/>
    <cellStyle name="Comma 7 3 2 3 3" xfId="1525"/>
    <cellStyle name="Comma 7 3 2 3 3 2" xfId="1526"/>
    <cellStyle name="Comma 7 3 2 3 4" xfId="1527"/>
    <cellStyle name="Comma 7 3 2 4" xfId="1528"/>
    <cellStyle name="Comma 7 3 2 4 2" xfId="1529"/>
    <cellStyle name="Comma 7 3 2 5" xfId="1530"/>
    <cellStyle name="Comma 7 3 2 5 2" xfId="1531"/>
    <cellStyle name="Comma 7 3 2 6" xfId="1532"/>
    <cellStyle name="Comma 7 3 3" xfId="1533"/>
    <cellStyle name="Comma 7 3 3 2" xfId="1534"/>
    <cellStyle name="Comma 7 3 3 2 2" xfId="1535"/>
    <cellStyle name="Comma 7 3 3 2 2 2" xfId="1536"/>
    <cellStyle name="Comma 7 3 3 2 3" xfId="1537"/>
    <cellStyle name="Comma 7 3 3 2 3 2" xfId="1538"/>
    <cellStyle name="Comma 7 3 3 2 4" xfId="1539"/>
    <cellStyle name="Comma 7 3 3 3" xfId="1540"/>
    <cellStyle name="Comma 7 3 3 3 2" xfId="1541"/>
    <cellStyle name="Comma 7 3 3 4" xfId="1542"/>
    <cellStyle name="Comma 7 3 3 4 2" xfId="1543"/>
    <cellStyle name="Comma 7 3 3 5" xfId="1544"/>
    <cellStyle name="Comma 7 3 4" xfId="1545"/>
    <cellStyle name="Comma 7 3 4 2" xfId="1546"/>
    <cellStyle name="Comma 7 3 4 2 2" xfId="1547"/>
    <cellStyle name="Comma 7 3 4 3" xfId="1548"/>
    <cellStyle name="Comma 7 3 4 3 2" xfId="1549"/>
    <cellStyle name="Comma 7 3 4 4" xfId="1550"/>
    <cellStyle name="Comma 7 3 5" xfId="1551"/>
    <cellStyle name="Comma 7 3 5 2" xfId="1552"/>
    <cellStyle name="Comma 7 3 6" xfId="1553"/>
    <cellStyle name="Comma 7 3 6 2" xfId="1554"/>
    <cellStyle name="Comma 7 3 7" xfId="1555"/>
    <cellStyle name="Comma 7 4" xfId="1556"/>
    <cellStyle name="Comma 7 4 2" xfId="1557"/>
    <cellStyle name="Comma 7 4 2 2" xfId="1558"/>
    <cellStyle name="Comma 7 4 2 2 2" xfId="1559"/>
    <cellStyle name="Comma 7 4 2 2 2 2" xfId="1560"/>
    <cellStyle name="Comma 7 4 2 2 2 2 2" xfId="1561"/>
    <cellStyle name="Comma 7 4 2 2 2 3" xfId="1562"/>
    <cellStyle name="Comma 7 4 2 2 2 3 2" xfId="1563"/>
    <cellStyle name="Comma 7 4 2 2 2 4" xfId="1564"/>
    <cellStyle name="Comma 7 4 2 2 3" xfId="1565"/>
    <cellStyle name="Comma 7 4 2 2 3 2" xfId="1566"/>
    <cellStyle name="Comma 7 4 2 2 4" xfId="1567"/>
    <cellStyle name="Comma 7 4 2 2 4 2" xfId="1568"/>
    <cellStyle name="Comma 7 4 2 2 5" xfId="1569"/>
    <cellStyle name="Comma 7 4 2 3" xfId="1570"/>
    <cellStyle name="Comma 7 4 2 3 2" xfId="1571"/>
    <cellStyle name="Comma 7 4 2 3 2 2" xfId="1572"/>
    <cellStyle name="Comma 7 4 2 3 3" xfId="1573"/>
    <cellStyle name="Comma 7 4 2 3 3 2" xfId="1574"/>
    <cellStyle name="Comma 7 4 2 3 4" xfId="1575"/>
    <cellStyle name="Comma 7 4 2 4" xfId="1576"/>
    <cellStyle name="Comma 7 4 2 4 2" xfId="1577"/>
    <cellStyle name="Comma 7 4 2 5" xfId="1578"/>
    <cellStyle name="Comma 7 4 2 5 2" xfId="1579"/>
    <cellStyle name="Comma 7 4 2 6" xfId="1580"/>
    <cellStyle name="Comma 7 4 3" xfId="1581"/>
    <cellStyle name="Comma 7 4 3 2" xfId="1582"/>
    <cellStyle name="Comma 7 4 3 2 2" xfId="1583"/>
    <cellStyle name="Comma 7 4 3 2 2 2" xfId="1584"/>
    <cellStyle name="Comma 7 4 3 2 3" xfId="1585"/>
    <cellStyle name="Comma 7 4 3 2 3 2" xfId="1586"/>
    <cellStyle name="Comma 7 4 3 2 4" xfId="1587"/>
    <cellStyle name="Comma 7 4 3 3" xfId="1588"/>
    <cellStyle name="Comma 7 4 3 3 2" xfId="1589"/>
    <cellStyle name="Comma 7 4 3 4" xfId="1590"/>
    <cellStyle name="Comma 7 4 3 4 2" xfId="1591"/>
    <cellStyle name="Comma 7 4 3 5" xfId="1592"/>
    <cellStyle name="Comma 7 4 4" xfId="1593"/>
    <cellStyle name="Comma 7 4 4 2" xfId="1594"/>
    <cellStyle name="Comma 7 4 4 2 2" xfId="1595"/>
    <cellStyle name="Comma 7 4 4 3" xfId="1596"/>
    <cellStyle name="Comma 7 4 4 3 2" xfId="1597"/>
    <cellStyle name="Comma 7 4 4 4" xfId="1598"/>
    <cellStyle name="Comma 7 4 5" xfId="1599"/>
    <cellStyle name="Comma 7 4 5 2" xfId="1600"/>
    <cellStyle name="Comma 7 4 6" xfId="1601"/>
    <cellStyle name="Comma 7 4 6 2" xfId="1602"/>
    <cellStyle name="Comma 7 4 7" xfId="1603"/>
    <cellStyle name="Comma 7 5" xfId="1604"/>
    <cellStyle name="Comma 7 5 2" xfId="1605"/>
    <cellStyle name="Comma 7 5 2 2" xfId="1606"/>
    <cellStyle name="Comma 7 5 2 2 2" xfId="1607"/>
    <cellStyle name="Comma 7 5 2 2 2 2" xfId="1608"/>
    <cellStyle name="Comma 7 5 2 2 3" xfId="1609"/>
    <cellStyle name="Comma 7 5 2 2 3 2" xfId="1610"/>
    <cellStyle name="Comma 7 5 2 2 4" xfId="1611"/>
    <cellStyle name="Comma 7 5 2 3" xfId="1612"/>
    <cellStyle name="Comma 7 5 2 3 2" xfId="1613"/>
    <cellStyle name="Comma 7 5 2 4" xfId="1614"/>
    <cellStyle name="Comma 7 5 2 4 2" xfId="1615"/>
    <cellStyle name="Comma 7 5 2 5" xfId="1616"/>
    <cellStyle name="Comma 7 5 3" xfId="1617"/>
    <cellStyle name="Comma 7 5 3 2" xfId="1618"/>
    <cellStyle name="Comma 7 5 3 2 2" xfId="1619"/>
    <cellStyle name="Comma 7 5 3 3" xfId="1620"/>
    <cellStyle name="Comma 7 5 3 3 2" xfId="1621"/>
    <cellStyle name="Comma 7 5 3 4" xfId="1622"/>
    <cellStyle name="Comma 7 5 4" xfId="1623"/>
    <cellStyle name="Comma 7 5 4 2" xfId="1624"/>
    <cellStyle name="Comma 7 5 5" xfId="1625"/>
    <cellStyle name="Comma 7 5 5 2" xfId="1626"/>
    <cellStyle name="Comma 7 5 6" xfId="1627"/>
    <cellStyle name="Comma 7 6" xfId="1628"/>
    <cellStyle name="Comma 7 6 2" xfId="1629"/>
    <cellStyle name="Comma 7 6 2 2" xfId="1630"/>
    <cellStyle name="Comma 7 6 2 2 2" xfId="1631"/>
    <cellStyle name="Comma 7 6 2 3" xfId="1632"/>
    <cellStyle name="Comma 7 6 2 3 2" xfId="1633"/>
    <cellStyle name="Comma 7 6 2 4" xfId="1634"/>
    <cellStyle name="Comma 7 6 3" xfId="1635"/>
    <cellStyle name="Comma 7 6 3 2" xfId="1636"/>
    <cellStyle name="Comma 7 6 4" xfId="1637"/>
    <cellStyle name="Comma 7 6 4 2" xfId="1638"/>
    <cellStyle name="Comma 7 6 5" xfId="1639"/>
    <cellStyle name="Comma 7 7" xfId="1640"/>
    <cellStyle name="Comma 7 7 2" xfId="1641"/>
    <cellStyle name="Comma 7 7 2 2" xfId="1642"/>
    <cellStyle name="Comma 7 7 3" xfId="1643"/>
    <cellStyle name="Comma 7 7 3 2" xfId="1644"/>
    <cellStyle name="Comma 7 7 4" xfId="1645"/>
    <cellStyle name="Comma 7 8" xfId="1646"/>
    <cellStyle name="Comma 7 8 2" xfId="1647"/>
    <cellStyle name="Comma 7 9" xfId="1648"/>
    <cellStyle name="Comma 7 9 2" xfId="1649"/>
    <cellStyle name="Comma 8" xfId="1650"/>
    <cellStyle name="Comma 8 2" xfId="1651"/>
    <cellStyle name="Comma 8 2 2" xfId="1652"/>
    <cellStyle name="Comma 8 2 2 2" xfId="1653"/>
    <cellStyle name="Comma 8 2 2 2 2" xfId="1654"/>
    <cellStyle name="Comma 8 2 2 2 2 2" xfId="1655"/>
    <cellStyle name="Comma 8 2 2 2 2 2 2" xfId="1656"/>
    <cellStyle name="Comma 8 2 2 2 2 3" xfId="1657"/>
    <cellStyle name="Comma 8 2 2 2 2 3 2" xfId="1658"/>
    <cellStyle name="Comma 8 2 2 2 2 4" xfId="1659"/>
    <cellStyle name="Comma 8 2 2 2 3" xfId="1660"/>
    <cellStyle name="Comma 8 2 2 2 3 2" xfId="1661"/>
    <cellStyle name="Comma 8 2 2 2 4" xfId="1662"/>
    <cellStyle name="Comma 8 2 2 2 4 2" xfId="1663"/>
    <cellStyle name="Comma 8 2 2 2 5" xfId="1664"/>
    <cellStyle name="Comma 8 2 2 3" xfId="1665"/>
    <cellStyle name="Comma 8 2 2 3 2" xfId="1666"/>
    <cellStyle name="Comma 8 2 2 3 2 2" xfId="1667"/>
    <cellStyle name="Comma 8 2 2 3 3" xfId="1668"/>
    <cellStyle name="Comma 8 2 2 3 3 2" xfId="1669"/>
    <cellStyle name="Comma 8 2 2 3 4" xfId="1670"/>
    <cellStyle name="Comma 8 2 2 4" xfId="1671"/>
    <cellStyle name="Comma 8 2 2 4 2" xfId="1672"/>
    <cellStyle name="Comma 8 2 2 5" xfId="1673"/>
    <cellStyle name="Comma 8 2 2 5 2" xfId="1674"/>
    <cellStyle name="Comma 8 2 2 6" xfId="1675"/>
    <cellStyle name="Comma 8 2 3" xfId="1676"/>
    <cellStyle name="Comma 8 2 3 2" xfId="1677"/>
    <cellStyle name="Comma 8 2 3 2 2" xfId="1678"/>
    <cellStyle name="Comma 8 2 3 2 2 2" xfId="1679"/>
    <cellStyle name="Comma 8 2 3 2 3" xfId="1680"/>
    <cellStyle name="Comma 8 2 3 2 3 2" xfId="1681"/>
    <cellStyle name="Comma 8 2 3 2 4" xfId="1682"/>
    <cellStyle name="Comma 8 2 3 3" xfId="1683"/>
    <cellStyle name="Comma 8 2 3 3 2" xfId="1684"/>
    <cellStyle name="Comma 8 2 3 4" xfId="1685"/>
    <cellStyle name="Comma 8 2 3 4 2" xfId="1686"/>
    <cellStyle name="Comma 8 2 3 5" xfId="1687"/>
    <cellStyle name="Comma 8 2 4" xfId="1688"/>
    <cellStyle name="Comma 8 2 4 2" xfId="1689"/>
    <cellStyle name="Comma 8 2 4 2 2" xfId="1690"/>
    <cellStyle name="Comma 8 2 4 3" xfId="1691"/>
    <cellStyle name="Comma 8 2 4 3 2" xfId="1692"/>
    <cellStyle name="Comma 8 2 4 4" xfId="1693"/>
    <cellStyle name="Comma 8 2 5" xfId="1694"/>
    <cellStyle name="Comma 8 2 5 2" xfId="1695"/>
    <cellStyle name="Comma 8 2 6" xfId="1696"/>
    <cellStyle name="Comma 8 2 6 2" xfId="1697"/>
    <cellStyle name="Comma 8 2 7" xfId="1698"/>
    <cellStyle name="Comma 8 3" xfId="1699"/>
    <cellStyle name="Comma 8 3 2" xfId="1700"/>
    <cellStyle name="Comma 8 3 2 2" xfId="1701"/>
    <cellStyle name="Comma 8 3 2 2 2" xfId="1702"/>
    <cellStyle name="Comma 8 3 2 2 2 2" xfId="1703"/>
    <cellStyle name="Comma 8 3 2 2 2 2 2" xfId="1704"/>
    <cellStyle name="Comma 8 3 2 2 2 3" xfId="1705"/>
    <cellStyle name="Comma 8 3 2 2 2 3 2" xfId="1706"/>
    <cellStyle name="Comma 8 3 2 2 2 4" xfId="1707"/>
    <cellStyle name="Comma 8 3 2 2 3" xfId="1708"/>
    <cellStyle name="Comma 8 3 2 2 3 2" xfId="1709"/>
    <cellStyle name="Comma 8 3 2 2 4" xfId="1710"/>
    <cellStyle name="Comma 8 3 2 2 4 2" xfId="1711"/>
    <cellStyle name="Comma 8 3 2 2 5" xfId="1712"/>
    <cellStyle name="Comma 8 3 2 3" xfId="1713"/>
    <cellStyle name="Comma 8 3 2 3 2" xfId="1714"/>
    <cellStyle name="Comma 8 3 2 3 2 2" xfId="1715"/>
    <cellStyle name="Comma 8 3 2 3 3" xfId="1716"/>
    <cellStyle name="Comma 8 3 2 3 3 2" xfId="1717"/>
    <cellStyle name="Comma 8 3 2 3 4" xfId="1718"/>
    <cellStyle name="Comma 8 3 2 4" xfId="1719"/>
    <cellStyle name="Comma 8 3 2 4 2" xfId="1720"/>
    <cellStyle name="Comma 8 3 2 5" xfId="1721"/>
    <cellStyle name="Comma 8 3 2 5 2" xfId="1722"/>
    <cellStyle name="Comma 8 3 2 6" xfId="1723"/>
    <cellStyle name="Comma 8 3 3" xfId="1724"/>
    <cellStyle name="Comma 8 3 3 2" xfId="1725"/>
    <cellStyle name="Comma 8 3 3 2 2" xfId="1726"/>
    <cellStyle name="Comma 8 3 3 2 2 2" xfId="1727"/>
    <cellStyle name="Comma 8 3 3 2 3" xfId="1728"/>
    <cellStyle name="Comma 8 3 3 2 3 2" xfId="1729"/>
    <cellStyle name="Comma 8 3 3 2 4" xfId="1730"/>
    <cellStyle name="Comma 8 3 3 3" xfId="1731"/>
    <cellStyle name="Comma 8 3 3 3 2" xfId="1732"/>
    <cellStyle name="Comma 8 3 3 4" xfId="1733"/>
    <cellStyle name="Comma 8 3 3 4 2" xfId="1734"/>
    <cellStyle name="Comma 8 3 3 5" xfId="1735"/>
    <cellStyle name="Comma 8 3 4" xfId="1736"/>
    <cellStyle name="Comma 8 3 4 2" xfId="1737"/>
    <cellStyle name="Comma 8 3 4 2 2" xfId="1738"/>
    <cellStyle name="Comma 8 3 4 3" xfId="1739"/>
    <cellStyle name="Comma 8 3 4 3 2" xfId="1740"/>
    <cellStyle name="Comma 8 3 4 4" xfId="1741"/>
    <cellStyle name="Comma 8 3 5" xfId="1742"/>
    <cellStyle name="Comma 8 3 5 2" xfId="1743"/>
    <cellStyle name="Comma 8 3 6" xfId="1744"/>
    <cellStyle name="Comma 8 3 6 2" xfId="1745"/>
    <cellStyle name="Comma 8 3 7" xfId="1746"/>
    <cellStyle name="Comma 8 4" xfId="1747"/>
    <cellStyle name="Comma 8 4 2" xfId="1748"/>
    <cellStyle name="Comma 8 4 2 2" xfId="1749"/>
    <cellStyle name="Comma 8 4 2 2 2" xfId="1750"/>
    <cellStyle name="Comma 8 4 2 2 2 2" xfId="1751"/>
    <cellStyle name="Comma 8 4 2 2 3" xfId="1752"/>
    <cellStyle name="Comma 8 4 2 2 3 2" xfId="1753"/>
    <cellStyle name="Comma 8 4 2 2 4" xfId="1754"/>
    <cellStyle name="Comma 8 4 2 3" xfId="1755"/>
    <cellStyle name="Comma 8 4 2 3 2" xfId="1756"/>
    <cellStyle name="Comma 8 4 2 4" xfId="1757"/>
    <cellStyle name="Comma 8 4 2 4 2" xfId="1758"/>
    <cellStyle name="Comma 8 4 2 5" xfId="1759"/>
    <cellStyle name="Comma 8 4 3" xfId="1760"/>
    <cellStyle name="Comma 8 4 3 2" xfId="1761"/>
    <cellStyle name="Comma 8 4 3 2 2" xfId="1762"/>
    <cellStyle name="Comma 8 4 3 3" xfId="1763"/>
    <cellStyle name="Comma 8 4 3 3 2" xfId="1764"/>
    <cellStyle name="Comma 8 4 3 4" xfId="1765"/>
    <cellStyle name="Comma 8 4 4" xfId="1766"/>
    <cellStyle name="Comma 8 4 4 2" xfId="1767"/>
    <cellStyle name="Comma 8 4 5" xfId="1768"/>
    <cellStyle name="Comma 8 4 5 2" xfId="1769"/>
    <cellStyle name="Comma 8 4 6" xfId="1770"/>
    <cellStyle name="Comma 8 5" xfId="1771"/>
    <cellStyle name="Comma 8 5 2" xfId="1772"/>
    <cellStyle name="Comma 8 5 2 2" xfId="1773"/>
    <cellStyle name="Comma 8 5 2 2 2" xfId="1774"/>
    <cellStyle name="Comma 8 5 2 3" xfId="1775"/>
    <cellStyle name="Comma 8 5 2 3 2" xfId="1776"/>
    <cellStyle name="Comma 8 5 2 4" xfId="1777"/>
    <cellStyle name="Comma 8 5 3" xfId="1778"/>
    <cellStyle name="Comma 8 5 3 2" xfId="1779"/>
    <cellStyle name="Comma 8 5 4" xfId="1780"/>
    <cellStyle name="Comma 8 5 4 2" xfId="1781"/>
    <cellStyle name="Comma 8 5 5" xfId="1782"/>
    <cellStyle name="Comma 8 6" xfId="1783"/>
    <cellStyle name="Comma 8 6 2" xfId="1784"/>
    <cellStyle name="Comma 8 6 2 2" xfId="1785"/>
    <cellStyle name="Comma 8 6 3" xfId="1786"/>
    <cellStyle name="Comma 8 6 3 2" xfId="1787"/>
    <cellStyle name="Comma 8 6 4" xfId="1788"/>
    <cellStyle name="Comma 8 7" xfId="1789"/>
    <cellStyle name="Comma 8 7 2" xfId="1790"/>
    <cellStyle name="Comma 8 8" xfId="1791"/>
    <cellStyle name="Comma 8 8 2" xfId="1792"/>
    <cellStyle name="Comma 8 9" xfId="1793"/>
    <cellStyle name="Comma 9" xfId="1794"/>
    <cellStyle name="Comma 9 2" xfId="1795"/>
    <cellStyle name="Comma(2)" xfId="1796"/>
    <cellStyle name="Comma0" xfId="1797"/>
    <cellStyle name="Comma0 - Style2" xfId="1798"/>
    <cellStyle name="Comma1 - Style1" xfId="1799"/>
    <cellStyle name="Comments" xfId="1800"/>
    <cellStyle name="Currency 10" xfId="1801"/>
    <cellStyle name="Currency 10 2" xfId="1802"/>
    <cellStyle name="Currency 10 2 2" xfId="1803"/>
    <cellStyle name="Currency 10 2 2 2" xfId="1804"/>
    <cellStyle name="Currency 10 2 2 2 2" xfId="1805"/>
    <cellStyle name="Currency 10 2 2 2 2 2" xfId="1806"/>
    <cellStyle name="Currency 10 2 2 2 3" xfId="1807"/>
    <cellStyle name="Currency 10 2 2 2 3 2" xfId="1808"/>
    <cellStyle name="Currency 10 2 2 2 4" xfId="1809"/>
    <cellStyle name="Currency 10 2 2 3" xfId="1810"/>
    <cellStyle name="Currency 10 2 2 3 2" xfId="1811"/>
    <cellStyle name="Currency 10 2 2 4" xfId="1812"/>
    <cellStyle name="Currency 10 2 2 4 2" xfId="1813"/>
    <cellStyle name="Currency 10 2 2 5" xfId="1814"/>
    <cellStyle name="Currency 10 2 3" xfId="1815"/>
    <cellStyle name="Currency 10 2 3 2" xfId="1816"/>
    <cellStyle name="Currency 10 2 3 2 2" xfId="1817"/>
    <cellStyle name="Currency 10 2 3 3" xfId="1818"/>
    <cellStyle name="Currency 10 2 3 3 2" xfId="1819"/>
    <cellStyle name="Currency 10 2 3 4" xfId="1820"/>
    <cellStyle name="Currency 10 2 4" xfId="1821"/>
    <cellStyle name="Currency 10 2 4 2" xfId="1822"/>
    <cellStyle name="Currency 10 2 5" xfId="1823"/>
    <cellStyle name="Currency 10 2 5 2" xfId="1824"/>
    <cellStyle name="Currency 10 2 6" xfId="1825"/>
    <cellStyle name="Currency 10 3" xfId="1826"/>
    <cellStyle name="Currency 10 4" xfId="1827"/>
    <cellStyle name="Currency 11" xfId="1828"/>
    <cellStyle name="Currency 11 2" xfId="1829"/>
    <cellStyle name="Currency 11 2 2" xfId="1830"/>
    <cellStyle name="Currency 11 3" xfId="1831"/>
    <cellStyle name="Currency 11 4" xfId="1832"/>
    <cellStyle name="Currency 11 5" xfId="1833"/>
    <cellStyle name="Currency 12" xfId="1834"/>
    <cellStyle name="Currency 12 2" xfId="1835"/>
    <cellStyle name="Currency 12 2 2" xfId="1836"/>
    <cellStyle name="Currency 12 3" xfId="1837"/>
    <cellStyle name="Currency 13" xfId="1838"/>
    <cellStyle name="Currency 14" xfId="1839"/>
    <cellStyle name="Currency 14 2" xfId="1840"/>
    <cellStyle name="Currency 15" xfId="1841"/>
    <cellStyle name="Currency 16" xfId="1842"/>
    <cellStyle name="Currency 17" xfId="1843"/>
    <cellStyle name="Currency 18" xfId="1844"/>
    <cellStyle name="Currency 19" xfId="1845"/>
    <cellStyle name="Currency 2" xfId="1846"/>
    <cellStyle name="Currency 2 2" xfId="1847"/>
    <cellStyle name="Currency 2 2 2" xfId="1848"/>
    <cellStyle name="Currency 2 2 2 2" xfId="1849"/>
    <cellStyle name="Currency 2 2 2 3" xfId="1850"/>
    <cellStyle name="Currency 2 2 2 4" xfId="1851"/>
    <cellStyle name="Currency 2 2 2 5" xfId="1852"/>
    <cellStyle name="Currency 2 2 2 6" xfId="1853"/>
    <cellStyle name="Currency 2 2 3" xfId="1854"/>
    <cellStyle name="Currency 2 2 3 2" xfId="1855"/>
    <cellStyle name="Currency 2 2 3 3" xfId="1856"/>
    <cellStyle name="Currency 2 2 4" xfId="1857"/>
    <cellStyle name="Currency 2 2 4 2" xfId="1858"/>
    <cellStyle name="Currency 2 2 4 3" xfId="1859"/>
    <cellStyle name="Currency 2 2 5" xfId="1860"/>
    <cellStyle name="Currency 2 2 6" xfId="1861"/>
    <cellStyle name="Currency 2 2 7" xfId="1862"/>
    <cellStyle name="Currency 2 2 8" xfId="1863"/>
    <cellStyle name="Currency 2 3" xfId="1864"/>
    <cellStyle name="Currency 2 3 2" xfId="1865"/>
    <cellStyle name="Currency 2 3 2 2" xfId="1866"/>
    <cellStyle name="Currency 2 3 2 3" xfId="1867"/>
    <cellStyle name="Currency 2 3 2 4" xfId="1868"/>
    <cellStyle name="Currency 2 3 2 5" xfId="1869"/>
    <cellStyle name="Currency 2 3 2 6" xfId="1870"/>
    <cellStyle name="Currency 2 3 3" xfId="1871"/>
    <cellStyle name="Currency 2 3 3 2" xfId="1872"/>
    <cellStyle name="Currency 2 3 3 3" xfId="1873"/>
    <cellStyle name="Currency 2 3 3 4" xfId="1874"/>
    <cellStyle name="Currency 2 3 3 5" xfId="1875"/>
    <cellStyle name="Currency 2 3 4" xfId="1876"/>
    <cellStyle name="Currency 2 3 4 2" xfId="1877"/>
    <cellStyle name="Currency 2 3 4 3" xfId="1878"/>
    <cellStyle name="Currency 2 3 5" xfId="1879"/>
    <cellStyle name="Currency 2 3 6" xfId="1880"/>
    <cellStyle name="Currency 2 3 7" xfId="1881"/>
    <cellStyle name="Currency 2 4" xfId="1882"/>
    <cellStyle name="Currency 2 4 2" xfId="1883"/>
    <cellStyle name="Currency 2 4 2 2" xfId="1884"/>
    <cellStyle name="Currency 2 4 2 3" xfId="1885"/>
    <cellStyle name="Currency 2 4 2 4" xfId="1886"/>
    <cellStyle name="Currency 2 4 2 5" xfId="1887"/>
    <cellStyle name="Currency 2 4 3" xfId="1888"/>
    <cellStyle name="Currency 2 4 3 2" xfId="1889"/>
    <cellStyle name="Currency 2 4 3 3" xfId="1890"/>
    <cellStyle name="Currency 2 4 4" xfId="1891"/>
    <cellStyle name="Currency 2 4 4 2" xfId="1892"/>
    <cellStyle name="Currency 2 4 4 3" xfId="1893"/>
    <cellStyle name="Currency 2 4 5" xfId="1894"/>
    <cellStyle name="Currency 2 4 6" xfId="1895"/>
    <cellStyle name="Currency 2 4 7" xfId="1896"/>
    <cellStyle name="Currency 2 4 8" xfId="1897"/>
    <cellStyle name="Currency 2 5" xfId="1898"/>
    <cellStyle name="Currency 2 5 2" xfId="1899"/>
    <cellStyle name="Currency 2 5 3" xfId="1900"/>
    <cellStyle name="Currency 2 6" xfId="1901"/>
    <cellStyle name="Currency 2 6 2" xfId="1902"/>
    <cellStyle name="Currency 2 6 3" xfId="1903"/>
    <cellStyle name="Currency 2 7" xfId="1904"/>
    <cellStyle name="Currency 3" xfId="1905"/>
    <cellStyle name="Currency 3 10" xfId="1906"/>
    <cellStyle name="Currency 3 2" xfId="1907"/>
    <cellStyle name="Currency 3 2 2" xfId="1908"/>
    <cellStyle name="Currency 3 2 2 2" xfId="1909"/>
    <cellStyle name="Currency 3 2 2 2 2" xfId="1910"/>
    <cellStyle name="Currency 3 2 2 2 2 2" xfId="1911"/>
    <cellStyle name="Currency 3 2 2 2 2 2 2" xfId="1912"/>
    <cellStyle name="Currency 3 2 2 2 2 2 2 2" xfId="1913"/>
    <cellStyle name="Currency 3 2 2 2 2 2 3" xfId="1914"/>
    <cellStyle name="Currency 3 2 2 2 2 2 3 2" xfId="1915"/>
    <cellStyle name="Currency 3 2 2 2 2 2 4" xfId="1916"/>
    <cellStyle name="Currency 3 2 2 2 2 3" xfId="1917"/>
    <cellStyle name="Currency 3 2 2 2 2 3 2" xfId="1918"/>
    <cellStyle name="Currency 3 2 2 2 2 4" xfId="1919"/>
    <cellStyle name="Currency 3 2 2 2 2 4 2" xfId="1920"/>
    <cellStyle name="Currency 3 2 2 2 2 5" xfId="1921"/>
    <cellStyle name="Currency 3 2 2 2 3" xfId="1922"/>
    <cellStyle name="Currency 3 2 2 2 3 2" xfId="1923"/>
    <cellStyle name="Currency 3 2 2 2 3 2 2" xfId="1924"/>
    <cellStyle name="Currency 3 2 2 2 3 3" xfId="1925"/>
    <cellStyle name="Currency 3 2 2 2 3 3 2" xfId="1926"/>
    <cellStyle name="Currency 3 2 2 2 3 4" xfId="1927"/>
    <cellStyle name="Currency 3 2 2 2 4" xfId="1928"/>
    <cellStyle name="Currency 3 2 2 2 4 2" xfId="1929"/>
    <cellStyle name="Currency 3 2 2 2 5" xfId="1930"/>
    <cellStyle name="Currency 3 2 2 2 5 2" xfId="1931"/>
    <cellStyle name="Currency 3 2 2 2 6" xfId="1932"/>
    <cellStyle name="Currency 3 2 2 3" xfId="1933"/>
    <cellStyle name="Currency 3 2 2 3 2" xfId="1934"/>
    <cellStyle name="Currency 3 2 2 3 2 2" xfId="1935"/>
    <cellStyle name="Currency 3 2 2 3 2 2 2" xfId="1936"/>
    <cellStyle name="Currency 3 2 2 3 2 3" xfId="1937"/>
    <cellStyle name="Currency 3 2 2 3 2 3 2" xfId="1938"/>
    <cellStyle name="Currency 3 2 2 3 2 4" xfId="1939"/>
    <cellStyle name="Currency 3 2 2 3 3" xfId="1940"/>
    <cellStyle name="Currency 3 2 2 3 3 2" xfId="1941"/>
    <cellStyle name="Currency 3 2 2 3 4" xfId="1942"/>
    <cellStyle name="Currency 3 2 2 3 4 2" xfId="1943"/>
    <cellStyle name="Currency 3 2 2 3 5" xfId="1944"/>
    <cellStyle name="Currency 3 2 2 4" xfId="1945"/>
    <cellStyle name="Currency 3 2 2 4 2" xfId="1946"/>
    <cellStyle name="Currency 3 2 2 4 2 2" xfId="1947"/>
    <cellStyle name="Currency 3 2 2 4 3" xfId="1948"/>
    <cellStyle name="Currency 3 2 2 4 3 2" xfId="1949"/>
    <cellStyle name="Currency 3 2 2 4 4" xfId="1950"/>
    <cellStyle name="Currency 3 2 2 5" xfId="1951"/>
    <cellStyle name="Currency 3 2 2 5 2" xfId="1952"/>
    <cellStyle name="Currency 3 2 2 6" xfId="1953"/>
    <cellStyle name="Currency 3 2 2 6 2" xfId="1954"/>
    <cellStyle name="Currency 3 2 2 7" xfId="1955"/>
    <cellStyle name="Currency 3 2 3" xfId="1956"/>
    <cellStyle name="Currency 3 2 3 2" xfId="1957"/>
    <cellStyle name="Currency 3 2 3 2 2" xfId="1958"/>
    <cellStyle name="Currency 3 2 3 2 2 2" xfId="1959"/>
    <cellStyle name="Currency 3 2 3 2 2 2 2" xfId="1960"/>
    <cellStyle name="Currency 3 2 3 2 2 3" xfId="1961"/>
    <cellStyle name="Currency 3 2 3 2 2 3 2" xfId="1962"/>
    <cellStyle name="Currency 3 2 3 2 2 4" xfId="1963"/>
    <cellStyle name="Currency 3 2 3 2 3" xfId="1964"/>
    <cellStyle name="Currency 3 2 3 2 3 2" xfId="1965"/>
    <cellStyle name="Currency 3 2 3 2 4" xfId="1966"/>
    <cellStyle name="Currency 3 2 3 2 4 2" xfId="1967"/>
    <cellStyle name="Currency 3 2 3 2 5" xfId="1968"/>
    <cellStyle name="Currency 3 2 3 3" xfId="1969"/>
    <cellStyle name="Currency 3 2 3 3 2" xfId="1970"/>
    <cellStyle name="Currency 3 2 3 3 2 2" xfId="1971"/>
    <cellStyle name="Currency 3 2 3 3 3" xfId="1972"/>
    <cellStyle name="Currency 3 2 3 3 3 2" xfId="1973"/>
    <cellStyle name="Currency 3 2 3 3 4" xfId="1974"/>
    <cellStyle name="Currency 3 2 3 4" xfId="1975"/>
    <cellStyle name="Currency 3 2 3 4 2" xfId="1976"/>
    <cellStyle name="Currency 3 2 3 5" xfId="1977"/>
    <cellStyle name="Currency 3 2 3 5 2" xfId="1978"/>
    <cellStyle name="Currency 3 2 3 6" xfId="1979"/>
    <cellStyle name="Currency 3 2 4" xfId="1980"/>
    <cellStyle name="Currency 3 2 4 2" xfId="1981"/>
    <cellStyle name="Currency 3 2 4 2 2" xfId="1982"/>
    <cellStyle name="Currency 3 2 4 2 2 2" xfId="1983"/>
    <cellStyle name="Currency 3 2 4 2 3" xfId="1984"/>
    <cellStyle name="Currency 3 2 4 2 3 2" xfId="1985"/>
    <cellStyle name="Currency 3 2 4 2 4" xfId="1986"/>
    <cellStyle name="Currency 3 2 4 3" xfId="1987"/>
    <cellStyle name="Currency 3 2 4 3 2" xfId="1988"/>
    <cellStyle name="Currency 3 2 4 4" xfId="1989"/>
    <cellStyle name="Currency 3 2 4 4 2" xfId="1990"/>
    <cellStyle name="Currency 3 2 4 5" xfId="1991"/>
    <cellStyle name="Currency 3 2 5" xfId="1992"/>
    <cellStyle name="Currency 3 2 5 2" xfId="1993"/>
    <cellStyle name="Currency 3 2 5 2 2" xfId="1994"/>
    <cellStyle name="Currency 3 2 5 3" xfId="1995"/>
    <cellStyle name="Currency 3 2 5 3 2" xfId="1996"/>
    <cellStyle name="Currency 3 2 5 4" xfId="1997"/>
    <cellStyle name="Currency 3 2 6" xfId="1998"/>
    <cellStyle name="Currency 3 2 6 2" xfId="1999"/>
    <cellStyle name="Currency 3 2 7" xfId="2000"/>
    <cellStyle name="Currency 3 2 7 2" xfId="2001"/>
    <cellStyle name="Currency 3 2 8" xfId="2002"/>
    <cellStyle name="Currency 3 3" xfId="2003"/>
    <cellStyle name="Currency 3 3 2" xfId="2004"/>
    <cellStyle name="Currency 3 3 2 2" xfId="2005"/>
    <cellStyle name="Currency 3 3 2 2 2" xfId="2006"/>
    <cellStyle name="Currency 3 3 2 2 2 2" xfId="2007"/>
    <cellStyle name="Currency 3 3 2 2 2 2 2" xfId="2008"/>
    <cellStyle name="Currency 3 3 2 2 2 3" xfId="2009"/>
    <cellStyle name="Currency 3 3 2 2 2 3 2" xfId="2010"/>
    <cellStyle name="Currency 3 3 2 2 2 4" xfId="2011"/>
    <cellStyle name="Currency 3 3 2 2 3" xfId="2012"/>
    <cellStyle name="Currency 3 3 2 2 3 2" xfId="2013"/>
    <cellStyle name="Currency 3 3 2 2 4" xfId="2014"/>
    <cellStyle name="Currency 3 3 2 2 4 2" xfId="2015"/>
    <cellStyle name="Currency 3 3 2 2 5" xfId="2016"/>
    <cellStyle name="Currency 3 3 2 3" xfId="2017"/>
    <cellStyle name="Currency 3 3 2 3 2" xfId="2018"/>
    <cellStyle name="Currency 3 3 2 3 2 2" xfId="2019"/>
    <cellStyle name="Currency 3 3 2 3 3" xfId="2020"/>
    <cellStyle name="Currency 3 3 2 3 3 2" xfId="2021"/>
    <cellStyle name="Currency 3 3 2 3 4" xfId="2022"/>
    <cellStyle name="Currency 3 3 2 4" xfId="2023"/>
    <cellStyle name="Currency 3 3 2 4 2" xfId="2024"/>
    <cellStyle name="Currency 3 3 2 5" xfId="2025"/>
    <cellStyle name="Currency 3 3 2 5 2" xfId="2026"/>
    <cellStyle name="Currency 3 3 2 6" xfId="2027"/>
    <cellStyle name="Currency 3 3 3" xfId="2028"/>
    <cellStyle name="Currency 3 3 3 2" xfId="2029"/>
    <cellStyle name="Currency 3 3 3 2 2" xfId="2030"/>
    <cellStyle name="Currency 3 3 3 2 2 2" xfId="2031"/>
    <cellStyle name="Currency 3 3 3 2 3" xfId="2032"/>
    <cellStyle name="Currency 3 3 3 2 3 2" xfId="2033"/>
    <cellStyle name="Currency 3 3 3 2 4" xfId="2034"/>
    <cellStyle name="Currency 3 3 3 3" xfId="2035"/>
    <cellStyle name="Currency 3 3 3 3 2" xfId="2036"/>
    <cellStyle name="Currency 3 3 3 4" xfId="2037"/>
    <cellStyle name="Currency 3 3 3 4 2" xfId="2038"/>
    <cellStyle name="Currency 3 3 3 5" xfId="2039"/>
    <cellStyle name="Currency 3 3 4" xfId="2040"/>
    <cellStyle name="Currency 3 3 4 2" xfId="2041"/>
    <cellStyle name="Currency 3 3 4 2 2" xfId="2042"/>
    <cellStyle name="Currency 3 3 4 3" xfId="2043"/>
    <cellStyle name="Currency 3 3 4 3 2" xfId="2044"/>
    <cellStyle name="Currency 3 3 4 4" xfId="2045"/>
    <cellStyle name="Currency 3 3 5" xfId="2046"/>
    <cellStyle name="Currency 3 3 5 2" xfId="2047"/>
    <cellStyle name="Currency 3 3 6" xfId="2048"/>
    <cellStyle name="Currency 3 3 6 2" xfId="2049"/>
    <cellStyle name="Currency 3 3 7" xfId="2050"/>
    <cellStyle name="Currency 3 4" xfId="2051"/>
    <cellStyle name="Currency 3 4 2" xfId="2052"/>
    <cellStyle name="Currency 3 4 2 2" xfId="2053"/>
    <cellStyle name="Currency 3 4 2 2 2" xfId="2054"/>
    <cellStyle name="Currency 3 4 2 2 2 2" xfId="2055"/>
    <cellStyle name="Currency 3 4 2 2 2 2 2" xfId="2056"/>
    <cellStyle name="Currency 3 4 2 2 2 3" xfId="2057"/>
    <cellStyle name="Currency 3 4 2 2 2 3 2" xfId="2058"/>
    <cellStyle name="Currency 3 4 2 2 2 4" xfId="2059"/>
    <cellStyle name="Currency 3 4 2 2 3" xfId="2060"/>
    <cellStyle name="Currency 3 4 2 2 3 2" xfId="2061"/>
    <cellStyle name="Currency 3 4 2 2 4" xfId="2062"/>
    <cellStyle name="Currency 3 4 2 2 4 2" xfId="2063"/>
    <cellStyle name="Currency 3 4 2 2 5" xfId="2064"/>
    <cellStyle name="Currency 3 4 2 3" xfId="2065"/>
    <cellStyle name="Currency 3 4 2 3 2" xfId="2066"/>
    <cellStyle name="Currency 3 4 2 3 2 2" xfId="2067"/>
    <cellStyle name="Currency 3 4 2 3 3" xfId="2068"/>
    <cellStyle name="Currency 3 4 2 3 3 2" xfId="2069"/>
    <cellStyle name="Currency 3 4 2 3 4" xfId="2070"/>
    <cellStyle name="Currency 3 4 2 4" xfId="2071"/>
    <cellStyle name="Currency 3 4 2 4 2" xfId="2072"/>
    <cellStyle name="Currency 3 4 2 5" xfId="2073"/>
    <cellStyle name="Currency 3 4 2 5 2" xfId="2074"/>
    <cellStyle name="Currency 3 4 2 6" xfId="2075"/>
    <cellStyle name="Currency 3 4 3" xfId="2076"/>
    <cellStyle name="Currency 3 4 3 2" xfId="2077"/>
    <cellStyle name="Currency 3 4 3 2 2" xfId="2078"/>
    <cellStyle name="Currency 3 4 3 2 2 2" xfId="2079"/>
    <cellStyle name="Currency 3 4 3 2 3" xfId="2080"/>
    <cellStyle name="Currency 3 4 3 2 3 2" xfId="2081"/>
    <cellStyle name="Currency 3 4 3 2 4" xfId="2082"/>
    <cellStyle name="Currency 3 4 3 3" xfId="2083"/>
    <cellStyle name="Currency 3 4 3 3 2" xfId="2084"/>
    <cellStyle name="Currency 3 4 3 4" xfId="2085"/>
    <cellStyle name="Currency 3 4 3 4 2" xfId="2086"/>
    <cellStyle name="Currency 3 4 3 5" xfId="2087"/>
    <cellStyle name="Currency 3 4 4" xfId="2088"/>
    <cellStyle name="Currency 3 4 4 2" xfId="2089"/>
    <cellStyle name="Currency 3 4 4 2 2" xfId="2090"/>
    <cellStyle name="Currency 3 4 4 3" xfId="2091"/>
    <cellStyle name="Currency 3 4 4 3 2" xfId="2092"/>
    <cellStyle name="Currency 3 4 4 4" xfId="2093"/>
    <cellStyle name="Currency 3 4 5" xfId="2094"/>
    <cellStyle name="Currency 3 4 5 2" xfId="2095"/>
    <cellStyle name="Currency 3 4 6" xfId="2096"/>
    <cellStyle name="Currency 3 4 6 2" xfId="2097"/>
    <cellStyle name="Currency 3 4 7" xfId="2098"/>
    <cellStyle name="Currency 3 5" xfId="2099"/>
    <cellStyle name="Currency 3 5 2" xfId="2100"/>
    <cellStyle name="Currency 3 5 2 2" xfId="2101"/>
    <cellStyle name="Currency 3 5 2 2 2" xfId="2102"/>
    <cellStyle name="Currency 3 5 2 2 2 2" xfId="2103"/>
    <cellStyle name="Currency 3 5 2 2 3" xfId="2104"/>
    <cellStyle name="Currency 3 5 2 2 3 2" xfId="2105"/>
    <cellStyle name="Currency 3 5 2 2 4" xfId="2106"/>
    <cellStyle name="Currency 3 5 2 3" xfId="2107"/>
    <cellStyle name="Currency 3 5 2 3 2" xfId="2108"/>
    <cellStyle name="Currency 3 5 2 4" xfId="2109"/>
    <cellStyle name="Currency 3 5 2 4 2" xfId="2110"/>
    <cellStyle name="Currency 3 5 2 5" xfId="2111"/>
    <cellStyle name="Currency 3 5 3" xfId="2112"/>
    <cellStyle name="Currency 3 5 3 2" xfId="2113"/>
    <cellStyle name="Currency 3 5 3 2 2" xfId="2114"/>
    <cellStyle name="Currency 3 5 3 3" xfId="2115"/>
    <cellStyle name="Currency 3 5 3 3 2" xfId="2116"/>
    <cellStyle name="Currency 3 5 3 4" xfId="2117"/>
    <cellStyle name="Currency 3 5 4" xfId="2118"/>
    <cellStyle name="Currency 3 5 4 2" xfId="2119"/>
    <cellStyle name="Currency 3 5 5" xfId="2120"/>
    <cellStyle name="Currency 3 5 5 2" xfId="2121"/>
    <cellStyle name="Currency 3 5 6" xfId="2122"/>
    <cellStyle name="Currency 3 6" xfId="2123"/>
    <cellStyle name="Currency 3 6 2" xfId="2124"/>
    <cellStyle name="Currency 3 6 2 2" xfId="2125"/>
    <cellStyle name="Currency 3 6 2 2 2" xfId="2126"/>
    <cellStyle name="Currency 3 6 2 3" xfId="2127"/>
    <cellStyle name="Currency 3 6 2 3 2" xfId="2128"/>
    <cellStyle name="Currency 3 6 2 4" xfId="2129"/>
    <cellStyle name="Currency 3 6 3" xfId="2130"/>
    <cellStyle name="Currency 3 6 3 2" xfId="2131"/>
    <cellStyle name="Currency 3 6 4" xfId="2132"/>
    <cellStyle name="Currency 3 6 4 2" xfId="2133"/>
    <cellStyle name="Currency 3 6 5" xfId="2134"/>
    <cellStyle name="Currency 3 7" xfId="2135"/>
    <cellStyle name="Currency 3 7 2" xfId="2136"/>
    <cellStyle name="Currency 3 7 2 2" xfId="2137"/>
    <cellStyle name="Currency 3 7 3" xfId="2138"/>
    <cellStyle name="Currency 3 7 3 2" xfId="2139"/>
    <cellStyle name="Currency 3 7 4" xfId="2140"/>
    <cellStyle name="Currency 3 8" xfId="2141"/>
    <cellStyle name="Currency 3 8 2" xfId="2142"/>
    <cellStyle name="Currency 3 9" xfId="2143"/>
    <cellStyle name="Currency 3 9 2" xfId="2144"/>
    <cellStyle name="Currency 4" xfId="2145"/>
    <cellStyle name="Currency 4 10" xfId="2146"/>
    <cellStyle name="Currency 4 2" xfId="2147"/>
    <cellStyle name="Currency 4 2 2" xfId="2148"/>
    <cellStyle name="Currency 4 2 2 2" xfId="2149"/>
    <cellStyle name="Currency 4 2 2 2 2" xfId="2150"/>
    <cellStyle name="Currency 4 2 2 2 2 2" xfId="2151"/>
    <cellStyle name="Currency 4 2 2 2 2 2 2" xfId="2152"/>
    <cellStyle name="Currency 4 2 2 2 2 2 2 2" xfId="2153"/>
    <cellStyle name="Currency 4 2 2 2 2 2 3" xfId="2154"/>
    <cellStyle name="Currency 4 2 2 2 2 2 3 2" xfId="2155"/>
    <cellStyle name="Currency 4 2 2 2 2 2 4" xfId="2156"/>
    <cellStyle name="Currency 4 2 2 2 2 3" xfId="2157"/>
    <cellStyle name="Currency 4 2 2 2 2 3 2" xfId="2158"/>
    <cellStyle name="Currency 4 2 2 2 2 4" xfId="2159"/>
    <cellStyle name="Currency 4 2 2 2 2 4 2" xfId="2160"/>
    <cellStyle name="Currency 4 2 2 2 2 5" xfId="2161"/>
    <cellStyle name="Currency 4 2 2 2 3" xfId="2162"/>
    <cellStyle name="Currency 4 2 2 2 3 2" xfId="2163"/>
    <cellStyle name="Currency 4 2 2 2 3 2 2" xfId="2164"/>
    <cellStyle name="Currency 4 2 2 2 3 3" xfId="2165"/>
    <cellStyle name="Currency 4 2 2 2 3 3 2" xfId="2166"/>
    <cellStyle name="Currency 4 2 2 2 3 4" xfId="2167"/>
    <cellStyle name="Currency 4 2 2 2 4" xfId="2168"/>
    <cellStyle name="Currency 4 2 2 2 4 2" xfId="2169"/>
    <cellStyle name="Currency 4 2 2 2 5" xfId="2170"/>
    <cellStyle name="Currency 4 2 2 2 5 2" xfId="2171"/>
    <cellStyle name="Currency 4 2 2 2 6" xfId="2172"/>
    <cellStyle name="Currency 4 2 2 3" xfId="2173"/>
    <cellStyle name="Currency 4 2 2 3 2" xfId="2174"/>
    <cellStyle name="Currency 4 2 2 3 2 2" xfId="2175"/>
    <cellStyle name="Currency 4 2 2 3 2 2 2" xfId="2176"/>
    <cellStyle name="Currency 4 2 2 3 2 3" xfId="2177"/>
    <cellStyle name="Currency 4 2 2 3 2 3 2" xfId="2178"/>
    <cellStyle name="Currency 4 2 2 3 2 4" xfId="2179"/>
    <cellStyle name="Currency 4 2 2 3 3" xfId="2180"/>
    <cellStyle name="Currency 4 2 2 3 3 2" xfId="2181"/>
    <cellStyle name="Currency 4 2 2 3 4" xfId="2182"/>
    <cellStyle name="Currency 4 2 2 3 4 2" xfId="2183"/>
    <cellStyle name="Currency 4 2 2 3 5" xfId="2184"/>
    <cellStyle name="Currency 4 2 2 4" xfId="2185"/>
    <cellStyle name="Currency 4 2 2 4 2" xfId="2186"/>
    <cellStyle name="Currency 4 2 2 4 2 2" xfId="2187"/>
    <cellStyle name="Currency 4 2 2 4 3" xfId="2188"/>
    <cellStyle name="Currency 4 2 2 4 3 2" xfId="2189"/>
    <cellStyle name="Currency 4 2 2 4 4" xfId="2190"/>
    <cellStyle name="Currency 4 2 2 5" xfId="2191"/>
    <cellStyle name="Currency 4 2 2 5 2" xfId="2192"/>
    <cellStyle name="Currency 4 2 2 6" xfId="2193"/>
    <cellStyle name="Currency 4 2 2 6 2" xfId="2194"/>
    <cellStyle name="Currency 4 2 2 7" xfId="2195"/>
    <cellStyle name="Currency 4 2 3" xfId="2196"/>
    <cellStyle name="Currency 4 2 3 2" xfId="2197"/>
    <cellStyle name="Currency 4 2 3 2 2" xfId="2198"/>
    <cellStyle name="Currency 4 2 3 2 2 2" xfId="2199"/>
    <cellStyle name="Currency 4 2 3 2 2 2 2" xfId="2200"/>
    <cellStyle name="Currency 4 2 3 2 2 3" xfId="2201"/>
    <cellStyle name="Currency 4 2 3 2 2 3 2" xfId="2202"/>
    <cellStyle name="Currency 4 2 3 2 2 4" xfId="2203"/>
    <cellStyle name="Currency 4 2 3 2 3" xfId="2204"/>
    <cellStyle name="Currency 4 2 3 2 3 2" xfId="2205"/>
    <cellStyle name="Currency 4 2 3 2 4" xfId="2206"/>
    <cellStyle name="Currency 4 2 3 2 4 2" xfId="2207"/>
    <cellStyle name="Currency 4 2 3 2 5" xfId="2208"/>
    <cellStyle name="Currency 4 2 3 3" xfId="2209"/>
    <cellStyle name="Currency 4 2 3 3 2" xfId="2210"/>
    <cellStyle name="Currency 4 2 3 3 2 2" xfId="2211"/>
    <cellStyle name="Currency 4 2 3 3 3" xfId="2212"/>
    <cellStyle name="Currency 4 2 3 3 3 2" xfId="2213"/>
    <cellStyle name="Currency 4 2 3 3 4" xfId="2214"/>
    <cellStyle name="Currency 4 2 3 4" xfId="2215"/>
    <cellStyle name="Currency 4 2 3 4 2" xfId="2216"/>
    <cellStyle name="Currency 4 2 3 5" xfId="2217"/>
    <cellStyle name="Currency 4 2 3 5 2" xfId="2218"/>
    <cellStyle name="Currency 4 2 3 6" xfId="2219"/>
    <cellStyle name="Currency 4 2 4" xfId="2220"/>
    <cellStyle name="Currency 4 2 4 2" xfId="2221"/>
    <cellStyle name="Currency 4 2 4 2 2" xfId="2222"/>
    <cellStyle name="Currency 4 2 4 2 2 2" xfId="2223"/>
    <cellStyle name="Currency 4 2 4 2 3" xfId="2224"/>
    <cellStyle name="Currency 4 2 4 2 3 2" xfId="2225"/>
    <cellStyle name="Currency 4 2 4 2 4" xfId="2226"/>
    <cellStyle name="Currency 4 2 4 3" xfId="2227"/>
    <cellStyle name="Currency 4 2 4 3 2" xfId="2228"/>
    <cellStyle name="Currency 4 2 4 4" xfId="2229"/>
    <cellStyle name="Currency 4 2 4 4 2" xfId="2230"/>
    <cellStyle name="Currency 4 2 4 5" xfId="2231"/>
    <cellStyle name="Currency 4 2 5" xfId="2232"/>
    <cellStyle name="Currency 4 2 5 2" xfId="2233"/>
    <cellStyle name="Currency 4 2 5 2 2" xfId="2234"/>
    <cellStyle name="Currency 4 2 5 3" xfId="2235"/>
    <cellStyle name="Currency 4 2 5 3 2" xfId="2236"/>
    <cellStyle name="Currency 4 2 5 4" xfId="2237"/>
    <cellStyle name="Currency 4 2 6" xfId="2238"/>
    <cellStyle name="Currency 4 2 6 2" xfId="2239"/>
    <cellStyle name="Currency 4 2 7" xfId="2240"/>
    <cellStyle name="Currency 4 2 7 2" xfId="2241"/>
    <cellStyle name="Currency 4 2 8" xfId="2242"/>
    <cellStyle name="Currency 4 3" xfId="2243"/>
    <cellStyle name="Currency 4 3 2" xfId="2244"/>
    <cellStyle name="Currency 4 3 2 2" xfId="2245"/>
    <cellStyle name="Currency 4 3 2 2 2" xfId="2246"/>
    <cellStyle name="Currency 4 3 2 2 2 2" xfId="2247"/>
    <cellStyle name="Currency 4 3 2 2 2 2 2" xfId="2248"/>
    <cellStyle name="Currency 4 3 2 2 2 3" xfId="2249"/>
    <cellStyle name="Currency 4 3 2 2 2 3 2" xfId="2250"/>
    <cellStyle name="Currency 4 3 2 2 2 4" xfId="2251"/>
    <cellStyle name="Currency 4 3 2 2 3" xfId="2252"/>
    <cellStyle name="Currency 4 3 2 2 3 2" xfId="2253"/>
    <cellStyle name="Currency 4 3 2 2 4" xfId="2254"/>
    <cellStyle name="Currency 4 3 2 2 4 2" xfId="2255"/>
    <cellStyle name="Currency 4 3 2 2 5" xfId="2256"/>
    <cellStyle name="Currency 4 3 2 3" xfId="2257"/>
    <cellStyle name="Currency 4 3 2 3 2" xfId="2258"/>
    <cellStyle name="Currency 4 3 2 3 2 2" xfId="2259"/>
    <cellStyle name="Currency 4 3 2 3 3" xfId="2260"/>
    <cellStyle name="Currency 4 3 2 3 3 2" xfId="2261"/>
    <cellStyle name="Currency 4 3 2 3 4" xfId="2262"/>
    <cellStyle name="Currency 4 3 2 4" xfId="2263"/>
    <cellStyle name="Currency 4 3 2 4 2" xfId="2264"/>
    <cellStyle name="Currency 4 3 2 5" xfId="2265"/>
    <cellStyle name="Currency 4 3 2 5 2" xfId="2266"/>
    <cellStyle name="Currency 4 3 2 6" xfId="2267"/>
    <cellStyle name="Currency 4 3 3" xfId="2268"/>
    <cellStyle name="Currency 4 3 3 2" xfId="2269"/>
    <cellStyle name="Currency 4 3 3 2 2" xfId="2270"/>
    <cellStyle name="Currency 4 3 3 2 2 2" xfId="2271"/>
    <cellStyle name="Currency 4 3 3 2 3" xfId="2272"/>
    <cellStyle name="Currency 4 3 3 2 3 2" xfId="2273"/>
    <cellStyle name="Currency 4 3 3 2 4" xfId="2274"/>
    <cellStyle name="Currency 4 3 3 3" xfId="2275"/>
    <cellStyle name="Currency 4 3 3 3 2" xfId="2276"/>
    <cellStyle name="Currency 4 3 3 4" xfId="2277"/>
    <cellStyle name="Currency 4 3 3 4 2" xfId="2278"/>
    <cellStyle name="Currency 4 3 3 5" xfId="2279"/>
    <cellStyle name="Currency 4 3 4" xfId="2280"/>
    <cellStyle name="Currency 4 3 4 2" xfId="2281"/>
    <cellStyle name="Currency 4 3 4 2 2" xfId="2282"/>
    <cellStyle name="Currency 4 3 4 3" xfId="2283"/>
    <cellStyle name="Currency 4 3 4 3 2" xfId="2284"/>
    <cellStyle name="Currency 4 3 4 4" xfId="2285"/>
    <cellStyle name="Currency 4 3 5" xfId="2286"/>
    <cellStyle name="Currency 4 3 5 2" xfId="2287"/>
    <cellStyle name="Currency 4 3 6" xfId="2288"/>
    <cellStyle name="Currency 4 3 6 2" xfId="2289"/>
    <cellStyle name="Currency 4 3 7" xfId="2290"/>
    <cellStyle name="Currency 4 4" xfId="2291"/>
    <cellStyle name="Currency 4 4 2" xfId="2292"/>
    <cellStyle name="Currency 4 4 2 2" xfId="2293"/>
    <cellStyle name="Currency 4 4 2 2 2" xfId="2294"/>
    <cellStyle name="Currency 4 4 2 2 2 2" xfId="2295"/>
    <cellStyle name="Currency 4 4 2 2 2 2 2" xfId="2296"/>
    <cellStyle name="Currency 4 4 2 2 2 3" xfId="2297"/>
    <cellStyle name="Currency 4 4 2 2 2 3 2" xfId="2298"/>
    <cellStyle name="Currency 4 4 2 2 2 4" xfId="2299"/>
    <cellStyle name="Currency 4 4 2 2 3" xfId="2300"/>
    <cellStyle name="Currency 4 4 2 2 3 2" xfId="2301"/>
    <cellStyle name="Currency 4 4 2 2 4" xfId="2302"/>
    <cellStyle name="Currency 4 4 2 2 4 2" xfId="2303"/>
    <cellStyle name="Currency 4 4 2 2 5" xfId="2304"/>
    <cellStyle name="Currency 4 4 2 3" xfId="2305"/>
    <cellStyle name="Currency 4 4 2 3 2" xfId="2306"/>
    <cellStyle name="Currency 4 4 2 3 2 2" xfId="2307"/>
    <cellStyle name="Currency 4 4 2 3 3" xfId="2308"/>
    <cellStyle name="Currency 4 4 2 3 3 2" xfId="2309"/>
    <cellStyle name="Currency 4 4 2 3 4" xfId="2310"/>
    <cellStyle name="Currency 4 4 2 4" xfId="2311"/>
    <cellStyle name="Currency 4 4 2 4 2" xfId="2312"/>
    <cellStyle name="Currency 4 4 2 5" xfId="2313"/>
    <cellStyle name="Currency 4 4 2 5 2" xfId="2314"/>
    <cellStyle name="Currency 4 4 2 6" xfId="2315"/>
    <cellStyle name="Currency 4 4 3" xfId="2316"/>
    <cellStyle name="Currency 4 4 3 2" xfId="2317"/>
    <cellStyle name="Currency 4 4 3 2 2" xfId="2318"/>
    <cellStyle name="Currency 4 4 3 2 2 2" xfId="2319"/>
    <cellStyle name="Currency 4 4 3 2 3" xfId="2320"/>
    <cellStyle name="Currency 4 4 3 2 3 2" xfId="2321"/>
    <cellStyle name="Currency 4 4 3 2 4" xfId="2322"/>
    <cellStyle name="Currency 4 4 3 3" xfId="2323"/>
    <cellStyle name="Currency 4 4 3 3 2" xfId="2324"/>
    <cellStyle name="Currency 4 4 3 4" xfId="2325"/>
    <cellStyle name="Currency 4 4 3 4 2" xfId="2326"/>
    <cellStyle name="Currency 4 4 3 5" xfId="2327"/>
    <cellStyle name="Currency 4 4 4" xfId="2328"/>
    <cellStyle name="Currency 4 4 4 2" xfId="2329"/>
    <cellStyle name="Currency 4 4 4 2 2" xfId="2330"/>
    <cellStyle name="Currency 4 4 4 3" xfId="2331"/>
    <cellStyle name="Currency 4 4 4 3 2" xfId="2332"/>
    <cellStyle name="Currency 4 4 4 4" xfId="2333"/>
    <cellStyle name="Currency 4 4 5" xfId="2334"/>
    <cellStyle name="Currency 4 4 5 2" xfId="2335"/>
    <cellStyle name="Currency 4 4 6" xfId="2336"/>
    <cellStyle name="Currency 4 4 6 2" xfId="2337"/>
    <cellStyle name="Currency 4 4 7" xfId="2338"/>
    <cellStyle name="Currency 4 5" xfId="2339"/>
    <cellStyle name="Currency 4 5 2" xfId="2340"/>
    <cellStyle name="Currency 4 5 2 2" xfId="2341"/>
    <cellStyle name="Currency 4 5 2 2 2" xfId="2342"/>
    <cellStyle name="Currency 4 5 2 2 2 2" xfId="2343"/>
    <cellStyle name="Currency 4 5 2 2 3" xfId="2344"/>
    <cellStyle name="Currency 4 5 2 2 3 2" xfId="2345"/>
    <cellStyle name="Currency 4 5 2 2 4" xfId="2346"/>
    <cellStyle name="Currency 4 5 2 3" xfId="2347"/>
    <cellStyle name="Currency 4 5 2 3 2" xfId="2348"/>
    <cellStyle name="Currency 4 5 2 4" xfId="2349"/>
    <cellStyle name="Currency 4 5 2 4 2" xfId="2350"/>
    <cellStyle name="Currency 4 5 2 5" xfId="2351"/>
    <cellStyle name="Currency 4 5 3" xfId="2352"/>
    <cellStyle name="Currency 4 5 3 2" xfId="2353"/>
    <cellStyle name="Currency 4 5 3 2 2" xfId="2354"/>
    <cellStyle name="Currency 4 5 3 3" xfId="2355"/>
    <cellStyle name="Currency 4 5 3 3 2" xfId="2356"/>
    <cellStyle name="Currency 4 5 3 4" xfId="2357"/>
    <cellStyle name="Currency 4 5 4" xfId="2358"/>
    <cellStyle name="Currency 4 5 4 2" xfId="2359"/>
    <cellStyle name="Currency 4 5 5" xfId="2360"/>
    <cellStyle name="Currency 4 5 5 2" xfId="2361"/>
    <cellStyle name="Currency 4 5 6" xfId="2362"/>
    <cellStyle name="Currency 4 6" xfId="2363"/>
    <cellStyle name="Currency 4 6 2" xfId="2364"/>
    <cellStyle name="Currency 4 6 2 2" xfId="2365"/>
    <cellStyle name="Currency 4 6 2 2 2" xfId="2366"/>
    <cellStyle name="Currency 4 6 2 3" xfId="2367"/>
    <cellStyle name="Currency 4 6 2 3 2" xfId="2368"/>
    <cellStyle name="Currency 4 6 2 4" xfId="2369"/>
    <cellStyle name="Currency 4 6 3" xfId="2370"/>
    <cellStyle name="Currency 4 6 3 2" xfId="2371"/>
    <cellStyle name="Currency 4 6 4" xfId="2372"/>
    <cellStyle name="Currency 4 6 4 2" xfId="2373"/>
    <cellStyle name="Currency 4 6 5" xfId="2374"/>
    <cellStyle name="Currency 4 7" xfId="2375"/>
    <cellStyle name="Currency 4 7 2" xfId="2376"/>
    <cellStyle name="Currency 4 7 2 2" xfId="2377"/>
    <cellStyle name="Currency 4 7 3" xfId="2378"/>
    <cellStyle name="Currency 4 7 3 2" xfId="2379"/>
    <cellStyle name="Currency 4 7 4" xfId="2380"/>
    <cellStyle name="Currency 4 8" xfId="2381"/>
    <cellStyle name="Currency 4 8 2" xfId="2382"/>
    <cellStyle name="Currency 4 9" xfId="2383"/>
    <cellStyle name="Currency 4 9 2" xfId="2384"/>
    <cellStyle name="Currency 5" xfId="2385"/>
    <cellStyle name="Currency 5 2" xfId="2386"/>
    <cellStyle name="Currency 5 2 2" xfId="2387"/>
    <cellStyle name="Currency 5 2 2 2" xfId="2388"/>
    <cellStyle name="Currency 5 2 2 2 2" xfId="2389"/>
    <cellStyle name="Currency 5 2 2 2 2 2" xfId="2390"/>
    <cellStyle name="Currency 5 2 2 2 2 2 2" xfId="2391"/>
    <cellStyle name="Currency 5 2 2 2 2 3" xfId="2392"/>
    <cellStyle name="Currency 5 2 2 2 2 3 2" xfId="2393"/>
    <cellStyle name="Currency 5 2 2 2 2 4" xfId="2394"/>
    <cellStyle name="Currency 5 2 2 2 3" xfId="2395"/>
    <cellStyle name="Currency 5 2 2 2 3 2" xfId="2396"/>
    <cellStyle name="Currency 5 2 2 2 4" xfId="2397"/>
    <cellStyle name="Currency 5 2 2 2 4 2" xfId="2398"/>
    <cellStyle name="Currency 5 2 2 2 5" xfId="2399"/>
    <cellStyle name="Currency 5 2 2 3" xfId="2400"/>
    <cellStyle name="Currency 5 2 2 3 2" xfId="2401"/>
    <cellStyle name="Currency 5 2 2 3 2 2" xfId="2402"/>
    <cellStyle name="Currency 5 2 2 3 3" xfId="2403"/>
    <cellStyle name="Currency 5 2 2 3 3 2" xfId="2404"/>
    <cellStyle name="Currency 5 2 2 3 4" xfId="2405"/>
    <cellStyle name="Currency 5 2 2 4" xfId="2406"/>
    <cellStyle name="Currency 5 2 2 4 2" xfId="2407"/>
    <cellStyle name="Currency 5 2 2 5" xfId="2408"/>
    <cellStyle name="Currency 5 2 2 5 2" xfId="2409"/>
    <cellStyle name="Currency 5 2 2 6" xfId="2410"/>
    <cellStyle name="Currency 5 2 3" xfId="2411"/>
    <cellStyle name="Currency 5 2 3 2" xfId="2412"/>
    <cellStyle name="Currency 5 2 3 2 2" xfId="2413"/>
    <cellStyle name="Currency 5 2 3 2 2 2" xfId="2414"/>
    <cellStyle name="Currency 5 2 3 2 3" xfId="2415"/>
    <cellStyle name="Currency 5 2 3 2 3 2" xfId="2416"/>
    <cellStyle name="Currency 5 2 3 2 4" xfId="2417"/>
    <cellStyle name="Currency 5 2 3 3" xfId="2418"/>
    <cellStyle name="Currency 5 2 3 3 2" xfId="2419"/>
    <cellStyle name="Currency 5 2 3 4" xfId="2420"/>
    <cellStyle name="Currency 5 2 3 4 2" xfId="2421"/>
    <cellStyle name="Currency 5 2 3 5" xfId="2422"/>
    <cellStyle name="Currency 5 2 4" xfId="2423"/>
    <cellStyle name="Currency 5 2 4 2" xfId="2424"/>
    <cellStyle name="Currency 5 2 4 2 2" xfId="2425"/>
    <cellStyle name="Currency 5 2 4 3" xfId="2426"/>
    <cellStyle name="Currency 5 2 4 3 2" xfId="2427"/>
    <cellStyle name="Currency 5 2 4 4" xfId="2428"/>
    <cellStyle name="Currency 5 2 5" xfId="2429"/>
    <cellStyle name="Currency 5 2 5 2" xfId="2430"/>
    <cellStyle name="Currency 5 2 6" xfId="2431"/>
    <cellStyle name="Currency 5 2 6 2" xfId="2432"/>
    <cellStyle name="Currency 5 2 7" xfId="2433"/>
    <cellStyle name="Currency 5 3" xfId="2434"/>
    <cellStyle name="Currency 5 3 2" xfId="2435"/>
    <cellStyle name="Currency 5 3 2 2" xfId="2436"/>
    <cellStyle name="Currency 5 3 2 2 2" xfId="2437"/>
    <cellStyle name="Currency 5 3 2 2 2 2" xfId="2438"/>
    <cellStyle name="Currency 5 3 2 2 2 2 2" xfId="2439"/>
    <cellStyle name="Currency 5 3 2 2 2 3" xfId="2440"/>
    <cellStyle name="Currency 5 3 2 2 2 3 2" xfId="2441"/>
    <cellStyle name="Currency 5 3 2 2 2 4" xfId="2442"/>
    <cellStyle name="Currency 5 3 2 2 3" xfId="2443"/>
    <cellStyle name="Currency 5 3 2 2 3 2" xfId="2444"/>
    <cellStyle name="Currency 5 3 2 2 4" xfId="2445"/>
    <cellStyle name="Currency 5 3 2 2 4 2" xfId="2446"/>
    <cellStyle name="Currency 5 3 2 2 5" xfId="2447"/>
    <cellStyle name="Currency 5 3 2 3" xfId="2448"/>
    <cellStyle name="Currency 5 3 2 3 2" xfId="2449"/>
    <cellStyle name="Currency 5 3 2 3 2 2" xfId="2450"/>
    <cellStyle name="Currency 5 3 2 3 3" xfId="2451"/>
    <cellStyle name="Currency 5 3 2 3 3 2" xfId="2452"/>
    <cellStyle name="Currency 5 3 2 3 4" xfId="2453"/>
    <cellStyle name="Currency 5 3 2 4" xfId="2454"/>
    <cellStyle name="Currency 5 3 2 4 2" xfId="2455"/>
    <cellStyle name="Currency 5 3 2 5" xfId="2456"/>
    <cellStyle name="Currency 5 3 2 5 2" xfId="2457"/>
    <cellStyle name="Currency 5 3 2 6" xfId="2458"/>
    <cellStyle name="Currency 5 3 3" xfId="2459"/>
    <cellStyle name="Currency 5 3 3 2" xfId="2460"/>
    <cellStyle name="Currency 5 3 3 2 2" xfId="2461"/>
    <cellStyle name="Currency 5 3 3 2 2 2" xfId="2462"/>
    <cellStyle name="Currency 5 3 3 2 3" xfId="2463"/>
    <cellStyle name="Currency 5 3 3 2 3 2" xfId="2464"/>
    <cellStyle name="Currency 5 3 3 2 4" xfId="2465"/>
    <cellStyle name="Currency 5 3 3 3" xfId="2466"/>
    <cellStyle name="Currency 5 3 3 3 2" xfId="2467"/>
    <cellStyle name="Currency 5 3 3 4" xfId="2468"/>
    <cellStyle name="Currency 5 3 3 4 2" xfId="2469"/>
    <cellStyle name="Currency 5 3 3 5" xfId="2470"/>
    <cellStyle name="Currency 5 3 4" xfId="2471"/>
    <cellStyle name="Currency 5 3 4 2" xfId="2472"/>
    <cellStyle name="Currency 5 3 4 2 2" xfId="2473"/>
    <cellStyle name="Currency 5 3 4 3" xfId="2474"/>
    <cellStyle name="Currency 5 3 4 3 2" xfId="2475"/>
    <cellStyle name="Currency 5 3 4 4" xfId="2476"/>
    <cellStyle name="Currency 5 3 5" xfId="2477"/>
    <cellStyle name="Currency 5 3 5 2" xfId="2478"/>
    <cellStyle name="Currency 5 3 6" xfId="2479"/>
    <cellStyle name="Currency 5 3 6 2" xfId="2480"/>
    <cellStyle name="Currency 5 3 7" xfId="2481"/>
    <cellStyle name="Currency 5 4" xfId="2482"/>
    <cellStyle name="Currency 5 4 2" xfId="2483"/>
    <cellStyle name="Currency 5 4 2 2" xfId="2484"/>
    <cellStyle name="Currency 5 4 2 2 2" xfId="2485"/>
    <cellStyle name="Currency 5 4 2 2 2 2" xfId="2486"/>
    <cellStyle name="Currency 5 4 2 2 3" xfId="2487"/>
    <cellStyle name="Currency 5 4 2 2 3 2" xfId="2488"/>
    <cellStyle name="Currency 5 4 2 2 4" xfId="2489"/>
    <cellStyle name="Currency 5 4 2 3" xfId="2490"/>
    <cellStyle name="Currency 5 4 2 3 2" xfId="2491"/>
    <cellStyle name="Currency 5 4 2 4" xfId="2492"/>
    <cellStyle name="Currency 5 4 2 4 2" xfId="2493"/>
    <cellStyle name="Currency 5 4 2 5" xfId="2494"/>
    <cellStyle name="Currency 5 4 3" xfId="2495"/>
    <cellStyle name="Currency 5 4 3 2" xfId="2496"/>
    <cellStyle name="Currency 5 4 3 2 2" xfId="2497"/>
    <cellStyle name="Currency 5 4 3 3" xfId="2498"/>
    <cellStyle name="Currency 5 4 3 3 2" xfId="2499"/>
    <cellStyle name="Currency 5 4 3 4" xfId="2500"/>
    <cellStyle name="Currency 5 4 4" xfId="2501"/>
    <cellStyle name="Currency 5 4 4 2" xfId="2502"/>
    <cellStyle name="Currency 5 4 5" xfId="2503"/>
    <cellStyle name="Currency 5 4 5 2" xfId="2504"/>
    <cellStyle name="Currency 5 4 6" xfId="2505"/>
    <cellStyle name="Currency 5 5" xfId="2506"/>
    <cellStyle name="Currency 5 5 2" xfId="2507"/>
    <cellStyle name="Currency 5 5 2 2" xfId="2508"/>
    <cellStyle name="Currency 5 5 2 2 2" xfId="2509"/>
    <cellStyle name="Currency 5 5 2 3" xfId="2510"/>
    <cellStyle name="Currency 5 5 2 3 2" xfId="2511"/>
    <cellStyle name="Currency 5 5 2 4" xfId="2512"/>
    <cellStyle name="Currency 5 5 3" xfId="2513"/>
    <cellStyle name="Currency 5 5 3 2" xfId="2514"/>
    <cellStyle name="Currency 5 5 4" xfId="2515"/>
    <cellStyle name="Currency 5 5 4 2" xfId="2516"/>
    <cellStyle name="Currency 5 5 5" xfId="2517"/>
    <cellStyle name="Currency 5 6" xfId="2518"/>
    <cellStyle name="Currency 5 6 2" xfId="2519"/>
    <cellStyle name="Currency 5 6 2 2" xfId="2520"/>
    <cellStyle name="Currency 5 6 3" xfId="2521"/>
    <cellStyle name="Currency 5 6 3 2" xfId="2522"/>
    <cellStyle name="Currency 5 6 4" xfId="2523"/>
    <cellStyle name="Currency 5 7" xfId="2524"/>
    <cellStyle name="Currency 5 7 2" xfId="2525"/>
    <cellStyle name="Currency 5 8" xfId="2526"/>
    <cellStyle name="Currency 5 8 2" xfId="2527"/>
    <cellStyle name="Currency 5 9" xfId="2528"/>
    <cellStyle name="Currency 6" xfId="2529"/>
    <cellStyle name="Currency 6 2" xfId="2530"/>
    <cellStyle name="Currency 6 3" xfId="2531"/>
    <cellStyle name="Currency 6 4" xfId="2532"/>
    <cellStyle name="Currency 7" xfId="2533"/>
    <cellStyle name="Currency 7 2" xfId="2534"/>
    <cellStyle name="Currency 8" xfId="2535"/>
    <cellStyle name="Currency 8 2" xfId="2536"/>
    <cellStyle name="Currency 8 2 2" xfId="2537"/>
    <cellStyle name="Currency 8 2 2 2" xfId="2538"/>
    <cellStyle name="Currency 8 2 2 2 2" xfId="2539"/>
    <cellStyle name="Currency 8 2 2 2 2 2" xfId="2540"/>
    <cellStyle name="Currency 8 2 2 2 2 2 2" xfId="2541"/>
    <cellStyle name="Currency 8 2 2 2 2 3" xfId="2542"/>
    <cellStyle name="Currency 8 2 2 2 2 3 2" xfId="2543"/>
    <cellStyle name="Currency 8 2 2 2 2 4" xfId="2544"/>
    <cellStyle name="Currency 8 2 2 2 3" xfId="2545"/>
    <cellStyle name="Currency 8 2 2 2 3 2" xfId="2546"/>
    <cellStyle name="Currency 8 2 2 2 4" xfId="2547"/>
    <cellStyle name="Currency 8 2 2 2 4 2" xfId="2548"/>
    <cellStyle name="Currency 8 2 2 2 5" xfId="2549"/>
    <cellStyle name="Currency 8 2 2 3" xfId="2550"/>
    <cellStyle name="Currency 8 2 2 3 2" xfId="2551"/>
    <cellStyle name="Currency 8 2 2 3 2 2" xfId="2552"/>
    <cellStyle name="Currency 8 2 2 3 3" xfId="2553"/>
    <cellStyle name="Currency 8 2 2 3 3 2" xfId="2554"/>
    <cellStyle name="Currency 8 2 2 3 4" xfId="2555"/>
    <cellStyle name="Currency 8 2 2 4" xfId="2556"/>
    <cellStyle name="Currency 8 2 2 4 2" xfId="2557"/>
    <cellStyle name="Currency 8 2 2 5" xfId="2558"/>
    <cellStyle name="Currency 8 2 2 5 2" xfId="2559"/>
    <cellStyle name="Currency 8 2 2 6" xfId="2560"/>
    <cellStyle name="Currency 8 2 3" xfId="2561"/>
    <cellStyle name="Currency 8 2 3 2" xfId="2562"/>
    <cellStyle name="Currency 8 2 3 2 2" xfId="2563"/>
    <cellStyle name="Currency 8 2 3 2 2 2" xfId="2564"/>
    <cellStyle name="Currency 8 2 3 2 3" xfId="2565"/>
    <cellStyle name="Currency 8 2 3 2 3 2" xfId="2566"/>
    <cellStyle name="Currency 8 2 3 2 4" xfId="2567"/>
    <cellStyle name="Currency 8 2 3 3" xfId="2568"/>
    <cellStyle name="Currency 8 2 3 3 2" xfId="2569"/>
    <cellStyle name="Currency 8 2 3 4" xfId="2570"/>
    <cellStyle name="Currency 8 2 3 4 2" xfId="2571"/>
    <cellStyle name="Currency 8 2 3 5" xfId="2572"/>
    <cellStyle name="Currency 8 2 4" xfId="2573"/>
    <cellStyle name="Currency 8 2 4 2" xfId="2574"/>
    <cellStyle name="Currency 8 2 4 2 2" xfId="2575"/>
    <cellStyle name="Currency 8 2 4 3" xfId="2576"/>
    <cellStyle name="Currency 8 2 4 3 2" xfId="2577"/>
    <cellStyle name="Currency 8 2 4 4" xfId="2578"/>
    <cellStyle name="Currency 8 2 5" xfId="2579"/>
    <cellStyle name="Currency 8 2 5 2" xfId="2580"/>
    <cellStyle name="Currency 8 2 6" xfId="2581"/>
    <cellStyle name="Currency 8 2 6 2" xfId="2582"/>
    <cellStyle name="Currency 8 2 7" xfId="2583"/>
    <cellStyle name="Currency 8 3" xfId="2584"/>
    <cellStyle name="Currency 8 3 2" xfId="2585"/>
    <cellStyle name="Currency 8 3 2 2" xfId="2586"/>
    <cellStyle name="Currency 8 3 2 2 2" xfId="2587"/>
    <cellStyle name="Currency 8 3 2 2 2 2" xfId="2588"/>
    <cellStyle name="Currency 8 3 2 2 3" xfId="2589"/>
    <cellStyle name="Currency 8 3 2 2 3 2" xfId="2590"/>
    <cellStyle name="Currency 8 3 2 2 4" xfId="2591"/>
    <cellStyle name="Currency 8 3 2 3" xfId="2592"/>
    <cellStyle name="Currency 8 3 2 3 2" xfId="2593"/>
    <cellStyle name="Currency 8 3 2 4" xfId="2594"/>
    <cellStyle name="Currency 8 3 2 4 2" xfId="2595"/>
    <cellStyle name="Currency 8 3 2 5" xfId="2596"/>
    <cellStyle name="Currency 8 3 3" xfId="2597"/>
    <cellStyle name="Currency 8 3 3 2" xfId="2598"/>
    <cellStyle name="Currency 8 3 3 2 2" xfId="2599"/>
    <cellStyle name="Currency 8 3 3 3" xfId="2600"/>
    <cellStyle name="Currency 8 3 3 3 2" xfId="2601"/>
    <cellStyle name="Currency 8 3 3 4" xfId="2602"/>
    <cellStyle name="Currency 8 3 4" xfId="2603"/>
    <cellStyle name="Currency 8 3 4 2" xfId="2604"/>
    <cellStyle name="Currency 8 3 5" xfId="2605"/>
    <cellStyle name="Currency 8 3 5 2" xfId="2606"/>
    <cellStyle name="Currency 8 3 6" xfId="2607"/>
    <cellStyle name="Currency 8 4" xfId="2608"/>
    <cellStyle name="Currency 8 4 2" xfId="2609"/>
    <cellStyle name="Currency 8 4 2 2" xfId="2610"/>
    <cellStyle name="Currency 8 4 2 2 2" xfId="2611"/>
    <cellStyle name="Currency 8 4 2 3" xfId="2612"/>
    <cellStyle name="Currency 8 4 2 3 2" xfId="2613"/>
    <cellStyle name="Currency 8 4 2 4" xfId="2614"/>
    <cellStyle name="Currency 8 4 3" xfId="2615"/>
    <cellStyle name="Currency 8 4 3 2" xfId="2616"/>
    <cellStyle name="Currency 8 4 4" xfId="2617"/>
    <cellStyle name="Currency 8 4 4 2" xfId="2618"/>
    <cellStyle name="Currency 8 4 5" xfId="2619"/>
    <cellStyle name="Currency 8 5" xfId="2620"/>
    <cellStyle name="Currency 8 5 2" xfId="2621"/>
    <cellStyle name="Currency 8 5 2 2" xfId="2622"/>
    <cellStyle name="Currency 8 5 3" xfId="2623"/>
    <cellStyle name="Currency 8 5 3 2" xfId="2624"/>
    <cellStyle name="Currency 8 5 4" xfId="2625"/>
    <cellStyle name="Currency 8 6" xfId="2626"/>
    <cellStyle name="Currency 8 6 2" xfId="2627"/>
    <cellStyle name="Currency 8 7" xfId="2628"/>
    <cellStyle name="Currency 8 7 2" xfId="2629"/>
    <cellStyle name="Currency 8 8" xfId="2630"/>
    <cellStyle name="Currency 9" xfId="2631"/>
    <cellStyle name="Currency 9 2" xfId="2632"/>
    <cellStyle name="Currency 9 2 2" xfId="2633"/>
    <cellStyle name="Currency 9 2 2 2" xfId="2634"/>
    <cellStyle name="Currency 9 2 2 2 2" xfId="2635"/>
    <cellStyle name="Currency 9 2 2 2 2 2" xfId="2636"/>
    <cellStyle name="Currency 9 2 2 2 3" xfId="2637"/>
    <cellStyle name="Currency 9 2 2 2 3 2" xfId="2638"/>
    <cellStyle name="Currency 9 2 2 2 4" xfId="2639"/>
    <cellStyle name="Currency 9 2 2 3" xfId="2640"/>
    <cellStyle name="Currency 9 2 2 3 2" xfId="2641"/>
    <cellStyle name="Currency 9 2 2 4" xfId="2642"/>
    <cellStyle name="Currency 9 2 2 4 2" xfId="2643"/>
    <cellStyle name="Currency 9 2 2 5" xfId="2644"/>
    <cellStyle name="Currency 9 2 3" xfId="2645"/>
    <cellStyle name="Currency 9 2 3 2" xfId="2646"/>
    <cellStyle name="Currency 9 2 3 2 2" xfId="2647"/>
    <cellStyle name="Currency 9 2 3 3" xfId="2648"/>
    <cellStyle name="Currency 9 2 3 3 2" xfId="2649"/>
    <cellStyle name="Currency 9 2 3 4" xfId="2650"/>
    <cellStyle name="Currency 9 2 4" xfId="2651"/>
    <cellStyle name="Currency 9 2 4 2" xfId="2652"/>
    <cellStyle name="Currency 9 2 5" xfId="2653"/>
    <cellStyle name="Currency 9 2 5 2" xfId="2654"/>
    <cellStyle name="Currency 9 2 6" xfId="2655"/>
    <cellStyle name="Currency 9 3" xfId="2656"/>
    <cellStyle name="Currency 9 3 2" xfId="2657"/>
    <cellStyle name="Currency 9 3 2 2" xfId="2658"/>
    <cellStyle name="Currency 9 3 2 2 2" xfId="2659"/>
    <cellStyle name="Currency 9 3 2 3" xfId="2660"/>
    <cellStyle name="Currency 9 3 2 3 2" xfId="2661"/>
    <cellStyle name="Currency 9 3 2 4" xfId="2662"/>
    <cellStyle name="Currency 9 3 3" xfId="2663"/>
    <cellStyle name="Currency 9 3 3 2" xfId="2664"/>
    <cellStyle name="Currency 9 3 4" xfId="2665"/>
    <cellStyle name="Currency 9 3 4 2" xfId="2666"/>
    <cellStyle name="Currency 9 3 5" xfId="2667"/>
    <cellStyle name="Currency 9 4" xfId="2668"/>
    <cellStyle name="Currency 9 4 2" xfId="2669"/>
    <cellStyle name="Currency 9 4 2 2" xfId="2670"/>
    <cellStyle name="Currency 9 4 3" xfId="2671"/>
    <cellStyle name="Currency 9 4 3 2" xfId="2672"/>
    <cellStyle name="Currency 9 4 4" xfId="2673"/>
    <cellStyle name="Currency 9 5" xfId="2674"/>
    <cellStyle name="Currency 9 5 2" xfId="2675"/>
    <cellStyle name="Currency 9 6" xfId="2676"/>
    <cellStyle name="Currency 9 6 2" xfId="2677"/>
    <cellStyle name="Currency 9 7" xfId="2678"/>
    <cellStyle name="Currency0" xfId="2679"/>
    <cellStyle name="Custom - Style1" xfId="2680"/>
    <cellStyle name="Custom - Style8" xfId="2681"/>
    <cellStyle name="Data   - Style2" xfId="2682"/>
    <cellStyle name="Data   - Style2 2" xfId="2683"/>
    <cellStyle name="Data   - Style2 3" xfId="2684"/>
    <cellStyle name="Data   - Style2 4" xfId="2685"/>
    <cellStyle name="Data   - Style2 5" xfId="2686"/>
    <cellStyle name="Data Enter" xfId="2687"/>
    <cellStyle name="date" xfId="2688"/>
    <cellStyle name="Euro" xfId="2689"/>
    <cellStyle name="Euro 2" xfId="2690"/>
    <cellStyle name="Explanatory Text" xfId="2691" builtinId="53" customBuiltin="1"/>
    <cellStyle name="Explanatory Text 2" xfId="2692"/>
    <cellStyle name="Explanatory Text 3" xfId="2693"/>
    <cellStyle name="Explanatory Text 4" xfId="2694"/>
    <cellStyle name="F9ReportControlStyle_ctpInquire" xfId="2695"/>
    <cellStyle name="FactSheet" xfId="2696"/>
    <cellStyle name="fish" xfId="2697"/>
    <cellStyle name="Good" xfId="2698" builtinId="26" customBuiltin="1"/>
    <cellStyle name="Good 2" xfId="2699"/>
    <cellStyle name="Good 2 2" xfId="2700"/>
    <cellStyle name="Good 2 2 2" xfId="2701"/>
    <cellStyle name="Good 2 3" xfId="2702"/>
    <cellStyle name="Good 2 4" xfId="2703"/>
    <cellStyle name="Good 2 5" xfId="2704"/>
    <cellStyle name="Good 3" xfId="2705"/>
    <cellStyle name="Good 3 2" xfId="2706"/>
    <cellStyle name="Good 3 3" xfId="2707"/>
    <cellStyle name="Good 4" xfId="2708"/>
    <cellStyle name="Good 5" xfId="2709"/>
    <cellStyle name="Heading 1" xfId="2710" builtinId="16" customBuiltin="1"/>
    <cellStyle name="Heading 1 2" xfId="2711"/>
    <cellStyle name="Heading 1 2 2" xfId="2712"/>
    <cellStyle name="Heading 1 2 2 2" xfId="2713"/>
    <cellStyle name="Heading 1 2 3" xfId="2714"/>
    <cellStyle name="Heading 1 2 4" xfId="2715"/>
    <cellStyle name="Heading 1 3" xfId="2716"/>
    <cellStyle name="Heading 1 3 2" xfId="2717"/>
    <cellStyle name="Heading 1 3 3" xfId="2718"/>
    <cellStyle name="Heading 1 4" xfId="2719"/>
    <cellStyle name="Heading 1 4 2" xfId="2720"/>
    <cellStyle name="Heading 2" xfId="2721" builtinId="17" customBuiltin="1"/>
    <cellStyle name="Heading 2 2" xfId="2722"/>
    <cellStyle name="Heading 2 2 2" xfId="2723"/>
    <cellStyle name="Heading 2 2 3" xfId="2724"/>
    <cellStyle name="Heading 2 2 4" xfId="2725"/>
    <cellStyle name="Heading 2 3" xfId="2726"/>
    <cellStyle name="Heading 2 3 2" xfId="2727"/>
    <cellStyle name="Heading 2 3 3" xfId="2728"/>
    <cellStyle name="Heading 2 4" xfId="2729"/>
    <cellStyle name="Heading 2 4 2" xfId="2730"/>
    <cellStyle name="Heading 3" xfId="2731" builtinId="18" customBuiltin="1"/>
    <cellStyle name="Heading 3 2" xfId="2732"/>
    <cellStyle name="Heading 3 2 2" xfId="2733"/>
    <cellStyle name="Heading 3 2 2 2" xfId="2734"/>
    <cellStyle name="Heading 3 2 3" xfId="2735"/>
    <cellStyle name="Heading 3 2 4" xfId="2736"/>
    <cellStyle name="Heading 3 3" xfId="2737"/>
    <cellStyle name="Heading 3 3 2" xfId="2738"/>
    <cellStyle name="Heading 3 3 3" xfId="2739"/>
    <cellStyle name="Heading 3 4" xfId="2740"/>
    <cellStyle name="Heading 3 4 2" xfId="2741"/>
    <cellStyle name="Heading 4" xfId="2742" builtinId="19" customBuiltin="1"/>
    <cellStyle name="Heading 4 2" xfId="2743"/>
    <cellStyle name="Heading 4 2 2" xfId="2744"/>
    <cellStyle name="Heading 4 2 2 2" xfId="2745"/>
    <cellStyle name="Heading 4 2 3" xfId="2746"/>
    <cellStyle name="Heading 4 3" xfId="2747"/>
    <cellStyle name="Heading 4 3 2" xfId="2748"/>
    <cellStyle name="Heading 4 4" xfId="2749"/>
    <cellStyle name="Hyperlink 2" xfId="2750"/>
    <cellStyle name="Hyperlink 2 2" xfId="2751"/>
    <cellStyle name="Hyperlink 2 2 2" xfId="2752"/>
    <cellStyle name="Hyperlink 2 2 3" xfId="2753"/>
    <cellStyle name="Hyperlink 2 2 4" xfId="2754"/>
    <cellStyle name="Hyperlink 2 2 5" xfId="2755"/>
    <cellStyle name="Hyperlink 2 3" xfId="2756"/>
    <cellStyle name="Hyperlink 2 3 2" xfId="2757"/>
    <cellStyle name="Hyperlink 2 4" xfId="2758"/>
    <cellStyle name="Hyperlink 3" xfId="2759"/>
    <cellStyle name="Hyperlink 3 2" xfId="2760"/>
    <cellStyle name="Hyperlink 3 2 2" xfId="2761"/>
    <cellStyle name="Hyperlink 3 3" xfId="2762"/>
    <cellStyle name="Hyperlink 4" xfId="2763"/>
    <cellStyle name="Hyperlink 4 2" xfId="2764"/>
    <cellStyle name="Hyperlink 5" xfId="2765"/>
    <cellStyle name="Input" xfId="2766" builtinId="20" customBuiltin="1"/>
    <cellStyle name="Input 2" xfId="2767"/>
    <cellStyle name="Input 2 2" xfId="2768"/>
    <cellStyle name="Input 2 2 2" xfId="2769"/>
    <cellStyle name="Input 2 2 2 2" xfId="2770"/>
    <cellStyle name="Input 2 2 2 2 2" xfId="2771"/>
    <cellStyle name="Input 2 2 2 2 3" xfId="2772"/>
    <cellStyle name="Input 2 2 2 2 4" xfId="2773"/>
    <cellStyle name="Input 2 2 2 2 5" xfId="2774"/>
    <cellStyle name="Input 2 2 2 3" xfId="2775"/>
    <cellStyle name="Input 2 2 3" xfId="2776"/>
    <cellStyle name="Input 2 2 3 2" xfId="2777"/>
    <cellStyle name="Input 2 2 3 3" xfId="2778"/>
    <cellStyle name="Input 2 2 3 4" xfId="2779"/>
    <cellStyle name="Input 2 2 3 5" xfId="2780"/>
    <cellStyle name="Input 2 2 4" xfId="2781"/>
    <cellStyle name="Input 2 3" xfId="2782"/>
    <cellStyle name="Input 2 3 2" xfId="2783"/>
    <cellStyle name="Input 2 3 2 2" xfId="2784"/>
    <cellStyle name="Input 2 3 2 3" xfId="2785"/>
    <cellStyle name="Input 2 3 2 4" xfId="2786"/>
    <cellStyle name="Input 2 3 2 5" xfId="2787"/>
    <cellStyle name="Input 2 3 3" xfId="2788"/>
    <cellStyle name="Input 2 4" xfId="2789"/>
    <cellStyle name="Input 2 4 2" xfId="2790"/>
    <cellStyle name="Input 2 4 3" xfId="2791"/>
    <cellStyle name="Input 2 4 4" xfId="2792"/>
    <cellStyle name="Input 2 4 5" xfId="2793"/>
    <cellStyle name="Input 2 5" xfId="2794"/>
    <cellStyle name="Input 3" xfId="2795"/>
    <cellStyle name="Input 3 2" xfId="2796"/>
    <cellStyle name="Input 3 2 2" xfId="2797"/>
    <cellStyle name="Input 3 2 2 2" xfId="2798"/>
    <cellStyle name="Input 3 2 2 3" xfId="2799"/>
    <cellStyle name="Input 3 2 2 4" xfId="2800"/>
    <cellStyle name="Input 3 2 2 5" xfId="2801"/>
    <cellStyle name="Input 3 2 3" xfId="2802"/>
    <cellStyle name="Input 3 3" xfId="2803"/>
    <cellStyle name="Input 3 3 2" xfId="2804"/>
    <cellStyle name="Input 3 3 3" xfId="2805"/>
    <cellStyle name="Input 3 3 4" xfId="2806"/>
    <cellStyle name="Input 3 3 5" xfId="2807"/>
    <cellStyle name="Input 3 4" xfId="2808"/>
    <cellStyle name="Input 3 4 2" xfId="2809"/>
    <cellStyle name="Input 3 4 3" xfId="2810"/>
    <cellStyle name="Input 3 4 4" xfId="2811"/>
    <cellStyle name="Input 3 4 5" xfId="2812"/>
    <cellStyle name="Input 4" xfId="2813"/>
    <cellStyle name="input(0)" xfId="2814"/>
    <cellStyle name="Input(2)" xfId="2815"/>
    <cellStyle name="Labels" xfId="2816"/>
    <cellStyle name="Labels - Style3" xfId="2817"/>
    <cellStyle name="Labels - Style3 2" xfId="2818"/>
    <cellStyle name="Labels - Style3 3" xfId="2819"/>
    <cellStyle name="Labels - Style3 4" xfId="2820"/>
    <cellStyle name="Labels - Style3 5" xfId="2821"/>
    <cellStyle name="Labels 2" xfId="2822"/>
    <cellStyle name="Labels 2 2" xfId="2823"/>
    <cellStyle name="Labels 3" xfId="2824"/>
    <cellStyle name="Labels 4" xfId="2825"/>
    <cellStyle name="Labels 5" xfId="2826"/>
    <cellStyle name="Labels 6" xfId="2827"/>
    <cellStyle name="Labels 7" xfId="2828"/>
    <cellStyle name="Linked Cell" xfId="2829" builtinId="24" customBuiltin="1"/>
    <cellStyle name="Linked Cell 2" xfId="2830"/>
    <cellStyle name="Linked Cell 2 2" xfId="2831"/>
    <cellStyle name="Linked Cell 2 3" xfId="2832"/>
    <cellStyle name="Linked Cell 2 4" xfId="2833"/>
    <cellStyle name="Linked Cell 3" xfId="2834"/>
    <cellStyle name="Linked Cell 3 2" xfId="2835"/>
    <cellStyle name="Linked Cell 4" xfId="2836"/>
    <cellStyle name="Neutral" xfId="2837" builtinId="28" customBuiltin="1"/>
    <cellStyle name="Neutral 2" xfId="2838"/>
    <cellStyle name="Neutral 2 2" xfId="2839"/>
    <cellStyle name="Neutral 2 2 2" xfId="2840"/>
    <cellStyle name="Neutral 2 3" xfId="2841"/>
    <cellStyle name="Neutral 2 4" xfId="2842"/>
    <cellStyle name="Neutral 3" xfId="2843"/>
    <cellStyle name="Neutral 3 2" xfId="2844"/>
    <cellStyle name="Neutral 4" xfId="2845"/>
    <cellStyle name="New_normal" xfId="2846"/>
    <cellStyle name="Normal" xfId="0" builtinId="0"/>
    <cellStyle name="Normal - Style1" xfId="2847"/>
    <cellStyle name="Normal - Style2" xfId="2848"/>
    <cellStyle name="Normal - Style3" xfId="2849"/>
    <cellStyle name="Normal - Style4" xfId="2850"/>
    <cellStyle name="Normal - Style5" xfId="2851"/>
    <cellStyle name="Normal - Style6" xfId="2852"/>
    <cellStyle name="Normal - Style7" xfId="2853"/>
    <cellStyle name="Normal - Style8" xfId="2854"/>
    <cellStyle name="Normal 10" xfId="2855"/>
    <cellStyle name="Normal 10 10" xfId="2856"/>
    <cellStyle name="Normal 10 2" xfId="2857"/>
    <cellStyle name="Normal 10 2 2" xfId="2858"/>
    <cellStyle name="Normal 10 2 2 2" xfId="2859"/>
    <cellStyle name="Normal 10 2 2 2 2" xfId="2860"/>
    <cellStyle name="Normal 10 2 2 2 2 2" xfId="2861"/>
    <cellStyle name="Normal 10 2 2 2 2 2 2" xfId="2862"/>
    <cellStyle name="Normal 10 2 2 2 2 2 2 2" xfId="2863"/>
    <cellStyle name="Normal 10 2 2 2 2 2 3" xfId="2864"/>
    <cellStyle name="Normal 10 2 2 2 2 2 3 2" xfId="2865"/>
    <cellStyle name="Normal 10 2 2 2 2 2 4" xfId="2866"/>
    <cellStyle name="Normal 10 2 2 2 2 3" xfId="2867"/>
    <cellStyle name="Normal 10 2 2 2 2 3 2" xfId="2868"/>
    <cellStyle name="Normal 10 2 2 2 2 4" xfId="2869"/>
    <cellStyle name="Normal 10 2 2 2 2 4 2" xfId="2870"/>
    <cellStyle name="Normal 10 2 2 2 2 5" xfId="2871"/>
    <cellStyle name="Normal 10 2 2 2 3" xfId="2872"/>
    <cellStyle name="Normal 10 2 2 2 3 2" xfId="2873"/>
    <cellStyle name="Normal 10 2 2 2 3 2 2" xfId="2874"/>
    <cellStyle name="Normal 10 2 2 2 3 3" xfId="2875"/>
    <cellStyle name="Normal 10 2 2 2 3 3 2" xfId="2876"/>
    <cellStyle name="Normal 10 2 2 2 3 4" xfId="2877"/>
    <cellStyle name="Normal 10 2 2 2 4" xfId="2878"/>
    <cellStyle name="Normal 10 2 2 2 4 2" xfId="2879"/>
    <cellStyle name="Normal 10 2 2 2 5" xfId="2880"/>
    <cellStyle name="Normal 10 2 2 2 5 2" xfId="2881"/>
    <cellStyle name="Normal 10 2 2 2 6" xfId="2882"/>
    <cellStyle name="Normal 10 2 2 3" xfId="2883"/>
    <cellStyle name="Normal 10 2 2 3 2" xfId="2884"/>
    <cellStyle name="Normal 10 2 2 3 2 2" xfId="2885"/>
    <cellStyle name="Normal 10 2 2 3 2 2 2" xfId="2886"/>
    <cellStyle name="Normal 10 2 2 3 2 3" xfId="2887"/>
    <cellStyle name="Normal 10 2 2 3 2 3 2" xfId="2888"/>
    <cellStyle name="Normal 10 2 2 3 2 4" xfId="2889"/>
    <cellStyle name="Normal 10 2 2 3 3" xfId="2890"/>
    <cellStyle name="Normal 10 2 2 3 3 2" xfId="2891"/>
    <cellStyle name="Normal 10 2 2 3 4" xfId="2892"/>
    <cellStyle name="Normal 10 2 2 3 4 2" xfId="2893"/>
    <cellStyle name="Normal 10 2 2 3 5" xfId="2894"/>
    <cellStyle name="Normal 10 2 2 4" xfId="2895"/>
    <cellStyle name="Normal 10 2 2 4 2" xfId="2896"/>
    <cellStyle name="Normal 10 2 2 4 2 2" xfId="2897"/>
    <cellStyle name="Normal 10 2 2 4 3" xfId="2898"/>
    <cellStyle name="Normal 10 2 2 4 3 2" xfId="2899"/>
    <cellStyle name="Normal 10 2 2 4 4" xfId="2900"/>
    <cellStyle name="Normal 10 2 2 5" xfId="2901"/>
    <cellStyle name="Normal 10 2 2 5 2" xfId="2902"/>
    <cellStyle name="Normal 10 2 2 6" xfId="2903"/>
    <cellStyle name="Normal 10 2 2 6 2" xfId="2904"/>
    <cellStyle name="Normal 10 2 2 7" xfId="2905"/>
    <cellStyle name="Normal 10 2 3" xfId="2906"/>
    <cellStyle name="Normal 10 2 3 2" xfId="2907"/>
    <cellStyle name="Normal 10 2 3 2 2" xfId="2908"/>
    <cellStyle name="Normal 10 2 3 2 2 2" xfId="2909"/>
    <cellStyle name="Normal 10 2 3 2 2 2 2" xfId="2910"/>
    <cellStyle name="Normal 10 2 3 2 2 3" xfId="2911"/>
    <cellStyle name="Normal 10 2 3 2 2 3 2" xfId="2912"/>
    <cellStyle name="Normal 10 2 3 2 2 4" xfId="2913"/>
    <cellStyle name="Normal 10 2 3 2 3" xfId="2914"/>
    <cellStyle name="Normal 10 2 3 2 3 2" xfId="2915"/>
    <cellStyle name="Normal 10 2 3 2 4" xfId="2916"/>
    <cellStyle name="Normal 10 2 3 2 4 2" xfId="2917"/>
    <cellStyle name="Normal 10 2 3 2 5" xfId="2918"/>
    <cellStyle name="Normal 10 2 3 3" xfId="2919"/>
    <cellStyle name="Normal 10 2 3 3 2" xfId="2920"/>
    <cellStyle name="Normal 10 2 3 3 2 2" xfId="2921"/>
    <cellStyle name="Normal 10 2 3 3 3" xfId="2922"/>
    <cellStyle name="Normal 10 2 3 3 3 2" xfId="2923"/>
    <cellStyle name="Normal 10 2 3 3 4" xfId="2924"/>
    <cellStyle name="Normal 10 2 3 4" xfId="2925"/>
    <cellStyle name="Normal 10 2 3 4 2" xfId="2926"/>
    <cellStyle name="Normal 10 2 3 5" xfId="2927"/>
    <cellStyle name="Normal 10 2 3 5 2" xfId="2928"/>
    <cellStyle name="Normal 10 2 3 6" xfId="2929"/>
    <cellStyle name="Normal 10 2 4" xfId="2930"/>
    <cellStyle name="Normal 10 2 4 2" xfId="2931"/>
    <cellStyle name="Normal 10 2 4 2 2" xfId="2932"/>
    <cellStyle name="Normal 10 2 4 2 2 2" xfId="2933"/>
    <cellStyle name="Normal 10 2 4 2 3" xfId="2934"/>
    <cellStyle name="Normal 10 2 4 2 3 2" xfId="2935"/>
    <cellStyle name="Normal 10 2 4 2 4" xfId="2936"/>
    <cellStyle name="Normal 10 2 4 3" xfId="2937"/>
    <cellStyle name="Normal 10 2 4 3 2" xfId="2938"/>
    <cellStyle name="Normal 10 2 4 4" xfId="2939"/>
    <cellStyle name="Normal 10 2 4 4 2" xfId="2940"/>
    <cellStyle name="Normal 10 2 4 5" xfId="2941"/>
    <cellStyle name="Normal 10 2 5" xfId="2942"/>
    <cellStyle name="Normal 10 2 5 2" xfId="2943"/>
    <cellStyle name="Normal 10 2 5 2 2" xfId="2944"/>
    <cellStyle name="Normal 10 2 5 3" xfId="2945"/>
    <cellStyle name="Normal 10 2 5 3 2" xfId="2946"/>
    <cellStyle name="Normal 10 2 5 4" xfId="2947"/>
    <cellStyle name="Normal 10 2 6" xfId="2948"/>
    <cellStyle name="Normal 10 2 6 2" xfId="2949"/>
    <cellStyle name="Normal 10 2 7" xfId="2950"/>
    <cellStyle name="Normal 10 2 7 2" xfId="2951"/>
    <cellStyle name="Normal 10 2 8" xfId="2952"/>
    <cellStyle name="Normal 10 3" xfId="2953"/>
    <cellStyle name="Normal 10 3 2" xfId="2954"/>
    <cellStyle name="Normal 10 3 2 2" xfId="2955"/>
    <cellStyle name="Normal 10 3 2 2 2" xfId="2956"/>
    <cellStyle name="Normal 10 3 2 2 2 2" xfId="2957"/>
    <cellStyle name="Normal 10 3 2 2 2 2 2" xfId="2958"/>
    <cellStyle name="Normal 10 3 2 2 2 3" xfId="2959"/>
    <cellStyle name="Normal 10 3 2 2 2 3 2" xfId="2960"/>
    <cellStyle name="Normal 10 3 2 2 2 4" xfId="2961"/>
    <cellStyle name="Normal 10 3 2 2 3" xfId="2962"/>
    <cellStyle name="Normal 10 3 2 2 3 2" xfId="2963"/>
    <cellStyle name="Normal 10 3 2 2 4" xfId="2964"/>
    <cellStyle name="Normal 10 3 2 2 4 2" xfId="2965"/>
    <cellStyle name="Normal 10 3 2 2 5" xfId="2966"/>
    <cellStyle name="Normal 10 3 2 3" xfId="2967"/>
    <cellStyle name="Normal 10 3 2 3 2" xfId="2968"/>
    <cellStyle name="Normal 10 3 2 3 2 2" xfId="2969"/>
    <cellStyle name="Normal 10 3 2 3 3" xfId="2970"/>
    <cellStyle name="Normal 10 3 2 3 3 2" xfId="2971"/>
    <cellStyle name="Normal 10 3 2 3 4" xfId="2972"/>
    <cellStyle name="Normal 10 3 2 4" xfId="2973"/>
    <cellStyle name="Normal 10 3 2 4 2" xfId="2974"/>
    <cellStyle name="Normal 10 3 2 5" xfId="2975"/>
    <cellStyle name="Normal 10 3 2 5 2" xfId="2976"/>
    <cellStyle name="Normal 10 3 2 6" xfId="2977"/>
    <cellStyle name="Normal 10 3 3" xfId="2978"/>
    <cellStyle name="Normal 10 3 3 2" xfId="2979"/>
    <cellStyle name="Normal 10 3 3 2 2" xfId="2980"/>
    <cellStyle name="Normal 10 3 3 2 2 2" xfId="2981"/>
    <cellStyle name="Normal 10 3 3 2 3" xfId="2982"/>
    <cellStyle name="Normal 10 3 3 2 3 2" xfId="2983"/>
    <cellStyle name="Normal 10 3 3 2 4" xfId="2984"/>
    <cellStyle name="Normal 10 3 3 3" xfId="2985"/>
    <cellStyle name="Normal 10 3 3 3 2" xfId="2986"/>
    <cellStyle name="Normal 10 3 3 4" xfId="2987"/>
    <cellStyle name="Normal 10 3 3 4 2" xfId="2988"/>
    <cellStyle name="Normal 10 3 3 5" xfId="2989"/>
    <cellStyle name="Normal 10 3 4" xfId="2990"/>
    <cellStyle name="Normal 10 3 4 2" xfId="2991"/>
    <cellStyle name="Normal 10 3 4 2 2" xfId="2992"/>
    <cellStyle name="Normal 10 3 4 3" xfId="2993"/>
    <cellStyle name="Normal 10 3 4 3 2" xfId="2994"/>
    <cellStyle name="Normal 10 3 4 4" xfId="2995"/>
    <cellStyle name="Normal 10 3 5" xfId="2996"/>
    <cellStyle name="Normal 10 3 5 2" xfId="2997"/>
    <cellStyle name="Normal 10 3 6" xfId="2998"/>
    <cellStyle name="Normal 10 3 6 2" xfId="2999"/>
    <cellStyle name="Normal 10 3 7" xfId="3000"/>
    <cellStyle name="Normal 10 3 8" xfId="3001"/>
    <cellStyle name="Normal 10 4" xfId="3002"/>
    <cellStyle name="Normal 10 4 2" xfId="3003"/>
    <cellStyle name="Normal 10 4 2 2" xfId="3004"/>
    <cellStyle name="Normal 10 4 2 2 2" xfId="3005"/>
    <cellStyle name="Normal 10 4 2 2 2 2" xfId="3006"/>
    <cellStyle name="Normal 10 4 2 2 2 2 2" xfId="3007"/>
    <cellStyle name="Normal 10 4 2 2 2 3" xfId="3008"/>
    <cellStyle name="Normal 10 4 2 2 2 3 2" xfId="3009"/>
    <cellStyle name="Normal 10 4 2 2 2 4" xfId="3010"/>
    <cellStyle name="Normal 10 4 2 2 3" xfId="3011"/>
    <cellStyle name="Normal 10 4 2 2 3 2" xfId="3012"/>
    <cellStyle name="Normal 10 4 2 2 4" xfId="3013"/>
    <cellStyle name="Normal 10 4 2 2 4 2" xfId="3014"/>
    <cellStyle name="Normal 10 4 2 2 5" xfId="3015"/>
    <cellStyle name="Normal 10 4 2 3" xfId="3016"/>
    <cellStyle name="Normal 10 4 2 3 2" xfId="3017"/>
    <cellStyle name="Normal 10 4 2 3 2 2" xfId="3018"/>
    <cellStyle name="Normal 10 4 2 3 3" xfId="3019"/>
    <cellStyle name="Normal 10 4 2 3 3 2" xfId="3020"/>
    <cellStyle name="Normal 10 4 2 3 4" xfId="3021"/>
    <cellStyle name="Normal 10 4 2 4" xfId="3022"/>
    <cellStyle name="Normal 10 4 2 4 2" xfId="3023"/>
    <cellStyle name="Normal 10 4 2 5" xfId="3024"/>
    <cellStyle name="Normal 10 4 2 5 2" xfId="3025"/>
    <cellStyle name="Normal 10 4 2 6" xfId="3026"/>
    <cellStyle name="Normal 10 4 3" xfId="3027"/>
    <cellStyle name="Normal 10 4 3 2" xfId="3028"/>
    <cellStyle name="Normal 10 4 3 2 2" xfId="3029"/>
    <cellStyle name="Normal 10 4 3 2 2 2" xfId="3030"/>
    <cellStyle name="Normal 10 4 3 2 3" xfId="3031"/>
    <cellStyle name="Normal 10 4 3 2 3 2" xfId="3032"/>
    <cellStyle name="Normal 10 4 3 2 4" xfId="3033"/>
    <cellStyle name="Normal 10 4 3 3" xfId="3034"/>
    <cellStyle name="Normal 10 4 3 3 2" xfId="3035"/>
    <cellStyle name="Normal 10 4 3 4" xfId="3036"/>
    <cellStyle name="Normal 10 4 3 4 2" xfId="3037"/>
    <cellStyle name="Normal 10 4 3 5" xfId="3038"/>
    <cellStyle name="Normal 10 4 4" xfId="3039"/>
    <cellStyle name="Normal 10 4 4 2" xfId="3040"/>
    <cellStyle name="Normal 10 4 4 2 2" xfId="3041"/>
    <cellStyle name="Normal 10 4 4 3" xfId="3042"/>
    <cellStyle name="Normal 10 4 4 3 2" xfId="3043"/>
    <cellStyle name="Normal 10 4 4 4" xfId="3044"/>
    <cellStyle name="Normal 10 4 5" xfId="3045"/>
    <cellStyle name="Normal 10 4 5 2" xfId="3046"/>
    <cellStyle name="Normal 10 4 6" xfId="3047"/>
    <cellStyle name="Normal 10 4 6 2" xfId="3048"/>
    <cellStyle name="Normal 10 4 7" xfId="3049"/>
    <cellStyle name="Normal 10 5" xfId="3050"/>
    <cellStyle name="Normal 10 5 2" xfId="3051"/>
    <cellStyle name="Normal 10 5 2 2" xfId="3052"/>
    <cellStyle name="Normal 10 5 2 2 2" xfId="3053"/>
    <cellStyle name="Normal 10 5 2 2 2 2" xfId="3054"/>
    <cellStyle name="Normal 10 5 2 2 3" xfId="3055"/>
    <cellStyle name="Normal 10 5 2 2 3 2" xfId="3056"/>
    <cellStyle name="Normal 10 5 2 2 4" xfId="3057"/>
    <cellStyle name="Normal 10 5 2 3" xfId="3058"/>
    <cellStyle name="Normal 10 5 2 3 2" xfId="3059"/>
    <cellStyle name="Normal 10 5 2 4" xfId="3060"/>
    <cellStyle name="Normal 10 5 2 4 2" xfId="3061"/>
    <cellStyle name="Normal 10 5 2 5" xfId="3062"/>
    <cellStyle name="Normal 10 5 3" xfId="3063"/>
    <cellStyle name="Normal 10 5 3 2" xfId="3064"/>
    <cellStyle name="Normal 10 5 3 2 2" xfId="3065"/>
    <cellStyle name="Normal 10 5 3 3" xfId="3066"/>
    <cellStyle name="Normal 10 5 3 3 2" xfId="3067"/>
    <cellStyle name="Normal 10 5 3 4" xfId="3068"/>
    <cellStyle name="Normal 10 5 4" xfId="3069"/>
    <cellStyle name="Normal 10 5 4 2" xfId="3070"/>
    <cellStyle name="Normal 10 5 5" xfId="3071"/>
    <cellStyle name="Normal 10 5 5 2" xfId="3072"/>
    <cellStyle name="Normal 10 5 6" xfId="3073"/>
    <cellStyle name="Normal 10 6" xfId="3074"/>
    <cellStyle name="Normal 10 6 2" xfId="3075"/>
    <cellStyle name="Normal 10 6 2 2" xfId="3076"/>
    <cellStyle name="Normal 10 6 2 2 2" xfId="3077"/>
    <cellStyle name="Normal 10 6 2 3" xfId="3078"/>
    <cellStyle name="Normal 10 6 2 3 2" xfId="3079"/>
    <cellStyle name="Normal 10 6 2 4" xfId="3080"/>
    <cellStyle name="Normal 10 6 3" xfId="3081"/>
    <cellStyle name="Normal 10 6 3 2" xfId="3082"/>
    <cellStyle name="Normal 10 6 4" xfId="3083"/>
    <cellStyle name="Normal 10 6 4 2" xfId="3084"/>
    <cellStyle name="Normal 10 6 5" xfId="3085"/>
    <cellStyle name="Normal 10 7" xfId="3086"/>
    <cellStyle name="Normal 10 7 2" xfId="3087"/>
    <cellStyle name="Normal 10 7 2 2" xfId="3088"/>
    <cellStyle name="Normal 10 7 3" xfId="3089"/>
    <cellStyle name="Normal 10 7 3 2" xfId="3090"/>
    <cellStyle name="Normal 10 7 4" xfId="3091"/>
    <cellStyle name="Normal 10 8" xfId="3092"/>
    <cellStyle name="Normal 10 8 2" xfId="3093"/>
    <cellStyle name="Normal 10 9" xfId="3094"/>
    <cellStyle name="Normal 10 9 2" xfId="3095"/>
    <cellStyle name="Normal 10_2112 DF Schedule" xfId="3096"/>
    <cellStyle name="Normal 100" xfId="3097"/>
    <cellStyle name="Normal 100 2" xfId="3098"/>
    <cellStyle name="Normal 100 3" xfId="3099"/>
    <cellStyle name="Normal 101" xfId="3100"/>
    <cellStyle name="Normal 101 2" xfId="3101"/>
    <cellStyle name="Normal 102" xfId="3102"/>
    <cellStyle name="Normal 102 2" xfId="3103"/>
    <cellStyle name="Normal 103" xfId="3104"/>
    <cellStyle name="Normal 103 2" xfId="3105"/>
    <cellStyle name="Normal 104" xfId="3106"/>
    <cellStyle name="Normal 104 2" xfId="3107"/>
    <cellStyle name="Normal 105" xfId="3108"/>
    <cellStyle name="Normal 105 2" xfId="3109"/>
    <cellStyle name="Normal 106" xfId="3110"/>
    <cellStyle name="Normal 107" xfId="3111"/>
    <cellStyle name="Normal 107 2" xfId="3112"/>
    <cellStyle name="Normal 108" xfId="3113"/>
    <cellStyle name="Normal 108 2" xfId="3114"/>
    <cellStyle name="Normal 109" xfId="3115"/>
    <cellStyle name="Normal 109 2" xfId="3116"/>
    <cellStyle name="Normal 109 2 2" xfId="3117"/>
    <cellStyle name="Normal 109 3" xfId="3118"/>
    <cellStyle name="Normal 109 4" xfId="3119"/>
    <cellStyle name="Normal 11" xfId="3120"/>
    <cellStyle name="Normal 11 10" xfId="3121"/>
    <cellStyle name="Normal 11 11" xfId="3122"/>
    <cellStyle name="Normal 11 12" xfId="3123"/>
    <cellStyle name="Normal 11 2" xfId="3124"/>
    <cellStyle name="Normal 11 2 2" xfId="3125"/>
    <cellStyle name="Normal 11 2 2 2" xfId="3126"/>
    <cellStyle name="Normal 11 2 2 2 2" xfId="3127"/>
    <cellStyle name="Normal 11 2 2 2 2 2" xfId="3128"/>
    <cellStyle name="Normal 11 2 2 2 2 2 2" xfId="3129"/>
    <cellStyle name="Normal 11 2 2 2 2 2 2 2" xfId="3130"/>
    <cellStyle name="Normal 11 2 2 2 2 2 3" xfId="3131"/>
    <cellStyle name="Normal 11 2 2 2 2 2 3 2" xfId="3132"/>
    <cellStyle name="Normal 11 2 2 2 2 2 4" xfId="3133"/>
    <cellStyle name="Normal 11 2 2 2 2 3" xfId="3134"/>
    <cellStyle name="Normal 11 2 2 2 2 3 2" xfId="3135"/>
    <cellStyle name="Normal 11 2 2 2 2 4" xfId="3136"/>
    <cellStyle name="Normal 11 2 2 2 2 4 2" xfId="3137"/>
    <cellStyle name="Normal 11 2 2 2 2 5" xfId="3138"/>
    <cellStyle name="Normal 11 2 2 2 3" xfId="3139"/>
    <cellStyle name="Normal 11 2 2 2 3 2" xfId="3140"/>
    <cellStyle name="Normal 11 2 2 2 3 2 2" xfId="3141"/>
    <cellStyle name="Normal 11 2 2 2 3 3" xfId="3142"/>
    <cellStyle name="Normal 11 2 2 2 3 3 2" xfId="3143"/>
    <cellStyle name="Normal 11 2 2 2 3 4" xfId="3144"/>
    <cellStyle name="Normal 11 2 2 2 4" xfId="3145"/>
    <cellStyle name="Normal 11 2 2 2 4 2" xfId="3146"/>
    <cellStyle name="Normal 11 2 2 2 5" xfId="3147"/>
    <cellStyle name="Normal 11 2 2 2 5 2" xfId="3148"/>
    <cellStyle name="Normal 11 2 2 2 6" xfId="3149"/>
    <cellStyle name="Normal 11 2 2 3" xfId="3150"/>
    <cellStyle name="Normal 11 2 2 3 2" xfId="3151"/>
    <cellStyle name="Normal 11 2 2 3 2 2" xfId="3152"/>
    <cellStyle name="Normal 11 2 2 3 2 2 2" xfId="3153"/>
    <cellStyle name="Normal 11 2 2 3 2 3" xfId="3154"/>
    <cellStyle name="Normal 11 2 2 3 2 3 2" xfId="3155"/>
    <cellStyle name="Normal 11 2 2 3 2 4" xfId="3156"/>
    <cellStyle name="Normal 11 2 2 3 3" xfId="3157"/>
    <cellStyle name="Normal 11 2 2 3 3 2" xfId="3158"/>
    <cellStyle name="Normal 11 2 2 3 4" xfId="3159"/>
    <cellStyle name="Normal 11 2 2 3 4 2" xfId="3160"/>
    <cellStyle name="Normal 11 2 2 3 5" xfId="3161"/>
    <cellStyle name="Normal 11 2 2 4" xfId="3162"/>
    <cellStyle name="Normal 11 2 2 4 2" xfId="3163"/>
    <cellStyle name="Normal 11 2 2 4 2 2" xfId="3164"/>
    <cellStyle name="Normal 11 2 2 4 3" xfId="3165"/>
    <cellStyle name="Normal 11 2 2 4 3 2" xfId="3166"/>
    <cellStyle name="Normal 11 2 2 4 4" xfId="3167"/>
    <cellStyle name="Normal 11 2 2 5" xfId="3168"/>
    <cellStyle name="Normal 11 2 2 5 2" xfId="3169"/>
    <cellStyle name="Normal 11 2 2 6" xfId="3170"/>
    <cellStyle name="Normal 11 2 2 6 2" xfId="3171"/>
    <cellStyle name="Normal 11 2 2 7" xfId="3172"/>
    <cellStyle name="Normal 11 2 3" xfId="3173"/>
    <cellStyle name="Normal 11 2 3 2" xfId="3174"/>
    <cellStyle name="Normal 11 2 3 2 2" xfId="3175"/>
    <cellStyle name="Normal 11 2 3 2 2 2" xfId="3176"/>
    <cellStyle name="Normal 11 2 3 2 2 2 2" xfId="3177"/>
    <cellStyle name="Normal 11 2 3 2 2 3" xfId="3178"/>
    <cellStyle name="Normal 11 2 3 2 2 3 2" xfId="3179"/>
    <cellStyle name="Normal 11 2 3 2 2 4" xfId="3180"/>
    <cellStyle name="Normal 11 2 3 2 3" xfId="3181"/>
    <cellStyle name="Normal 11 2 3 2 3 2" xfId="3182"/>
    <cellStyle name="Normal 11 2 3 2 4" xfId="3183"/>
    <cellStyle name="Normal 11 2 3 2 4 2" xfId="3184"/>
    <cellStyle name="Normal 11 2 3 2 5" xfId="3185"/>
    <cellStyle name="Normal 11 2 3 3" xfId="3186"/>
    <cellStyle name="Normal 11 2 3 3 2" xfId="3187"/>
    <cellStyle name="Normal 11 2 3 3 2 2" xfId="3188"/>
    <cellStyle name="Normal 11 2 3 3 3" xfId="3189"/>
    <cellStyle name="Normal 11 2 3 3 3 2" xfId="3190"/>
    <cellStyle name="Normal 11 2 3 3 4" xfId="3191"/>
    <cellStyle name="Normal 11 2 3 4" xfId="3192"/>
    <cellStyle name="Normal 11 2 3 4 2" xfId="3193"/>
    <cellStyle name="Normal 11 2 3 5" xfId="3194"/>
    <cellStyle name="Normal 11 2 3 5 2" xfId="3195"/>
    <cellStyle name="Normal 11 2 3 6" xfId="3196"/>
    <cellStyle name="Normal 11 2 4" xfId="3197"/>
    <cellStyle name="Normal 11 2 4 2" xfId="3198"/>
    <cellStyle name="Normal 11 2 4 2 2" xfId="3199"/>
    <cellStyle name="Normal 11 2 4 2 2 2" xfId="3200"/>
    <cellStyle name="Normal 11 2 4 2 3" xfId="3201"/>
    <cellStyle name="Normal 11 2 4 2 3 2" xfId="3202"/>
    <cellStyle name="Normal 11 2 4 2 4" xfId="3203"/>
    <cellStyle name="Normal 11 2 4 3" xfId="3204"/>
    <cellStyle name="Normal 11 2 4 3 2" xfId="3205"/>
    <cellStyle name="Normal 11 2 4 4" xfId="3206"/>
    <cellStyle name="Normal 11 2 4 4 2" xfId="3207"/>
    <cellStyle name="Normal 11 2 4 5" xfId="3208"/>
    <cellStyle name="Normal 11 2 5" xfId="3209"/>
    <cellStyle name="Normal 11 2 5 2" xfId="3210"/>
    <cellStyle name="Normal 11 2 5 2 2" xfId="3211"/>
    <cellStyle name="Normal 11 2 5 3" xfId="3212"/>
    <cellStyle name="Normal 11 2 5 3 2" xfId="3213"/>
    <cellStyle name="Normal 11 2 5 4" xfId="3214"/>
    <cellStyle name="Normal 11 2 6" xfId="3215"/>
    <cellStyle name="Normal 11 2 6 2" xfId="3216"/>
    <cellStyle name="Normal 11 2 7" xfId="3217"/>
    <cellStyle name="Normal 11 2 7 2" xfId="3218"/>
    <cellStyle name="Normal 11 2 8" xfId="3219"/>
    <cellStyle name="Normal 11 2 9" xfId="3220"/>
    <cellStyle name="Normal 11 3" xfId="3221"/>
    <cellStyle name="Normal 11 3 2" xfId="3222"/>
    <cellStyle name="Normal 11 3 2 2" xfId="3223"/>
    <cellStyle name="Normal 11 3 2 2 2" xfId="3224"/>
    <cellStyle name="Normal 11 3 2 2 2 2" xfId="3225"/>
    <cellStyle name="Normal 11 3 2 2 2 2 2" xfId="3226"/>
    <cellStyle name="Normal 11 3 2 2 2 3" xfId="3227"/>
    <cellStyle name="Normal 11 3 2 2 2 3 2" xfId="3228"/>
    <cellStyle name="Normal 11 3 2 2 2 4" xfId="3229"/>
    <cellStyle name="Normal 11 3 2 2 3" xfId="3230"/>
    <cellStyle name="Normal 11 3 2 2 3 2" xfId="3231"/>
    <cellStyle name="Normal 11 3 2 2 4" xfId="3232"/>
    <cellStyle name="Normal 11 3 2 2 4 2" xfId="3233"/>
    <cellStyle name="Normal 11 3 2 2 5" xfId="3234"/>
    <cellStyle name="Normal 11 3 2 3" xfId="3235"/>
    <cellStyle name="Normal 11 3 2 3 2" xfId="3236"/>
    <cellStyle name="Normal 11 3 2 3 2 2" xfId="3237"/>
    <cellStyle name="Normal 11 3 2 3 3" xfId="3238"/>
    <cellStyle name="Normal 11 3 2 3 3 2" xfId="3239"/>
    <cellStyle name="Normal 11 3 2 3 4" xfId="3240"/>
    <cellStyle name="Normal 11 3 2 4" xfId="3241"/>
    <cellStyle name="Normal 11 3 2 4 2" xfId="3242"/>
    <cellStyle name="Normal 11 3 2 5" xfId="3243"/>
    <cellStyle name="Normal 11 3 2 5 2" xfId="3244"/>
    <cellStyle name="Normal 11 3 2 6" xfId="3245"/>
    <cellStyle name="Normal 11 3 3" xfId="3246"/>
    <cellStyle name="Normal 11 3 3 2" xfId="3247"/>
    <cellStyle name="Normal 11 3 3 2 2" xfId="3248"/>
    <cellStyle name="Normal 11 3 3 2 2 2" xfId="3249"/>
    <cellStyle name="Normal 11 3 3 2 3" xfId="3250"/>
    <cellStyle name="Normal 11 3 3 2 3 2" xfId="3251"/>
    <cellStyle name="Normal 11 3 3 2 4" xfId="3252"/>
    <cellStyle name="Normal 11 3 3 3" xfId="3253"/>
    <cellStyle name="Normal 11 3 3 3 2" xfId="3254"/>
    <cellStyle name="Normal 11 3 3 4" xfId="3255"/>
    <cellStyle name="Normal 11 3 3 4 2" xfId="3256"/>
    <cellStyle name="Normal 11 3 3 5" xfId="3257"/>
    <cellStyle name="Normal 11 3 4" xfId="3258"/>
    <cellStyle name="Normal 11 3 4 2" xfId="3259"/>
    <cellStyle name="Normal 11 3 4 2 2" xfId="3260"/>
    <cellStyle name="Normal 11 3 4 3" xfId="3261"/>
    <cellStyle name="Normal 11 3 4 3 2" xfId="3262"/>
    <cellStyle name="Normal 11 3 4 4" xfId="3263"/>
    <cellStyle name="Normal 11 3 5" xfId="3264"/>
    <cellStyle name="Normal 11 3 5 2" xfId="3265"/>
    <cellStyle name="Normal 11 3 6" xfId="3266"/>
    <cellStyle name="Normal 11 3 6 2" xfId="3267"/>
    <cellStyle name="Normal 11 3 7" xfId="3268"/>
    <cellStyle name="Normal 11 4" xfId="3269"/>
    <cellStyle name="Normal 11 4 2" xfId="3270"/>
    <cellStyle name="Normal 11 4 2 2" xfId="3271"/>
    <cellStyle name="Normal 11 4 2 2 2" xfId="3272"/>
    <cellStyle name="Normal 11 4 2 2 2 2" xfId="3273"/>
    <cellStyle name="Normal 11 4 2 2 2 2 2" xfId="3274"/>
    <cellStyle name="Normal 11 4 2 2 2 3" xfId="3275"/>
    <cellStyle name="Normal 11 4 2 2 2 3 2" xfId="3276"/>
    <cellStyle name="Normal 11 4 2 2 2 4" xfId="3277"/>
    <cellStyle name="Normal 11 4 2 2 3" xfId="3278"/>
    <cellStyle name="Normal 11 4 2 2 3 2" xfId="3279"/>
    <cellStyle name="Normal 11 4 2 2 4" xfId="3280"/>
    <cellStyle name="Normal 11 4 2 2 4 2" xfId="3281"/>
    <cellStyle name="Normal 11 4 2 2 5" xfId="3282"/>
    <cellStyle name="Normal 11 4 2 3" xfId="3283"/>
    <cellStyle name="Normal 11 4 2 3 2" xfId="3284"/>
    <cellStyle name="Normal 11 4 2 3 2 2" xfId="3285"/>
    <cellStyle name="Normal 11 4 2 3 3" xfId="3286"/>
    <cellStyle name="Normal 11 4 2 3 3 2" xfId="3287"/>
    <cellStyle name="Normal 11 4 2 3 4" xfId="3288"/>
    <cellStyle name="Normal 11 4 2 4" xfId="3289"/>
    <cellStyle name="Normal 11 4 2 4 2" xfId="3290"/>
    <cellStyle name="Normal 11 4 2 5" xfId="3291"/>
    <cellStyle name="Normal 11 4 2 5 2" xfId="3292"/>
    <cellStyle name="Normal 11 4 2 6" xfId="3293"/>
    <cellStyle name="Normal 11 4 3" xfId="3294"/>
    <cellStyle name="Normal 11 4 3 2" xfId="3295"/>
    <cellStyle name="Normal 11 4 3 2 2" xfId="3296"/>
    <cellStyle name="Normal 11 4 3 2 2 2" xfId="3297"/>
    <cellStyle name="Normal 11 4 3 2 3" xfId="3298"/>
    <cellStyle name="Normal 11 4 3 2 3 2" xfId="3299"/>
    <cellStyle name="Normal 11 4 3 2 4" xfId="3300"/>
    <cellStyle name="Normal 11 4 3 3" xfId="3301"/>
    <cellStyle name="Normal 11 4 3 3 2" xfId="3302"/>
    <cellStyle name="Normal 11 4 3 4" xfId="3303"/>
    <cellStyle name="Normal 11 4 3 4 2" xfId="3304"/>
    <cellStyle name="Normal 11 4 3 5" xfId="3305"/>
    <cellStyle name="Normal 11 4 4" xfId="3306"/>
    <cellStyle name="Normal 11 4 4 2" xfId="3307"/>
    <cellStyle name="Normal 11 4 4 2 2" xfId="3308"/>
    <cellStyle name="Normal 11 4 4 3" xfId="3309"/>
    <cellStyle name="Normal 11 4 4 3 2" xfId="3310"/>
    <cellStyle name="Normal 11 4 4 4" xfId="3311"/>
    <cellStyle name="Normal 11 4 5" xfId="3312"/>
    <cellStyle name="Normal 11 4 5 2" xfId="3313"/>
    <cellStyle name="Normal 11 4 6" xfId="3314"/>
    <cellStyle name="Normal 11 4 6 2" xfId="3315"/>
    <cellStyle name="Normal 11 4 7" xfId="3316"/>
    <cellStyle name="Normal 11 5" xfId="3317"/>
    <cellStyle name="Normal 11 5 10" xfId="3318"/>
    <cellStyle name="Normal 11 5 10 2" xfId="3319"/>
    <cellStyle name="Normal 11 5 10 3" xfId="3320"/>
    <cellStyle name="Normal 11 5 11" xfId="3321"/>
    <cellStyle name="Normal 11 5 11 2" xfId="3322"/>
    <cellStyle name="Normal 11 5 12" xfId="3323"/>
    <cellStyle name="Normal 11 5 12 2" xfId="3324"/>
    <cellStyle name="Normal 11 5 13" xfId="3325"/>
    <cellStyle name="Normal 11 5 14" xfId="3326"/>
    <cellStyle name="Normal 11 5 15" xfId="3327"/>
    <cellStyle name="Normal 11 5 16" xfId="3328"/>
    <cellStyle name="Normal 11 5 17" xfId="3329"/>
    <cellStyle name="Normal 11 5 18" xfId="3330"/>
    <cellStyle name="Normal 11 5 19" xfId="3331"/>
    <cellStyle name="Normal 11 5 19 2" xfId="3332"/>
    <cellStyle name="Normal 11 5 19 3" xfId="3333"/>
    <cellStyle name="Normal 11 5 19 4" xfId="3334"/>
    <cellStyle name="Normal 11 5 19 5" xfId="3335"/>
    <cellStyle name="Normal 11 5 19 6" xfId="3336"/>
    <cellStyle name="Normal 11 5 2" xfId="3337"/>
    <cellStyle name="Normal 11 5 2 2" xfId="3338"/>
    <cellStyle name="Normal 11 5 2 2 2" xfId="3339"/>
    <cellStyle name="Normal 11 5 2 2 2 2" xfId="3340"/>
    <cellStyle name="Normal 11 5 2 2 3" xfId="3341"/>
    <cellStyle name="Normal 11 5 2 2 3 2" xfId="3342"/>
    <cellStyle name="Normal 11 5 2 2 4" xfId="3343"/>
    <cellStyle name="Normal 11 5 2 2 5" xfId="3344"/>
    <cellStyle name="Normal 11 5 2 3" xfId="3345"/>
    <cellStyle name="Normal 11 5 2 3 2" xfId="3346"/>
    <cellStyle name="Normal 11 5 2 3 3" xfId="3347"/>
    <cellStyle name="Normal 11 5 2 4" xfId="3348"/>
    <cellStyle name="Normal 11 5 2 4 2" xfId="3349"/>
    <cellStyle name="Normal 11 5 2 4 3" xfId="3350"/>
    <cellStyle name="Normal 11 5 2 5" xfId="3351"/>
    <cellStyle name="Normal 11 5 2 6" xfId="3352"/>
    <cellStyle name="Normal 11 5 20" xfId="3353"/>
    <cellStyle name="Normal 11 5 21" xfId="3354"/>
    <cellStyle name="Normal 11 5 22" xfId="3355"/>
    <cellStyle name="Normal 11 5 23" xfId="3356"/>
    <cellStyle name="Normal 11 5 24" xfId="3357"/>
    <cellStyle name="Normal 11 5 25" xfId="3358"/>
    <cellStyle name="Normal 11 5 26" xfId="3359"/>
    <cellStyle name="Normal 11 5 27" xfId="3360"/>
    <cellStyle name="Normal 11 5 28" xfId="3361"/>
    <cellStyle name="Normal 11 5 3" xfId="3362"/>
    <cellStyle name="Normal 11 5 3 2" xfId="3363"/>
    <cellStyle name="Normal 11 5 3 2 2" xfId="3364"/>
    <cellStyle name="Normal 11 5 3 2 2 2" xfId="3365"/>
    <cellStyle name="Normal 11 5 3 2 2 3" xfId="3366"/>
    <cellStyle name="Normal 11 5 3 2 3" xfId="3367"/>
    <cellStyle name="Normal 11 5 3 2 3 2" xfId="3368"/>
    <cellStyle name="Normal 11 5 3 2 3 3" xfId="3369"/>
    <cellStyle name="Normal 11 5 3 2 4" xfId="3370"/>
    <cellStyle name="Normal 11 5 3 2 5" xfId="3371"/>
    <cellStyle name="Normal 11 5 3 3" xfId="3372"/>
    <cellStyle name="Normal 11 5 3 3 2" xfId="3373"/>
    <cellStyle name="Normal 11 5 3 3 3" xfId="3374"/>
    <cellStyle name="Normal 11 5 3 3 4" xfId="3375"/>
    <cellStyle name="Normal 11 5 3 3 5" xfId="3376"/>
    <cellStyle name="Normal 11 5 3 4" xfId="3377"/>
    <cellStyle name="Normal 11 5 3 4 2" xfId="3378"/>
    <cellStyle name="Normal 11 5 3 4 3" xfId="3379"/>
    <cellStyle name="Normal 11 5 3 5" xfId="3380"/>
    <cellStyle name="Normal 11 5 3 5 2" xfId="3381"/>
    <cellStyle name="Normal 11 5 3 5 3" xfId="3382"/>
    <cellStyle name="Normal 11 5 3 6" xfId="3383"/>
    <cellStyle name="Normal 11 5 3 7" xfId="3384"/>
    <cellStyle name="Normal 11 5 4" xfId="3385"/>
    <cellStyle name="Normal 11 5 4 2" xfId="3386"/>
    <cellStyle name="Normal 11 5 4 2 2" xfId="3387"/>
    <cellStyle name="Normal 11 5 4 2 3" xfId="3388"/>
    <cellStyle name="Normal 11 5 4 2 4" xfId="3389"/>
    <cellStyle name="Normal 11 5 4 2 5" xfId="3390"/>
    <cellStyle name="Normal 11 5 4 3" xfId="3391"/>
    <cellStyle name="Normal 11 5 4 3 2" xfId="3392"/>
    <cellStyle name="Normal 11 5 4 3 3" xfId="3393"/>
    <cellStyle name="Normal 11 5 4 4" xfId="3394"/>
    <cellStyle name="Normal 11 5 4 4 2" xfId="3395"/>
    <cellStyle name="Normal 11 5 4 4 3" xfId="3396"/>
    <cellStyle name="Normal 11 5 4 5" xfId="3397"/>
    <cellStyle name="Normal 11 5 4 6" xfId="3398"/>
    <cellStyle name="Normal 11 5 5" xfId="3399"/>
    <cellStyle name="Normal 11 5 5 2" xfId="3400"/>
    <cellStyle name="Normal 11 5 5 2 2" xfId="3401"/>
    <cellStyle name="Normal 11 5 5 2 3" xfId="3402"/>
    <cellStyle name="Normal 11 5 5 2 4" xfId="3403"/>
    <cellStyle name="Normal 11 5 5 2 5" xfId="3404"/>
    <cellStyle name="Normal 11 5 5 3" xfId="3405"/>
    <cellStyle name="Normal 11 5 5 3 2" xfId="3406"/>
    <cellStyle name="Normal 11 5 5 3 3" xfId="3407"/>
    <cellStyle name="Normal 11 5 5 4" xfId="3408"/>
    <cellStyle name="Normal 11 5 5 4 2" xfId="3409"/>
    <cellStyle name="Normal 11 5 5 4 3" xfId="3410"/>
    <cellStyle name="Normal 11 5 5 5" xfId="3411"/>
    <cellStyle name="Normal 11 5 5 6" xfId="3412"/>
    <cellStyle name="Normal 11 5 6" xfId="3413"/>
    <cellStyle name="Normal 11 5 6 2" xfId="3414"/>
    <cellStyle name="Normal 11 5 6 2 2" xfId="3415"/>
    <cellStyle name="Normal 11 5 6 2 3" xfId="3416"/>
    <cellStyle name="Normal 11 5 6 2 4" xfId="3417"/>
    <cellStyle name="Normal 11 5 6 2 5" xfId="3418"/>
    <cellStyle name="Normal 11 5 6 3" xfId="3419"/>
    <cellStyle name="Normal 11 5 6 3 2" xfId="3420"/>
    <cellStyle name="Normal 11 5 6 3 3" xfId="3421"/>
    <cellStyle name="Normal 11 5 6 4" xfId="3422"/>
    <cellStyle name="Normal 11 5 6 4 2" xfId="3423"/>
    <cellStyle name="Normal 11 5 6 4 3" xfId="3424"/>
    <cellStyle name="Normal 11 5 6 5" xfId="3425"/>
    <cellStyle name="Normal 11 5 6 5 2" xfId="3426"/>
    <cellStyle name="Normal 11 5 6 6" xfId="3427"/>
    <cellStyle name="Normal 11 5 6 7" xfId="3428"/>
    <cellStyle name="Normal 11 5 7" xfId="3429"/>
    <cellStyle name="Normal 11 5 7 2" xfId="3430"/>
    <cellStyle name="Normal 11 5 7 2 2" xfId="3431"/>
    <cellStyle name="Normal 11 5 7 2 3" xfId="3432"/>
    <cellStyle name="Normal 11 5 7 3" xfId="3433"/>
    <cellStyle name="Normal 11 5 7 3 2" xfId="3434"/>
    <cellStyle name="Normal 11 5 7 3 3" xfId="3435"/>
    <cellStyle name="Normal 11 5 7 4" xfId="3436"/>
    <cellStyle name="Normal 11 5 7 4 2" xfId="3437"/>
    <cellStyle name="Normal 11 5 7 5" xfId="3438"/>
    <cellStyle name="Normal 11 5 7 6" xfId="3439"/>
    <cellStyle name="Normal 11 5 8" xfId="3440"/>
    <cellStyle name="Normal 11 5 8 2" xfId="3441"/>
    <cellStyle name="Normal 11 5 8 3" xfId="3442"/>
    <cellStyle name="Normal 11 5 8 4" xfId="3443"/>
    <cellStyle name="Normal 11 5 8 5" xfId="3444"/>
    <cellStyle name="Normal 11 5 9" xfId="3445"/>
    <cellStyle name="Normal 11 5 9 2" xfId="3446"/>
    <cellStyle name="Normal 11 5 9 3" xfId="3447"/>
    <cellStyle name="Normal 11 5_10070" xfId="3448"/>
    <cellStyle name="Normal 11 6" xfId="3449"/>
    <cellStyle name="Normal 11 6 2" xfId="3450"/>
    <cellStyle name="Normal 11 6 2 2" xfId="3451"/>
    <cellStyle name="Normal 11 6 2 2 2" xfId="3452"/>
    <cellStyle name="Normal 11 6 2 3" xfId="3453"/>
    <cellStyle name="Normal 11 6 2 3 2" xfId="3454"/>
    <cellStyle name="Normal 11 6 2 4" xfId="3455"/>
    <cellStyle name="Normal 11 6 3" xfId="3456"/>
    <cellStyle name="Normal 11 6 3 2" xfId="3457"/>
    <cellStyle name="Normal 11 6 3 3" xfId="3458"/>
    <cellStyle name="Normal 11 6 4" xfId="3459"/>
    <cellStyle name="Normal 11 6 4 2" xfId="3460"/>
    <cellStyle name="Normal 11 6 5" xfId="3461"/>
    <cellStyle name="Normal 11 7" xfId="3462"/>
    <cellStyle name="Normal 11 7 2" xfId="3463"/>
    <cellStyle name="Normal 11 7 2 2" xfId="3464"/>
    <cellStyle name="Normal 11 7 3" xfId="3465"/>
    <cellStyle name="Normal 11 7 3 2" xfId="3466"/>
    <cellStyle name="Normal 11 7 4" xfId="3467"/>
    <cellStyle name="Normal 11 7 5" xfId="3468"/>
    <cellStyle name="Normal 11 8" xfId="3469"/>
    <cellStyle name="Normal 11 8 2" xfId="3470"/>
    <cellStyle name="Normal 11 8 3" xfId="3471"/>
    <cellStyle name="Normal 11 9" xfId="3472"/>
    <cellStyle name="Normal 11 9 2" xfId="3473"/>
    <cellStyle name="Normal 11_2180" xfId="3474"/>
    <cellStyle name="Normal 110" xfId="3475"/>
    <cellStyle name="Normal 110 2" xfId="3476"/>
    <cellStyle name="Normal 111" xfId="3477"/>
    <cellStyle name="Normal 111 2" xfId="3478"/>
    <cellStyle name="Normal 111 3" xfId="3479"/>
    <cellStyle name="Normal 112" xfId="3480"/>
    <cellStyle name="Normal 112 2" xfId="3481"/>
    <cellStyle name="Normal 112 3" xfId="3482"/>
    <cellStyle name="Normal 113" xfId="3483"/>
    <cellStyle name="Normal 113 2" xfId="3484"/>
    <cellStyle name="Normal 113 3" xfId="3485"/>
    <cellStyle name="Normal 113 4" xfId="3486"/>
    <cellStyle name="Normal 114" xfId="3487"/>
    <cellStyle name="Normal 114 2" xfId="3488"/>
    <cellStyle name="Normal 115" xfId="3489"/>
    <cellStyle name="Normal 116" xfId="3490"/>
    <cellStyle name="Normal 117" xfId="3491"/>
    <cellStyle name="Normal 117 2" xfId="3492"/>
    <cellStyle name="Normal 118" xfId="3493"/>
    <cellStyle name="Normal 118 2" xfId="3494"/>
    <cellStyle name="Normal 119" xfId="3495"/>
    <cellStyle name="Normal 12" xfId="3496"/>
    <cellStyle name="Normal 12 10" xfId="3497"/>
    <cellStyle name="Normal 12 2" xfId="3498"/>
    <cellStyle name="Normal 12 2 2" xfId="3499"/>
    <cellStyle name="Normal 12 2 2 2" xfId="3500"/>
    <cellStyle name="Normal 12 2 2 2 2" xfId="3501"/>
    <cellStyle name="Normal 12 2 2 2 2 2" xfId="3502"/>
    <cellStyle name="Normal 12 2 2 2 2 2 2" xfId="3503"/>
    <cellStyle name="Normal 12 2 2 2 2 2 2 2" xfId="3504"/>
    <cellStyle name="Normal 12 2 2 2 2 2 3" xfId="3505"/>
    <cellStyle name="Normal 12 2 2 2 2 2 3 2" xfId="3506"/>
    <cellStyle name="Normal 12 2 2 2 2 2 4" xfId="3507"/>
    <cellStyle name="Normal 12 2 2 2 2 3" xfId="3508"/>
    <cellStyle name="Normal 12 2 2 2 2 3 2" xfId="3509"/>
    <cellStyle name="Normal 12 2 2 2 2 4" xfId="3510"/>
    <cellStyle name="Normal 12 2 2 2 2 4 2" xfId="3511"/>
    <cellStyle name="Normal 12 2 2 2 2 5" xfId="3512"/>
    <cellStyle name="Normal 12 2 2 2 3" xfId="3513"/>
    <cellStyle name="Normal 12 2 2 2 3 2" xfId="3514"/>
    <cellStyle name="Normal 12 2 2 2 3 2 2" xfId="3515"/>
    <cellStyle name="Normal 12 2 2 2 3 3" xfId="3516"/>
    <cellStyle name="Normal 12 2 2 2 3 3 2" xfId="3517"/>
    <cellStyle name="Normal 12 2 2 2 3 4" xfId="3518"/>
    <cellStyle name="Normal 12 2 2 2 4" xfId="3519"/>
    <cellStyle name="Normal 12 2 2 2 4 2" xfId="3520"/>
    <cellStyle name="Normal 12 2 2 2 5" xfId="3521"/>
    <cellStyle name="Normal 12 2 2 2 5 2" xfId="3522"/>
    <cellStyle name="Normal 12 2 2 2 6" xfId="3523"/>
    <cellStyle name="Normal 12 2 2 3" xfId="3524"/>
    <cellStyle name="Normal 12 2 2 3 2" xfId="3525"/>
    <cellStyle name="Normal 12 2 2 3 2 2" xfId="3526"/>
    <cellStyle name="Normal 12 2 2 3 2 2 2" xfId="3527"/>
    <cellStyle name="Normal 12 2 2 3 2 3" xfId="3528"/>
    <cellStyle name="Normal 12 2 2 3 2 3 2" xfId="3529"/>
    <cellStyle name="Normal 12 2 2 3 2 4" xfId="3530"/>
    <cellStyle name="Normal 12 2 2 3 3" xfId="3531"/>
    <cellStyle name="Normal 12 2 2 3 3 2" xfId="3532"/>
    <cellStyle name="Normal 12 2 2 3 4" xfId="3533"/>
    <cellStyle name="Normal 12 2 2 3 4 2" xfId="3534"/>
    <cellStyle name="Normal 12 2 2 3 5" xfId="3535"/>
    <cellStyle name="Normal 12 2 2 4" xfId="3536"/>
    <cellStyle name="Normal 12 2 2 4 2" xfId="3537"/>
    <cellStyle name="Normal 12 2 2 4 2 2" xfId="3538"/>
    <cellStyle name="Normal 12 2 2 4 3" xfId="3539"/>
    <cellStyle name="Normal 12 2 2 4 3 2" xfId="3540"/>
    <cellStyle name="Normal 12 2 2 4 4" xfId="3541"/>
    <cellStyle name="Normal 12 2 2 5" xfId="3542"/>
    <cellStyle name="Normal 12 2 2 5 2" xfId="3543"/>
    <cellStyle name="Normal 12 2 2 6" xfId="3544"/>
    <cellStyle name="Normal 12 2 2 6 2" xfId="3545"/>
    <cellStyle name="Normal 12 2 2 7" xfId="3546"/>
    <cellStyle name="Normal 12 2 3" xfId="3547"/>
    <cellStyle name="Normal 12 2 3 2" xfId="3548"/>
    <cellStyle name="Normal 12 2 3 2 2" xfId="3549"/>
    <cellStyle name="Normal 12 2 3 2 2 2" xfId="3550"/>
    <cellStyle name="Normal 12 2 3 2 2 2 2" xfId="3551"/>
    <cellStyle name="Normal 12 2 3 2 2 3" xfId="3552"/>
    <cellStyle name="Normal 12 2 3 2 2 3 2" xfId="3553"/>
    <cellStyle name="Normal 12 2 3 2 2 4" xfId="3554"/>
    <cellStyle name="Normal 12 2 3 2 3" xfId="3555"/>
    <cellStyle name="Normal 12 2 3 2 3 2" xfId="3556"/>
    <cellStyle name="Normal 12 2 3 2 4" xfId="3557"/>
    <cellStyle name="Normal 12 2 3 2 4 2" xfId="3558"/>
    <cellStyle name="Normal 12 2 3 2 5" xfId="3559"/>
    <cellStyle name="Normal 12 2 3 3" xfId="3560"/>
    <cellStyle name="Normal 12 2 3 3 2" xfId="3561"/>
    <cellStyle name="Normal 12 2 3 3 2 2" xfId="3562"/>
    <cellStyle name="Normal 12 2 3 3 3" xfId="3563"/>
    <cellStyle name="Normal 12 2 3 3 3 2" xfId="3564"/>
    <cellStyle name="Normal 12 2 3 3 4" xfId="3565"/>
    <cellStyle name="Normal 12 2 3 4" xfId="3566"/>
    <cellStyle name="Normal 12 2 3 4 2" xfId="3567"/>
    <cellStyle name="Normal 12 2 3 5" xfId="3568"/>
    <cellStyle name="Normal 12 2 3 5 2" xfId="3569"/>
    <cellStyle name="Normal 12 2 3 6" xfId="3570"/>
    <cellStyle name="Normal 12 2 4" xfId="3571"/>
    <cellStyle name="Normal 12 2 4 2" xfId="3572"/>
    <cellStyle name="Normal 12 2 4 2 2" xfId="3573"/>
    <cellStyle name="Normal 12 2 4 2 2 2" xfId="3574"/>
    <cellStyle name="Normal 12 2 4 2 3" xfId="3575"/>
    <cellStyle name="Normal 12 2 4 2 3 2" xfId="3576"/>
    <cellStyle name="Normal 12 2 4 2 4" xfId="3577"/>
    <cellStyle name="Normal 12 2 4 3" xfId="3578"/>
    <cellStyle name="Normal 12 2 4 3 2" xfId="3579"/>
    <cellStyle name="Normal 12 2 4 4" xfId="3580"/>
    <cellStyle name="Normal 12 2 4 4 2" xfId="3581"/>
    <cellStyle name="Normal 12 2 4 5" xfId="3582"/>
    <cellStyle name="Normal 12 2 5" xfId="3583"/>
    <cellStyle name="Normal 12 2 5 2" xfId="3584"/>
    <cellStyle name="Normal 12 2 5 2 2" xfId="3585"/>
    <cellStyle name="Normal 12 2 5 3" xfId="3586"/>
    <cellStyle name="Normal 12 2 5 3 2" xfId="3587"/>
    <cellStyle name="Normal 12 2 5 4" xfId="3588"/>
    <cellStyle name="Normal 12 2 6" xfId="3589"/>
    <cellStyle name="Normal 12 2 6 2" xfId="3590"/>
    <cellStyle name="Normal 12 2 7" xfId="3591"/>
    <cellStyle name="Normal 12 2 7 2" xfId="3592"/>
    <cellStyle name="Normal 12 2 8" xfId="3593"/>
    <cellStyle name="Normal 12 3" xfId="3594"/>
    <cellStyle name="Normal 12 3 2" xfId="3595"/>
    <cellStyle name="Normal 12 3 2 2" xfId="3596"/>
    <cellStyle name="Normal 12 3 2 2 2" xfId="3597"/>
    <cellStyle name="Normal 12 3 2 2 2 2" xfId="3598"/>
    <cellStyle name="Normal 12 3 2 2 2 2 2" xfId="3599"/>
    <cellStyle name="Normal 12 3 2 2 2 3" xfId="3600"/>
    <cellStyle name="Normal 12 3 2 2 2 3 2" xfId="3601"/>
    <cellStyle name="Normal 12 3 2 2 2 4" xfId="3602"/>
    <cellStyle name="Normal 12 3 2 2 3" xfId="3603"/>
    <cellStyle name="Normal 12 3 2 2 3 2" xfId="3604"/>
    <cellStyle name="Normal 12 3 2 2 4" xfId="3605"/>
    <cellStyle name="Normal 12 3 2 2 4 2" xfId="3606"/>
    <cellStyle name="Normal 12 3 2 2 5" xfId="3607"/>
    <cellStyle name="Normal 12 3 2 3" xfId="3608"/>
    <cellStyle name="Normal 12 3 2 3 2" xfId="3609"/>
    <cellStyle name="Normal 12 3 2 3 2 2" xfId="3610"/>
    <cellStyle name="Normal 12 3 2 3 3" xfId="3611"/>
    <cellStyle name="Normal 12 3 2 3 3 2" xfId="3612"/>
    <cellStyle name="Normal 12 3 2 3 4" xfId="3613"/>
    <cellStyle name="Normal 12 3 2 4" xfId="3614"/>
    <cellStyle name="Normal 12 3 2 4 2" xfId="3615"/>
    <cellStyle name="Normal 12 3 2 5" xfId="3616"/>
    <cellStyle name="Normal 12 3 2 5 2" xfId="3617"/>
    <cellStyle name="Normal 12 3 2 6" xfId="3618"/>
    <cellStyle name="Normal 12 3 3" xfId="3619"/>
    <cellStyle name="Normal 12 3 3 2" xfId="3620"/>
    <cellStyle name="Normal 12 3 3 2 2" xfId="3621"/>
    <cellStyle name="Normal 12 3 3 2 2 2" xfId="3622"/>
    <cellStyle name="Normal 12 3 3 2 3" xfId="3623"/>
    <cellStyle name="Normal 12 3 3 2 3 2" xfId="3624"/>
    <cellStyle name="Normal 12 3 3 2 4" xfId="3625"/>
    <cellStyle name="Normal 12 3 3 3" xfId="3626"/>
    <cellStyle name="Normal 12 3 3 3 2" xfId="3627"/>
    <cellStyle name="Normal 12 3 3 4" xfId="3628"/>
    <cellStyle name="Normal 12 3 3 4 2" xfId="3629"/>
    <cellStyle name="Normal 12 3 3 5" xfId="3630"/>
    <cellStyle name="Normal 12 3 4" xfId="3631"/>
    <cellStyle name="Normal 12 3 4 2" xfId="3632"/>
    <cellStyle name="Normal 12 3 4 2 2" xfId="3633"/>
    <cellStyle name="Normal 12 3 4 3" xfId="3634"/>
    <cellStyle name="Normal 12 3 4 3 2" xfId="3635"/>
    <cellStyle name="Normal 12 3 4 4" xfId="3636"/>
    <cellStyle name="Normal 12 3 5" xfId="3637"/>
    <cellStyle name="Normal 12 3 5 2" xfId="3638"/>
    <cellStyle name="Normal 12 3 6" xfId="3639"/>
    <cellStyle name="Normal 12 3 6 2" xfId="3640"/>
    <cellStyle name="Normal 12 3 7" xfId="3641"/>
    <cellStyle name="Normal 12 3 8" xfId="3642"/>
    <cellStyle name="Normal 12 4" xfId="3643"/>
    <cellStyle name="Normal 12 4 2" xfId="3644"/>
    <cellStyle name="Normal 12 4 2 2" xfId="3645"/>
    <cellStyle name="Normal 12 4 2 2 2" xfId="3646"/>
    <cellStyle name="Normal 12 4 2 2 2 2" xfId="3647"/>
    <cellStyle name="Normal 12 4 2 2 2 2 2" xfId="3648"/>
    <cellStyle name="Normal 12 4 2 2 2 3" xfId="3649"/>
    <cellStyle name="Normal 12 4 2 2 2 3 2" xfId="3650"/>
    <cellStyle name="Normal 12 4 2 2 2 4" xfId="3651"/>
    <cellStyle name="Normal 12 4 2 2 3" xfId="3652"/>
    <cellStyle name="Normal 12 4 2 2 3 2" xfId="3653"/>
    <cellStyle name="Normal 12 4 2 2 4" xfId="3654"/>
    <cellStyle name="Normal 12 4 2 2 4 2" xfId="3655"/>
    <cellStyle name="Normal 12 4 2 2 5" xfId="3656"/>
    <cellStyle name="Normal 12 4 2 3" xfId="3657"/>
    <cellStyle name="Normal 12 4 2 3 2" xfId="3658"/>
    <cellStyle name="Normal 12 4 2 3 2 2" xfId="3659"/>
    <cellStyle name="Normal 12 4 2 3 3" xfId="3660"/>
    <cellStyle name="Normal 12 4 2 3 3 2" xfId="3661"/>
    <cellStyle name="Normal 12 4 2 3 4" xfId="3662"/>
    <cellStyle name="Normal 12 4 2 4" xfId="3663"/>
    <cellStyle name="Normal 12 4 2 4 2" xfId="3664"/>
    <cellStyle name="Normal 12 4 2 5" xfId="3665"/>
    <cellStyle name="Normal 12 4 2 5 2" xfId="3666"/>
    <cellStyle name="Normal 12 4 2 6" xfId="3667"/>
    <cellStyle name="Normal 12 4 3" xfId="3668"/>
    <cellStyle name="Normal 12 4 3 2" xfId="3669"/>
    <cellStyle name="Normal 12 4 3 2 2" xfId="3670"/>
    <cellStyle name="Normal 12 4 3 2 2 2" xfId="3671"/>
    <cellStyle name="Normal 12 4 3 2 3" xfId="3672"/>
    <cellStyle name="Normal 12 4 3 2 3 2" xfId="3673"/>
    <cellStyle name="Normal 12 4 3 2 4" xfId="3674"/>
    <cellStyle name="Normal 12 4 3 3" xfId="3675"/>
    <cellStyle name="Normal 12 4 3 3 2" xfId="3676"/>
    <cellStyle name="Normal 12 4 3 4" xfId="3677"/>
    <cellStyle name="Normal 12 4 3 4 2" xfId="3678"/>
    <cellStyle name="Normal 12 4 3 5" xfId="3679"/>
    <cellStyle name="Normal 12 4 4" xfId="3680"/>
    <cellStyle name="Normal 12 4 4 2" xfId="3681"/>
    <cellStyle name="Normal 12 4 4 2 2" xfId="3682"/>
    <cellStyle name="Normal 12 4 4 3" xfId="3683"/>
    <cellStyle name="Normal 12 4 4 3 2" xfId="3684"/>
    <cellStyle name="Normal 12 4 4 4" xfId="3685"/>
    <cellStyle name="Normal 12 4 5" xfId="3686"/>
    <cellStyle name="Normal 12 4 5 2" xfId="3687"/>
    <cellStyle name="Normal 12 4 6" xfId="3688"/>
    <cellStyle name="Normal 12 4 6 2" xfId="3689"/>
    <cellStyle name="Normal 12 4 7" xfId="3690"/>
    <cellStyle name="Normal 12 5" xfId="3691"/>
    <cellStyle name="Normal 12 5 2" xfId="3692"/>
    <cellStyle name="Normal 12 5 2 2" xfId="3693"/>
    <cellStyle name="Normal 12 5 2 2 2" xfId="3694"/>
    <cellStyle name="Normal 12 5 2 2 2 2" xfId="3695"/>
    <cellStyle name="Normal 12 5 2 2 3" xfId="3696"/>
    <cellStyle name="Normal 12 5 2 2 3 2" xfId="3697"/>
    <cellStyle name="Normal 12 5 2 2 4" xfId="3698"/>
    <cellStyle name="Normal 12 5 2 3" xfId="3699"/>
    <cellStyle name="Normal 12 5 2 3 2" xfId="3700"/>
    <cellStyle name="Normal 12 5 2 4" xfId="3701"/>
    <cellStyle name="Normal 12 5 2 4 2" xfId="3702"/>
    <cellStyle name="Normal 12 5 2 5" xfId="3703"/>
    <cellStyle name="Normal 12 5 3" xfId="3704"/>
    <cellStyle name="Normal 12 5 3 2" xfId="3705"/>
    <cellStyle name="Normal 12 5 3 2 2" xfId="3706"/>
    <cellStyle name="Normal 12 5 3 3" xfId="3707"/>
    <cellStyle name="Normal 12 5 3 3 2" xfId="3708"/>
    <cellStyle name="Normal 12 5 3 4" xfId="3709"/>
    <cellStyle name="Normal 12 5 4" xfId="3710"/>
    <cellStyle name="Normal 12 5 4 2" xfId="3711"/>
    <cellStyle name="Normal 12 5 5" xfId="3712"/>
    <cellStyle name="Normal 12 5 5 2" xfId="3713"/>
    <cellStyle name="Normal 12 5 6" xfId="3714"/>
    <cellStyle name="Normal 12 6" xfId="3715"/>
    <cellStyle name="Normal 12 6 2" xfId="3716"/>
    <cellStyle name="Normal 12 6 2 2" xfId="3717"/>
    <cellStyle name="Normal 12 6 2 2 2" xfId="3718"/>
    <cellStyle name="Normal 12 6 2 3" xfId="3719"/>
    <cellStyle name="Normal 12 6 2 3 2" xfId="3720"/>
    <cellStyle name="Normal 12 6 2 4" xfId="3721"/>
    <cellStyle name="Normal 12 6 3" xfId="3722"/>
    <cellStyle name="Normal 12 6 3 2" xfId="3723"/>
    <cellStyle name="Normal 12 6 4" xfId="3724"/>
    <cellStyle name="Normal 12 6 4 2" xfId="3725"/>
    <cellStyle name="Normal 12 6 5" xfId="3726"/>
    <cellStyle name="Normal 12 7" xfId="3727"/>
    <cellStyle name="Normal 12 7 2" xfId="3728"/>
    <cellStyle name="Normal 12 7 2 2" xfId="3729"/>
    <cellStyle name="Normal 12 7 3" xfId="3730"/>
    <cellStyle name="Normal 12 7 3 2" xfId="3731"/>
    <cellStyle name="Normal 12 7 4" xfId="3732"/>
    <cellStyle name="Normal 12 8" xfId="3733"/>
    <cellStyle name="Normal 12 8 2" xfId="3734"/>
    <cellStyle name="Normal 12 9" xfId="3735"/>
    <cellStyle name="Normal 12 9 2" xfId="3736"/>
    <cellStyle name="Normal 12_2180" xfId="3737"/>
    <cellStyle name="Normal 120" xfId="3738"/>
    <cellStyle name="Normal 121" xfId="3739"/>
    <cellStyle name="Normal 122" xfId="3740"/>
    <cellStyle name="Normal 123" xfId="3741"/>
    <cellStyle name="Normal 124" xfId="3742"/>
    <cellStyle name="Normal 125" xfId="3743"/>
    <cellStyle name="Normal 126" xfId="3744"/>
    <cellStyle name="Normal 127" xfId="3745"/>
    <cellStyle name="Normal 128" xfId="3746"/>
    <cellStyle name="Normal 128 2" xfId="3747"/>
    <cellStyle name="Normal 129" xfId="3748"/>
    <cellStyle name="Normal 13" xfId="3749"/>
    <cellStyle name="Normal 13 10" xfId="3750"/>
    <cellStyle name="Normal 13 2" xfId="3751"/>
    <cellStyle name="Normal 13 2 2" xfId="3752"/>
    <cellStyle name="Normal 13 2 2 2" xfId="3753"/>
    <cellStyle name="Normal 13 2 2 2 2" xfId="3754"/>
    <cellStyle name="Normal 13 2 2 2 2 2" xfId="3755"/>
    <cellStyle name="Normal 13 2 2 2 2 2 2" xfId="3756"/>
    <cellStyle name="Normal 13 2 2 2 2 2 2 2" xfId="3757"/>
    <cellStyle name="Normal 13 2 2 2 2 2 3" xfId="3758"/>
    <cellStyle name="Normal 13 2 2 2 2 2 3 2" xfId="3759"/>
    <cellStyle name="Normal 13 2 2 2 2 2 4" xfId="3760"/>
    <cellStyle name="Normal 13 2 2 2 2 3" xfId="3761"/>
    <cellStyle name="Normal 13 2 2 2 2 3 2" xfId="3762"/>
    <cellStyle name="Normal 13 2 2 2 2 4" xfId="3763"/>
    <cellStyle name="Normal 13 2 2 2 2 4 2" xfId="3764"/>
    <cellStyle name="Normal 13 2 2 2 2 5" xfId="3765"/>
    <cellStyle name="Normal 13 2 2 2 3" xfId="3766"/>
    <cellStyle name="Normal 13 2 2 2 3 2" xfId="3767"/>
    <cellStyle name="Normal 13 2 2 2 3 2 2" xfId="3768"/>
    <cellStyle name="Normal 13 2 2 2 3 3" xfId="3769"/>
    <cellStyle name="Normal 13 2 2 2 3 3 2" xfId="3770"/>
    <cellStyle name="Normal 13 2 2 2 3 4" xfId="3771"/>
    <cellStyle name="Normal 13 2 2 2 4" xfId="3772"/>
    <cellStyle name="Normal 13 2 2 2 4 2" xfId="3773"/>
    <cellStyle name="Normal 13 2 2 2 5" xfId="3774"/>
    <cellStyle name="Normal 13 2 2 2 5 2" xfId="3775"/>
    <cellStyle name="Normal 13 2 2 2 6" xfId="3776"/>
    <cellStyle name="Normal 13 2 2 3" xfId="3777"/>
    <cellStyle name="Normal 13 2 2 3 2" xfId="3778"/>
    <cellStyle name="Normal 13 2 2 3 2 2" xfId="3779"/>
    <cellStyle name="Normal 13 2 2 3 2 2 2" xfId="3780"/>
    <cellStyle name="Normal 13 2 2 3 2 3" xfId="3781"/>
    <cellStyle name="Normal 13 2 2 3 2 3 2" xfId="3782"/>
    <cellStyle name="Normal 13 2 2 3 2 4" xfId="3783"/>
    <cellStyle name="Normal 13 2 2 3 3" xfId="3784"/>
    <cellStyle name="Normal 13 2 2 3 3 2" xfId="3785"/>
    <cellStyle name="Normal 13 2 2 3 4" xfId="3786"/>
    <cellStyle name="Normal 13 2 2 3 4 2" xfId="3787"/>
    <cellStyle name="Normal 13 2 2 3 5" xfId="3788"/>
    <cellStyle name="Normal 13 2 2 4" xfId="3789"/>
    <cellStyle name="Normal 13 2 2 4 2" xfId="3790"/>
    <cellStyle name="Normal 13 2 2 4 2 2" xfId="3791"/>
    <cellStyle name="Normal 13 2 2 4 3" xfId="3792"/>
    <cellStyle name="Normal 13 2 2 4 3 2" xfId="3793"/>
    <cellStyle name="Normal 13 2 2 4 4" xfId="3794"/>
    <cellStyle name="Normal 13 2 2 5" xfId="3795"/>
    <cellStyle name="Normal 13 2 2 5 2" xfId="3796"/>
    <cellStyle name="Normal 13 2 2 6" xfId="3797"/>
    <cellStyle name="Normal 13 2 2 6 2" xfId="3798"/>
    <cellStyle name="Normal 13 2 2 7" xfId="3799"/>
    <cellStyle name="Normal 13 2 3" xfId="3800"/>
    <cellStyle name="Normal 13 2 3 2" xfId="3801"/>
    <cellStyle name="Normal 13 2 3 2 2" xfId="3802"/>
    <cellStyle name="Normal 13 2 3 2 2 2" xfId="3803"/>
    <cellStyle name="Normal 13 2 3 2 2 2 2" xfId="3804"/>
    <cellStyle name="Normal 13 2 3 2 2 3" xfId="3805"/>
    <cellStyle name="Normal 13 2 3 2 2 3 2" xfId="3806"/>
    <cellStyle name="Normal 13 2 3 2 2 4" xfId="3807"/>
    <cellStyle name="Normal 13 2 3 2 3" xfId="3808"/>
    <cellStyle name="Normal 13 2 3 2 3 2" xfId="3809"/>
    <cellStyle name="Normal 13 2 3 2 4" xfId="3810"/>
    <cellStyle name="Normal 13 2 3 2 4 2" xfId="3811"/>
    <cellStyle name="Normal 13 2 3 2 5" xfId="3812"/>
    <cellStyle name="Normal 13 2 3 3" xfId="3813"/>
    <cellStyle name="Normal 13 2 3 3 2" xfId="3814"/>
    <cellStyle name="Normal 13 2 3 3 2 2" xfId="3815"/>
    <cellStyle name="Normal 13 2 3 3 3" xfId="3816"/>
    <cellStyle name="Normal 13 2 3 3 3 2" xfId="3817"/>
    <cellStyle name="Normal 13 2 3 3 4" xfId="3818"/>
    <cellStyle name="Normal 13 2 3 4" xfId="3819"/>
    <cellStyle name="Normal 13 2 3 4 2" xfId="3820"/>
    <cellStyle name="Normal 13 2 3 5" xfId="3821"/>
    <cellStyle name="Normal 13 2 3 5 2" xfId="3822"/>
    <cellStyle name="Normal 13 2 3 6" xfId="3823"/>
    <cellStyle name="Normal 13 2 4" xfId="3824"/>
    <cellStyle name="Normal 13 2 4 2" xfId="3825"/>
    <cellStyle name="Normal 13 2 4 2 2" xfId="3826"/>
    <cellStyle name="Normal 13 2 4 2 2 2" xfId="3827"/>
    <cellStyle name="Normal 13 2 4 2 3" xfId="3828"/>
    <cellStyle name="Normal 13 2 4 2 3 2" xfId="3829"/>
    <cellStyle name="Normal 13 2 4 2 4" xfId="3830"/>
    <cellStyle name="Normal 13 2 4 3" xfId="3831"/>
    <cellStyle name="Normal 13 2 4 3 2" xfId="3832"/>
    <cellStyle name="Normal 13 2 4 4" xfId="3833"/>
    <cellStyle name="Normal 13 2 4 4 2" xfId="3834"/>
    <cellStyle name="Normal 13 2 4 5" xfId="3835"/>
    <cellStyle name="Normal 13 2 5" xfId="3836"/>
    <cellStyle name="Normal 13 2 5 2" xfId="3837"/>
    <cellStyle name="Normal 13 2 5 2 2" xfId="3838"/>
    <cellStyle name="Normal 13 2 5 3" xfId="3839"/>
    <cellStyle name="Normal 13 2 5 3 2" xfId="3840"/>
    <cellStyle name="Normal 13 2 5 4" xfId="3841"/>
    <cellStyle name="Normal 13 2 6" xfId="3842"/>
    <cellStyle name="Normal 13 2 6 2" xfId="3843"/>
    <cellStyle name="Normal 13 2 7" xfId="3844"/>
    <cellStyle name="Normal 13 2 7 2" xfId="3845"/>
    <cellStyle name="Normal 13 2 8" xfId="3846"/>
    <cellStyle name="Normal 13 3" xfId="3847"/>
    <cellStyle name="Normal 13 3 2" xfId="3848"/>
    <cellStyle name="Normal 13 3 2 2" xfId="3849"/>
    <cellStyle name="Normal 13 3 2 2 2" xfId="3850"/>
    <cellStyle name="Normal 13 3 2 2 2 2" xfId="3851"/>
    <cellStyle name="Normal 13 3 2 2 2 2 2" xfId="3852"/>
    <cellStyle name="Normal 13 3 2 2 2 3" xfId="3853"/>
    <cellStyle name="Normal 13 3 2 2 2 3 2" xfId="3854"/>
    <cellStyle name="Normal 13 3 2 2 2 4" xfId="3855"/>
    <cellStyle name="Normal 13 3 2 2 3" xfId="3856"/>
    <cellStyle name="Normal 13 3 2 2 3 2" xfId="3857"/>
    <cellStyle name="Normal 13 3 2 2 4" xfId="3858"/>
    <cellStyle name="Normal 13 3 2 2 4 2" xfId="3859"/>
    <cellStyle name="Normal 13 3 2 2 5" xfId="3860"/>
    <cellStyle name="Normal 13 3 2 3" xfId="3861"/>
    <cellStyle name="Normal 13 3 2 3 2" xfId="3862"/>
    <cellStyle name="Normal 13 3 2 3 2 2" xfId="3863"/>
    <cellStyle name="Normal 13 3 2 3 3" xfId="3864"/>
    <cellStyle name="Normal 13 3 2 3 3 2" xfId="3865"/>
    <cellStyle name="Normal 13 3 2 3 4" xfId="3866"/>
    <cellStyle name="Normal 13 3 2 4" xfId="3867"/>
    <cellStyle name="Normal 13 3 2 4 2" xfId="3868"/>
    <cellStyle name="Normal 13 3 2 5" xfId="3869"/>
    <cellStyle name="Normal 13 3 2 5 2" xfId="3870"/>
    <cellStyle name="Normal 13 3 2 6" xfId="3871"/>
    <cellStyle name="Normal 13 3 3" xfId="3872"/>
    <cellStyle name="Normal 13 3 3 2" xfId="3873"/>
    <cellStyle name="Normal 13 3 3 2 2" xfId="3874"/>
    <cellStyle name="Normal 13 3 3 2 2 2" xfId="3875"/>
    <cellStyle name="Normal 13 3 3 2 3" xfId="3876"/>
    <cellStyle name="Normal 13 3 3 2 3 2" xfId="3877"/>
    <cellStyle name="Normal 13 3 3 2 4" xfId="3878"/>
    <cellStyle name="Normal 13 3 3 3" xfId="3879"/>
    <cellStyle name="Normal 13 3 3 3 2" xfId="3880"/>
    <cellStyle name="Normal 13 3 3 4" xfId="3881"/>
    <cellStyle name="Normal 13 3 3 4 2" xfId="3882"/>
    <cellStyle name="Normal 13 3 3 5" xfId="3883"/>
    <cellStyle name="Normal 13 3 4" xfId="3884"/>
    <cellStyle name="Normal 13 3 4 2" xfId="3885"/>
    <cellStyle name="Normal 13 3 4 2 2" xfId="3886"/>
    <cellStyle name="Normal 13 3 4 3" xfId="3887"/>
    <cellStyle name="Normal 13 3 4 3 2" xfId="3888"/>
    <cellStyle name="Normal 13 3 4 4" xfId="3889"/>
    <cellStyle name="Normal 13 3 5" xfId="3890"/>
    <cellStyle name="Normal 13 3 5 2" xfId="3891"/>
    <cellStyle name="Normal 13 3 6" xfId="3892"/>
    <cellStyle name="Normal 13 3 6 2" xfId="3893"/>
    <cellStyle name="Normal 13 3 7" xfId="3894"/>
    <cellStyle name="Normal 13 3 8" xfId="3895"/>
    <cellStyle name="Normal 13 4" xfId="3896"/>
    <cellStyle name="Normal 13 4 2" xfId="3897"/>
    <cellStyle name="Normal 13 4 2 2" xfId="3898"/>
    <cellStyle name="Normal 13 4 2 2 2" xfId="3899"/>
    <cellStyle name="Normal 13 4 2 2 2 2" xfId="3900"/>
    <cellStyle name="Normal 13 4 2 2 2 2 2" xfId="3901"/>
    <cellStyle name="Normal 13 4 2 2 2 3" xfId="3902"/>
    <cellStyle name="Normal 13 4 2 2 2 3 2" xfId="3903"/>
    <cellStyle name="Normal 13 4 2 2 2 4" xfId="3904"/>
    <cellStyle name="Normal 13 4 2 2 3" xfId="3905"/>
    <cellStyle name="Normal 13 4 2 2 3 2" xfId="3906"/>
    <cellStyle name="Normal 13 4 2 2 4" xfId="3907"/>
    <cellStyle name="Normal 13 4 2 2 4 2" xfId="3908"/>
    <cellStyle name="Normal 13 4 2 2 5" xfId="3909"/>
    <cellStyle name="Normal 13 4 2 3" xfId="3910"/>
    <cellStyle name="Normal 13 4 2 3 2" xfId="3911"/>
    <cellStyle name="Normal 13 4 2 3 2 2" xfId="3912"/>
    <cellStyle name="Normal 13 4 2 3 3" xfId="3913"/>
    <cellStyle name="Normal 13 4 2 3 3 2" xfId="3914"/>
    <cellStyle name="Normal 13 4 2 3 4" xfId="3915"/>
    <cellStyle name="Normal 13 4 2 4" xfId="3916"/>
    <cellStyle name="Normal 13 4 2 4 2" xfId="3917"/>
    <cellStyle name="Normal 13 4 2 5" xfId="3918"/>
    <cellStyle name="Normal 13 4 2 5 2" xfId="3919"/>
    <cellStyle name="Normal 13 4 2 6" xfId="3920"/>
    <cellStyle name="Normal 13 4 3" xfId="3921"/>
    <cellStyle name="Normal 13 4 3 2" xfId="3922"/>
    <cellStyle name="Normal 13 4 3 2 2" xfId="3923"/>
    <cellStyle name="Normal 13 4 3 2 2 2" xfId="3924"/>
    <cellStyle name="Normal 13 4 3 2 3" xfId="3925"/>
    <cellStyle name="Normal 13 4 3 2 3 2" xfId="3926"/>
    <cellStyle name="Normal 13 4 3 2 4" xfId="3927"/>
    <cellStyle name="Normal 13 4 3 3" xfId="3928"/>
    <cellStyle name="Normal 13 4 3 3 2" xfId="3929"/>
    <cellStyle name="Normal 13 4 3 4" xfId="3930"/>
    <cellStyle name="Normal 13 4 3 4 2" xfId="3931"/>
    <cellStyle name="Normal 13 4 3 5" xfId="3932"/>
    <cellStyle name="Normal 13 4 4" xfId="3933"/>
    <cellStyle name="Normal 13 4 4 2" xfId="3934"/>
    <cellStyle name="Normal 13 4 4 2 2" xfId="3935"/>
    <cellStyle name="Normal 13 4 4 3" xfId="3936"/>
    <cellStyle name="Normal 13 4 4 3 2" xfId="3937"/>
    <cellStyle name="Normal 13 4 4 4" xfId="3938"/>
    <cellStyle name="Normal 13 4 5" xfId="3939"/>
    <cellStyle name="Normal 13 4 5 2" xfId="3940"/>
    <cellStyle name="Normal 13 4 6" xfId="3941"/>
    <cellStyle name="Normal 13 4 6 2" xfId="3942"/>
    <cellStyle name="Normal 13 4 7" xfId="3943"/>
    <cellStyle name="Normal 13 5" xfId="3944"/>
    <cellStyle name="Normal 13 5 2" xfId="3945"/>
    <cellStyle name="Normal 13 5 2 2" xfId="3946"/>
    <cellStyle name="Normal 13 5 2 2 2" xfId="3947"/>
    <cellStyle name="Normal 13 5 2 2 2 2" xfId="3948"/>
    <cellStyle name="Normal 13 5 2 2 3" xfId="3949"/>
    <cellStyle name="Normal 13 5 2 2 3 2" xfId="3950"/>
    <cellStyle name="Normal 13 5 2 2 4" xfId="3951"/>
    <cellStyle name="Normal 13 5 2 3" xfId="3952"/>
    <cellStyle name="Normal 13 5 2 3 2" xfId="3953"/>
    <cellStyle name="Normal 13 5 2 4" xfId="3954"/>
    <cellStyle name="Normal 13 5 2 4 2" xfId="3955"/>
    <cellStyle name="Normal 13 5 2 5" xfId="3956"/>
    <cellStyle name="Normal 13 5 3" xfId="3957"/>
    <cellStyle name="Normal 13 5 3 2" xfId="3958"/>
    <cellStyle name="Normal 13 5 3 2 2" xfId="3959"/>
    <cellStyle name="Normal 13 5 3 3" xfId="3960"/>
    <cellStyle name="Normal 13 5 3 3 2" xfId="3961"/>
    <cellStyle name="Normal 13 5 3 4" xfId="3962"/>
    <cellStyle name="Normal 13 5 4" xfId="3963"/>
    <cellStyle name="Normal 13 5 4 2" xfId="3964"/>
    <cellStyle name="Normal 13 5 5" xfId="3965"/>
    <cellStyle name="Normal 13 5 5 2" xfId="3966"/>
    <cellStyle name="Normal 13 5 6" xfId="3967"/>
    <cellStyle name="Normal 13 6" xfId="3968"/>
    <cellStyle name="Normal 13 6 2" xfId="3969"/>
    <cellStyle name="Normal 13 6 2 2" xfId="3970"/>
    <cellStyle name="Normal 13 6 2 2 2" xfId="3971"/>
    <cellStyle name="Normal 13 6 2 3" xfId="3972"/>
    <cellStyle name="Normal 13 6 2 3 2" xfId="3973"/>
    <cellStyle name="Normal 13 6 2 4" xfId="3974"/>
    <cellStyle name="Normal 13 6 3" xfId="3975"/>
    <cellStyle name="Normal 13 6 3 2" xfId="3976"/>
    <cellStyle name="Normal 13 6 4" xfId="3977"/>
    <cellStyle name="Normal 13 6 4 2" xfId="3978"/>
    <cellStyle name="Normal 13 6 5" xfId="3979"/>
    <cellStyle name="Normal 13 7" xfId="3980"/>
    <cellStyle name="Normal 13 7 2" xfId="3981"/>
    <cellStyle name="Normal 13 7 2 2" xfId="3982"/>
    <cellStyle name="Normal 13 7 3" xfId="3983"/>
    <cellStyle name="Normal 13 7 3 2" xfId="3984"/>
    <cellStyle name="Normal 13 7 4" xfId="3985"/>
    <cellStyle name="Normal 13 8" xfId="3986"/>
    <cellStyle name="Normal 13 8 2" xfId="3987"/>
    <cellStyle name="Normal 13 9" xfId="3988"/>
    <cellStyle name="Normal 13 9 2" xfId="3989"/>
    <cellStyle name="Normal 13_Recycling Tons" xfId="3990"/>
    <cellStyle name="Normal 14" xfId="3991"/>
    <cellStyle name="Normal 14 2" xfId="3992"/>
    <cellStyle name="Normal 14 2 2" xfId="3993"/>
    <cellStyle name="Normal 14 2 2 2" xfId="3994"/>
    <cellStyle name="Normal 14 2 2 2 2" xfId="3995"/>
    <cellStyle name="Normal 14 2 2 2 2 2" xfId="3996"/>
    <cellStyle name="Normal 14 2 2 2 2 2 2" xfId="3997"/>
    <cellStyle name="Normal 14 2 2 2 2 3" xfId="3998"/>
    <cellStyle name="Normal 14 2 2 2 2 3 2" xfId="3999"/>
    <cellStyle name="Normal 14 2 2 2 2 4" xfId="4000"/>
    <cellStyle name="Normal 14 2 2 2 3" xfId="4001"/>
    <cellStyle name="Normal 14 2 2 2 3 2" xfId="4002"/>
    <cellStyle name="Normal 14 2 2 2 4" xfId="4003"/>
    <cellStyle name="Normal 14 2 2 2 4 2" xfId="4004"/>
    <cellStyle name="Normal 14 2 2 2 5" xfId="4005"/>
    <cellStyle name="Normal 14 2 2 3" xfId="4006"/>
    <cellStyle name="Normal 14 2 2 3 2" xfId="4007"/>
    <cellStyle name="Normal 14 2 2 3 2 2" xfId="4008"/>
    <cellStyle name="Normal 14 2 2 3 3" xfId="4009"/>
    <cellStyle name="Normal 14 2 2 3 3 2" xfId="4010"/>
    <cellStyle name="Normal 14 2 2 3 4" xfId="4011"/>
    <cellStyle name="Normal 14 2 2 4" xfId="4012"/>
    <cellStyle name="Normal 14 2 2 4 2" xfId="4013"/>
    <cellStyle name="Normal 14 2 2 5" xfId="4014"/>
    <cellStyle name="Normal 14 2 2 5 2" xfId="4015"/>
    <cellStyle name="Normal 14 2 2 6" xfId="4016"/>
    <cellStyle name="Normal 14 2 3" xfId="4017"/>
    <cellStyle name="Normal 14 2 3 2" xfId="4018"/>
    <cellStyle name="Normal 14 2 3 2 2" xfId="4019"/>
    <cellStyle name="Normal 14 2 3 2 2 2" xfId="4020"/>
    <cellStyle name="Normal 14 2 3 2 3" xfId="4021"/>
    <cellStyle name="Normal 14 2 3 2 3 2" xfId="4022"/>
    <cellStyle name="Normal 14 2 3 2 4" xfId="4023"/>
    <cellStyle name="Normal 14 2 3 3" xfId="4024"/>
    <cellStyle name="Normal 14 2 3 3 2" xfId="4025"/>
    <cellStyle name="Normal 14 2 3 4" xfId="4026"/>
    <cellStyle name="Normal 14 2 3 4 2" xfId="4027"/>
    <cellStyle name="Normal 14 2 3 5" xfId="4028"/>
    <cellStyle name="Normal 14 2 4" xfId="4029"/>
    <cellStyle name="Normal 14 2 4 2" xfId="4030"/>
    <cellStyle name="Normal 14 2 4 2 2" xfId="4031"/>
    <cellStyle name="Normal 14 2 4 3" xfId="4032"/>
    <cellStyle name="Normal 14 2 4 3 2" xfId="4033"/>
    <cellStyle name="Normal 14 2 4 4" xfId="4034"/>
    <cellStyle name="Normal 14 2 5" xfId="4035"/>
    <cellStyle name="Normal 14 2 5 2" xfId="4036"/>
    <cellStyle name="Normal 14 2 6" xfId="4037"/>
    <cellStyle name="Normal 14 2 6 2" xfId="4038"/>
    <cellStyle name="Normal 14 2 7" xfId="4039"/>
    <cellStyle name="Normal 14 3" xfId="4040"/>
    <cellStyle name="Normal 14 3 2" xfId="4041"/>
    <cellStyle name="Normal 14 3 2 2" xfId="4042"/>
    <cellStyle name="Normal 14 3 2 2 2" xfId="4043"/>
    <cellStyle name="Normal 14 3 2 2 2 2" xfId="4044"/>
    <cellStyle name="Normal 14 3 2 2 2 2 2" xfId="4045"/>
    <cellStyle name="Normal 14 3 2 2 2 3" xfId="4046"/>
    <cellStyle name="Normal 14 3 2 2 2 3 2" xfId="4047"/>
    <cellStyle name="Normal 14 3 2 2 2 4" xfId="4048"/>
    <cellStyle name="Normal 14 3 2 2 3" xfId="4049"/>
    <cellStyle name="Normal 14 3 2 2 3 2" xfId="4050"/>
    <cellStyle name="Normal 14 3 2 2 4" xfId="4051"/>
    <cellStyle name="Normal 14 3 2 2 4 2" xfId="4052"/>
    <cellStyle name="Normal 14 3 2 2 5" xfId="4053"/>
    <cellStyle name="Normal 14 3 2 3" xfId="4054"/>
    <cellStyle name="Normal 14 3 2 3 2" xfId="4055"/>
    <cellStyle name="Normal 14 3 2 3 2 2" xfId="4056"/>
    <cellStyle name="Normal 14 3 2 3 3" xfId="4057"/>
    <cellStyle name="Normal 14 3 2 3 3 2" xfId="4058"/>
    <cellStyle name="Normal 14 3 2 3 4" xfId="4059"/>
    <cellStyle name="Normal 14 3 2 4" xfId="4060"/>
    <cellStyle name="Normal 14 3 2 4 2" xfId="4061"/>
    <cellStyle name="Normal 14 3 2 5" xfId="4062"/>
    <cellStyle name="Normal 14 3 2 5 2" xfId="4063"/>
    <cellStyle name="Normal 14 3 2 6" xfId="4064"/>
    <cellStyle name="Normal 14 3 3" xfId="4065"/>
    <cellStyle name="Normal 14 3 3 2" xfId="4066"/>
    <cellStyle name="Normal 14 3 3 2 2" xfId="4067"/>
    <cellStyle name="Normal 14 3 3 2 2 2" xfId="4068"/>
    <cellStyle name="Normal 14 3 3 2 3" xfId="4069"/>
    <cellStyle name="Normal 14 3 3 2 3 2" xfId="4070"/>
    <cellStyle name="Normal 14 3 3 2 4" xfId="4071"/>
    <cellStyle name="Normal 14 3 3 3" xfId="4072"/>
    <cellStyle name="Normal 14 3 3 3 2" xfId="4073"/>
    <cellStyle name="Normal 14 3 3 4" xfId="4074"/>
    <cellStyle name="Normal 14 3 3 4 2" xfId="4075"/>
    <cellStyle name="Normal 14 3 3 5" xfId="4076"/>
    <cellStyle name="Normal 14 3 4" xfId="4077"/>
    <cellStyle name="Normal 14 3 4 2" xfId="4078"/>
    <cellStyle name="Normal 14 3 4 2 2" xfId="4079"/>
    <cellStyle name="Normal 14 3 4 3" xfId="4080"/>
    <cellStyle name="Normal 14 3 4 3 2" xfId="4081"/>
    <cellStyle name="Normal 14 3 4 4" xfId="4082"/>
    <cellStyle name="Normal 14 3 5" xfId="4083"/>
    <cellStyle name="Normal 14 3 5 2" xfId="4084"/>
    <cellStyle name="Normal 14 3 6" xfId="4085"/>
    <cellStyle name="Normal 14 3 6 2" xfId="4086"/>
    <cellStyle name="Normal 14 3 7" xfId="4087"/>
    <cellStyle name="Normal 14 3 8" xfId="4088"/>
    <cellStyle name="Normal 14 4" xfId="4089"/>
    <cellStyle name="Normal 14 4 2" xfId="4090"/>
    <cellStyle name="Normal 14 4 2 2" xfId="4091"/>
    <cellStyle name="Normal 14 4 2 2 2" xfId="4092"/>
    <cellStyle name="Normal 14 4 2 2 2 2" xfId="4093"/>
    <cellStyle name="Normal 14 4 2 2 3" xfId="4094"/>
    <cellStyle name="Normal 14 4 2 2 3 2" xfId="4095"/>
    <cellStyle name="Normal 14 4 2 2 4" xfId="4096"/>
    <cellStyle name="Normal 14 4 2 3" xfId="4097"/>
    <cellStyle name="Normal 14 4 2 3 2" xfId="4098"/>
    <cellStyle name="Normal 14 4 2 4" xfId="4099"/>
    <cellStyle name="Normal 14 4 2 4 2" xfId="4100"/>
    <cellStyle name="Normal 14 4 2 5" xfId="4101"/>
    <cellStyle name="Normal 14 4 3" xfId="4102"/>
    <cellStyle name="Normal 14 4 3 2" xfId="4103"/>
    <cellStyle name="Normal 14 4 3 2 2" xfId="4104"/>
    <cellStyle name="Normal 14 4 3 3" xfId="4105"/>
    <cellStyle name="Normal 14 4 3 3 2" xfId="4106"/>
    <cellStyle name="Normal 14 4 3 4" xfId="4107"/>
    <cellStyle name="Normal 14 4 4" xfId="4108"/>
    <cellStyle name="Normal 14 4 4 2" xfId="4109"/>
    <cellStyle name="Normal 14 4 5" xfId="4110"/>
    <cellStyle name="Normal 14 4 5 2" xfId="4111"/>
    <cellStyle name="Normal 14 4 6" xfId="4112"/>
    <cellStyle name="Normal 14 5" xfId="4113"/>
    <cellStyle name="Normal 14 5 2" xfId="4114"/>
    <cellStyle name="Normal 14 5 2 2" xfId="4115"/>
    <cellStyle name="Normal 14 5 2 2 2" xfId="4116"/>
    <cellStyle name="Normal 14 5 2 3" xfId="4117"/>
    <cellStyle name="Normal 14 5 2 3 2" xfId="4118"/>
    <cellStyle name="Normal 14 5 2 4" xfId="4119"/>
    <cellStyle name="Normal 14 5 3" xfId="4120"/>
    <cellStyle name="Normal 14 5 3 2" xfId="4121"/>
    <cellStyle name="Normal 14 5 4" xfId="4122"/>
    <cellStyle name="Normal 14 5 4 2" xfId="4123"/>
    <cellStyle name="Normal 14 5 5" xfId="4124"/>
    <cellStyle name="Normal 14 6" xfId="4125"/>
    <cellStyle name="Normal 14 6 2" xfId="4126"/>
    <cellStyle name="Normal 14 6 2 2" xfId="4127"/>
    <cellStyle name="Normal 14 6 3" xfId="4128"/>
    <cellStyle name="Normal 14 6 3 2" xfId="4129"/>
    <cellStyle name="Normal 14 6 4" xfId="4130"/>
    <cellStyle name="Normal 14 7" xfId="4131"/>
    <cellStyle name="Normal 14 7 2" xfId="4132"/>
    <cellStyle name="Normal 14 8" xfId="4133"/>
    <cellStyle name="Normal 14 8 2" xfId="4134"/>
    <cellStyle name="Normal 14 9" xfId="4135"/>
    <cellStyle name="Normal 14_Recycling Tons" xfId="4136"/>
    <cellStyle name="Normal 15" xfId="4137"/>
    <cellStyle name="Normal 15 2" xfId="4138"/>
    <cellStyle name="Normal 15 2 2" xfId="4139"/>
    <cellStyle name="Normal 15 2 2 2" xfId="4140"/>
    <cellStyle name="Normal 15 2 3" xfId="4141"/>
    <cellStyle name="Normal 15 3" xfId="4142"/>
    <cellStyle name="Normal 15 3 2" xfId="4143"/>
    <cellStyle name="Normal 15 3 3" xfId="4144"/>
    <cellStyle name="Normal 15 4" xfId="4145"/>
    <cellStyle name="Normal 15 4 2" xfId="4146"/>
    <cellStyle name="Normal 15 5" xfId="4147"/>
    <cellStyle name="Normal 15_Recycling Tons" xfId="4148"/>
    <cellStyle name="Normal 16" xfId="4149"/>
    <cellStyle name="Normal 16 2" xfId="4150"/>
    <cellStyle name="Normal 16 2 2" xfId="4151"/>
    <cellStyle name="Normal 16 2 2 2" xfId="4152"/>
    <cellStyle name="Normal 16 2 3" xfId="4153"/>
    <cellStyle name="Normal 16 3" xfId="4154"/>
    <cellStyle name="Normal 16 3 2" xfId="4155"/>
    <cellStyle name="Normal 16 3 2 2" xfId="4156"/>
    <cellStyle name="Normal 16 3 2 2 2" xfId="4157"/>
    <cellStyle name="Normal 16 3 2 2 2 2" xfId="4158"/>
    <cellStyle name="Normal 16 3 2 2 2 2 2" xfId="4159"/>
    <cellStyle name="Normal 16 3 2 2 2 3" xfId="4160"/>
    <cellStyle name="Normal 16 3 2 2 2 3 2" xfId="4161"/>
    <cellStyle name="Normal 16 3 2 2 2 4" xfId="4162"/>
    <cellStyle name="Normal 16 3 2 2 3" xfId="4163"/>
    <cellStyle name="Normal 16 3 2 2 3 2" xfId="4164"/>
    <cellStyle name="Normal 16 3 2 2 4" xfId="4165"/>
    <cellStyle name="Normal 16 3 2 2 4 2" xfId="4166"/>
    <cellStyle name="Normal 16 3 2 2 5" xfId="4167"/>
    <cellStyle name="Normal 16 3 2 3" xfId="4168"/>
    <cellStyle name="Normal 16 3 2 3 2" xfId="4169"/>
    <cellStyle name="Normal 16 3 2 3 2 2" xfId="4170"/>
    <cellStyle name="Normal 16 3 2 3 3" xfId="4171"/>
    <cellStyle name="Normal 16 3 2 3 3 2" xfId="4172"/>
    <cellStyle name="Normal 16 3 2 3 4" xfId="4173"/>
    <cellStyle name="Normal 16 3 2 4" xfId="4174"/>
    <cellStyle name="Normal 16 3 2 4 2" xfId="4175"/>
    <cellStyle name="Normal 16 3 2 5" xfId="4176"/>
    <cellStyle name="Normal 16 3 2 5 2" xfId="4177"/>
    <cellStyle name="Normal 16 3 2 6" xfId="4178"/>
    <cellStyle name="Normal 16 3 3" xfId="4179"/>
    <cellStyle name="Normal 16 3 3 2" xfId="4180"/>
    <cellStyle name="Normal 16 3 3 2 2" xfId="4181"/>
    <cellStyle name="Normal 16 3 3 2 2 2" xfId="4182"/>
    <cellStyle name="Normal 16 3 3 2 3" xfId="4183"/>
    <cellStyle name="Normal 16 3 3 2 3 2" xfId="4184"/>
    <cellStyle name="Normal 16 3 3 2 4" xfId="4185"/>
    <cellStyle name="Normal 16 3 3 3" xfId="4186"/>
    <cellStyle name="Normal 16 3 3 3 2" xfId="4187"/>
    <cellStyle name="Normal 16 3 3 4" xfId="4188"/>
    <cellStyle name="Normal 16 3 3 4 2" xfId="4189"/>
    <cellStyle name="Normal 16 3 3 5" xfId="4190"/>
    <cellStyle name="Normal 16 3 4" xfId="4191"/>
    <cellStyle name="Normal 16 3 4 2" xfId="4192"/>
    <cellStyle name="Normal 16 3 4 2 2" xfId="4193"/>
    <cellStyle name="Normal 16 3 4 3" xfId="4194"/>
    <cellStyle name="Normal 16 3 4 3 2" xfId="4195"/>
    <cellStyle name="Normal 16 3 4 4" xfId="4196"/>
    <cellStyle name="Normal 16 3 5" xfId="4197"/>
    <cellStyle name="Normal 16 3 5 2" xfId="4198"/>
    <cellStyle name="Normal 16 3 6" xfId="4199"/>
    <cellStyle name="Normal 16 3 6 2" xfId="4200"/>
    <cellStyle name="Normal 16 3 7" xfId="4201"/>
    <cellStyle name="Normal 16 3 8" xfId="4202"/>
    <cellStyle name="Normal 16 4" xfId="4203"/>
    <cellStyle name="Normal 16 4 2" xfId="4204"/>
    <cellStyle name="Normal 16 4 2 2" xfId="4205"/>
    <cellStyle name="Normal 16 4 2 2 2" xfId="4206"/>
    <cellStyle name="Normal 16 4 2 2 2 2" xfId="4207"/>
    <cellStyle name="Normal 16 4 2 2 3" xfId="4208"/>
    <cellStyle name="Normal 16 4 2 2 3 2" xfId="4209"/>
    <cellStyle name="Normal 16 4 2 2 4" xfId="4210"/>
    <cellStyle name="Normal 16 4 2 3" xfId="4211"/>
    <cellStyle name="Normal 16 4 2 3 2" xfId="4212"/>
    <cellStyle name="Normal 16 4 2 4" xfId="4213"/>
    <cellStyle name="Normal 16 4 2 4 2" xfId="4214"/>
    <cellStyle name="Normal 16 4 2 5" xfId="4215"/>
    <cellStyle name="Normal 16 4 3" xfId="4216"/>
    <cellStyle name="Normal 16 4 3 2" xfId="4217"/>
    <cellStyle name="Normal 16 4 3 2 2" xfId="4218"/>
    <cellStyle name="Normal 16 4 3 3" xfId="4219"/>
    <cellStyle name="Normal 16 4 3 3 2" xfId="4220"/>
    <cellStyle name="Normal 16 4 3 4" xfId="4221"/>
    <cellStyle name="Normal 16 4 4" xfId="4222"/>
    <cellStyle name="Normal 16 4 4 2" xfId="4223"/>
    <cellStyle name="Normal 16 4 5" xfId="4224"/>
    <cellStyle name="Normal 16 4 5 2" xfId="4225"/>
    <cellStyle name="Normal 16 4 6" xfId="4226"/>
    <cellStyle name="Normal 16 5" xfId="4227"/>
    <cellStyle name="Normal 16 5 2" xfId="4228"/>
    <cellStyle name="Normal 16 5 2 2" xfId="4229"/>
    <cellStyle name="Normal 16 5 2 2 2" xfId="4230"/>
    <cellStyle name="Normal 16 5 2 3" xfId="4231"/>
    <cellStyle name="Normal 16 5 2 3 2" xfId="4232"/>
    <cellStyle name="Normal 16 5 2 4" xfId="4233"/>
    <cellStyle name="Normal 16 5 3" xfId="4234"/>
    <cellStyle name="Normal 16 5 3 2" xfId="4235"/>
    <cellStyle name="Normal 16 5 4" xfId="4236"/>
    <cellStyle name="Normal 16 5 4 2" xfId="4237"/>
    <cellStyle name="Normal 16 5 5" xfId="4238"/>
    <cellStyle name="Normal 16 6" xfId="4239"/>
    <cellStyle name="Normal 16 6 2" xfId="4240"/>
    <cellStyle name="Normal 16 6 2 2" xfId="4241"/>
    <cellStyle name="Normal 16 6 3" xfId="4242"/>
    <cellStyle name="Normal 16 6 3 2" xfId="4243"/>
    <cellStyle name="Normal 16 6 4" xfId="4244"/>
    <cellStyle name="Normal 16 7" xfId="4245"/>
    <cellStyle name="Normal 16 7 2" xfId="4246"/>
    <cellStyle name="Normal 16 8" xfId="4247"/>
    <cellStyle name="Normal 16 8 2" xfId="4248"/>
    <cellStyle name="Normal 16 9" xfId="4249"/>
    <cellStyle name="Normal 17" xfId="4250"/>
    <cellStyle name="Normal 17 2" xfId="4251"/>
    <cellStyle name="Normal 17 2 2" xfId="4252"/>
    <cellStyle name="Normal 17 2 2 2" xfId="4253"/>
    <cellStyle name="Normal 17 2 3" xfId="4254"/>
    <cellStyle name="Normal 17 3" xfId="4255"/>
    <cellStyle name="Normal 17 3 2" xfId="4256"/>
    <cellStyle name="Normal 17 3 3" xfId="4257"/>
    <cellStyle name="Normal 17 4" xfId="4258"/>
    <cellStyle name="Normal 18" xfId="4259"/>
    <cellStyle name="Normal 18 10" xfId="4260"/>
    <cellStyle name="Normal 18 2" xfId="4261"/>
    <cellStyle name="Normal 18 2 2" xfId="4262"/>
    <cellStyle name="Normal 18 2 2 2" xfId="4263"/>
    <cellStyle name="Normal 18 2 2 2 2" xfId="4264"/>
    <cellStyle name="Normal 18 2 2 2 2 2" xfId="4265"/>
    <cellStyle name="Normal 18 2 2 2 2 2 2" xfId="4266"/>
    <cellStyle name="Normal 18 2 2 2 2 3" xfId="4267"/>
    <cellStyle name="Normal 18 2 2 2 2 3 2" xfId="4268"/>
    <cellStyle name="Normal 18 2 2 2 2 4" xfId="4269"/>
    <cellStyle name="Normal 18 2 2 2 3" xfId="4270"/>
    <cellStyle name="Normal 18 2 2 2 3 2" xfId="4271"/>
    <cellStyle name="Normal 18 2 2 2 4" xfId="4272"/>
    <cellStyle name="Normal 18 2 2 2 4 2" xfId="4273"/>
    <cellStyle name="Normal 18 2 2 2 5" xfId="4274"/>
    <cellStyle name="Normal 18 2 2 3" xfId="4275"/>
    <cellStyle name="Normal 18 2 2 3 2" xfId="4276"/>
    <cellStyle name="Normal 18 2 2 3 2 2" xfId="4277"/>
    <cellStyle name="Normal 18 2 2 3 3" xfId="4278"/>
    <cellStyle name="Normal 18 2 2 3 3 2" xfId="4279"/>
    <cellStyle name="Normal 18 2 2 3 4" xfId="4280"/>
    <cellStyle name="Normal 18 2 2 4" xfId="4281"/>
    <cellStyle name="Normal 18 2 2 4 2" xfId="4282"/>
    <cellStyle name="Normal 18 2 2 5" xfId="4283"/>
    <cellStyle name="Normal 18 2 2 5 2" xfId="4284"/>
    <cellStyle name="Normal 18 2 2 6" xfId="4285"/>
    <cellStyle name="Normal 18 2 3" xfId="4286"/>
    <cellStyle name="Normal 18 2 3 2" xfId="4287"/>
    <cellStyle name="Normal 18 2 3 2 2" xfId="4288"/>
    <cellStyle name="Normal 18 2 3 2 2 2" xfId="4289"/>
    <cellStyle name="Normal 18 2 3 2 3" xfId="4290"/>
    <cellStyle name="Normal 18 2 3 2 3 2" xfId="4291"/>
    <cellStyle name="Normal 18 2 3 2 4" xfId="4292"/>
    <cellStyle name="Normal 18 2 3 3" xfId="4293"/>
    <cellStyle name="Normal 18 2 3 3 2" xfId="4294"/>
    <cellStyle name="Normal 18 2 3 4" xfId="4295"/>
    <cellStyle name="Normal 18 2 3 4 2" xfId="4296"/>
    <cellStyle name="Normal 18 2 3 5" xfId="4297"/>
    <cellStyle name="Normal 18 2 4" xfId="4298"/>
    <cellStyle name="Normal 18 2 4 2" xfId="4299"/>
    <cellStyle name="Normal 18 2 4 2 2" xfId="4300"/>
    <cellStyle name="Normal 18 2 4 3" xfId="4301"/>
    <cellStyle name="Normal 18 2 4 3 2" xfId="4302"/>
    <cellStyle name="Normal 18 2 4 4" xfId="4303"/>
    <cellStyle name="Normal 18 2 5" xfId="4304"/>
    <cellStyle name="Normal 18 2 5 2" xfId="4305"/>
    <cellStyle name="Normal 18 2 6" xfId="4306"/>
    <cellStyle name="Normal 18 2 6 2" xfId="4307"/>
    <cellStyle name="Normal 18 2 7" xfId="4308"/>
    <cellStyle name="Normal 18 3" xfId="4309"/>
    <cellStyle name="Normal 18 3 2" xfId="4310"/>
    <cellStyle name="Normal 18 3 2 2" xfId="4311"/>
    <cellStyle name="Normal 18 3 2 2 2" xfId="4312"/>
    <cellStyle name="Normal 18 3 2 2 2 2" xfId="4313"/>
    <cellStyle name="Normal 18 3 2 2 2 2 2" xfId="4314"/>
    <cellStyle name="Normal 18 3 2 2 2 3" xfId="4315"/>
    <cellStyle name="Normal 18 3 2 2 2 3 2" xfId="4316"/>
    <cellStyle name="Normal 18 3 2 2 2 4" xfId="4317"/>
    <cellStyle name="Normal 18 3 2 2 3" xfId="4318"/>
    <cellStyle name="Normal 18 3 2 2 3 2" xfId="4319"/>
    <cellStyle name="Normal 18 3 2 2 4" xfId="4320"/>
    <cellStyle name="Normal 18 3 2 2 4 2" xfId="4321"/>
    <cellStyle name="Normal 18 3 2 2 5" xfId="4322"/>
    <cellStyle name="Normal 18 3 2 3" xfId="4323"/>
    <cellStyle name="Normal 18 3 2 3 2" xfId="4324"/>
    <cellStyle name="Normal 18 3 2 3 2 2" xfId="4325"/>
    <cellStyle name="Normal 18 3 2 3 3" xfId="4326"/>
    <cellStyle name="Normal 18 3 2 3 3 2" xfId="4327"/>
    <cellStyle name="Normal 18 3 2 3 4" xfId="4328"/>
    <cellStyle name="Normal 18 3 2 4" xfId="4329"/>
    <cellStyle name="Normal 18 3 2 4 2" xfId="4330"/>
    <cellStyle name="Normal 18 3 2 5" xfId="4331"/>
    <cellStyle name="Normal 18 3 2 5 2" xfId="4332"/>
    <cellStyle name="Normal 18 3 2 6" xfId="4333"/>
    <cellStyle name="Normal 18 3 3" xfId="4334"/>
    <cellStyle name="Normal 18 3 3 2" xfId="4335"/>
    <cellStyle name="Normal 18 3 3 2 2" xfId="4336"/>
    <cellStyle name="Normal 18 3 3 2 2 2" xfId="4337"/>
    <cellStyle name="Normal 18 3 3 2 3" xfId="4338"/>
    <cellStyle name="Normal 18 3 3 2 3 2" xfId="4339"/>
    <cellStyle name="Normal 18 3 3 2 4" xfId="4340"/>
    <cellStyle name="Normal 18 3 3 3" xfId="4341"/>
    <cellStyle name="Normal 18 3 3 3 2" xfId="4342"/>
    <cellStyle name="Normal 18 3 3 4" xfId="4343"/>
    <cellStyle name="Normal 18 3 3 4 2" xfId="4344"/>
    <cellStyle name="Normal 18 3 3 5" xfId="4345"/>
    <cellStyle name="Normal 18 3 4" xfId="4346"/>
    <cellStyle name="Normal 18 3 4 2" xfId="4347"/>
    <cellStyle name="Normal 18 3 4 2 2" xfId="4348"/>
    <cellStyle name="Normal 18 3 4 3" xfId="4349"/>
    <cellStyle name="Normal 18 3 4 3 2" xfId="4350"/>
    <cellStyle name="Normal 18 3 4 4" xfId="4351"/>
    <cellStyle name="Normal 18 3 5" xfId="4352"/>
    <cellStyle name="Normal 18 3 5 2" xfId="4353"/>
    <cellStyle name="Normal 18 3 6" xfId="4354"/>
    <cellStyle name="Normal 18 3 6 2" xfId="4355"/>
    <cellStyle name="Normal 18 3 7" xfId="4356"/>
    <cellStyle name="Normal 18 3 8" xfId="4357"/>
    <cellStyle name="Normal 18 4" xfId="4358"/>
    <cellStyle name="Normal 18 4 2" xfId="4359"/>
    <cellStyle name="Normal 18 5" xfId="4360"/>
    <cellStyle name="Normal 18 5 2" xfId="4361"/>
    <cellStyle name="Normal 18 5 2 2" xfId="4362"/>
    <cellStyle name="Normal 18 5 2 2 2" xfId="4363"/>
    <cellStyle name="Normal 18 5 2 2 2 2" xfId="4364"/>
    <cellStyle name="Normal 18 5 2 2 3" xfId="4365"/>
    <cellStyle name="Normal 18 5 2 2 3 2" xfId="4366"/>
    <cellStyle name="Normal 18 5 2 2 4" xfId="4367"/>
    <cellStyle name="Normal 18 5 2 3" xfId="4368"/>
    <cellStyle name="Normal 18 5 2 3 2" xfId="4369"/>
    <cellStyle name="Normal 18 5 2 4" xfId="4370"/>
    <cellStyle name="Normal 18 5 2 4 2" xfId="4371"/>
    <cellStyle name="Normal 18 5 2 5" xfId="4372"/>
    <cellStyle name="Normal 18 5 3" xfId="4373"/>
    <cellStyle name="Normal 18 5 3 2" xfId="4374"/>
    <cellStyle name="Normal 18 5 3 2 2" xfId="4375"/>
    <cellStyle name="Normal 18 5 3 3" xfId="4376"/>
    <cellStyle name="Normal 18 5 3 3 2" xfId="4377"/>
    <cellStyle name="Normal 18 5 3 4" xfId="4378"/>
    <cellStyle name="Normal 18 5 4" xfId="4379"/>
    <cellStyle name="Normal 18 5 4 2" xfId="4380"/>
    <cellStyle name="Normal 18 5 5" xfId="4381"/>
    <cellStyle name="Normal 18 5 5 2" xfId="4382"/>
    <cellStyle name="Normal 18 5 6" xfId="4383"/>
    <cellStyle name="Normal 18 6" xfId="4384"/>
    <cellStyle name="Normal 18 6 2" xfId="4385"/>
    <cellStyle name="Normal 18 6 2 2" xfId="4386"/>
    <cellStyle name="Normal 18 6 2 2 2" xfId="4387"/>
    <cellStyle name="Normal 18 6 2 3" xfId="4388"/>
    <cellStyle name="Normal 18 6 2 3 2" xfId="4389"/>
    <cellStyle name="Normal 18 6 2 4" xfId="4390"/>
    <cellStyle name="Normal 18 6 3" xfId="4391"/>
    <cellStyle name="Normal 18 6 3 2" xfId="4392"/>
    <cellStyle name="Normal 18 6 4" xfId="4393"/>
    <cellStyle name="Normal 18 6 4 2" xfId="4394"/>
    <cellStyle name="Normal 18 6 5" xfId="4395"/>
    <cellStyle name="Normal 18 7" xfId="4396"/>
    <cellStyle name="Normal 18 7 2" xfId="4397"/>
    <cellStyle name="Normal 18 7 2 2" xfId="4398"/>
    <cellStyle name="Normal 18 7 3" xfId="4399"/>
    <cellStyle name="Normal 18 7 3 2" xfId="4400"/>
    <cellStyle name="Normal 18 7 4" xfId="4401"/>
    <cellStyle name="Normal 18 8" xfId="4402"/>
    <cellStyle name="Normal 18 8 2" xfId="4403"/>
    <cellStyle name="Normal 18 9" xfId="4404"/>
    <cellStyle name="Normal 18 9 2" xfId="4405"/>
    <cellStyle name="Normal 19" xfId="4406"/>
    <cellStyle name="Normal 19 2" xfId="4407"/>
    <cellStyle name="Normal 19 2 2" xfId="4408"/>
    <cellStyle name="Normal 19 2 3" xfId="4409"/>
    <cellStyle name="Normal 19 3" xfId="4410"/>
    <cellStyle name="Normal 19 3 2" xfId="4411"/>
    <cellStyle name="Normal 19 3 3" xfId="4412"/>
    <cellStyle name="Normal 19 4" xfId="4413"/>
    <cellStyle name="Normal 19 5" xfId="4414"/>
    <cellStyle name="Normal 19 6" xfId="4415"/>
    <cellStyle name="Normal 2" xfId="4416"/>
    <cellStyle name="Normal 2 10" xfId="4417"/>
    <cellStyle name="Normal 2 10 2" xfId="4418"/>
    <cellStyle name="Normal 2 10 2 2" xfId="4419"/>
    <cellStyle name="Normal 2 10 3" xfId="4420"/>
    <cellStyle name="Normal 2 10 4" xfId="4421"/>
    <cellStyle name="Normal 2 10 5" xfId="4422"/>
    <cellStyle name="Normal 2 11" xfId="4423"/>
    <cellStyle name="Normal 2 11 2" xfId="4424"/>
    <cellStyle name="Normal 2 11 3" xfId="4425"/>
    <cellStyle name="Normal 2 12" xfId="4426"/>
    <cellStyle name="Normal 2 12 2" xfId="4427"/>
    <cellStyle name="Normal 2 13" xfId="4428"/>
    <cellStyle name="Normal 2 14" xfId="4429"/>
    <cellStyle name="Normal 2 15" xfId="4430"/>
    <cellStyle name="Normal 2 16" xfId="4431"/>
    <cellStyle name="Normal 2 17" xfId="4432"/>
    <cellStyle name="Normal 2 2" xfId="4433"/>
    <cellStyle name="Normal 2 2 10" xfId="4434"/>
    <cellStyle name="Normal 2 2 11" xfId="4435"/>
    <cellStyle name="Normal 2 2 2" xfId="4436"/>
    <cellStyle name="Normal 2 2 2 2" xfId="4437"/>
    <cellStyle name="Normal 2 2 2 2 2" xfId="4438"/>
    <cellStyle name="Normal 2 2 2 2 2 2" xfId="4439"/>
    <cellStyle name="Normal 2 2 2 2 2 2 2" xfId="4440"/>
    <cellStyle name="Normal 2 2 2 2 2 2 3" xfId="4441"/>
    <cellStyle name="Normal 2 2 2 2 2 3" xfId="4442"/>
    <cellStyle name="Normal 2 2 2 2 2 3 2" xfId="4443"/>
    <cellStyle name="Normal 2 2 2 2 2 3 3" xfId="4444"/>
    <cellStyle name="Normal 2 2 2 2 2 4" xfId="4445"/>
    <cellStyle name="Normal 2 2 2 2 2 5" xfId="4446"/>
    <cellStyle name="Normal 2 2 2 2 3" xfId="4447"/>
    <cellStyle name="Normal 2 2 2 2 3 2" xfId="4448"/>
    <cellStyle name="Normal 2 2 2 2 3 3" xfId="4449"/>
    <cellStyle name="Normal 2 2 2 2 3 4" xfId="4450"/>
    <cellStyle name="Normal 2 2 2 2 3 5" xfId="4451"/>
    <cellStyle name="Normal 2 2 2 2 4" xfId="4452"/>
    <cellStyle name="Normal 2 2 2 2 4 2" xfId="4453"/>
    <cellStyle name="Normal 2 2 2 2 4 3" xfId="4454"/>
    <cellStyle name="Normal 2 2 2 2 5" xfId="4455"/>
    <cellStyle name="Normal 2 2 2 2 5 2" xfId="4456"/>
    <cellStyle name="Normal 2 2 2 2 5 3" xfId="4457"/>
    <cellStyle name="Normal 2 2 2 2 6" xfId="4458"/>
    <cellStyle name="Normal 2 2 2 2 7" xfId="4459"/>
    <cellStyle name="Normal 2 2 2 3" xfId="4460"/>
    <cellStyle name="Normal 2 2 2 3 2" xfId="4461"/>
    <cellStyle name="Normal 2 2 2 3 2 2" xfId="4462"/>
    <cellStyle name="Normal 2 2 2 3 2 3" xfId="4463"/>
    <cellStyle name="Normal 2 2 2 3 3" xfId="4464"/>
    <cellStyle name="Normal 2 2 2 3 3 2" xfId="4465"/>
    <cellStyle name="Normal 2 2 2 3 3 3" xfId="4466"/>
    <cellStyle name="Normal 2 2 2 3 4" xfId="4467"/>
    <cellStyle name="Normal 2 2 2 3 5" xfId="4468"/>
    <cellStyle name="Normal 2 2 2 4" xfId="4469"/>
    <cellStyle name="Normal 2 2 2 4 2" xfId="4470"/>
    <cellStyle name="Normal 2 2 2 4 3" xfId="4471"/>
    <cellStyle name="Normal 2 2 2 4 4" xfId="4472"/>
    <cellStyle name="Normal 2 2 2 4 5" xfId="4473"/>
    <cellStyle name="Normal 2 2 2 5" xfId="4474"/>
    <cellStyle name="Normal 2 2 2 5 2" xfId="4475"/>
    <cellStyle name="Normal 2 2 2 5 3" xfId="4476"/>
    <cellStyle name="Normal 2 2 2 6" xfId="4477"/>
    <cellStyle name="Normal 2 2 2 6 2" xfId="4478"/>
    <cellStyle name="Normal 2 2 2 6 3" xfId="4479"/>
    <cellStyle name="Normal 2 2 2 7" xfId="4480"/>
    <cellStyle name="Normal 2 2 2 8" xfId="4481"/>
    <cellStyle name="Normal 2 2 2 9" xfId="4482"/>
    <cellStyle name="Normal 2 2 2_Epicor" xfId="4483"/>
    <cellStyle name="Normal 2 2 3" xfId="4484"/>
    <cellStyle name="Normal 2 2 3 2" xfId="4485"/>
    <cellStyle name="Normal 2 2 3 2 2" xfId="4486"/>
    <cellStyle name="Normal 2 2 3 2 2 2" xfId="4487"/>
    <cellStyle name="Normal 2 2 3 2 2 3" xfId="4488"/>
    <cellStyle name="Normal 2 2 3 2 3" xfId="4489"/>
    <cellStyle name="Normal 2 2 3 2 3 2" xfId="4490"/>
    <cellStyle name="Normal 2 2 3 2 3 3" xfId="4491"/>
    <cellStyle name="Normal 2 2 3 2 4" xfId="4492"/>
    <cellStyle name="Normal 2 2 3 2 5" xfId="4493"/>
    <cellStyle name="Normal 2 2 3 3" xfId="4494"/>
    <cellStyle name="Normal 2 2 3 3 2" xfId="4495"/>
    <cellStyle name="Normal 2 2 3 3 3" xfId="4496"/>
    <cellStyle name="Normal 2 2 3 3 4" xfId="4497"/>
    <cellStyle name="Normal 2 2 3 3 5" xfId="4498"/>
    <cellStyle name="Normal 2 2 3 4" xfId="4499"/>
    <cellStyle name="Normal 2 2 3 4 2" xfId="4500"/>
    <cellStyle name="Normal 2 2 3 4 3" xfId="4501"/>
    <cellStyle name="Normal 2 2 3 5" xfId="4502"/>
    <cellStyle name="Normal 2 2 3 5 2" xfId="4503"/>
    <cellStyle name="Normal 2 2 3 5 3" xfId="4504"/>
    <cellStyle name="Normal 2 2 3 6" xfId="4505"/>
    <cellStyle name="Normal 2 2 3 7" xfId="4506"/>
    <cellStyle name="Normal 2 2 4" xfId="4507"/>
    <cellStyle name="Normal 2 2 4 2" xfId="4508"/>
    <cellStyle name="Normal 2 2 4 2 2" xfId="4509"/>
    <cellStyle name="Normal 2 2 4 2 3" xfId="4510"/>
    <cellStyle name="Normal 2 2 4 3" xfId="4511"/>
    <cellStyle name="Normal 2 2 4 3 2" xfId="4512"/>
    <cellStyle name="Normal 2 2 4 3 3" xfId="4513"/>
    <cellStyle name="Normal 2 2 4 4" xfId="4514"/>
    <cellStyle name="Normal 2 2 4 5" xfId="4515"/>
    <cellStyle name="Normal 2 2 5" xfId="4516"/>
    <cellStyle name="Normal 2 2 5 2" xfId="4517"/>
    <cellStyle name="Normal 2 2 5 3" xfId="4518"/>
    <cellStyle name="Normal 2 2 5 4" xfId="4519"/>
    <cellStyle name="Normal 2 2 5 5" xfId="4520"/>
    <cellStyle name="Normal 2 2 6" xfId="4521"/>
    <cellStyle name="Normal 2 2 6 2" xfId="4522"/>
    <cellStyle name="Normal 2 2 6 3" xfId="4523"/>
    <cellStyle name="Normal 2 2 7" xfId="4524"/>
    <cellStyle name="Normal 2 2 7 2" xfId="4525"/>
    <cellStyle name="Normal 2 2 7 3" xfId="4526"/>
    <cellStyle name="Normal 2 2 8" xfId="4527"/>
    <cellStyle name="Normal 2 2 9" xfId="4528"/>
    <cellStyle name="Normal 2 2_10051" xfId="4529"/>
    <cellStyle name="Normal 2 3" xfId="4530"/>
    <cellStyle name="Normal 2 3 2" xfId="4531"/>
    <cellStyle name="Normal 2 3 2 2" xfId="4532"/>
    <cellStyle name="Normal 2 3 2 3" xfId="4533"/>
    <cellStyle name="Normal 2 3 2_Active emp List" xfId="4534"/>
    <cellStyle name="Normal 2 3 3" xfId="4535"/>
    <cellStyle name="Normal 2 3 3 2" xfId="4536"/>
    <cellStyle name="Normal 2 3 3 2 2" xfId="4537"/>
    <cellStyle name="Normal 2 3 3 3" xfId="4538"/>
    <cellStyle name="Normal 2 3 4" xfId="4539"/>
    <cellStyle name="Normal 2 3 4 2" xfId="4540"/>
    <cellStyle name="Normal 2 3 5" xfId="4541"/>
    <cellStyle name="Normal 2 3_2012 TV Budget" xfId="4542"/>
    <cellStyle name="Normal 2 4" xfId="4543"/>
    <cellStyle name="Normal 2 4 2" xfId="4544"/>
    <cellStyle name="Normal 2 4 2 2" xfId="4545"/>
    <cellStyle name="Normal 2 4 2 2 2" xfId="4546"/>
    <cellStyle name="Normal 2 4 2 3" xfId="4547"/>
    <cellStyle name="Normal 2 4 2 4" xfId="4548"/>
    <cellStyle name="Normal 2 4 2 5" xfId="4549"/>
    <cellStyle name="Normal 2 4 2 6" xfId="4550"/>
    <cellStyle name="Normal 2 4 3" xfId="4551"/>
    <cellStyle name="Normal 2 4 3 2" xfId="4552"/>
    <cellStyle name="Normal 2 4 3 3" xfId="4553"/>
    <cellStyle name="Normal 2 4 4" xfId="4554"/>
    <cellStyle name="Normal 2 4 4 2" xfId="4555"/>
    <cellStyle name="Normal 2 4 4 3" xfId="4556"/>
    <cellStyle name="Normal 2 4 5" xfId="4557"/>
    <cellStyle name="Normal 2 4 6" xfId="4558"/>
    <cellStyle name="Normal 2 5" xfId="4559"/>
    <cellStyle name="Normal 2 5 2" xfId="4560"/>
    <cellStyle name="Normal 2 5 3" xfId="4561"/>
    <cellStyle name="Normal 2 6" xfId="4562"/>
    <cellStyle name="Normal 2 6 2" xfId="4563"/>
    <cellStyle name="Normal 2 6 2 2" xfId="4564"/>
    <cellStyle name="Normal 2 6 3" xfId="4565"/>
    <cellStyle name="Normal 2 6 4" xfId="4566"/>
    <cellStyle name="Normal 2 6 5" xfId="4567"/>
    <cellStyle name="Normal 2 7" xfId="4568"/>
    <cellStyle name="Normal 2 7 2" xfId="4569"/>
    <cellStyle name="Normal 2 7 3" xfId="4570"/>
    <cellStyle name="Normal 2 7 4" xfId="4571"/>
    <cellStyle name="Normal 2 7 5" xfId="4572"/>
    <cellStyle name="Normal 2 8" xfId="4573"/>
    <cellStyle name="Normal 2 8 2" xfId="4574"/>
    <cellStyle name="Normal 2 8 2 2" xfId="4575"/>
    <cellStyle name="Normal 2 8 3" xfId="4576"/>
    <cellStyle name="Normal 2 8 4" xfId="4577"/>
    <cellStyle name="Normal 2 8 5" xfId="4578"/>
    <cellStyle name="Normal 2 9" xfId="4579"/>
    <cellStyle name="Normal 2 9 2" xfId="4580"/>
    <cellStyle name="Normal 2 9 3" xfId="4581"/>
    <cellStyle name="Normal 2 9 4" xfId="4582"/>
    <cellStyle name="Normal 2 9 5" xfId="4583"/>
    <cellStyle name="Normal 2_2009 Regulated Price Out" xfId="4584"/>
    <cellStyle name="Normal 20" xfId="4585"/>
    <cellStyle name="Normal 20 2" xfId="4586"/>
    <cellStyle name="Normal 20 2 2" xfId="4587"/>
    <cellStyle name="Normal 20 2 3" xfId="4588"/>
    <cellStyle name="Normal 20 2 4" xfId="4589"/>
    <cellStyle name="Normal 20 3" xfId="4590"/>
    <cellStyle name="Normal 20 4" xfId="4591"/>
    <cellStyle name="Normal 20 4 2" xfId="4592"/>
    <cellStyle name="Normal 20 5" xfId="4593"/>
    <cellStyle name="Normal 20 6" xfId="4594"/>
    <cellStyle name="Normal 20 7" xfId="4595"/>
    <cellStyle name="Normal 21" xfId="4596"/>
    <cellStyle name="Normal 21 2" xfId="4597"/>
    <cellStyle name="Normal 21 2 2" xfId="4598"/>
    <cellStyle name="Normal 21 2 3" xfId="4599"/>
    <cellStyle name="Normal 21 2 4" xfId="4600"/>
    <cellStyle name="Normal 21 3" xfId="4601"/>
    <cellStyle name="Normal 21 3 2" xfId="4602"/>
    <cellStyle name="Normal 21 4" xfId="4603"/>
    <cellStyle name="Normal 21 5" xfId="4604"/>
    <cellStyle name="Normal 22" xfId="4605"/>
    <cellStyle name="Normal 22 2" xfId="4606"/>
    <cellStyle name="Normal 22 2 2" xfId="4607"/>
    <cellStyle name="Normal 22 2 3" xfId="4608"/>
    <cellStyle name="Normal 22 3" xfId="4609"/>
    <cellStyle name="Normal 22 3 2" xfId="4610"/>
    <cellStyle name="Normal 22 4" xfId="4611"/>
    <cellStyle name="Normal 22 5" xfId="4612"/>
    <cellStyle name="Normal 23" xfId="4613"/>
    <cellStyle name="Normal 23 2" xfId="4614"/>
    <cellStyle name="Normal 23 2 2" xfId="4615"/>
    <cellStyle name="Normal 23 2 3" xfId="4616"/>
    <cellStyle name="Normal 23 3" xfId="4617"/>
    <cellStyle name="Normal 23 3 2" xfId="4618"/>
    <cellStyle name="Normal 23 3 3" xfId="4619"/>
    <cellStyle name="Normal 23 4" xfId="4620"/>
    <cellStyle name="Normal 24" xfId="4621"/>
    <cellStyle name="Normal 24 2" xfId="4622"/>
    <cellStyle name="Normal 24 2 2" xfId="4623"/>
    <cellStyle name="Normal 24 2 3" xfId="4624"/>
    <cellStyle name="Normal 24 3" xfId="4625"/>
    <cellStyle name="Normal 24 3 2" xfId="4626"/>
    <cellStyle name="Normal 24 4" xfId="4627"/>
    <cellStyle name="Normal 24 5" xfId="4628"/>
    <cellStyle name="Normal 25" xfId="4629"/>
    <cellStyle name="Normal 25 2" xfId="4630"/>
    <cellStyle name="Normal 25 2 2" xfId="4631"/>
    <cellStyle name="Normal 25 2 3" xfId="4632"/>
    <cellStyle name="Normal 25 3" xfId="4633"/>
    <cellStyle name="Normal 25 3 2" xfId="4634"/>
    <cellStyle name="Normal 25 4" xfId="4635"/>
    <cellStyle name="Normal 26" xfId="4636"/>
    <cellStyle name="Normal 26 2" xfId="4637"/>
    <cellStyle name="Normal 26 2 2" xfId="4638"/>
    <cellStyle name="Normal 26 2 3" xfId="4639"/>
    <cellStyle name="Normal 26 3" xfId="4640"/>
    <cellStyle name="Normal 26 4" xfId="4641"/>
    <cellStyle name="Normal 27" xfId="4642"/>
    <cellStyle name="Normal 27 2" xfId="4643"/>
    <cellStyle name="Normal 27 2 2" xfId="4644"/>
    <cellStyle name="Normal 27 2 2 2" xfId="4645"/>
    <cellStyle name="Normal 27 3" xfId="4646"/>
    <cellStyle name="Normal 27 3 2" xfId="4647"/>
    <cellStyle name="Normal 27 3 3" xfId="4648"/>
    <cellStyle name="Normal 27 4" xfId="4649"/>
    <cellStyle name="Normal 27 5" xfId="4650"/>
    <cellStyle name="Normal 28" xfId="4651"/>
    <cellStyle name="Normal 28 2" xfId="4652"/>
    <cellStyle name="Normal 28 2 2" xfId="4653"/>
    <cellStyle name="Normal 28 2 3" xfId="4654"/>
    <cellStyle name="Normal 28 3" xfId="4655"/>
    <cellStyle name="Normal 28 4" xfId="4656"/>
    <cellStyle name="Normal 29" xfId="4657"/>
    <cellStyle name="Normal 29 2" xfId="4658"/>
    <cellStyle name="Normal 29 2 2" xfId="4659"/>
    <cellStyle name="Normal 29 3" xfId="4660"/>
    <cellStyle name="Normal 29 4" xfId="4661"/>
    <cellStyle name="Normal 3" xfId="4662"/>
    <cellStyle name="Normal 3 2" xfId="4663"/>
    <cellStyle name="Normal 3 2 2" xfId="4664"/>
    <cellStyle name="Normal 3 2 2 2" xfId="4665"/>
    <cellStyle name="Normal 3 2 2 2 2" xfId="4666"/>
    <cellStyle name="Normal 3 2 2 2 2 2" xfId="4667"/>
    <cellStyle name="Normal 3 2 2 2 3" xfId="4668"/>
    <cellStyle name="Normal 3 2 2 2 3 2" xfId="4669"/>
    <cellStyle name="Normal 3 2 2 2 4" xfId="4670"/>
    <cellStyle name="Normal 3 2 2 3" xfId="4671"/>
    <cellStyle name="Normal 3 2 2 3 2" xfId="4672"/>
    <cellStyle name="Normal 3 2 2 3 3" xfId="4673"/>
    <cellStyle name="Normal 3 2 2 4" xfId="4674"/>
    <cellStyle name="Normal 3 2 2 4 2" xfId="4675"/>
    <cellStyle name="Normal 3 2 2 5" xfId="4676"/>
    <cellStyle name="Normal 3 2 2 6" xfId="4677"/>
    <cellStyle name="Normal 3 2 2 7" xfId="4678"/>
    <cellStyle name="Normal 3 2 3" xfId="4679"/>
    <cellStyle name="Normal 3 2 3 2" xfId="4680"/>
    <cellStyle name="Normal 3 2 3 2 2" xfId="4681"/>
    <cellStyle name="Normal 3 2 3 3" xfId="4682"/>
    <cellStyle name="Normal 3 2 3 3 2" xfId="4683"/>
    <cellStyle name="Normal 3 2 3 4" xfId="4684"/>
    <cellStyle name="Normal 3 2 3 5" xfId="4685"/>
    <cellStyle name="Normal 3 2 4" xfId="4686"/>
    <cellStyle name="Normal 3 2 4 2" xfId="4687"/>
    <cellStyle name="Normal 3 2 4 3" xfId="4688"/>
    <cellStyle name="Normal 3 2 5" xfId="4689"/>
    <cellStyle name="Normal 3 2 5 2" xfId="4690"/>
    <cellStyle name="Normal 3 2 5 3" xfId="4691"/>
    <cellStyle name="Normal 3 2 6" xfId="4692"/>
    <cellStyle name="Normal 3 2 7" xfId="4693"/>
    <cellStyle name="Normal 3 2 8" xfId="4694"/>
    <cellStyle name="Normal 3 3" xfId="4695"/>
    <cellStyle name="Normal 3 3 2" xfId="4696"/>
    <cellStyle name="Normal 3 3 2 2" xfId="4697"/>
    <cellStyle name="Normal 3 3 3" xfId="4698"/>
    <cellStyle name="Normal 3 3 3 2" xfId="4699"/>
    <cellStyle name="Normal 3 3 4" xfId="4700"/>
    <cellStyle name="Normal 3 3 4 2" xfId="4701"/>
    <cellStyle name="Normal 3 3 5" xfId="4702"/>
    <cellStyle name="Normal 3 4" xfId="4703"/>
    <cellStyle name="Normal 3 4 2" xfId="4704"/>
    <cellStyle name="Normal 3 4 3" xfId="4705"/>
    <cellStyle name="Normal 3 4 4" xfId="4706"/>
    <cellStyle name="Normal 3 5" xfId="4707"/>
    <cellStyle name="Normal 3 5 2" xfId="4708"/>
    <cellStyle name="Normal 3 6" xfId="4709"/>
    <cellStyle name="Normal 3 7" xfId="4710"/>
    <cellStyle name="Normal 3_10051" xfId="4711"/>
    <cellStyle name="Normal 30" xfId="4712"/>
    <cellStyle name="Normal 30 2" xfId="4713"/>
    <cellStyle name="Normal 30 3" xfId="4714"/>
    <cellStyle name="Normal 30 4" xfId="4715"/>
    <cellStyle name="Normal 31" xfId="4716"/>
    <cellStyle name="Normal 31 2" xfId="4717"/>
    <cellStyle name="Normal 31 2 2" xfId="4718"/>
    <cellStyle name="Normal 31 2 2 2" xfId="4719"/>
    <cellStyle name="Normal 31 2 2 2 2" xfId="4720"/>
    <cellStyle name="Normal 31 2 2 2 2 2" xfId="4721"/>
    <cellStyle name="Normal 31 2 2 2 2 2 2" xfId="4722"/>
    <cellStyle name="Normal 31 2 2 2 2 3" xfId="4723"/>
    <cellStyle name="Normal 31 2 2 2 2 3 2" xfId="4724"/>
    <cellStyle name="Normal 31 2 2 2 2 4" xfId="4725"/>
    <cellStyle name="Normal 31 2 2 2 3" xfId="4726"/>
    <cellStyle name="Normal 31 2 2 2 3 2" xfId="4727"/>
    <cellStyle name="Normal 31 2 2 2 4" xfId="4728"/>
    <cellStyle name="Normal 31 2 2 2 4 2" xfId="4729"/>
    <cellStyle name="Normal 31 2 2 2 5" xfId="4730"/>
    <cellStyle name="Normal 31 2 2 3" xfId="4731"/>
    <cellStyle name="Normal 31 2 2 3 2" xfId="4732"/>
    <cellStyle name="Normal 31 2 2 3 2 2" xfId="4733"/>
    <cellStyle name="Normal 31 2 2 3 3" xfId="4734"/>
    <cellStyle name="Normal 31 2 2 3 3 2" xfId="4735"/>
    <cellStyle name="Normal 31 2 2 3 4" xfId="4736"/>
    <cellStyle name="Normal 31 2 2 4" xfId="4737"/>
    <cellStyle name="Normal 31 2 2 4 2" xfId="4738"/>
    <cellStyle name="Normal 31 2 2 5" xfId="4739"/>
    <cellStyle name="Normal 31 2 2 5 2" xfId="4740"/>
    <cellStyle name="Normal 31 2 2 6" xfId="4741"/>
    <cellStyle name="Normal 31 2 3" xfId="4742"/>
    <cellStyle name="Normal 31 2 3 2" xfId="4743"/>
    <cellStyle name="Normal 31 2 3 2 2" xfId="4744"/>
    <cellStyle name="Normal 31 2 3 2 2 2" xfId="4745"/>
    <cellStyle name="Normal 31 2 3 2 3" xfId="4746"/>
    <cellStyle name="Normal 31 2 3 2 3 2" xfId="4747"/>
    <cellStyle name="Normal 31 2 3 2 4" xfId="4748"/>
    <cellStyle name="Normal 31 2 3 3" xfId="4749"/>
    <cellStyle name="Normal 31 2 3 3 2" xfId="4750"/>
    <cellStyle name="Normal 31 2 3 4" xfId="4751"/>
    <cellStyle name="Normal 31 2 3 4 2" xfId="4752"/>
    <cellStyle name="Normal 31 2 3 5" xfId="4753"/>
    <cellStyle name="Normal 31 2 4" xfId="4754"/>
    <cellStyle name="Normal 31 2 4 2" xfId="4755"/>
    <cellStyle name="Normal 31 2 4 2 2" xfId="4756"/>
    <cellStyle name="Normal 31 2 4 3" xfId="4757"/>
    <cellStyle name="Normal 31 2 4 3 2" xfId="4758"/>
    <cellStyle name="Normal 31 2 4 4" xfId="4759"/>
    <cellStyle name="Normal 31 2 5" xfId="4760"/>
    <cellStyle name="Normal 31 2 5 2" xfId="4761"/>
    <cellStyle name="Normal 31 2 6" xfId="4762"/>
    <cellStyle name="Normal 31 2 6 2" xfId="4763"/>
    <cellStyle name="Normal 31 2 7" xfId="4764"/>
    <cellStyle name="Normal 31 3" xfId="4765"/>
    <cellStyle name="Normal 31 3 2" xfId="4766"/>
    <cellStyle name="Normal 31 3 2 2" xfId="4767"/>
    <cellStyle name="Normal 31 3 2 2 2" xfId="4768"/>
    <cellStyle name="Normal 31 3 2 2 2 2" xfId="4769"/>
    <cellStyle name="Normal 31 3 2 2 3" xfId="4770"/>
    <cellStyle name="Normal 31 3 2 2 3 2" xfId="4771"/>
    <cellStyle name="Normal 31 3 2 2 4" xfId="4772"/>
    <cellStyle name="Normal 31 3 2 3" xfId="4773"/>
    <cellStyle name="Normal 31 3 2 3 2" xfId="4774"/>
    <cellStyle name="Normal 31 3 2 4" xfId="4775"/>
    <cellStyle name="Normal 31 3 2 4 2" xfId="4776"/>
    <cellStyle name="Normal 31 3 2 5" xfId="4777"/>
    <cellStyle name="Normal 31 3 3" xfId="4778"/>
    <cellStyle name="Normal 31 3 3 2" xfId="4779"/>
    <cellStyle name="Normal 31 3 3 2 2" xfId="4780"/>
    <cellStyle name="Normal 31 3 3 3" xfId="4781"/>
    <cellStyle name="Normal 31 3 3 3 2" xfId="4782"/>
    <cellStyle name="Normal 31 3 3 4" xfId="4783"/>
    <cellStyle name="Normal 31 3 4" xfId="4784"/>
    <cellStyle name="Normal 31 3 4 2" xfId="4785"/>
    <cellStyle name="Normal 31 3 5" xfId="4786"/>
    <cellStyle name="Normal 31 3 5 2" xfId="4787"/>
    <cellStyle name="Normal 31 3 6" xfId="4788"/>
    <cellStyle name="Normal 31 4" xfId="4789"/>
    <cellStyle name="Normal 31 4 2" xfId="4790"/>
    <cellStyle name="Normal 31 4 2 2" xfId="4791"/>
    <cellStyle name="Normal 31 4 2 2 2" xfId="4792"/>
    <cellStyle name="Normal 31 4 2 3" xfId="4793"/>
    <cellStyle name="Normal 31 4 2 3 2" xfId="4794"/>
    <cellStyle name="Normal 31 4 2 4" xfId="4795"/>
    <cellStyle name="Normal 31 4 3" xfId="4796"/>
    <cellStyle name="Normal 31 4 3 2" xfId="4797"/>
    <cellStyle name="Normal 31 4 4" xfId="4798"/>
    <cellStyle name="Normal 31 4 4 2" xfId="4799"/>
    <cellStyle name="Normal 31 4 5" xfId="4800"/>
    <cellStyle name="Normal 31 5" xfId="4801"/>
    <cellStyle name="Normal 31 5 2" xfId="4802"/>
    <cellStyle name="Normal 31 5 2 2" xfId="4803"/>
    <cellStyle name="Normal 31 5 3" xfId="4804"/>
    <cellStyle name="Normal 31 5 3 2" xfId="4805"/>
    <cellStyle name="Normal 31 5 4" xfId="4806"/>
    <cellStyle name="Normal 31 6" xfId="4807"/>
    <cellStyle name="Normal 31 6 2" xfId="4808"/>
    <cellStyle name="Normal 31 7" xfId="4809"/>
    <cellStyle name="Normal 31 7 2" xfId="4810"/>
    <cellStyle name="Normal 31 8" xfId="4811"/>
    <cellStyle name="Normal 32" xfId="4812"/>
    <cellStyle name="Normal 32 2" xfId="4813"/>
    <cellStyle name="Normal 32 2 2" xfId="4814"/>
    <cellStyle name="Normal 32 2 2 2" xfId="4815"/>
    <cellStyle name="Normal 32 2 2 2 2" xfId="4816"/>
    <cellStyle name="Normal 32 2 2 2 2 2" xfId="4817"/>
    <cellStyle name="Normal 32 2 2 2 2 2 2" xfId="4818"/>
    <cellStyle name="Normal 32 2 2 2 2 3" xfId="4819"/>
    <cellStyle name="Normal 32 2 2 2 2 3 2" xfId="4820"/>
    <cellStyle name="Normal 32 2 2 2 2 4" xfId="4821"/>
    <cellStyle name="Normal 32 2 2 2 3" xfId="4822"/>
    <cellStyle name="Normal 32 2 2 2 3 2" xfId="4823"/>
    <cellStyle name="Normal 32 2 2 2 4" xfId="4824"/>
    <cellStyle name="Normal 32 2 2 2 4 2" xfId="4825"/>
    <cellStyle name="Normal 32 2 2 2 5" xfId="4826"/>
    <cellStyle name="Normal 32 2 2 3" xfId="4827"/>
    <cellStyle name="Normal 32 2 2 3 2" xfId="4828"/>
    <cellStyle name="Normal 32 2 2 3 2 2" xfId="4829"/>
    <cellStyle name="Normal 32 2 2 3 3" xfId="4830"/>
    <cellStyle name="Normal 32 2 2 3 3 2" xfId="4831"/>
    <cellStyle name="Normal 32 2 2 3 4" xfId="4832"/>
    <cellStyle name="Normal 32 2 2 4" xfId="4833"/>
    <cellStyle name="Normal 32 2 2 4 2" xfId="4834"/>
    <cellStyle name="Normal 32 2 2 5" xfId="4835"/>
    <cellStyle name="Normal 32 2 2 5 2" xfId="4836"/>
    <cellStyle name="Normal 32 2 2 6" xfId="4837"/>
    <cellStyle name="Normal 32 2 3" xfId="4838"/>
    <cellStyle name="Normal 32 2 3 2" xfId="4839"/>
    <cellStyle name="Normal 32 2 3 2 2" xfId="4840"/>
    <cellStyle name="Normal 32 2 3 2 2 2" xfId="4841"/>
    <cellStyle name="Normal 32 2 3 2 3" xfId="4842"/>
    <cellStyle name="Normal 32 2 3 2 3 2" xfId="4843"/>
    <cellStyle name="Normal 32 2 3 2 4" xfId="4844"/>
    <cellStyle name="Normal 32 2 3 3" xfId="4845"/>
    <cellStyle name="Normal 32 2 3 3 2" xfId="4846"/>
    <cellStyle name="Normal 32 2 3 4" xfId="4847"/>
    <cellStyle name="Normal 32 2 3 4 2" xfId="4848"/>
    <cellStyle name="Normal 32 2 3 5" xfId="4849"/>
    <cellStyle name="Normal 32 2 4" xfId="4850"/>
    <cellStyle name="Normal 32 2 4 2" xfId="4851"/>
    <cellStyle name="Normal 32 2 4 2 2" xfId="4852"/>
    <cellStyle name="Normal 32 2 4 3" xfId="4853"/>
    <cellStyle name="Normal 32 2 4 3 2" xfId="4854"/>
    <cellStyle name="Normal 32 2 4 4" xfId="4855"/>
    <cellStyle name="Normal 32 2 5" xfId="4856"/>
    <cellStyle name="Normal 32 2 5 2" xfId="4857"/>
    <cellStyle name="Normal 32 2 6" xfId="4858"/>
    <cellStyle name="Normal 32 2 6 2" xfId="4859"/>
    <cellStyle name="Normal 32 2 7" xfId="4860"/>
    <cellStyle name="Normal 32 3" xfId="4861"/>
    <cellStyle name="Normal 32 3 2" xfId="4862"/>
    <cellStyle name="Normal 32 3 2 2" xfId="4863"/>
    <cellStyle name="Normal 32 3 2 2 2" xfId="4864"/>
    <cellStyle name="Normal 32 3 2 2 2 2" xfId="4865"/>
    <cellStyle name="Normal 32 3 2 2 3" xfId="4866"/>
    <cellStyle name="Normal 32 3 2 2 3 2" xfId="4867"/>
    <cellStyle name="Normal 32 3 2 2 4" xfId="4868"/>
    <cellStyle name="Normal 32 3 2 3" xfId="4869"/>
    <cellStyle name="Normal 32 3 2 3 2" xfId="4870"/>
    <cellStyle name="Normal 32 3 2 4" xfId="4871"/>
    <cellStyle name="Normal 32 3 2 4 2" xfId="4872"/>
    <cellStyle name="Normal 32 3 2 5" xfId="4873"/>
    <cellStyle name="Normal 32 3 3" xfId="4874"/>
    <cellStyle name="Normal 32 3 3 2" xfId="4875"/>
    <cellStyle name="Normal 32 3 3 2 2" xfId="4876"/>
    <cellStyle name="Normal 32 3 3 3" xfId="4877"/>
    <cellStyle name="Normal 32 3 3 3 2" xfId="4878"/>
    <cellStyle name="Normal 32 3 3 4" xfId="4879"/>
    <cellStyle name="Normal 32 3 4" xfId="4880"/>
    <cellStyle name="Normal 32 3 4 2" xfId="4881"/>
    <cellStyle name="Normal 32 3 5" xfId="4882"/>
    <cellStyle name="Normal 32 3 5 2" xfId="4883"/>
    <cellStyle name="Normal 32 3 6" xfId="4884"/>
    <cellStyle name="Normal 32 4" xfId="4885"/>
    <cellStyle name="Normal 32 4 2" xfId="4886"/>
    <cellStyle name="Normal 32 4 2 2" xfId="4887"/>
    <cellStyle name="Normal 32 4 2 2 2" xfId="4888"/>
    <cellStyle name="Normal 32 4 2 3" xfId="4889"/>
    <cellStyle name="Normal 32 4 2 3 2" xfId="4890"/>
    <cellStyle name="Normal 32 4 2 4" xfId="4891"/>
    <cellStyle name="Normal 32 4 3" xfId="4892"/>
    <cellStyle name="Normal 32 4 3 2" xfId="4893"/>
    <cellStyle name="Normal 32 4 4" xfId="4894"/>
    <cellStyle name="Normal 32 4 4 2" xfId="4895"/>
    <cellStyle name="Normal 32 4 5" xfId="4896"/>
    <cellStyle name="Normal 32 5" xfId="4897"/>
    <cellStyle name="Normal 32 5 2" xfId="4898"/>
    <cellStyle name="Normal 32 5 2 2" xfId="4899"/>
    <cellStyle name="Normal 32 5 3" xfId="4900"/>
    <cellStyle name="Normal 32 5 3 2" xfId="4901"/>
    <cellStyle name="Normal 32 5 4" xfId="4902"/>
    <cellStyle name="Normal 32 6" xfId="4903"/>
    <cellStyle name="Normal 32 6 2" xfId="4904"/>
    <cellStyle name="Normal 32 7" xfId="4905"/>
    <cellStyle name="Normal 32 7 2" xfId="4906"/>
    <cellStyle name="Normal 32 8" xfId="4907"/>
    <cellStyle name="Normal 33" xfId="4908"/>
    <cellStyle name="Normal 33 2" xfId="4909"/>
    <cellStyle name="Normal 33 3" xfId="4910"/>
    <cellStyle name="Normal 34" xfId="4911"/>
    <cellStyle name="Normal 34 2" xfId="4912"/>
    <cellStyle name="Normal 34 3" xfId="4913"/>
    <cellStyle name="Normal 35" xfId="4914"/>
    <cellStyle name="Normal 35 2" xfId="4915"/>
    <cellStyle name="Normal 35 2 2" xfId="4916"/>
    <cellStyle name="Normal 35 2 2 2" xfId="4917"/>
    <cellStyle name="Normal 35 2 2 2 2" xfId="4918"/>
    <cellStyle name="Normal 35 2 2 2 2 2" xfId="4919"/>
    <cellStyle name="Normal 35 2 2 2 3" xfId="4920"/>
    <cellStyle name="Normal 35 2 2 2 3 2" xfId="4921"/>
    <cellStyle name="Normal 35 2 2 2 4" xfId="4922"/>
    <cellStyle name="Normal 35 2 2 3" xfId="4923"/>
    <cellStyle name="Normal 35 2 2 3 2" xfId="4924"/>
    <cellStyle name="Normal 35 2 2 4" xfId="4925"/>
    <cellStyle name="Normal 35 2 2 4 2" xfId="4926"/>
    <cellStyle name="Normal 35 2 2 5" xfId="4927"/>
    <cellStyle name="Normal 35 2 3" xfId="4928"/>
    <cellStyle name="Normal 35 2 3 2" xfId="4929"/>
    <cellStyle name="Normal 35 2 3 2 2" xfId="4930"/>
    <cellStyle name="Normal 35 2 3 3" xfId="4931"/>
    <cellStyle name="Normal 35 2 3 3 2" xfId="4932"/>
    <cellStyle name="Normal 35 2 3 4" xfId="4933"/>
    <cellStyle name="Normal 35 2 4" xfId="4934"/>
    <cellStyle name="Normal 35 2 4 2" xfId="4935"/>
    <cellStyle name="Normal 35 2 5" xfId="4936"/>
    <cellStyle name="Normal 35 2 5 2" xfId="4937"/>
    <cellStyle name="Normal 35 2 6" xfId="4938"/>
    <cellStyle name="Normal 35 3" xfId="4939"/>
    <cellStyle name="Normal 35 3 2" xfId="4940"/>
    <cellStyle name="Normal 35 3 2 2" xfId="4941"/>
    <cellStyle name="Normal 35 3 2 2 2" xfId="4942"/>
    <cellStyle name="Normal 35 3 2 3" xfId="4943"/>
    <cellStyle name="Normal 35 3 2 3 2" xfId="4944"/>
    <cellStyle name="Normal 35 3 2 4" xfId="4945"/>
    <cellStyle name="Normal 35 3 3" xfId="4946"/>
    <cellStyle name="Normal 35 3 3 2" xfId="4947"/>
    <cellStyle name="Normal 35 3 4" xfId="4948"/>
    <cellStyle name="Normal 35 3 4 2" xfId="4949"/>
    <cellStyle name="Normal 35 3 5" xfId="4950"/>
    <cellStyle name="Normal 35 4" xfId="4951"/>
    <cellStyle name="Normal 35 4 2" xfId="4952"/>
    <cellStyle name="Normal 35 4 2 2" xfId="4953"/>
    <cellStyle name="Normal 35 4 3" xfId="4954"/>
    <cellStyle name="Normal 35 4 3 2" xfId="4955"/>
    <cellStyle name="Normal 35 4 4" xfId="4956"/>
    <cellStyle name="Normal 35 5" xfId="4957"/>
    <cellStyle name="Normal 35 5 2" xfId="4958"/>
    <cellStyle name="Normal 35 6" xfId="4959"/>
    <cellStyle name="Normal 35 6 2" xfId="4960"/>
    <cellStyle name="Normal 35 7" xfId="4961"/>
    <cellStyle name="Normal 36" xfId="4962"/>
    <cellStyle name="Normal 36 2" xfId="4963"/>
    <cellStyle name="Normal 36 2 2" xfId="4964"/>
    <cellStyle name="Normal 36 2 2 2" xfId="4965"/>
    <cellStyle name="Normal 36 2 2 2 2" xfId="4966"/>
    <cellStyle name="Normal 36 2 2 2 2 2" xfId="4967"/>
    <cellStyle name="Normal 36 2 2 2 3" xfId="4968"/>
    <cellStyle name="Normal 36 2 2 2 3 2" xfId="4969"/>
    <cellStyle name="Normal 36 2 2 2 4" xfId="4970"/>
    <cellStyle name="Normal 36 2 2 3" xfId="4971"/>
    <cellStyle name="Normal 36 2 2 3 2" xfId="4972"/>
    <cellStyle name="Normal 36 2 2 4" xfId="4973"/>
    <cellStyle name="Normal 36 2 2 4 2" xfId="4974"/>
    <cellStyle name="Normal 36 2 2 5" xfId="4975"/>
    <cellStyle name="Normal 36 2 3" xfId="4976"/>
    <cellStyle name="Normal 36 2 3 2" xfId="4977"/>
    <cellStyle name="Normal 36 2 3 2 2" xfId="4978"/>
    <cellStyle name="Normal 36 2 3 3" xfId="4979"/>
    <cellStyle name="Normal 36 2 3 3 2" xfId="4980"/>
    <cellStyle name="Normal 36 2 3 4" xfId="4981"/>
    <cellStyle name="Normal 36 2 4" xfId="4982"/>
    <cellStyle name="Normal 36 2 4 2" xfId="4983"/>
    <cellStyle name="Normal 36 2 5" xfId="4984"/>
    <cellStyle name="Normal 36 2 5 2" xfId="4985"/>
    <cellStyle name="Normal 36 2 6" xfId="4986"/>
    <cellStyle name="Normal 36 3" xfId="4987"/>
    <cellStyle name="Normal 36 3 2" xfId="4988"/>
    <cellStyle name="Normal 36 3 2 2" xfId="4989"/>
    <cellStyle name="Normal 36 3 2 2 2" xfId="4990"/>
    <cellStyle name="Normal 36 3 2 3" xfId="4991"/>
    <cellStyle name="Normal 36 3 2 3 2" xfId="4992"/>
    <cellStyle name="Normal 36 3 2 4" xfId="4993"/>
    <cellStyle name="Normal 36 3 3" xfId="4994"/>
    <cellStyle name="Normal 36 3 3 2" xfId="4995"/>
    <cellStyle name="Normal 36 3 4" xfId="4996"/>
    <cellStyle name="Normal 36 3 4 2" xfId="4997"/>
    <cellStyle name="Normal 36 3 5" xfId="4998"/>
    <cellStyle name="Normal 36 4" xfId="4999"/>
    <cellStyle name="Normal 36 4 2" xfId="5000"/>
    <cellStyle name="Normal 36 4 2 2" xfId="5001"/>
    <cellStyle name="Normal 36 4 3" xfId="5002"/>
    <cellStyle name="Normal 36 4 3 2" xfId="5003"/>
    <cellStyle name="Normal 36 4 4" xfId="5004"/>
    <cellStyle name="Normal 36 5" xfId="5005"/>
    <cellStyle name="Normal 36 5 2" xfId="5006"/>
    <cellStyle name="Normal 36 6" xfId="5007"/>
    <cellStyle name="Normal 36 6 2" xfId="5008"/>
    <cellStyle name="Normal 36 7" xfId="5009"/>
    <cellStyle name="Normal 37" xfId="5010"/>
    <cellStyle name="Normal 37 2" xfId="5011"/>
    <cellStyle name="Normal 37 2 2" xfId="5012"/>
    <cellStyle name="Normal 37 2 2 2" xfId="5013"/>
    <cellStyle name="Normal 37 2 2 2 2" xfId="5014"/>
    <cellStyle name="Normal 37 2 2 2 2 2" xfId="5015"/>
    <cellStyle name="Normal 37 2 2 2 3" xfId="5016"/>
    <cellStyle name="Normal 37 2 2 2 3 2" xfId="5017"/>
    <cellStyle name="Normal 37 2 2 2 4" xfId="5018"/>
    <cellStyle name="Normal 37 2 2 3" xfId="5019"/>
    <cellStyle name="Normal 37 2 2 3 2" xfId="5020"/>
    <cellStyle name="Normal 37 2 2 4" xfId="5021"/>
    <cellStyle name="Normal 37 2 2 4 2" xfId="5022"/>
    <cellStyle name="Normal 37 2 2 5" xfId="5023"/>
    <cellStyle name="Normal 37 2 3" xfId="5024"/>
    <cellStyle name="Normal 37 2 3 2" xfId="5025"/>
    <cellStyle name="Normal 37 2 3 2 2" xfId="5026"/>
    <cellStyle name="Normal 37 2 3 3" xfId="5027"/>
    <cellStyle name="Normal 37 2 3 3 2" xfId="5028"/>
    <cellStyle name="Normal 37 2 3 4" xfId="5029"/>
    <cellStyle name="Normal 37 2 4" xfId="5030"/>
    <cellStyle name="Normal 37 2 4 2" xfId="5031"/>
    <cellStyle name="Normal 37 2 5" xfId="5032"/>
    <cellStyle name="Normal 37 2 5 2" xfId="5033"/>
    <cellStyle name="Normal 37 2 6" xfId="5034"/>
    <cellStyle name="Normal 37 3" xfId="5035"/>
    <cellStyle name="Normal 37 3 2" xfId="5036"/>
    <cellStyle name="Normal 37 3 2 2" xfId="5037"/>
    <cellStyle name="Normal 37 3 2 2 2" xfId="5038"/>
    <cellStyle name="Normal 37 3 2 3" xfId="5039"/>
    <cellStyle name="Normal 37 3 2 3 2" xfId="5040"/>
    <cellStyle name="Normal 37 3 2 4" xfId="5041"/>
    <cellStyle name="Normal 37 3 3" xfId="5042"/>
    <cellStyle name="Normal 37 3 3 2" xfId="5043"/>
    <cellStyle name="Normal 37 3 4" xfId="5044"/>
    <cellStyle name="Normal 37 3 4 2" xfId="5045"/>
    <cellStyle name="Normal 37 3 5" xfId="5046"/>
    <cellStyle name="Normal 37 4" xfId="5047"/>
    <cellStyle name="Normal 37 4 2" xfId="5048"/>
    <cellStyle name="Normal 37 4 2 2" xfId="5049"/>
    <cellStyle name="Normal 37 4 3" xfId="5050"/>
    <cellStyle name="Normal 37 4 3 2" xfId="5051"/>
    <cellStyle name="Normal 37 4 4" xfId="5052"/>
    <cellStyle name="Normal 37 5" xfId="5053"/>
    <cellStyle name="Normal 37 5 2" xfId="5054"/>
    <cellStyle name="Normal 37 6" xfId="5055"/>
    <cellStyle name="Normal 37 6 2" xfId="5056"/>
    <cellStyle name="Normal 37 7" xfId="5057"/>
    <cellStyle name="Normal 38" xfId="5058"/>
    <cellStyle name="Normal 38 2" xfId="5059"/>
    <cellStyle name="Normal 38 2 2" xfId="5060"/>
    <cellStyle name="Normal 38 2 2 2" xfId="5061"/>
    <cellStyle name="Normal 38 2 2 2 2" xfId="5062"/>
    <cellStyle name="Normal 38 2 2 2 2 2" xfId="5063"/>
    <cellStyle name="Normal 38 2 2 2 3" xfId="5064"/>
    <cellStyle name="Normal 38 2 2 2 3 2" xfId="5065"/>
    <cellStyle name="Normal 38 2 2 2 4" xfId="5066"/>
    <cellStyle name="Normal 38 2 2 3" xfId="5067"/>
    <cellStyle name="Normal 38 2 2 3 2" xfId="5068"/>
    <cellStyle name="Normal 38 2 2 4" xfId="5069"/>
    <cellStyle name="Normal 38 2 2 4 2" xfId="5070"/>
    <cellStyle name="Normal 38 2 2 5" xfId="5071"/>
    <cellStyle name="Normal 38 2 3" xfId="5072"/>
    <cellStyle name="Normal 38 2 3 2" xfId="5073"/>
    <cellStyle name="Normal 38 2 3 2 2" xfId="5074"/>
    <cellStyle name="Normal 38 2 3 3" xfId="5075"/>
    <cellStyle name="Normal 38 2 3 3 2" xfId="5076"/>
    <cellStyle name="Normal 38 2 3 4" xfId="5077"/>
    <cellStyle name="Normal 38 2 4" xfId="5078"/>
    <cellStyle name="Normal 38 2 4 2" xfId="5079"/>
    <cellStyle name="Normal 38 2 5" xfId="5080"/>
    <cellStyle name="Normal 38 2 5 2" xfId="5081"/>
    <cellStyle name="Normal 38 2 6" xfId="5082"/>
    <cellStyle name="Normal 38 3" xfId="5083"/>
    <cellStyle name="Normal 38 3 2" xfId="5084"/>
    <cellStyle name="Normal 38 3 2 2" xfId="5085"/>
    <cellStyle name="Normal 38 3 2 2 2" xfId="5086"/>
    <cellStyle name="Normal 38 3 2 3" xfId="5087"/>
    <cellStyle name="Normal 38 3 2 3 2" xfId="5088"/>
    <cellStyle name="Normal 38 3 2 4" xfId="5089"/>
    <cellStyle name="Normal 38 3 3" xfId="5090"/>
    <cellStyle name="Normal 38 3 3 2" xfId="5091"/>
    <cellStyle name="Normal 38 3 4" xfId="5092"/>
    <cellStyle name="Normal 38 3 4 2" xfId="5093"/>
    <cellStyle name="Normal 38 3 5" xfId="5094"/>
    <cellStyle name="Normal 38 4" xfId="5095"/>
    <cellStyle name="Normal 38 4 2" xfId="5096"/>
    <cellStyle name="Normal 38 4 2 2" xfId="5097"/>
    <cellStyle name="Normal 38 4 3" xfId="5098"/>
    <cellStyle name="Normal 38 4 3 2" xfId="5099"/>
    <cellStyle name="Normal 38 4 4" xfId="5100"/>
    <cellStyle name="Normal 38 5" xfId="5101"/>
    <cellStyle name="Normal 38 5 2" xfId="5102"/>
    <cellStyle name="Normal 38 6" xfId="5103"/>
    <cellStyle name="Normal 38 6 2" xfId="5104"/>
    <cellStyle name="Normal 38 7" xfId="5105"/>
    <cellStyle name="Normal 39" xfId="5106"/>
    <cellStyle name="Normal 39 2" xfId="5107"/>
    <cellStyle name="Normal 39 2 2" xfId="5108"/>
    <cellStyle name="Normal 39 2 2 2" xfId="5109"/>
    <cellStyle name="Normal 39 2 2 2 2" xfId="5110"/>
    <cellStyle name="Normal 39 2 2 2 2 2" xfId="5111"/>
    <cellStyle name="Normal 39 2 2 2 3" xfId="5112"/>
    <cellStyle name="Normal 39 2 2 2 3 2" xfId="5113"/>
    <cellStyle name="Normal 39 2 2 2 4" xfId="5114"/>
    <cellStyle name="Normal 39 2 2 3" xfId="5115"/>
    <cellStyle name="Normal 39 2 2 3 2" xfId="5116"/>
    <cellStyle name="Normal 39 2 2 4" xfId="5117"/>
    <cellStyle name="Normal 39 2 2 4 2" xfId="5118"/>
    <cellStyle name="Normal 39 2 2 5" xfId="5119"/>
    <cellStyle name="Normal 39 2 3" xfId="5120"/>
    <cellStyle name="Normal 39 2 3 2" xfId="5121"/>
    <cellStyle name="Normal 39 2 3 2 2" xfId="5122"/>
    <cellStyle name="Normal 39 2 3 3" xfId="5123"/>
    <cellStyle name="Normal 39 2 3 3 2" xfId="5124"/>
    <cellStyle name="Normal 39 2 3 4" xfId="5125"/>
    <cellStyle name="Normal 39 2 4" xfId="5126"/>
    <cellStyle name="Normal 39 2 4 2" xfId="5127"/>
    <cellStyle name="Normal 39 2 5" xfId="5128"/>
    <cellStyle name="Normal 39 2 5 2" xfId="5129"/>
    <cellStyle name="Normal 39 2 6" xfId="5130"/>
    <cellStyle name="Normal 39 3" xfId="5131"/>
    <cellStyle name="Normal 39 3 2" xfId="5132"/>
    <cellStyle name="Normal 39 3 2 2" xfId="5133"/>
    <cellStyle name="Normal 39 3 2 2 2" xfId="5134"/>
    <cellStyle name="Normal 39 3 2 3" xfId="5135"/>
    <cellStyle name="Normal 39 3 2 3 2" xfId="5136"/>
    <cellStyle name="Normal 39 3 2 4" xfId="5137"/>
    <cellStyle name="Normal 39 3 3" xfId="5138"/>
    <cellStyle name="Normal 39 3 3 2" xfId="5139"/>
    <cellStyle name="Normal 39 3 4" xfId="5140"/>
    <cellStyle name="Normal 39 3 4 2" xfId="5141"/>
    <cellStyle name="Normal 39 3 5" xfId="5142"/>
    <cellStyle name="Normal 39 4" xfId="5143"/>
    <cellStyle name="Normal 39 4 2" xfId="5144"/>
    <cellStyle name="Normal 39 4 2 2" xfId="5145"/>
    <cellStyle name="Normal 39 4 3" xfId="5146"/>
    <cellStyle name="Normal 39 4 3 2" xfId="5147"/>
    <cellStyle name="Normal 39 4 4" xfId="5148"/>
    <cellStyle name="Normal 39 5" xfId="5149"/>
    <cellStyle name="Normal 39 5 2" xfId="5150"/>
    <cellStyle name="Normal 39 6" xfId="5151"/>
    <cellStyle name="Normal 39 6 2" xfId="5152"/>
    <cellStyle name="Normal 39 7" xfId="5153"/>
    <cellStyle name="Normal 4" xfId="5154"/>
    <cellStyle name="Normal 4 2" xfId="5155"/>
    <cellStyle name="Normal 4 2 2" xfId="5156"/>
    <cellStyle name="Normal 4 2 2 2" xfId="5157"/>
    <cellStyle name="Normal 4 2 2 2 2" xfId="5158"/>
    <cellStyle name="Normal 4 2 2 2 2 2" xfId="5159"/>
    <cellStyle name="Normal 4 2 2 2 3" xfId="5160"/>
    <cellStyle name="Normal 4 2 2 2 3 2" xfId="5161"/>
    <cellStyle name="Normal 4 2 2 2 4" xfId="5162"/>
    <cellStyle name="Normal 4 2 2 3" xfId="5163"/>
    <cellStyle name="Normal 4 2 2 3 2" xfId="5164"/>
    <cellStyle name="Normal 4 2 2 4" xfId="5165"/>
    <cellStyle name="Normal 4 2 2 4 2" xfId="5166"/>
    <cellStyle name="Normal 4 2 2 5" xfId="5167"/>
    <cellStyle name="Normal 4 2 3" xfId="5168"/>
    <cellStyle name="Normal 4 2 3 2" xfId="5169"/>
    <cellStyle name="Normal 4 2 3 2 2" xfId="5170"/>
    <cellStyle name="Normal 4 2 3 3" xfId="5171"/>
    <cellStyle name="Normal 4 2 3 3 2" xfId="5172"/>
    <cellStyle name="Normal 4 2 3 4" xfId="5173"/>
    <cellStyle name="Normal 4 2 4" xfId="5174"/>
    <cellStyle name="Normal 4 2 4 2" xfId="5175"/>
    <cellStyle name="Normal 4 2 5" xfId="5176"/>
    <cellStyle name="Normal 4 2 5 2" xfId="5177"/>
    <cellStyle name="Normal 4 2 6" xfId="5178"/>
    <cellStyle name="Normal 4 3" xfId="5179"/>
    <cellStyle name="Normal 4 3 2" xfId="5180"/>
    <cellStyle name="Normal 4 3 2 2" xfId="5181"/>
    <cellStyle name="Normal 4 3 2 3" xfId="5182"/>
    <cellStyle name="Normal 4 3 3" xfId="5183"/>
    <cellStyle name="Normal 4 3 4" xfId="5184"/>
    <cellStyle name="Normal 4 3 5" xfId="5185"/>
    <cellStyle name="Normal 4 4" xfId="5186"/>
    <cellStyle name="Normal 4 4 2" xfId="5187"/>
    <cellStyle name="Normal 4 5" xfId="5188"/>
    <cellStyle name="Normal 4_2180" xfId="5189"/>
    <cellStyle name="Normal 40" xfId="5190"/>
    <cellStyle name="Normal 40 2" xfId="5191"/>
    <cellStyle name="Normal 40 2 2" xfId="5192"/>
    <cellStyle name="Normal 40 2 2 2" xfId="5193"/>
    <cellStyle name="Normal 40 2 2 2 2" xfId="5194"/>
    <cellStyle name="Normal 40 2 2 2 2 2" xfId="5195"/>
    <cellStyle name="Normal 40 2 2 2 3" xfId="5196"/>
    <cellStyle name="Normal 40 2 2 2 3 2" xfId="5197"/>
    <cellStyle name="Normal 40 2 2 2 4" xfId="5198"/>
    <cellStyle name="Normal 40 2 2 3" xfId="5199"/>
    <cellStyle name="Normal 40 2 2 3 2" xfId="5200"/>
    <cellStyle name="Normal 40 2 2 4" xfId="5201"/>
    <cellStyle name="Normal 40 2 2 4 2" xfId="5202"/>
    <cellStyle name="Normal 40 2 2 5" xfId="5203"/>
    <cellStyle name="Normal 40 2 3" xfId="5204"/>
    <cellStyle name="Normal 40 2 3 2" xfId="5205"/>
    <cellStyle name="Normal 40 2 3 2 2" xfId="5206"/>
    <cellStyle name="Normal 40 2 3 3" xfId="5207"/>
    <cellStyle name="Normal 40 2 3 3 2" xfId="5208"/>
    <cellStyle name="Normal 40 2 3 4" xfId="5209"/>
    <cellStyle name="Normal 40 2 4" xfId="5210"/>
    <cellStyle name="Normal 40 2 4 2" xfId="5211"/>
    <cellStyle name="Normal 40 2 5" xfId="5212"/>
    <cellStyle name="Normal 40 2 5 2" xfId="5213"/>
    <cellStyle name="Normal 40 2 6" xfId="5214"/>
    <cellStyle name="Normal 40 3" xfId="5215"/>
    <cellStyle name="Normal 40 3 2" xfId="5216"/>
    <cellStyle name="Normal 40 3 2 2" xfId="5217"/>
    <cellStyle name="Normal 40 3 2 2 2" xfId="5218"/>
    <cellStyle name="Normal 40 3 2 3" xfId="5219"/>
    <cellStyle name="Normal 40 3 2 3 2" xfId="5220"/>
    <cellStyle name="Normal 40 3 2 4" xfId="5221"/>
    <cellStyle name="Normal 40 3 3" xfId="5222"/>
    <cellStyle name="Normal 40 3 3 2" xfId="5223"/>
    <cellStyle name="Normal 40 3 4" xfId="5224"/>
    <cellStyle name="Normal 40 3 4 2" xfId="5225"/>
    <cellStyle name="Normal 40 3 5" xfId="5226"/>
    <cellStyle name="Normal 40 4" xfId="5227"/>
    <cellStyle name="Normal 40 4 2" xfId="5228"/>
    <cellStyle name="Normal 40 4 2 2" xfId="5229"/>
    <cellStyle name="Normal 40 4 3" xfId="5230"/>
    <cellStyle name="Normal 40 4 3 2" xfId="5231"/>
    <cellStyle name="Normal 40 4 4" xfId="5232"/>
    <cellStyle name="Normal 40 5" xfId="5233"/>
    <cellStyle name="Normal 40 5 2" xfId="5234"/>
    <cellStyle name="Normal 40 6" xfId="5235"/>
    <cellStyle name="Normal 40 6 2" xfId="5236"/>
    <cellStyle name="Normal 40 7" xfId="5237"/>
    <cellStyle name="Normal 41" xfId="5238"/>
    <cellStyle name="Normal 41 2" xfId="5239"/>
    <cellStyle name="Normal 41 2 2" xfId="5240"/>
    <cellStyle name="Normal 41 2 2 2" xfId="5241"/>
    <cellStyle name="Normal 41 2 2 2 2" xfId="5242"/>
    <cellStyle name="Normal 41 2 2 2 2 2" xfId="5243"/>
    <cellStyle name="Normal 41 2 2 2 3" xfId="5244"/>
    <cellStyle name="Normal 41 2 2 2 3 2" xfId="5245"/>
    <cellStyle name="Normal 41 2 2 2 4" xfId="5246"/>
    <cellStyle name="Normal 41 2 2 3" xfId="5247"/>
    <cellStyle name="Normal 41 2 2 3 2" xfId="5248"/>
    <cellStyle name="Normal 41 2 2 4" xfId="5249"/>
    <cellStyle name="Normal 41 2 2 4 2" xfId="5250"/>
    <cellStyle name="Normal 41 2 2 5" xfId="5251"/>
    <cellStyle name="Normal 41 2 3" xfId="5252"/>
    <cellStyle name="Normal 41 2 3 2" xfId="5253"/>
    <cellStyle name="Normal 41 2 3 2 2" xfId="5254"/>
    <cellStyle name="Normal 41 2 3 3" xfId="5255"/>
    <cellStyle name="Normal 41 2 3 3 2" xfId="5256"/>
    <cellStyle name="Normal 41 2 3 4" xfId="5257"/>
    <cellStyle name="Normal 41 2 4" xfId="5258"/>
    <cellStyle name="Normal 41 2 4 2" xfId="5259"/>
    <cellStyle name="Normal 41 2 5" xfId="5260"/>
    <cellStyle name="Normal 41 2 5 2" xfId="5261"/>
    <cellStyle name="Normal 41 2 6" xfId="5262"/>
    <cellStyle name="Normal 41 3" xfId="5263"/>
    <cellStyle name="Normal 41 3 2" xfId="5264"/>
    <cellStyle name="Normal 41 3 2 2" xfId="5265"/>
    <cellStyle name="Normal 41 3 2 2 2" xfId="5266"/>
    <cellStyle name="Normal 41 3 2 3" xfId="5267"/>
    <cellStyle name="Normal 41 3 2 3 2" xfId="5268"/>
    <cellStyle name="Normal 41 3 2 4" xfId="5269"/>
    <cellStyle name="Normal 41 3 3" xfId="5270"/>
    <cellStyle name="Normal 41 3 3 2" xfId="5271"/>
    <cellStyle name="Normal 41 3 4" xfId="5272"/>
    <cellStyle name="Normal 41 3 4 2" xfId="5273"/>
    <cellStyle name="Normal 41 3 5" xfId="5274"/>
    <cellStyle name="Normal 41 4" xfId="5275"/>
    <cellStyle name="Normal 41 4 2" xfId="5276"/>
    <cellStyle name="Normal 41 4 2 2" xfId="5277"/>
    <cellStyle name="Normal 41 4 3" xfId="5278"/>
    <cellStyle name="Normal 41 4 3 2" xfId="5279"/>
    <cellStyle name="Normal 41 4 4" xfId="5280"/>
    <cellStyle name="Normal 41 5" xfId="5281"/>
    <cellStyle name="Normal 41 5 2" xfId="5282"/>
    <cellStyle name="Normal 41 6" xfId="5283"/>
    <cellStyle name="Normal 41 6 2" xfId="5284"/>
    <cellStyle name="Normal 41 7" xfId="5285"/>
    <cellStyle name="Normal 42" xfId="5286"/>
    <cellStyle name="Normal 42 2" xfId="5287"/>
    <cellStyle name="Normal 42 3" xfId="5288"/>
    <cellStyle name="Normal 43" xfId="5289"/>
    <cellStyle name="Normal 43 2" xfId="5290"/>
    <cellStyle name="Normal 43 2 2" xfId="5291"/>
    <cellStyle name="Normal 43 2 2 2" xfId="5292"/>
    <cellStyle name="Normal 43 2 2 2 2" xfId="5293"/>
    <cellStyle name="Normal 43 2 2 2 2 2" xfId="5294"/>
    <cellStyle name="Normal 43 2 2 2 3" xfId="5295"/>
    <cellStyle name="Normal 43 2 2 2 3 2" xfId="5296"/>
    <cellStyle name="Normal 43 2 2 2 4" xfId="5297"/>
    <cellStyle name="Normal 43 2 2 3" xfId="5298"/>
    <cellStyle name="Normal 43 2 2 3 2" xfId="5299"/>
    <cellStyle name="Normal 43 2 2 4" xfId="5300"/>
    <cellStyle name="Normal 43 2 2 4 2" xfId="5301"/>
    <cellStyle name="Normal 43 2 2 5" xfId="5302"/>
    <cellStyle name="Normal 43 2 3" xfId="5303"/>
    <cellStyle name="Normal 43 2 3 2" xfId="5304"/>
    <cellStyle name="Normal 43 2 3 2 2" xfId="5305"/>
    <cellStyle name="Normal 43 2 3 3" xfId="5306"/>
    <cellStyle name="Normal 43 2 3 3 2" xfId="5307"/>
    <cellStyle name="Normal 43 2 3 4" xfId="5308"/>
    <cellStyle name="Normal 43 2 4" xfId="5309"/>
    <cellStyle name="Normal 43 2 4 2" xfId="5310"/>
    <cellStyle name="Normal 43 2 5" xfId="5311"/>
    <cellStyle name="Normal 43 2 5 2" xfId="5312"/>
    <cellStyle name="Normal 43 2 6" xfId="5313"/>
    <cellStyle name="Normal 43 3" xfId="5314"/>
    <cellStyle name="Normal 44" xfId="5315"/>
    <cellStyle name="Normal 44 2" xfId="5316"/>
    <cellStyle name="Normal 44 2 2" xfId="5317"/>
    <cellStyle name="Normal 44 2 2 2" xfId="5318"/>
    <cellStyle name="Normal 44 2 2 2 2" xfId="5319"/>
    <cellStyle name="Normal 44 2 2 2 2 2" xfId="5320"/>
    <cellStyle name="Normal 44 2 2 2 3" xfId="5321"/>
    <cellStyle name="Normal 44 2 2 2 3 2" xfId="5322"/>
    <cellStyle name="Normal 44 2 2 2 4" xfId="5323"/>
    <cellStyle name="Normal 44 2 2 3" xfId="5324"/>
    <cellStyle name="Normal 44 2 2 3 2" xfId="5325"/>
    <cellStyle name="Normal 44 2 2 4" xfId="5326"/>
    <cellStyle name="Normal 44 2 2 4 2" xfId="5327"/>
    <cellStyle name="Normal 44 2 2 5" xfId="5328"/>
    <cellStyle name="Normal 44 2 3" xfId="5329"/>
    <cellStyle name="Normal 44 2 3 2" xfId="5330"/>
    <cellStyle name="Normal 44 2 3 2 2" xfId="5331"/>
    <cellStyle name="Normal 44 2 3 3" xfId="5332"/>
    <cellStyle name="Normal 44 2 3 3 2" xfId="5333"/>
    <cellStyle name="Normal 44 2 3 4" xfId="5334"/>
    <cellStyle name="Normal 44 2 4" xfId="5335"/>
    <cellStyle name="Normal 44 2 4 2" xfId="5336"/>
    <cellStyle name="Normal 44 2 5" xfId="5337"/>
    <cellStyle name="Normal 44 2 5 2" xfId="5338"/>
    <cellStyle name="Normal 44 2 6" xfId="5339"/>
    <cellStyle name="Normal 44 3" xfId="5340"/>
    <cellStyle name="Normal 44 3 2" xfId="5341"/>
    <cellStyle name="Normal 44 3 2 2" xfId="5342"/>
    <cellStyle name="Normal 44 3 2 2 2" xfId="5343"/>
    <cellStyle name="Normal 44 3 2 3" xfId="5344"/>
    <cellStyle name="Normal 44 3 2 3 2" xfId="5345"/>
    <cellStyle name="Normal 44 3 2 4" xfId="5346"/>
    <cellStyle name="Normal 44 3 3" xfId="5347"/>
    <cellStyle name="Normal 44 3 3 2" xfId="5348"/>
    <cellStyle name="Normal 44 3 4" xfId="5349"/>
    <cellStyle name="Normal 44 3 4 2" xfId="5350"/>
    <cellStyle name="Normal 44 3 5" xfId="5351"/>
    <cellStyle name="Normal 44 4" xfId="5352"/>
    <cellStyle name="Normal 44 4 2" xfId="5353"/>
    <cellStyle name="Normal 44 4 2 2" xfId="5354"/>
    <cellStyle name="Normal 44 4 3" xfId="5355"/>
    <cellStyle name="Normal 44 4 3 2" xfId="5356"/>
    <cellStyle name="Normal 44 4 4" xfId="5357"/>
    <cellStyle name="Normal 44 5" xfId="5358"/>
    <cellStyle name="Normal 44 5 2" xfId="5359"/>
    <cellStyle name="Normal 44 6" xfId="5360"/>
    <cellStyle name="Normal 44 6 2" xfId="5361"/>
    <cellStyle name="Normal 44 7" xfId="5362"/>
    <cellStyle name="Normal 45" xfId="5363"/>
    <cellStyle name="Normal 45 2" xfId="5364"/>
    <cellStyle name="Normal 45 2 2" xfId="5365"/>
    <cellStyle name="Normal 45 2 2 2" xfId="5366"/>
    <cellStyle name="Normal 45 2 2 2 2" xfId="5367"/>
    <cellStyle name="Normal 45 2 2 2 2 2" xfId="5368"/>
    <cellStyle name="Normal 45 2 2 2 3" xfId="5369"/>
    <cellStyle name="Normal 45 2 2 2 3 2" xfId="5370"/>
    <cellStyle name="Normal 45 2 2 2 4" xfId="5371"/>
    <cellStyle name="Normal 45 2 2 3" xfId="5372"/>
    <cellStyle name="Normal 45 2 2 3 2" xfId="5373"/>
    <cellStyle name="Normal 45 2 2 4" xfId="5374"/>
    <cellStyle name="Normal 45 2 2 4 2" xfId="5375"/>
    <cellStyle name="Normal 45 2 2 5" xfId="5376"/>
    <cellStyle name="Normal 45 2 3" xfId="5377"/>
    <cellStyle name="Normal 45 2 3 2" xfId="5378"/>
    <cellStyle name="Normal 45 2 3 2 2" xfId="5379"/>
    <cellStyle name="Normal 45 2 3 3" xfId="5380"/>
    <cellStyle name="Normal 45 2 3 3 2" xfId="5381"/>
    <cellStyle name="Normal 45 2 3 4" xfId="5382"/>
    <cellStyle name="Normal 45 2 4" xfId="5383"/>
    <cellStyle name="Normal 45 2 4 2" xfId="5384"/>
    <cellStyle name="Normal 45 2 5" xfId="5385"/>
    <cellStyle name="Normal 45 2 5 2" xfId="5386"/>
    <cellStyle name="Normal 45 2 6" xfId="5387"/>
    <cellStyle name="Normal 45 3" xfId="5388"/>
    <cellStyle name="Normal 46" xfId="5389"/>
    <cellStyle name="Normal 46 2" xfId="5390"/>
    <cellStyle name="Normal 46 2 2" xfId="5391"/>
    <cellStyle name="Normal 46 2 2 2" xfId="5392"/>
    <cellStyle name="Normal 46 2 2 2 2" xfId="5393"/>
    <cellStyle name="Normal 46 2 2 2 2 2" xfId="5394"/>
    <cellStyle name="Normal 46 2 2 2 3" xfId="5395"/>
    <cellStyle name="Normal 46 2 2 2 3 2" xfId="5396"/>
    <cellStyle name="Normal 46 2 2 2 4" xfId="5397"/>
    <cellStyle name="Normal 46 2 2 3" xfId="5398"/>
    <cellStyle name="Normal 46 2 2 3 2" xfId="5399"/>
    <cellStyle name="Normal 46 2 2 4" xfId="5400"/>
    <cellStyle name="Normal 46 2 2 4 2" xfId="5401"/>
    <cellStyle name="Normal 46 2 2 5" xfId="5402"/>
    <cellStyle name="Normal 46 2 3" xfId="5403"/>
    <cellStyle name="Normal 46 2 3 2" xfId="5404"/>
    <cellStyle name="Normal 46 2 3 2 2" xfId="5405"/>
    <cellStyle name="Normal 46 2 3 3" xfId="5406"/>
    <cellStyle name="Normal 46 2 3 3 2" xfId="5407"/>
    <cellStyle name="Normal 46 2 3 4" xfId="5408"/>
    <cellStyle name="Normal 46 2 4" xfId="5409"/>
    <cellStyle name="Normal 46 2 4 2" xfId="5410"/>
    <cellStyle name="Normal 46 2 5" xfId="5411"/>
    <cellStyle name="Normal 46 2 5 2" xfId="5412"/>
    <cellStyle name="Normal 46 2 6" xfId="5413"/>
    <cellStyle name="Normal 46 3" xfId="5414"/>
    <cellStyle name="Normal 47" xfId="5415"/>
    <cellStyle name="Normal 47 2" xfId="5416"/>
    <cellStyle name="Normal 47 2 2" xfId="5417"/>
    <cellStyle name="Normal 47 2 2 2" xfId="5418"/>
    <cellStyle name="Normal 47 2 2 2 2" xfId="5419"/>
    <cellStyle name="Normal 47 2 2 2 2 2" xfId="5420"/>
    <cellStyle name="Normal 47 2 2 2 3" xfId="5421"/>
    <cellStyle name="Normal 47 2 2 2 3 2" xfId="5422"/>
    <cellStyle name="Normal 47 2 2 2 4" xfId="5423"/>
    <cellStyle name="Normal 47 2 2 3" xfId="5424"/>
    <cellStyle name="Normal 47 2 2 3 2" xfId="5425"/>
    <cellStyle name="Normal 47 2 2 4" xfId="5426"/>
    <cellStyle name="Normal 47 2 2 4 2" xfId="5427"/>
    <cellStyle name="Normal 47 2 2 5" xfId="5428"/>
    <cellStyle name="Normal 47 2 3" xfId="5429"/>
    <cellStyle name="Normal 47 2 3 2" xfId="5430"/>
    <cellStyle name="Normal 47 2 3 2 2" xfId="5431"/>
    <cellStyle name="Normal 47 2 3 3" xfId="5432"/>
    <cellStyle name="Normal 47 2 3 3 2" xfId="5433"/>
    <cellStyle name="Normal 47 2 3 4" xfId="5434"/>
    <cellStyle name="Normal 47 2 4" xfId="5435"/>
    <cellStyle name="Normal 47 2 4 2" xfId="5436"/>
    <cellStyle name="Normal 47 2 5" xfId="5437"/>
    <cellStyle name="Normal 47 2 5 2" xfId="5438"/>
    <cellStyle name="Normal 47 2 6" xfId="5439"/>
    <cellStyle name="Normal 47 3" xfId="5440"/>
    <cellStyle name="Normal 48" xfId="5441"/>
    <cellStyle name="Normal 48 2" xfId="5442"/>
    <cellStyle name="Normal 48 2 2" xfId="5443"/>
    <cellStyle name="Normal 48 2 2 2" xfId="5444"/>
    <cellStyle name="Normal 48 2 2 2 2" xfId="5445"/>
    <cellStyle name="Normal 48 2 2 2 2 2" xfId="5446"/>
    <cellStyle name="Normal 48 2 2 2 3" xfId="5447"/>
    <cellStyle name="Normal 48 2 2 2 3 2" xfId="5448"/>
    <cellStyle name="Normal 48 2 2 2 4" xfId="5449"/>
    <cellStyle name="Normal 48 2 2 3" xfId="5450"/>
    <cellStyle name="Normal 48 2 2 3 2" xfId="5451"/>
    <cellStyle name="Normal 48 2 2 4" xfId="5452"/>
    <cellStyle name="Normal 48 2 2 4 2" xfId="5453"/>
    <cellStyle name="Normal 48 2 2 5" xfId="5454"/>
    <cellStyle name="Normal 48 2 3" xfId="5455"/>
    <cellStyle name="Normal 48 2 3 2" xfId="5456"/>
    <cellStyle name="Normal 48 2 3 2 2" xfId="5457"/>
    <cellStyle name="Normal 48 2 3 3" xfId="5458"/>
    <cellStyle name="Normal 48 2 3 3 2" xfId="5459"/>
    <cellStyle name="Normal 48 2 3 4" xfId="5460"/>
    <cellStyle name="Normal 48 2 4" xfId="5461"/>
    <cellStyle name="Normal 48 2 4 2" xfId="5462"/>
    <cellStyle name="Normal 48 2 5" xfId="5463"/>
    <cellStyle name="Normal 48 2 5 2" xfId="5464"/>
    <cellStyle name="Normal 48 2 6" xfId="5465"/>
    <cellStyle name="Normal 48 3" xfId="5466"/>
    <cellStyle name="Normal 48 3 2" xfId="5467"/>
    <cellStyle name="Normal 48 3 2 2" xfId="5468"/>
    <cellStyle name="Normal 48 3 2 2 2" xfId="5469"/>
    <cellStyle name="Normal 48 3 2 3" xfId="5470"/>
    <cellStyle name="Normal 48 3 2 3 2" xfId="5471"/>
    <cellStyle name="Normal 48 3 2 4" xfId="5472"/>
    <cellStyle name="Normal 48 3 3" xfId="5473"/>
    <cellStyle name="Normal 48 3 3 2" xfId="5474"/>
    <cellStyle name="Normal 48 3 4" xfId="5475"/>
    <cellStyle name="Normal 48 3 4 2" xfId="5476"/>
    <cellStyle name="Normal 48 3 5" xfId="5477"/>
    <cellStyle name="Normal 48 4" xfId="5478"/>
    <cellStyle name="Normal 48 4 2" xfId="5479"/>
    <cellStyle name="Normal 48 4 2 2" xfId="5480"/>
    <cellStyle name="Normal 48 4 3" xfId="5481"/>
    <cellStyle name="Normal 48 4 3 2" xfId="5482"/>
    <cellStyle name="Normal 48 4 4" xfId="5483"/>
    <cellStyle name="Normal 48 5" xfId="5484"/>
    <cellStyle name="Normal 48 5 2" xfId="5485"/>
    <cellStyle name="Normal 48 6" xfId="5486"/>
    <cellStyle name="Normal 48 6 2" xfId="5487"/>
    <cellStyle name="Normal 48 7" xfId="5488"/>
    <cellStyle name="Normal 49" xfId="5489"/>
    <cellStyle name="Normal 49 2" xfId="5490"/>
    <cellStyle name="Normal 49 2 2" xfId="5491"/>
    <cellStyle name="Normal 49 2 2 2" xfId="5492"/>
    <cellStyle name="Normal 49 2 2 2 2" xfId="5493"/>
    <cellStyle name="Normal 49 2 2 2 2 2" xfId="5494"/>
    <cellStyle name="Normal 49 2 2 2 3" xfId="5495"/>
    <cellStyle name="Normal 49 2 2 2 3 2" xfId="5496"/>
    <cellStyle name="Normal 49 2 2 2 4" xfId="5497"/>
    <cellStyle name="Normal 49 2 2 3" xfId="5498"/>
    <cellStyle name="Normal 49 2 2 3 2" xfId="5499"/>
    <cellStyle name="Normal 49 2 2 4" xfId="5500"/>
    <cellStyle name="Normal 49 2 2 4 2" xfId="5501"/>
    <cellStyle name="Normal 49 2 2 5" xfId="5502"/>
    <cellStyle name="Normal 49 2 3" xfId="5503"/>
    <cellStyle name="Normal 49 2 3 2" xfId="5504"/>
    <cellStyle name="Normal 49 2 3 2 2" xfId="5505"/>
    <cellStyle name="Normal 49 2 3 3" xfId="5506"/>
    <cellStyle name="Normal 49 2 3 3 2" xfId="5507"/>
    <cellStyle name="Normal 49 2 3 4" xfId="5508"/>
    <cellStyle name="Normal 49 2 4" xfId="5509"/>
    <cellStyle name="Normal 49 2 4 2" xfId="5510"/>
    <cellStyle name="Normal 49 2 5" xfId="5511"/>
    <cellStyle name="Normal 49 2 5 2" xfId="5512"/>
    <cellStyle name="Normal 49 2 6" xfId="5513"/>
    <cellStyle name="Normal 49 3" xfId="5514"/>
    <cellStyle name="Normal 49 3 2" xfId="5515"/>
    <cellStyle name="Normal 49 3 2 2" xfId="5516"/>
    <cellStyle name="Normal 49 3 2 2 2" xfId="5517"/>
    <cellStyle name="Normal 49 3 2 3" xfId="5518"/>
    <cellStyle name="Normal 49 3 2 3 2" xfId="5519"/>
    <cellStyle name="Normal 49 3 2 4" xfId="5520"/>
    <cellStyle name="Normal 49 3 3" xfId="5521"/>
    <cellStyle name="Normal 49 3 3 2" xfId="5522"/>
    <cellStyle name="Normal 49 3 4" xfId="5523"/>
    <cellStyle name="Normal 49 3 4 2" xfId="5524"/>
    <cellStyle name="Normal 49 3 5" xfId="5525"/>
    <cellStyle name="Normal 49 4" xfId="5526"/>
    <cellStyle name="Normal 49 4 2" xfId="5527"/>
    <cellStyle name="Normal 49 4 2 2" xfId="5528"/>
    <cellStyle name="Normal 49 4 3" xfId="5529"/>
    <cellStyle name="Normal 49 4 3 2" xfId="5530"/>
    <cellStyle name="Normal 49 4 4" xfId="5531"/>
    <cellStyle name="Normal 49 5" xfId="5532"/>
    <cellStyle name="Normal 49 5 2" xfId="5533"/>
    <cellStyle name="Normal 49 6" xfId="5534"/>
    <cellStyle name="Normal 49 6 2" xfId="5535"/>
    <cellStyle name="Normal 49 7" xfId="5536"/>
    <cellStyle name="Normal 5" xfId="5537"/>
    <cellStyle name="Normal 5 10" xfId="5538"/>
    <cellStyle name="Normal 5 2" xfId="5539"/>
    <cellStyle name="Normal 5 2 10" xfId="5540"/>
    <cellStyle name="Normal 5 2 11" xfId="5541"/>
    <cellStyle name="Normal 5 2 2" xfId="5542"/>
    <cellStyle name="Normal 5 2 2 2" xfId="5543"/>
    <cellStyle name="Normal 5 2 2 2 2" xfId="5544"/>
    <cellStyle name="Normal 5 2 2 2 2 2" xfId="5545"/>
    <cellStyle name="Normal 5 2 2 2 2 2 2" xfId="5546"/>
    <cellStyle name="Normal 5 2 2 2 2 2 2 2" xfId="5547"/>
    <cellStyle name="Normal 5 2 2 2 2 2 3" xfId="5548"/>
    <cellStyle name="Normal 5 2 2 2 2 2 3 2" xfId="5549"/>
    <cellStyle name="Normal 5 2 2 2 2 2 4" xfId="5550"/>
    <cellStyle name="Normal 5 2 2 2 2 3" xfId="5551"/>
    <cellStyle name="Normal 5 2 2 2 2 3 2" xfId="5552"/>
    <cellStyle name="Normal 5 2 2 2 2 4" xfId="5553"/>
    <cellStyle name="Normal 5 2 2 2 2 4 2" xfId="5554"/>
    <cellStyle name="Normal 5 2 2 2 2 5" xfId="5555"/>
    <cellStyle name="Normal 5 2 2 2 3" xfId="5556"/>
    <cellStyle name="Normal 5 2 2 2 3 2" xfId="5557"/>
    <cellStyle name="Normal 5 2 2 2 3 2 2" xfId="5558"/>
    <cellStyle name="Normal 5 2 2 2 3 3" xfId="5559"/>
    <cellStyle name="Normal 5 2 2 2 3 3 2" xfId="5560"/>
    <cellStyle name="Normal 5 2 2 2 3 4" xfId="5561"/>
    <cellStyle name="Normal 5 2 2 2 4" xfId="5562"/>
    <cellStyle name="Normal 5 2 2 2 4 2" xfId="5563"/>
    <cellStyle name="Normal 5 2 2 2 5" xfId="5564"/>
    <cellStyle name="Normal 5 2 2 2 5 2" xfId="5565"/>
    <cellStyle name="Normal 5 2 2 2 6" xfId="5566"/>
    <cellStyle name="Normal 5 2 2 3" xfId="5567"/>
    <cellStyle name="Normal 5 2 2 3 2" xfId="5568"/>
    <cellStyle name="Normal 5 2 2 3 2 2" xfId="5569"/>
    <cellStyle name="Normal 5 2 2 3 2 2 2" xfId="5570"/>
    <cellStyle name="Normal 5 2 2 3 2 3" xfId="5571"/>
    <cellStyle name="Normal 5 2 2 3 2 3 2" xfId="5572"/>
    <cellStyle name="Normal 5 2 2 3 2 4" xfId="5573"/>
    <cellStyle name="Normal 5 2 2 3 3" xfId="5574"/>
    <cellStyle name="Normal 5 2 2 3 3 2" xfId="5575"/>
    <cellStyle name="Normal 5 2 2 3 4" xfId="5576"/>
    <cellStyle name="Normal 5 2 2 3 4 2" xfId="5577"/>
    <cellStyle name="Normal 5 2 2 3 5" xfId="5578"/>
    <cellStyle name="Normal 5 2 2 4" xfId="5579"/>
    <cellStyle name="Normal 5 2 2 4 2" xfId="5580"/>
    <cellStyle name="Normal 5 2 2 4 2 2" xfId="5581"/>
    <cellStyle name="Normal 5 2 2 4 3" xfId="5582"/>
    <cellStyle name="Normal 5 2 2 4 3 2" xfId="5583"/>
    <cellStyle name="Normal 5 2 2 4 4" xfId="5584"/>
    <cellStyle name="Normal 5 2 2 5" xfId="5585"/>
    <cellStyle name="Normal 5 2 2 5 2" xfId="5586"/>
    <cellStyle name="Normal 5 2 2 6" xfId="5587"/>
    <cellStyle name="Normal 5 2 2 6 2" xfId="5588"/>
    <cellStyle name="Normal 5 2 2 7" xfId="5589"/>
    <cellStyle name="Normal 5 2 3" xfId="5590"/>
    <cellStyle name="Normal 5 2 3 2" xfId="5591"/>
    <cellStyle name="Normal 5 2 3 2 2" xfId="5592"/>
    <cellStyle name="Normal 5 2 3 2 2 2" xfId="5593"/>
    <cellStyle name="Normal 5 2 3 2 2 2 2" xfId="5594"/>
    <cellStyle name="Normal 5 2 3 2 2 3" xfId="5595"/>
    <cellStyle name="Normal 5 2 3 2 2 3 2" xfId="5596"/>
    <cellStyle name="Normal 5 2 3 2 2 4" xfId="5597"/>
    <cellStyle name="Normal 5 2 3 2 3" xfId="5598"/>
    <cellStyle name="Normal 5 2 3 2 3 2" xfId="5599"/>
    <cellStyle name="Normal 5 2 3 2 4" xfId="5600"/>
    <cellStyle name="Normal 5 2 3 2 4 2" xfId="5601"/>
    <cellStyle name="Normal 5 2 3 2 5" xfId="5602"/>
    <cellStyle name="Normal 5 2 3 3" xfId="5603"/>
    <cellStyle name="Normal 5 2 3 3 2" xfId="5604"/>
    <cellStyle name="Normal 5 2 3 3 2 2" xfId="5605"/>
    <cellStyle name="Normal 5 2 3 3 3" xfId="5606"/>
    <cellStyle name="Normal 5 2 3 3 3 2" xfId="5607"/>
    <cellStyle name="Normal 5 2 3 3 4" xfId="5608"/>
    <cellStyle name="Normal 5 2 3 4" xfId="5609"/>
    <cellStyle name="Normal 5 2 3 4 2" xfId="5610"/>
    <cellStyle name="Normal 5 2 3 4 3" xfId="5611"/>
    <cellStyle name="Normal 5 2 3 5" xfId="5612"/>
    <cellStyle name="Normal 5 2 3 5 2" xfId="5613"/>
    <cellStyle name="Normal 5 2 3 6" xfId="5614"/>
    <cellStyle name="Normal 5 2 4" xfId="5615"/>
    <cellStyle name="Normal 5 2 4 2" xfId="5616"/>
    <cellStyle name="Normal 5 2 4 2 2" xfId="5617"/>
    <cellStyle name="Normal 5 2 4 2 2 2" xfId="5618"/>
    <cellStyle name="Normal 5 2 4 2 3" xfId="5619"/>
    <cellStyle name="Normal 5 2 4 2 3 2" xfId="5620"/>
    <cellStyle name="Normal 5 2 4 2 4" xfId="5621"/>
    <cellStyle name="Normal 5 2 4 2 5" xfId="5622"/>
    <cellStyle name="Normal 5 2 4 3" xfId="5623"/>
    <cellStyle name="Normal 5 2 4 3 2" xfId="5624"/>
    <cellStyle name="Normal 5 2 4 3 3" xfId="5625"/>
    <cellStyle name="Normal 5 2 4 4" xfId="5626"/>
    <cellStyle name="Normal 5 2 4 4 2" xfId="5627"/>
    <cellStyle name="Normal 5 2 4 4 3" xfId="5628"/>
    <cellStyle name="Normal 5 2 4 5" xfId="5629"/>
    <cellStyle name="Normal 5 2 4 6" xfId="5630"/>
    <cellStyle name="Normal 5 2 5" xfId="5631"/>
    <cellStyle name="Normal 5 2 5 10" xfId="5632"/>
    <cellStyle name="Normal 5 2 5 10 2" xfId="5633"/>
    <cellStyle name="Normal 5 2 5 10 3" xfId="5634"/>
    <cellStyle name="Normal 5 2 5 11" xfId="5635"/>
    <cellStyle name="Normal 5 2 5 11 2" xfId="5636"/>
    <cellStyle name="Normal 5 2 5 12" xfId="5637"/>
    <cellStyle name="Normal 5 2 5 12 2" xfId="5638"/>
    <cellStyle name="Normal 5 2 5 13" xfId="5639"/>
    <cellStyle name="Normal 5 2 5 14" xfId="5640"/>
    <cellStyle name="Normal 5 2 5 15" xfId="5641"/>
    <cellStyle name="Normal 5 2 5 16" xfId="5642"/>
    <cellStyle name="Normal 5 2 5 17" xfId="5643"/>
    <cellStyle name="Normal 5 2 5 18" xfId="5644"/>
    <cellStyle name="Normal 5 2 5 19" xfId="5645"/>
    <cellStyle name="Normal 5 2 5 19 2" xfId="5646"/>
    <cellStyle name="Normal 5 2 5 19 3" xfId="5647"/>
    <cellStyle name="Normal 5 2 5 19 4" xfId="5648"/>
    <cellStyle name="Normal 5 2 5 19 5" xfId="5649"/>
    <cellStyle name="Normal 5 2 5 19 6" xfId="5650"/>
    <cellStyle name="Normal 5 2 5 19 7" xfId="5651"/>
    <cellStyle name="Normal 5 2 5 2" xfId="5652"/>
    <cellStyle name="Normal 5 2 5 2 2" xfId="5653"/>
    <cellStyle name="Normal 5 2 5 2 2 2" xfId="5654"/>
    <cellStyle name="Normal 5 2 5 2 2 3" xfId="5655"/>
    <cellStyle name="Normal 5 2 5 2 2 4" xfId="5656"/>
    <cellStyle name="Normal 5 2 5 2 2 5" xfId="5657"/>
    <cellStyle name="Normal 5 2 5 2 3" xfId="5658"/>
    <cellStyle name="Normal 5 2 5 2 3 2" xfId="5659"/>
    <cellStyle name="Normal 5 2 5 2 3 3" xfId="5660"/>
    <cellStyle name="Normal 5 2 5 2 4" xfId="5661"/>
    <cellStyle name="Normal 5 2 5 2 4 2" xfId="5662"/>
    <cellStyle name="Normal 5 2 5 2 4 3" xfId="5663"/>
    <cellStyle name="Normal 5 2 5 2 5" xfId="5664"/>
    <cellStyle name="Normal 5 2 5 2 6" xfId="5665"/>
    <cellStyle name="Normal 5 2 5 20" xfId="5666"/>
    <cellStyle name="Normal 5 2 5 21" xfId="5667"/>
    <cellStyle name="Normal 5 2 5 22" xfId="5668"/>
    <cellStyle name="Normal 5 2 5 23" xfId="5669"/>
    <cellStyle name="Normal 5 2 5 24" xfId="5670"/>
    <cellStyle name="Normal 5 2 5 25" xfId="5671"/>
    <cellStyle name="Normal 5 2 5 26" xfId="5672"/>
    <cellStyle name="Normal 5 2 5 27" xfId="5673"/>
    <cellStyle name="Normal 5 2 5 3" xfId="5674"/>
    <cellStyle name="Normal 5 2 5 3 10" xfId="5675"/>
    <cellStyle name="Normal 5 2 5 3 11" xfId="5676"/>
    <cellStyle name="Normal 5 2 5 3 12" xfId="5677"/>
    <cellStyle name="Normal 5 2 5 3 13" xfId="5678"/>
    <cellStyle name="Normal 5 2 5 3 14" xfId="5679"/>
    <cellStyle name="Normal 5 2 5 3 15" xfId="5680"/>
    <cellStyle name="Normal 5 2 5 3 16" xfId="5681"/>
    <cellStyle name="Normal 5 2 5 3 17" xfId="5682"/>
    <cellStyle name="Normal 5 2 5 3 18" xfId="5683"/>
    <cellStyle name="Normal 5 2 5 3 19" xfId="5684"/>
    <cellStyle name="Normal 5 2 5 3 2" xfId="5685"/>
    <cellStyle name="Normal 5 2 5 3 2 2" xfId="5686"/>
    <cellStyle name="Normal 5 2 5 3 2 2 2" xfId="5687"/>
    <cellStyle name="Normal 5 2 5 3 2 2 3" xfId="5688"/>
    <cellStyle name="Normal 5 2 5 3 2 3" xfId="5689"/>
    <cellStyle name="Normal 5 2 5 3 2 3 2" xfId="5690"/>
    <cellStyle name="Normal 5 2 5 3 2 3 3" xfId="5691"/>
    <cellStyle name="Normal 5 2 5 3 2 4" xfId="5692"/>
    <cellStyle name="Normal 5 2 5 3 2 5" xfId="5693"/>
    <cellStyle name="Normal 5 2 5 3 3" xfId="5694"/>
    <cellStyle name="Normal 5 2 5 3 3 2" xfId="5695"/>
    <cellStyle name="Normal 5 2 5 3 3 3" xfId="5696"/>
    <cellStyle name="Normal 5 2 5 3 3 4" xfId="5697"/>
    <cellStyle name="Normal 5 2 5 3 3 5" xfId="5698"/>
    <cellStyle name="Normal 5 2 5 3 4" xfId="5699"/>
    <cellStyle name="Normal 5 2 5 3 4 2" xfId="5700"/>
    <cellStyle name="Normal 5 2 5 3 4 3" xfId="5701"/>
    <cellStyle name="Normal 5 2 5 3 5" xfId="5702"/>
    <cellStyle name="Normal 5 2 5 3 5 2" xfId="5703"/>
    <cellStyle name="Normal 5 2 5 3 5 3" xfId="5704"/>
    <cellStyle name="Normal 5 2 5 3 6" xfId="5705"/>
    <cellStyle name="Normal 5 2 5 3 7" xfId="5706"/>
    <cellStyle name="Normal 5 2 5 3 8" xfId="5707"/>
    <cellStyle name="Normal 5 2 5 3 9" xfId="5708"/>
    <cellStyle name="Normal 5 2 5 4" xfId="5709"/>
    <cellStyle name="Normal 5 2 5 4 2" xfId="5710"/>
    <cellStyle name="Normal 5 2 5 4 2 2" xfId="5711"/>
    <cellStyle name="Normal 5 2 5 4 2 3" xfId="5712"/>
    <cellStyle name="Normal 5 2 5 4 2 4" xfId="5713"/>
    <cellStyle name="Normal 5 2 5 4 2 5" xfId="5714"/>
    <cellStyle name="Normal 5 2 5 4 3" xfId="5715"/>
    <cellStyle name="Normal 5 2 5 4 3 2" xfId="5716"/>
    <cellStyle name="Normal 5 2 5 4 3 3" xfId="5717"/>
    <cellStyle name="Normal 5 2 5 4 4" xfId="5718"/>
    <cellStyle name="Normal 5 2 5 4 4 2" xfId="5719"/>
    <cellStyle name="Normal 5 2 5 4 4 3" xfId="5720"/>
    <cellStyle name="Normal 5 2 5 4 5" xfId="5721"/>
    <cellStyle name="Normal 5 2 5 4 6" xfId="5722"/>
    <cellStyle name="Normal 5 2 5 5" xfId="5723"/>
    <cellStyle name="Normal 5 2 5 5 2" xfId="5724"/>
    <cellStyle name="Normal 5 2 5 5 2 2" xfId="5725"/>
    <cellStyle name="Normal 5 2 5 5 2 3" xfId="5726"/>
    <cellStyle name="Normal 5 2 5 5 2 4" xfId="5727"/>
    <cellStyle name="Normal 5 2 5 5 2 5" xfId="5728"/>
    <cellStyle name="Normal 5 2 5 5 3" xfId="5729"/>
    <cellStyle name="Normal 5 2 5 5 3 2" xfId="5730"/>
    <cellStyle name="Normal 5 2 5 5 3 3" xfId="5731"/>
    <cellStyle name="Normal 5 2 5 5 4" xfId="5732"/>
    <cellStyle name="Normal 5 2 5 5 4 2" xfId="5733"/>
    <cellStyle name="Normal 5 2 5 5 4 3" xfId="5734"/>
    <cellStyle name="Normal 5 2 5 5 5" xfId="5735"/>
    <cellStyle name="Normal 5 2 5 5 6" xfId="5736"/>
    <cellStyle name="Normal 5 2 5 6" xfId="5737"/>
    <cellStyle name="Normal 5 2 5 6 2" xfId="5738"/>
    <cellStyle name="Normal 5 2 5 6 2 2" xfId="5739"/>
    <cellStyle name="Normal 5 2 5 6 2 3" xfId="5740"/>
    <cellStyle name="Normal 5 2 5 6 2 4" xfId="5741"/>
    <cellStyle name="Normal 5 2 5 6 2 5" xfId="5742"/>
    <cellStyle name="Normal 5 2 5 6 3" xfId="5743"/>
    <cellStyle name="Normal 5 2 5 6 3 2" xfId="5744"/>
    <cellStyle name="Normal 5 2 5 6 3 3" xfId="5745"/>
    <cellStyle name="Normal 5 2 5 6 4" xfId="5746"/>
    <cellStyle name="Normal 5 2 5 6 4 2" xfId="5747"/>
    <cellStyle name="Normal 5 2 5 6 4 3" xfId="5748"/>
    <cellStyle name="Normal 5 2 5 6 5" xfId="5749"/>
    <cellStyle name="Normal 5 2 5 6 6" xfId="5750"/>
    <cellStyle name="Normal 5 2 5 7" xfId="5751"/>
    <cellStyle name="Normal 5 2 5 7 2" xfId="5752"/>
    <cellStyle name="Normal 5 2 5 7 2 2" xfId="5753"/>
    <cellStyle name="Normal 5 2 5 7 2 3" xfId="5754"/>
    <cellStyle name="Normal 5 2 5 7 3" xfId="5755"/>
    <cellStyle name="Normal 5 2 5 7 3 2" xfId="5756"/>
    <cellStyle name="Normal 5 2 5 7 3 3" xfId="5757"/>
    <cellStyle name="Normal 5 2 5 7 4" xfId="5758"/>
    <cellStyle name="Normal 5 2 5 7 4 2" xfId="5759"/>
    <cellStyle name="Normal 5 2 5 7 5" xfId="5760"/>
    <cellStyle name="Normal 5 2 5 7 6" xfId="5761"/>
    <cellStyle name="Normal 5 2 5 8" xfId="5762"/>
    <cellStyle name="Normal 5 2 5 8 2" xfId="5763"/>
    <cellStyle name="Normal 5 2 5 8 3" xfId="5764"/>
    <cellStyle name="Normal 5 2 5 8 4" xfId="5765"/>
    <cellStyle name="Normal 5 2 5 8 5" xfId="5766"/>
    <cellStyle name="Normal 5 2 5 9" xfId="5767"/>
    <cellStyle name="Normal 5 2 5 9 2" xfId="5768"/>
    <cellStyle name="Normal 5 2 5 9 3" xfId="5769"/>
    <cellStyle name="Normal 5 2 5_10070" xfId="5770"/>
    <cellStyle name="Normal 5 2 6" xfId="5771"/>
    <cellStyle name="Normal 5 2 6 2" xfId="5772"/>
    <cellStyle name="Normal 5 2 6 2 2" xfId="5773"/>
    <cellStyle name="Normal 5 2 6 2 3" xfId="5774"/>
    <cellStyle name="Normal 5 2 6 3" xfId="5775"/>
    <cellStyle name="Normal 5 2 6 3 2" xfId="5776"/>
    <cellStyle name="Normal 5 2 6 3 3" xfId="5777"/>
    <cellStyle name="Normal 5 2 6 4" xfId="5778"/>
    <cellStyle name="Normal 5 2 6 5" xfId="5779"/>
    <cellStyle name="Normal 5 2 7" xfId="5780"/>
    <cellStyle name="Normal 5 2 7 2" xfId="5781"/>
    <cellStyle name="Normal 5 2 7 3" xfId="5782"/>
    <cellStyle name="Normal 5 2 7 4" xfId="5783"/>
    <cellStyle name="Normal 5 2 7 5" xfId="5784"/>
    <cellStyle name="Normal 5 2 8" xfId="5785"/>
    <cellStyle name="Normal 5 2 9" xfId="5786"/>
    <cellStyle name="Normal 5 3" xfId="5787"/>
    <cellStyle name="Normal 5 3 2" xfId="5788"/>
    <cellStyle name="Normal 5 3 2 2" xfId="5789"/>
    <cellStyle name="Normal 5 3 2 2 2" xfId="5790"/>
    <cellStyle name="Normal 5 3 2 2 2 2" xfId="5791"/>
    <cellStyle name="Normal 5 3 2 2 2 2 2" xfId="5792"/>
    <cellStyle name="Normal 5 3 2 2 2 3" xfId="5793"/>
    <cellStyle name="Normal 5 3 2 2 2 3 2" xfId="5794"/>
    <cellStyle name="Normal 5 3 2 2 2 4" xfId="5795"/>
    <cellStyle name="Normal 5 3 2 2 3" xfId="5796"/>
    <cellStyle name="Normal 5 3 2 2 3 2" xfId="5797"/>
    <cellStyle name="Normal 5 3 2 2 4" xfId="5798"/>
    <cellStyle name="Normal 5 3 2 2 4 2" xfId="5799"/>
    <cellStyle name="Normal 5 3 2 2 5" xfId="5800"/>
    <cellStyle name="Normal 5 3 2 3" xfId="5801"/>
    <cellStyle name="Normal 5 3 2 3 2" xfId="5802"/>
    <cellStyle name="Normal 5 3 2 3 2 2" xfId="5803"/>
    <cellStyle name="Normal 5 3 2 3 3" xfId="5804"/>
    <cellStyle name="Normal 5 3 2 3 3 2" xfId="5805"/>
    <cellStyle name="Normal 5 3 2 3 4" xfId="5806"/>
    <cellStyle name="Normal 5 3 2 4" xfId="5807"/>
    <cellStyle name="Normal 5 3 2 4 2" xfId="5808"/>
    <cellStyle name="Normal 5 3 2 5" xfId="5809"/>
    <cellStyle name="Normal 5 3 2 5 2" xfId="5810"/>
    <cellStyle name="Normal 5 3 2 6" xfId="5811"/>
    <cellStyle name="Normal 5 3 3" xfId="5812"/>
    <cellStyle name="Normal 5 3 3 2" xfId="5813"/>
    <cellStyle name="Normal 5 3 3 2 2" xfId="5814"/>
    <cellStyle name="Normal 5 3 3 2 2 2" xfId="5815"/>
    <cellStyle name="Normal 5 3 3 2 3" xfId="5816"/>
    <cellStyle name="Normal 5 3 3 2 3 2" xfId="5817"/>
    <cellStyle name="Normal 5 3 3 2 4" xfId="5818"/>
    <cellStyle name="Normal 5 3 3 3" xfId="5819"/>
    <cellStyle name="Normal 5 3 3 3 2" xfId="5820"/>
    <cellStyle name="Normal 5 3 3 4" xfId="5821"/>
    <cellStyle name="Normal 5 3 3 4 2" xfId="5822"/>
    <cellStyle name="Normal 5 3 3 5" xfId="5823"/>
    <cellStyle name="Normal 5 3 4" xfId="5824"/>
    <cellStyle name="Normal 5 3 4 2" xfId="5825"/>
    <cellStyle name="Normal 5 3 4 2 2" xfId="5826"/>
    <cellStyle name="Normal 5 3 4 3" xfId="5827"/>
    <cellStyle name="Normal 5 3 4 3 2" xfId="5828"/>
    <cellStyle name="Normal 5 3 4 4" xfId="5829"/>
    <cellStyle name="Normal 5 3 5" xfId="5830"/>
    <cellStyle name="Normal 5 3 5 2" xfId="5831"/>
    <cellStyle name="Normal 5 3 6" xfId="5832"/>
    <cellStyle name="Normal 5 3 6 2" xfId="5833"/>
    <cellStyle name="Normal 5 3 7" xfId="5834"/>
    <cellStyle name="Normal 5 4" xfId="5835"/>
    <cellStyle name="Normal 5 4 2" xfId="5836"/>
    <cellStyle name="Normal 5 4 2 2" xfId="5837"/>
    <cellStyle name="Normal 5 4 2 2 2" xfId="5838"/>
    <cellStyle name="Normal 5 4 2 2 2 2" xfId="5839"/>
    <cellStyle name="Normal 5 4 2 2 2 2 2" xfId="5840"/>
    <cellStyle name="Normal 5 4 2 2 2 3" xfId="5841"/>
    <cellStyle name="Normal 5 4 2 2 2 3 2" xfId="5842"/>
    <cellStyle name="Normal 5 4 2 2 2 4" xfId="5843"/>
    <cellStyle name="Normal 5 4 2 2 3" xfId="5844"/>
    <cellStyle name="Normal 5 4 2 2 3 2" xfId="5845"/>
    <cellStyle name="Normal 5 4 2 2 4" xfId="5846"/>
    <cellStyle name="Normal 5 4 2 2 4 2" xfId="5847"/>
    <cellStyle name="Normal 5 4 2 2 5" xfId="5848"/>
    <cellStyle name="Normal 5 4 2 3" xfId="5849"/>
    <cellStyle name="Normal 5 4 2 3 2" xfId="5850"/>
    <cellStyle name="Normal 5 4 2 3 2 2" xfId="5851"/>
    <cellStyle name="Normal 5 4 2 3 3" xfId="5852"/>
    <cellStyle name="Normal 5 4 2 3 3 2" xfId="5853"/>
    <cellStyle name="Normal 5 4 2 3 4" xfId="5854"/>
    <cellStyle name="Normal 5 4 2 4" xfId="5855"/>
    <cellStyle name="Normal 5 4 2 4 2" xfId="5856"/>
    <cellStyle name="Normal 5 4 2 5" xfId="5857"/>
    <cellStyle name="Normal 5 4 2 5 2" xfId="5858"/>
    <cellStyle name="Normal 5 4 2 6" xfId="5859"/>
    <cellStyle name="Normal 5 4 3" xfId="5860"/>
    <cellStyle name="Normal 5 4 3 2" xfId="5861"/>
    <cellStyle name="Normal 5 4 3 2 2" xfId="5862"/>
    <cellStyle name="Normal 5 4 3 2 2 2" xfId="5863"/>
    <cellStyle name="Normal 5 4 3 2 3" xfId="5864"/>
    <cellStyle name="Normal 5 4 3 2 3 2" xfId="5865"/>
    <cellStyle name="Normal 5 4 3 2 4" xfId="5866"/>
    <cellStyle name="Normal 5 4 3 3" xfId="5867"/>
    <cellStyle name="Normal 5 4 3 3 2" xfId="5868"/>
    <cellStyle name="Normal 5 4 3 4" xfId="5869"/>
    <cellStyle name="Normal 5 4 3 4 2" xfId="5870"/>
    <cellStyle name="Normal 5 4 3 5" xfId="5871"/>
    <cellStyle name="Normal 5 4 4" xfId="5872"/>
    <cellStyle name="Normal 5 4 4 2" xfId="5873"/>
    <cellStyle name="Normal 5 4 4 2 2" xfId="5874"/>
    <cellStyle name="Normal 5 4 4 3" xfId="5875"/>
    <cellStyle name="Normal 5 4 4 3 2" xfId="5876"/>
    <cellStyle name="Normal 5 4 4 4" xfId="5877"/>
    <cellStyle name="Normal 5 4 5" xfId="5878"/>
    <cellStyle name="Normal 5 4 5 2" xfId="5879"/>
    <cellStyle name="Normal 5 4 6" xfId="5880"/>
    <cellStyle name="Normal 5 4 6 2" xfId="5881"/>
    <cellStyle name="Normal 5 4 7" xfId="5882"/>
    <cellStyle name="Normal 5 5" xfId="5883"/>
    <cellStyle name="Normal 5 5 2" xfId="5884"/>
    <cellStyle name="Normal 5 5 2 2" xfId="5885"/>
    <cellStyle name="Normal 5 5 2 2 2" xfId="5886"/>
    <cellStyle name="Normal 5 5 2 2 2 2" xfId="5887"/>
    <cellStyle name="Normal 5 5 2 2 3" xfId="5888"/>
    <cellStyle name="Normal 5 5 2 2 3 2" xfId="5889"/>
    <cellStyle name="Normal 5 5 2 2 4" xfId="5890"/>
    <cellStyle name="Normal 5 5 2 3" xfId="5891"/>
    <cellStyle name="Normal 5 5 2 3 2" xfId="5892"/>
    <cellStyle name="Normal 5 5 2 4" xfId="5893"/>
    <cellStyle name="Normal 5 5 2 4 2" xfId="5894"/>
    <cellStyle name="Normal 5 5 2 5" xfId="5895"/>
    <cellStyle name="Normal 5 5 3" xfId="5896"/>
    <cellStyle name="Normal 5 5 3 2" xfId="5897"/>
    <cellStyle name="Normal 5 5 3 2 2" xfId="5898"/>
    <cellStyle name="Normal 5 5 3 3" xfId="5899"/>
    <cellStyle name="Normal 5 5 3 3 2" xfId="5900"/>
    <cellStyle name="Normal 5 5 3 4" xfId="5901"/>
    <cellStyle name="Normal 5 5 4" xfId="5902"/>
    <cellStyle name="Normal 5 5 4 2" xfId="5903"/>
    <cellStyle name="Normal 5 5 5" xfId="5904"/>
    <cellStyle name="Normal 5 5 5 2" xfId="5905"/>
    <cellStyle name="Normal 5 5 6" xfId="5906"/>
    <cellStyle name="Normal 5 6" xfId="5907"/>
    <cellStyle name="Normal 5 6 2" xfId="5908"/>
    <cellStyle name="Normal 5 6 2 2" xfId="5909"/>
    <cellStyle name="Normal 5 6 2 2 2" xfId="5910"/>
    <cellStyle name="Normal 5 6 2 3" xfId="5911"/>
    <cellStyle name="Normal 5 6 2 3 2" xfId="5912"/>
    <cellStyle name="Normal 5 6 2 4" xfId="5913"/>
    <cellStyle name="Normal 5 6 3" xfId="5914"/>
    <cellStyle name="Normal 5 6 3 2" xfId="5915"/>
    <cellStyle name="Normal 5 6 4" xfId="5916"/>
    <cellStyle name="Normal 5 6 4 2" xfId="5917"/>
    <cellStyle name="Normal 5 6 5" xfId="5918"/>
    <cellStyle name="Normal 5 7" xfId="5919"/>
    <cellStyle name="Normal 5 7 2" xfId="5920"/>
    <cellStyle name="Normal 5 7 2 2" xfId="5921"/>
    <cellStyle name="Normal 5 7 3" xfId="5922"/>
    <cellStyle name="Normal 5 7 3 2" xfId="5923"/>
    <cellStyle name="Normal 5 7 4" xfId="5924"/>
    <cellStyle name="Normal 5 8" xfId="5925"/>
    <cellStyle name="Normal 5 8 2" xfId="5926"/>
    <cellStyle name="Normal 5 9" xfId="5927"/>
    <cellStyle name="Normal 5 9 2" xfId="5928"/>
    <cellStyle name="Normal 5_10051" xfId="5929"/>
    <cellStyle name="Normal 50" xfId="5930"/>
    <cellStyle name="Normal 50 2" xfId="5931"/>
    <cellStyle name="Normal 50 2 2" xfId="5932"/>
    <cellStyle name="Normal 50 2 2 2" xfId="5933"/>
    <cellStyle name="Normal 50 2 2 2 2" xfId="5934"/>
    <cellStyle name="Normal 50 2 2 2 2 2" xfId="5935"/>
    <cellStyle name="Normal 50 2 2 2 3" xfId="5936"/>
    <cellStyle name="Normal 50 2 2 2 3 2" xfId="5937"/>
    <cellStyle name="Normal 50 2 2 2 4" xfId="5938"/>
    <cellStyle name="Normal 50 2 2 3" xfId="5939"/>
    <cellStyle name="Normal 50 2 2 3 2" xfId="5940"/>
    <cellStyle name="Normal 50 2 2 4" xfId="5941"/>
    <cellStyle name="Normal 50 2 2 4 2" xfId="5942"/>
    <cellStyle name="Normal 50 2 2 5" xfId="5943"/>
    <cellStyle name="Normal 50 2 3" xfId="5944"/>
    <cellStyle name="Normal 50 2 3 2" xfId="5945"/>
    <cellStyle name="Normal 50 2 3 2 2" xfId="5946"/>
    <cellStyle name="Normal 50 2 3 3" xfId="5947"/>
    <cellStyle name="Normal 50 2 3 3 2" xfId="5948"/>
    <cellStyle name="Normal 50 2 3 4" xfId="5949"/>
    <cellStyle name="Normal 50 2 4" xfId="5950"/>
    <cellStyle name="Normal 50 2 4 2" xfId="5951"/>
    <cellStyle name="Normal 50 2 5" xfId="5952"/>
    <cellStyle name="Normal 50 2 5 2" xfId="5953"/>
    <cellStyle name="Normal 50 2 6" xfId="5954"/>
    <cellStyle name="Normal 50 3" xfId="5955"/>
    <cellStyle name="Normal 50 3 2" xfId="5956"/>
    <cellStyle name="Normal 50 3 2 2" xfId="5957"/>
    <cellStyle name="Normal 50 3 2 2 2" xfId="5958"/>
    <cellStyle name="Normal 50 3 2 3" xfId="5959"/>
    <cellStyle name="Normal 50 3 2 3 2" xfId="5960"/>
    <cellStyle name="Normal 50 3 2 4" xfId="5961"/>
    <cellStyle name="Normal 50 3 3" xfId="5962"/>
    <cellStyle name="Normal 50 3 3 2" xfId="5963"/>
    <cellStyle name="Normal 50 3 4" xfId="5964"/>
    <cellStyle name="Normal 50 3 4 2" xfId="5965"/>
    <cellStyle name="Normal 50 3 5" xfId="5966"/>
    <cellStyle name="Normal 50 4" xfId="5967"/>
    <cellStyle name="Normal 50 4 2" xfId="5968"/>
    <cellStyle name="Normal 50 4 2 2" xfId="5969"/>
    <cellStyle name="Normal 50 4 3" xfId="5970"/>
    <cellStyle name="Normal 50 4 3 2" xfId="5971"/>
    <cellStyle name="Normal 50 4 4" xfId="5972"/>
    <cellStyle name="Normal 50 5" xfId="5973"/>
    <cellStyle name="Normal 50 5 2" xfId="5974"/>
    <cellStyle name="Normal 50 6" xfId="5975"/>
    <cellStyle name="Normal 50 6 2" xfId="5976"/>
    <cellStyle name="Normal 50 7" xfId="5977"/>
    <cellStyle name="Normal 51" xfId="5978"/>
    <cellStyle name="Normal 51 2" xfId="5979"/>
    <cellStyle name="Normal 51 2 2" xfId="5980"/>
    <cellStyle name="Normal 51 2 2 2" xfId="5981"/>
    <cellStyle name="Normal 51 2 2 2 2" xfId="5982"/>
    <cellStyle name="Normal 51 2 2 2 2 2" xfId="5983"/>
    <cellStyle name="Normal 51 2 2 2 3" xfId="5984"/>
    <cellStyle name="Normal 51 2 2 2 3 2" xfId="5985"/>
    <cellStyle name="Normal 51 2 2 2 4" xfId="5986"/>
    <cellStyle name="Normal 51 2 2 3" xfId="5987"/>
    <cellStyle name="Normal 51 2 2 3 2" xfId="5988"/>
    <cellStyle name="Normal 51 2 2 4" xfId="5989"/>
    <cellStyle name="Normal 51 2 2 4 2" xfId="5990"/>
    <cellStyle name="Normal 51 2 2 5" xfId="5991"/>
    <cellStyle name="Normal 51 2 3" xfId="5992"/>
    <cellStyle name="Normal 51 2 3 2" xfId="5993"/>
    <cellStyle name="Normal 51 2 3 2 2" xfId="5994"/>
    <cellStyle name="Normal 51 2 3 3" xfId="5995"/>
    <cellStyle name="Normal 51 2 3 3 2" xfId="5996"/>
    <cellStyle name="Normal 51 2 3 4" xfId="5997"/>
    <cellStyle name="Normal 51 2 4" xfId="5998"/>
    <cellStyle name="Normal 51 2 4 2" xfId="5999"/>
    <cellStyle name="Normal 51 2 5" xfId="6000"/>
    <cellStyle name="Normal 51 2 5 2" xfId="6001"/>
    <cellStyle name="Normal 51 2 6" xfId="6002"/>
    <cellStyle name="Normal 51 3" xfId="6003"/>
    <cellStyle name="Normal 51 3 2" xfId="6004"/>
    <cellStyle name="Normal 51 3 2 2" xfId="6005"/>
    <cellStyle name="Normal 51 3 2 2 2" xfId="6006"/>
    <cellStyle name="Normal 51 3 2 3" xfId="6007"/>
    <cellStyle name="Normal 51 3 2 3 2" xfId="6008"/>
    <cellStyle name="Normal 51 3 2 4" xfId="6009"/>
    <cellStyle name="Normal 51 3 3" xfId="6010"/>
    <cellStyle name="Normal 51 3 3 2" xfId="6011"/>
    <cellStyle name="Normal 51 3 4" xfId="6012"/>
    <cellStyle name="Normal 51 3 4 2" xfId="6013"/>
    <cellStyle name="Normal 51 3 5" xfId="6014"/>
    <cellStyle name="Normal 51 4" xfId="6015"/>
    <cellStyle name="Normal 51 4 2" xfId="6016"/>
    <cellStyle name="Normal 51 4 2 2" xfId="6017"/>
    <cellStyle name="Normal 51 4 3" xfId="6018"/>
    <cellStyle name="Normal 51 4 3 2" xfId="6019"/>
    <cellStyle name="Normal 51 4 4" xfId="6020"/>
    <cellStyle name="Normal 51 5" xfId="6021"/>
    <cellStyle name="Normal 51 5 2" xfId="6022"/>
    <cellStyle name="Normal 51 6" xfId="6023"/>
    <cellStyle name="Normal 51 6 2" xfId="6024"/>
    <cellStyle name="Normal 51 7" xfId="6025"/>
    <cellStyle name="Normal 52" xfId="6026"/>
    <cellStyle name="Normal 52 2" xfId="6027"/>
    <cellStyle name="Normal 52 2 2" xfId="6028"/>
    <cellStyle name="Normal 52 2 2 2" xfId="6029"/>
    <cellStyle name="Normal 52 2 2 2 2" xfId="6030"/>
    <cellStyle name="Normal 52 2 2 2 2 2" xfId="6031"/>
    <cellStyle name="Normal 52 2 2 2 3" xfId="6032"/>
    <cellStyle name="Normal 52 2 2 2 3 2" xfId="6033"/>
    <cellStyle name="Normal 52 2 2 2 4" xfId="6034"/>
    <cellStyle name="Normal 52 2 2 3" xfId="6035"/>
    <cellStyle name="Normal 52 2 2 3 2" xfId="6036"/>
    <cellStyle name="Normal 52 2 2 4" xfId="6037"/>
    <cellStyle name="Normal 52 2 2 4 2" xfId="6038"/>
    <cellStyle name="Normal 52 2 2 5" xfId="6039"/>
    <cellStyle name="Normal 52 2 3" xfId="6040"/>
    <cellStyle name="Normal 52 2 3 2" xfId="6041"/>
    <cellStyle name="Normal 52 2 3 2 2" xfId="6042"/>
    <cellStyle name="Normal 52 2 3 3" xfId="6043"/>
    <cellStyle name="Normal 52 2 3 3 2" xfId="6044"/>
    <cellStyle name="Normal 52 2 3 4" xfId="6045"/>
    <cellStyle name="Normal 52 2 4" xfId="6046"/>
    <cellStyle name="Normal 52 2 4 2" xfId="6047"/>
    <cellStyle name="Normal 52 2 5" xfId="6048"/>
    <cellStyle name="Normal 52 2 5 2" xfId="6049"/>
    <cellStyle name="Normal 52 2 6" xfId="6050"/>
    <cellStyle name="Normal 52 3" xfId="6051"/>
    <cellStyle name="Normal 52 3 2" xfId="6052"/>
    <cellStyle name="Normal 52 3 2 2" xfId="6053"/>
    <cellStyle name="Normal 52 3 2 2 2" xfId="6054"/>
    <cellStyle name="Normal 52 3 2 3" xfId="6055"/>
    <cellStyle name="Normal 52 3 2 3 2" xfId="6056"/>
    <cellStyle name="Normal 52 3 2 4" xfId="6057"/>
    <cellStyle name="Normal 52 3 3" xfId="6058"/>
    <cellStyle name="Normal 52 3 3 2" xfId="6059"/>
    <cellStyle name="Normal 52 3 4" xfId="6060"/>
    <cellStyle name="Normal 52 3 4 2" xfId="6061"/>
    <cellStyle name="Normal 52 3 5" xfId="6062"/>
    <cellStyle name="Normal 52 4" xfId="6063"/>
    <cellStyle name="Normal 52 4 2" xfId="6064"/>
    <cellStyle name="Normal 52 4 2 2" xfId="6065"/>
    <cellStyle name="Normal 52 4 3" xfId="6066"/>
    <cellStyle name="Normal 52 4 3 2" xfId="6067"/>
    <cellStyle name="Normal 52 4 4" xfId="6068"/>
    <cellStyle name="Normal 52 5" xfId="6069"/>
    <cellStyle name="Normal 52 5 2" xfId="6070"/>
    <cellStyle name="Normal 52 6" xfId="6071"/>
    <cellStyle name="Normal 52 6 2" xfId="6072"/>
    <cellStyle name="Normal 52 7" xfId="6073"/>
    <cellStyle name="Normal 53" xfId="6074"/>
    <cellStyle name="Normal 53 2" xfId="6075"/>
    <cellStyle name="Normal 53 2 2" xfId="6076"/>
    <cellStyle name="Normal 53 2 2 2" xfId="6077"/>
    <cellStyle name="Normal 53 2 2 2 2" xfId="6078"/>
    <cellStyle name="Normal 53 2 2 2 2 2" xfId="6079"/>
    <cellStyle name="Normal 53 2 2 2 3" xfId="6080"/>
    <cellStyle name="Normal 53 2 2 2 3 2" xfId="6081"/>
    <cellStyle name="Normal 53 2 2 2 4" xfId="6082"/>
    <cellStyle name="Normal 53 2 2 3" xfId="6083"/>
    <cellStyle name="Normal 53 2 2 3 2" xfId="6084"/>
    <cellStyle name="Normal 53 2 2 4" xfId="6085"/>
    <cellStyle name="Normal 53 2 2 4 2" xfId="6086"/>
    <cellStyle name="Normal 53 2 2 5" xfId="6087"/>
    <cellStyle name="Normal 53 2 3" xfId="6088"/>
    <cellStyle name="Normal 53 2 3 2" xfId="6089"/>
    <cellStyle name="Normal 53 2 3 2 2" xfId="6090"/>
    <cellStyle name="Normal 53 2 3 3" xfId="6091"/>
    <cellStyle name="Normal 53 2 3 3 2" xfId="6092"/>
    <cellStyle name="Normal 53 2 3 4" xfId="6093"/>
    <cellStyle name="Normal 53 2 4" xfId="6094"/>
    <cellStyle name="Normal 53 2 4 2" xfId="6095"/>
    <cellStyle name="Normal 53 2 5" xfId="6096"/>
    <cellStyle name="Normal 53 2 5 2" xfId="6097"/>
    <cellStyle name="Normal 53 2 6" xfId="6098"/>
    <cellStyle name="Normal 53 3" xfId="6099"/>
    <cellStyle name="Normal 53 3 2" xfId="6100"/>
    <cellStyle name="Normal 53 3 2 2" xfId="6101"/>
    <cellStyle name="Normal 53 3 2 2 2" xfId="6102"/>
    <cellStyle name="Normal 53 3 2 3" xfId="6103"/>
    <cellStyle name="Normal 53 3 2 3 2" xfId="6104"/>
    <cellStyle name="Normal 53 3 2 4" xfId="6105"/>
    <cellStyle name="Normal 53 3 3" xfId="6106"/>
    <cellStyle name="Normal 53 3 3 2" xfId="6107"/>
    <cellStyle name="Normal 53 3 4" xfId="6108"/>
    <cellStyle name="Normal 53 3 4 2" xfId="6109"/>
    <cellStyle name="Normal 53 3 5" xfId="6110"/>
    <cellStyle name="Normal 53 4" xfId="6111"/>
    <cellStyle name="Normal 53 4 2" xfId="6112"/>
    <cellStyle name="Normal 53 4 2 2" xfId="6113"/>
    <cellStyle name="Normal 53 4 3" xfId="6114"/>
    <cellStyle name="Normal 53 4 3 2" xfId="6115"/>
    <cellStyle name="Normal 53 4 4" xfId="6116"/>
    <cellStyle name="Normal 53 5" xfId="6117"/>
    <cellStyle name="Normal 53 5 2" xfId="6118"/>
    <cellStyle name="Normal 53 6" xfId="6119"/>
    <cellStyle name="Normal 53 6 2" xfId="6120"/>
    <cellStyle name="Normal 53 7" xfId="6121"/>
    <cellStyle name="Normal 54" xfId="6122"/>
    <cellStyle name="Normal 54 2" xfId="6123"/>
    <cellStyle name="Normal 54 2 2" xfId="6124"/>
    <cellStyle name="Normal 54 2 2 2" xfId="6125"/>
    <cellStyle name="Normal 54 2 2 2 2" xfId="6126"/>
    <cellStyle name="Normal 54 2 2 2 2 2" xfId="6127"/>
    <cellStyle name="Normal 54 2 2 2 3" xfId="6128"/>
    <cellStyle name="Normal 54 2 2 2 3 2" xfId="6129"/>
    <cellStyle name="Normal 54 2 2 2 4" xfId="6130"/>
    <cellStyle name="Normal 54 2 2 3" xfId="6131"/>
    <cellStyle name="Normal 54 2 2 3 2" xfId="6132"/>
    <cellStyle name="Normal 54 2 2 4" xfId="6133"/>
    <cellStyle name="Normal 54 2 2 4 2" xfId="6134"/>
    <cellStyle name="Normal 54 2 2 5" xfId="6135"/>
    <cellStyle name="Normal 54 2 3" xfId="6136"/>
    <cellStyle name="Normal 54 2 3 2" xfId="6137"/>
    <cellStyle name="Normal 54 2 3 2 2" xfId="6138"/>
    <cellStyle name="Normal 54 2 3 3" xfId="6139"/>
    <cellStyle name="Normal 54 2 3 3 2" xfId="6140"/>
    <cellStyle name="Normal 54 2 3 4" xfId="6141"/>
    <cellStyle name="Normal 54 2 4" xfId="6142"/>
    <cellStyle name="Normal 54 2 4 2" xfId="6143"/>
    <cellStyle name="Normal 54 2 5" xfId="6144"/>
    <cellStyle name="Normal 54 2 5 2" xfId="6145"/>
    <cellStyle name="Normal 54 2 6" xfId="6146"/>
    <cellStyle name="Normal 54 3" xfId="6147"/>
    <cellStyle name="Normal 54 3 2" xfId="6148"/>
    <cellStyle name="Normal 54 3 2 2" xfId="6149"/>
    <cellStyle name="Normal 54 3 2 2 2" xfId="6150"/>
    <cellStyle name="Normal 54 3 2 3" xfId="6151"/>
    <cellStyle name="Normal 54 3 2 3 2" xfId="6152"/>
    <cellStyle name="Normal 54 3 2 4" xfId="6153"/>
    <cellStyle name="Normal 54 3 3" xfId="6154"/>
    <cellStyle name="Normal 54 3 3 2" xfId="6155"/>
    <cellStyle name="Normal 54 3 4" xfId="6156"/>
    <cellStyle name="Normal 54 3 4 2" xfId="6157"/>
    <cellStyle name="Normal 54 3 5" xfId="6158"/>
    <cellStyle name="Normal 54 4" xfId="6159"/>
    <cellStyle name="Normal 54 4 2" xfId="6160"/>
    <cellStyle name="Normal 54 4 2 2" xfId="6161"/>
    <cellStyle name="Normal 54 4 3" xfId="6162"/>
    <cellStyle name="Normal 54 4 3 2" xfId="6163"/>
    <cellStyle name="Normal 54 4 4" xfId="6164"/>
    <cellStyle name="Normal 54 5" xfId="6165"/>
    <cellStyle name="Normal 54 5 2" xfId="6166"/>
    <cellStyle name="Normal 54 6" xfId="6167"/>
    <cellStyle name="Normal 54 6 2" xfId="6168"/>
    <cellStyle name="Normal 54 7" xfId="6169"/>
    <cellStyle name="Normal 55" xfId="6170"/>
    <cellStyle name="Normal 55 2" xfId="6171"/>
    <cellStyle name="Normal 55 2 2" xfId="6172"/>
    <cellStyle name="Normal 55 2 2 2" xfId="6173"/>
    <cellStyle name="Normal 55 2 2 2 2" xfId="6174"/>
    <cellStyle name="Normal 55 2 2 2 2 2" xfId="6175"/>
    <cellStyle name="Normal 55 2 2 2 3" xfId="6176"/>
    <cellStyle name="Normal 55 2 2 2 3 2" xfId="6177"/>
    <cellStyle name="Normal 55 2 2 2 4" xfId="6178"/>
    <cellStyle name="Normal 55 2 2 3" xfId="6179"/>
    <cellStyle name="Normal 55 2 2 3 2" xfId="6180"/>
    <cellStyle name="Normal 55 2 2 4" xfId="6181"/>
    <cellStyle name="Normal 55 2 2 4 2" xfId="6182"/>
    <cellStyle name="Normal 55 2 2 5" xfId="6183"/>
    <cellStyle name="Normal 55 2 3" xfId="6184"/>
    <cellStyle name="Normal 55 2 3 2" xfId="6185"/>
    <cellStyle name="Normal 55 2 3 2 2" xfId="6186"/>
    <cellStyle name="Normal 55 2 3 3" xfId="6187"/>
    <cellStyle name="Normal 55 2 3 3 2" xfId="6188"/>
    <cellStyle name="Normal 55 2 3 4" xfId="6189"/>
    <cellStyle name="Normal 55 2 4" xfId="6190"/>
    <cellStyle name="Normal 55 2 4 2" xfId="6191"/>
    <cellStyle name="Normal 55 2 5" xfId="6192"/>
    <cellStyle name="Normal 55 2 5 2" xfId="6193"/>
    <cellStyle name="Normal 55 2 6" xfId="6194"/>
    <cellStyle name="Normal 55 3" xfId="6195"/>
    <cellStyle name="Normal 55 3 2" xfId="6196"/>
    <cellStyle name="Normal 55 3 2 2" xfId="6197"/>
    <cellStyle name="Normal 55 3 2 2 2" xfId="6198"/>
    <cellStyle name="Normal 55 3 2 3" xfId="6199"/>
    <cellStyle name="Normal 55 3 2 3 2" xfId="6200"/>
    <cellStyle name="Normal 55 3 2 4" xfId="6201"/>
    <cellStyle name="Normal 55 3 3" xfId="6202"/>
    <cellStyle name="Normal 55 3 3 2" xfId="6203"/>
    <cellStyle name="Normal 55 3 4" xfId="6204"/>
    <cellStyle name="Normal 55 3 4 2" xfId="6205"/>
    <cellStyle name="Normal 55 3 5" xfId="6206"/>
    <cellStyle name="Normal 55 4" xfId="6207"/>
    <cellStyle name="Normal 55 4 2" xfId="6208"/>
    <cellStyle name="Normal 55 4 2 2" xfId="6209"/>
    <cellStyle name="Normal 55 4 3" xfId="6210"/>
    <cellStyle name="Normal 55 4 3 2" xfId="6211"/>
    <cellStyle name="Normal 55 4 4" xfId="6212"/>
    <cellStyle name="Normal 55 5" xfId="6213"/>
    <cellStyle name="Normal 55 5 2" xfId="6214"/>
    <cellStyle name="Normal 55 6" xfId="6215"/>
    <cellStyle name="Normal 55 6 2" xfId="6216"/>
    <cellStyle name="Normal 55 7" xfId="6217"/>
    <cellStyle name="Normal 56" xfId="6218"/>
    <cellStyle name="Normal 56 2" xfId="6219"/>
    <cellStyle name="Normal 56 2 2" xfId="6220"/>
    <cellStyle name="Normal 56 2 2 2" xfId="6221"/>
    <cellStyle name="Normal 56 2 2 2 2" xfId="6222"/>
    <cellStyle name="Normal 56 2 2 2 2 2" xfId="6223"/>
    <cellStyle name="Normal 56 2 2 2 3" xfId="6224"/>
    <cellStyle name="Normal 56 2 2 2 3 2" xfId="6225"/>
    <cellStyle name="Normal 56 2 2 2 4" xfId="6226"/>
    <cellStyle name="Normal 56 2 2 3" xfId="6227"/>
    <cellStyle name="Normal 56 2 2 3 2" xfId="6228"/>
    <cellStyle name="Normal 56 2 2 4" xfId="6229"/>
    <cellStyle name="Normal 56 2 2 4 2" xfId="6230"/>
    <cellStyle name="Normal 56 2 2 5" xfId="6231"/>
    <cellStyle name="Normal 56 2 3" xfId="6232"/>
    <cellStyle name="Normal 56 2 3 2" xfId="6233"/>
    <cellStyle name="Normal 56 2 3 2 2" xfId="6234"/>
    <cellStyle name="Normal 56 2 3 3" xfId="6235"/>
    <cellStyle name="Normal 56 2 3 3 2" xfId="6236"/>
    <cellStyle name="Normal 56 2 3 4" xfId="6237"/>
    <cellStyle name="Normal 56 2 4" xfId="6238"/>
    <cellStyle name="Normal 56 2 4 2" xfId="6239"/>
    <cellStyle name="Normal 56 2 5" xfId="6240"/>
    <cellStyle name="Normal 56 2 5 2" xfId="6241"/>
    <cellStyle name="Normal 56 2 6" xfId="6242"/>
    <cellStyle name="Normal 56 3" xfId="6243"/>
    <cellStyle name="Normal 56 3 2" xfId="6244"/>
    <cellStyle name="Normal 56 3 2 2" xfId="6245"/>
    <cellStyle name="Normal 56 3 2 2 2" xfId="6246"/>
    <cellStyle name="Normal 56 3 2 3" xfId="6247"/>
    <cellStyle name="Normal 56 3 2 3 2" xfId="6248"/>
    <cellStyle name="Normal 56 3 2 4" xfId="6249"/>
    <cellStyle name="Normal 56 3 3" xfId="6250"/>
    <cellStyle name="Normal 56 3 3 2" xfId="6251"/>
    <cellStyle name="Normal 56 3 4" xfId="6252"/>
    <cellStyle name="Normal 56 3 4 2" xfId="6253"/>
    <cellStyle name="Normal 56 3 5" xfId="6254"/>
    <cellStyle name="Normal 56 4" xfId="6255"/>
    <cellStyle name="Normal 56 4 2" xfId="6256"/>
    <cellStyle name="Normal 56 4 2 2" xfId="6257"/>
    <cellStyle name="Normal 56 4 3" xfId="6258"/>
    <cellStyle name="Normal 56 4 3 2" xfId="6259"/>
    <cellStyle name="Normal 56 4 4" xfId="6260"/>
    <cellStyle name="Normal 56 5" xfId="6261"/>
    <cellStyle name="Normal 56 5 2" xfId="6262"/>
    <cellStyle name="Normal 56 6" xfId="6263"/>
    <cellStyle name="Normal 56 6 2" xfId="6264"/>
    <cellStyle name="Normal 56 7" xfId="6265"/>
    <cellStyle name="Normal 57" xfId="6266"/>
    <cellStyle name="Normal 57 2" xfId="6267"/>
    <cellStyle name="Normal 57 2 2" xfId="6268"/>
    <cellStyle name="Normal 57 2 2 2" xfId="6269"/>
    <cellStyle name="Normal 57 2 2 2 2" xfId="6270"/>
    <cellStyle name="Normal 57 2 2 2 2 2" xfId="6271"/>
    <cellStyle name="Normal 57 2 2 2 3" xfId="6272"/>
    <cellStyle name="Normal 57 2 2 2 3 2" xfId="6273"/>
    <cellStyle name="Normal 57 2 2 2 4" xfId="6274"/>
    <cellStyle name="Normal 57 2 2 3" xfId="6275"/>
    <cellStyle name="Normal 57 2 2 3 2" xfId="6276"/>
    <cellStyle name="Normal 57 2 2 4" xfId="6277"/>
    <cellStyle name="Normal 57 2 2 4 2" xfId="6278"/>
    <cellStyle name="Normal 57 2 2 5" xfId="6279"/>
    <cellStyle name="Normal 57 2 3" xfId="6280"/>
    <cellStyle name="Normal 57 2 3 2" xfId="6281"/>
    <cellStyle name="Normal 57 2 3 2 2" xfId="6282"/>
    <cellStyle name="Normal 57 2 3 3" xfId="6283"/>
    <cellStyle name="Normal 57 2 3 3 2" xfId="6284"/>
    <cellStyle name="Normal 57 2 3 4" xfId="6285"/>
    <cellStyle name="Normal 57 2 4" xfId="6286"/>
    <cellStyle name="Normal 57 2 4 2" xfId="6287"/>
    <cellStyle name="Normal 57 2 5" xfId="6288"/>
    <cellStyle name="Normal 57 2 5 2" xfId="6289"/>
    <cellStyle name="Normal 57 2 6" xfId="6290"/>
    <cellStyle name="Normal 57 3" xfId="6291"/>
    <cellStyle name="Normal 57 3 2" xfId="6292"/>
    <cellStyle name="Normal 57 3 2 2" xfId="6293"/>
    <cellStyle name="Normal 57 3 2 2 2" xfId="6294"/>
    <cellStyle name="Normal 57 3 2 3" xfId="6295"/>
    <cellStyle name="Normal 57 3 2 3 2" xfId="6296"/>
    <cellStyle name="Normal 57 3 2 4" xfId="6297"/>
    <cellStyle name="Normal 57 3 3" xfId="6298"/>
    <cellStyle name="Normal 57 3 3 2" xfId="6299"/>
    <cellStyle name="Normal 57 3 4" xfId="6300"/>
    <cellStyle name="Normal 57 3 4 2" xfId="6301"/>
    <cellStyle name="Normal 57 3 5" xfId="6302"/>
    <cellStyle name="Normal 57 4" xfId="6303"/>
    <cellStyle name="Normal 57 4 2" xfId="6304"/>
    <cellStyle name="Normal 57 4 2 2" xfId="6305"/>
    <cellStyle name="Normal 57 4 3" xfId="6306"/>
    <cellStyle name="Normal 57 4 3 2" xfId="6307"/>
    <cellStyle name="Normal 57 4 4" xfId="6308"/>
    <cellStyle name="Normal 57 5" xfId="6309"/>
    <cellStyle name="Normal 57 5 2" xfId="6310"/>
    <cellStyle name="Normal 57 6" xfId="6311"/>
    <cellStyle name="Normal 57 6 2" xfId="6312"/>
    <cellStyle name="Normal 57 7" xfId="6313"/>
    <cellStyle name="Normal 58" xfId="6314"/>
    <cellStyle name="Normal 58 2" xfId="6315"/>
    <cellStyle name="Normal 58 2 2" xfId="6316"/>
    <cellStyle name="Normal 58 2 2 2" xfId="6317"/>
    <cellStyle name="Normal 58 2 2 2 2" xfId="6318"/>
    <cellStyle name="Normal 58 2 2 2 2 2" xfId="6319"/>
    <cellStyle name="Normal 58 2 2 2 3" xfId="6320"/>
    <cellStyle name="Normal 58 2 2 2 3 2" xfId="6321"/>
    <cellStyle name="Normal 58 2 2 2 4" xfId="6322"/>
    <cellStyle name="Normal 58 2 2 3" xfId="6323"/>
    <cellStyle name="Normal 58 2 2 3 2" xfId="6324"/>
    <cellStyle name="Normal 58 2 2 4" xfId="6325"/>
    <cellStyle name="Normal 58 2 2 4 2" xfId="6326"/>
    <cellStyle name="Normal 58 2 2 5" xfId="6327"/>
    <cellStyle name="Normal 58 2 3" xfId="6328"/>
    <cellStyle name="Normal 58 2 3 2" xfId="6329"/>
    <cellStyle name="Normal 58 2 3 2 2" xfId="6330"/>
    <cellStyle name="Normal 58 2 3 3" xfId="6331"/>
    <cellStyle name="Normal 58 2 3 3 2" xfId="6332"/>
    <cellStyle name="Normal 58 2 3 4" xfId="6333"/>
    <cellStyle name="Normal 58 2 4" xfId="6334"/>
    <cellStyle name="Normal 58 2 4 2" xfId="6335"/>
    <cellStyle name="Normal 58 2 5" xfId="6336"/>
    <cellStyle name="Normal 58 2 5 2" xfId="6337"/>
    <cellStyle name="Normal 58 2 6" xfId="6338"/>
    <cellStyle name="Normal 58 3" xfId="6339"/>
    <cellStyle name="Normal 58 3 2" xfId="6340"/>
    <cellStyle name="Normal 58 3 2 2" xfId="6341"/>
    <cellStyle name="Normal 58 3 2 2 2" xfId="6342"/>
    <cellStyle name="Normal 58 3 2 3" xfId="6343"/>
    <cellStyle name="Normal 58 3 2 3 2" xfId="6344"/>
    <cellStyle name="Normal 58 3 2 4" xfId="6345"/>
    <cellStyle name="Normal 58 3 3" xfId="6346"/>
    <cellStyle name="Normal 58 3 3 2" xfId="6347"/>
    <cellStyle name="Normal 58 3 4" xfId="6348"/>
    <cellStyle name="Normal 58 3 4 2" xfId="6349"/>
    <cellStyle name="Normal 58 3 5" xfId="6350"/>
    <cellStyle name="Normal 58 4" xfId="6351"/>
    <cellStyle name="Normal 58 4 2" xfId="6352"/>
    <cellStyle name="Normal 58 4 2 2" xfId="6353"/>
    <cellStyle name="Normal 58 4 3" xfId="6354"/>
    <cellStyle name="Normal 58 4 3 2" xfId="6355"/>
    <cellStyle name="Normal 58 4 4" xfId="6356"/>
    <cellStyle name="Normal 58 5" xfId="6357"/>
    <cellStyle name="Normal 58 5 2" xfId="6358"/>
    <cellStyle name="Normal 58 6" xfId="6359"/>
    <cellStyle name="Normal 58 6 2" xfId="6360"/>
    <cellStyle name="Normal 58 7" xfId="6361"/>
    <cellStyle name="Normal 59" xfId="6362"/>
    <cellStyle name="Normal 59 2" xfId="6363"/>
    <cellStyle name="Normal 59 2 2" xfId="6364"/>
    <cellStyle name="Normal 59 2 2 2" xfId="6365"/>
    <cellStyle name="Normal 59 2 2 2 2" xfId="6366"/>
    <cellStyle name="Normal 59 2 2 2 2 2" xfId="6367"/>
    <cellStyle name="Normal 59 2 2 2 3" xfId="6368"/>
    <cellStyle name="Normal 59 2 2 2 3 2" xfId="6369"/>
    <cellStyle name="Normal 59 2 2 2 4" xfId="6370"/>
    <cellStyle name="Normal 59 2 2 3" xfId="6371"/>
    <cellStyle name="Normal 59 2 2 3 2" xfId="6372"/>
    <cellStyle name="Normal 59 2 2 4" xfId="6373"/>
    <cellStyle name="Normal 59 2 2 4 2" xfId="6374"/>
    <cellStyle name="Normal 59 2 2 5" xfId="6375"/>
    <cellStyle name="Normal 59 2 3" xfId="6376"/>
    <cellStyle name="Normal 59 2 3 2" xfId="6377"/>
    <cellStyle name="Normal 59 2 3 2 2" xfId="6378"/>
    <cellStyle name="Normal 59 2 3 3" xfId="6379"/>
    <cellStyle name="Normal 59 2 3 3 2" xfId="6380"/>
    <cellStyle name="Normal 59 2 3 4" xfId="6381"/>
    <cellStyle name="Normal 59 2 4" xfId="6382"/>
    <cellStyle name="Normal 59 2 4 2" xfId="6383"/>
    <cellStyle name="Normal 59 2 5" xfId="6384"/>
    <cellStyle name="Normal 59 2 5 2" xfId="6385"/>
    <cellStyle name="Normal 59 2 6" xfId="6386"/>
    <cellStyle name="Normal 59 3" xfId="6387"/>
    <cellStyle name="Normal 59 3 2" xfId="6388"/>
    <cellStyle name="Normal 59 3 2 2" xfId="6389"/>
    <cellStyle name="Normal 59 3 2 2 2" xfId="6390"/>
    <cellStyle name="Normal 59 3 2 3" xfId="6391"/>
    <cellStyle name="Normal 59 3 2 3 2" xfId="6392"/>
    <cellStyle name="Normal 59 3 2 4" xfId="6393"/>
    <cellStyle name="Normal 59 3 3" xfId="6394"/>
    <cellStyle name="Normal 59 3 3 2" xfId="6395"/>
    <cellStyle name="Normal 59 3 4" xfId="6396"/>
    <cellStyle name="Normal 59 3 4 2" xfId="6397"/>
    <cellStyle name="Normal 59 3 5" xfId="6398"/>
    <cellStyle name="Normal 59 4" xfId="6399"/>
    <cellStyle name="Normal 59 4 2" xfId="6400"/>
    <cellStyle name="Normal 59 4 2 2" xfId="6401"/>
    <cellStyle name="Normal 59 4 3" xfId="6402"/>
    <cellStyle name="Normal 59 4 3 2" xfId="6403"/>
    <cellStyle name="Normal 59 4 4" xfId="6404"/>
    <cellStyle name="Normal 59 5" xfId="6405"/>
    <cellStyle name="Normal 59 5 2" xfId="6406"/>
    <cellStyle name="Normal 59 6" xfId="6407"/>
    <cellStyle name="Normal 59 6 2" xfId="6408"/>
    <cellStyle name="Normal 59 7" xfId="6409"/>
    <cellStyle name="Normal 6" xfId="6410"/>
    <cellStyle name="Normal 6 10" xfId="6411"/>
    <cellStyle name="Normal 6 2" xfId="6412"/>
    <cellStyle name="Normal 6 2 2" xfId="6413"/>
    <cellStyle name="Normal 6 2 2 2" xfId="6414"/>
    <cellStyle name="Normal 6 2 2 2 2" xfId="6415"/>
    <cellStyle name="Normal 6 2 2 2 2 2" xfId="6416"/>
    <cellStyle name="Normal 6 2 2 2 2 2 2" xfId="6417"/>
    <cellStyle name="Normal 6 2 2 2 2 2 2 2" xfId="6418"/>
    <cellStyle name="Normal 6 2 2 2 2 2 3" xfId="6419"/>
    <cellStyle name="Normal 6 2 2 2 2 2 3 2" xfId="6420"/>
    <cellStyle name="Normal 6 2 2 2 2 2 4" xfId="6421"/>
    <cellStyle name="Normal 6 2 2 2 2 3" xfId="6422"/>
    <cellStyle name="Normal 6 2 2 2 2 3 2" xfId="6423"/>
    <cellStyle name="Normal 6 2 2 2 2 4" xfId="6424"/>
    <cellStyle name="Normal 6 2 2 2 2 4 2" xfId="6425"/>
    <cellStyle name="Normal 6 2 2 2 2 5" xfId="6426"/>
    <cellStyle name="Normal 6 2 2 2 3" xfId="6427"/>
    <cellStyle name="Normal 6 2 2 2 3 2" xfId="6428"/>
    <cellStyle name="Normal 6 2 2 2 3 2 2" xfId="6429"/>
    <cellStyle name="Normal 6 2 2 2 3 3" xfId="6430"/>
    <cellStyle name="Normal 6 2 2 2 3 3 2" xfId="6431"/>
    <cellStyle name="Normal 6 2 2 2 3 4" xfId="6432"/>
    <cellStyle name="Normal 6 2 2 2 4" xfId="6433"/>
    <cellStyle name="Normal 6 2 2 2 4 2" xfId="6434"/>
    <cellStyle name="Normal 6 2 2 2 5" xfId="6435"/>
    <cellStyle name="Normal 6 2 2 2 5 2" xfId="6436"/>
    <cellStyle name="Normal 6 2 2 2 6" xfId="6437"/>
    <cellStyle name="Normal 6 2 2 3" xfId="6438"/>
    <cellStyle name="Normal 6 2 2 3 2" xfId="6439"/>
    <cellStyle name="Normal 6 2 2 3 2 2" xfId="6440"/>
    <cellStyle name="Normal 6 2 2 3 2 2 2" xfId="6441"/>
    <cellStyle name="Normal 6 2 2 3 2 3" xfId="6442"/>
    <cellStyle name="Normal 6 2 2 3 2 3 2" xfId="6443"/>
    <cellStyle name="Normal 6 2 2 3 2 4" xfId="6444"/>
    <cellStyle name="Normal 6 2 2 3 3" xfId="6445"/>
    <cellStyle name="Normal 6 2 2 3 3 2" xfId="6446"/>
    <cellStyle name="Normal 6 2 2 3 4" xfId="6447"/>
    <cellStyle name="Normal 6 2 2 3 4 2" xfId="6448"/>
    <cellStyle name="Normal 6 2 2 3 5" xfId="6449"/>
    <cellStyle name="Normal 6 2 2 4" xfId="6450"/>
    <cellStyle name="Normal 6 2 2 4 2" xfId="6451"/>
    <cellStyle name="Normal 6 2 2 4 2 2" xfId="6452"/>
    <cellStyle name="Normal 6 2 2 4 3" xfId="6453"/>
    <cellStyle name="Normal 6 2 2 4 3 2" xfId="6454"/>
    <cellStyle name="Normal 6 2 2 4 4" xfId="6455"/>
    <cellStyle name="Normal 6 2 2 5" xfId="6456"/>
    <cellStyle name="Normal 6 2 2 5 2" xfId="6457"/>
    <cellStyle name="Normal 6 2 2 6" xfId="6458"/>
    <cellStyle name="Normal 6 2 2 6 2" xfId="6459"/>
    <cellStyle name="Normal 6 2 2 7" xfId="6460"/>
    <cellStyle name="Normal 6 2 3" xfId="6461"/>
    <cellStyle name="Normal 6 2 3 2" xfId="6462"/>
    <cellStyle name="Normal 6 2 3 2 2" xfId="6463"/>
    <cellStyle name="Normal 6 2 3 2 2 2" xfId="6464"/>
    <cellStyle name="Normal 6 2 3 2 2 2 2" xfId="6465"/>
    <cellStyle name="Normal 6 2 3 2 2 3" xfId="6466"/>
    <cellStyle name="Normal 6 2 3 2 2 3 2" xfId="6467"/>
    <cellStyle name="Normal 6 2 3 2 2 4" xfId="6468"/>
    <cellStyle name="Normal 6 2 3 2 3" xfId="6469"/>
    <cellStyle name="Normal 6 2 3 2 3 2" xfId="6470"/>
    <cellStyle name="Normal 6 2 3 2 4" xfId="6471"/>
    <cellStyle name="Normal 6 2 3 2 4 2" xfId="6472"/>
    <cellStyle name="Normal 6 2 3 2 5" xfId="6473"/>
    <cellStyle name="Normal 6 2 3 3" xfId="6474"/>
    <cellStyle name="Normal 6 2 3 3 2" xfId="6475"/>
    <cellStyle name="Normal 6 2 3 3 2 2" xfId="6476"/>
    <cellStyle name="Normal 6 2 3 3 3" xfId="6477"/>
    <cellStyle name="Normal 6 2 3 3 3 2" xfId="6478"/>
    <cellStyle name="Normal 6 2 3 3 4" xfId="6479"/>
    <cellStyle name="Normal 6 2 3 4" xfId="6480"/>
    <cellStyle name="Normal 6 2 3 4 2" xfId="6481"/>
    <cellStyle name="Normal 6 2 3 5" xfId="6482"/>
    <cellStyle name="Normal 6 2 3 5 2" xfId="6483"/>
    <cellStyle name="Normal 6 2 3 6" xfId="6484"/>
    <cellStyle name="Normal 6 2 4" xfId="6485"/>
    <cellStyle name="Normal 6 2 4 2" xfId="6486"/>
    <cellStyle name="Normal 6 2 4 2 2" xfId="6487"/>
    <cellStyle name="Normal 6 2 4 2 2 2" xfId="6488"/>
    <cellStyle name="Normal 6 2 4 2 3" xfId="6489"/>
    <cellStyle name="Normal 6 2 4 2 3 2" xfId="6490"/>
    <cellStyle name="Normal 6 2 4 2 4" xfId="6491"/>
    <cellStyle name="Normal 6 2 4 3" xfId="6492"/>
    <cellStyle name="Normal 6 2 4 3 2" xfId="6493"/>
    <cellStyle name="Normal 6 2 4 4" xfId="6494"/>
    <cellStyle name="Normal 6 2 4 4 2" xfId="6495"/>
    <cellStyle name="Normal 6 2 4 5" xfId="6496"/>
    <cellStyle name="Normal 6 2 5" xfId="6497"/>
    <cellStyle name="Normal 6 2 5 2" xfId="6498"/>
    <cellStyle name="Normal 6 2 5 2 2" xfId="6499"/>
    <cellStyle name="Normal 6 2 5 3" xfId="6500"/>
    <cellStyle name="Normal 6 2 5 3 2" xfId="6501"/>
    <cellStyle name="Normal 6 2 5 4" xfId="6502"/>
    <cellStyle name="Normal 6 2 6" xfId="6503"/>
    <cellStyle name="Normal 6 2 6 2" xfId="6504"/>
    <cellStyle name="Normal 6 2 7" xfId="6505"/>
    <cellStyle name="Normal 6 2 7 2" xfId="6506"/>
    <cellStyle name="Normal 6 2 8" xfId="6507"/>
    <cellStyle name="Normal 6 3" xfId="6508"/>
    <cellStyle name="Normal 6 3 2" xfId="6509"/>
    <cellStyle name="Normal 6 3 2 2" xfId="6510"/>
    <cellStyle name="Normal 6 3 2 2 2" xfId="6511"/>
    <cellStyle name="Normal 6 3 2 2 2 2" xfId="6512"/>
    <cellStyle name="Normal 6 3 2 2 2 2 2" xfId="6513"/>
    <cellStyle name="Normal 6 3 2 2 2 3" xfId="6514"/>
    <cellStyle name="Normal 6 3 2 2 2 3 2" xfId="6515"/>
    <cellStyle name="Normal 6 3 2 2 2 4" xfId="6516"/>
    <cellStyle name="Normal 6 3 2 2 3" xfId="6517"/>
    <cellStyle name="Normal 6 3 2 2 3 2" xfId="6518"/>
    <cellStyle name="Normal 6 3 2 2 4" xfId="6519"/>
    <cellStyle name="Normal 6 3 2 2 4 2" xfId="6520"/>
    <cellStyle name="Normal 6 3 2 2 5" xfId="6521"/>
    <cellStyle name="Normal 6 3 2 3" xfId="6522"/>
    <cellStyle name="Normal 6 3 2 3 2" xfId="6523"/>
    <cellStyle name="Normal 6 3 2 3 2 2" xfId="6524"/>
    <cellStyle name="Normal 6 3 2 3 3" xfId="6525"/>
    <cellStyle name="Normal 6 3 2 3 3 2" xfId="6526"/>
    <cellStyle name="Normal 6 3 2 3 4" xfId="6527"/>
    <cellStyle name="Normal 6 3 2 4" xfId="6528"/>
    <cellStyle name="Normal 6 3 2 4 2" xfId="6529"/>
    <cellStyle name="Normal 6 3 2 5" xfId="6530"/>
    <cellStyle name="Normal 6 3 2 5 2" xfId="6531"/>
    <cellStyle name="Normal 6 3 2 6" xfId="6532"/>
    <cellStyle name="Normal 6 3 3" xfId="6533"/>
    <cellStyle name="Normal 6 3 3 2" xfId="6534"/>
    <cellStyle name="Normal 6 3 3 2 2" xfId="6535"/>
    <cellStyle name="Normal 6 3 3 2 2 2" xfId="6536"/>
    <cellStyle name="Normal 6 3 3 2 3" xfId="6537"/>
    <cellStyle name="Normal 6 3 3 2 3 2" xfId="6538"/>
    <cellStyle name="Normal 6 3 3 2 4" xfId="6539"/>
    <cellStyle name="Normal 6 3 3 3" xfId="6540"/>
    <cellStyle name="Normal 6 3 3 3 2" xfId="6541"/>
    <cellStyle name="Normal 6 3 3 4" xfId="6542"/>
    <cellStyle name="Normal 6 3 3 4 2" xfId="6543"/>
    <cellStyle name="Normal 6 3 3 5" xfId="6544"/>
    <cellStyle name="Normal 6 3 4" xfId="6545"/>
    <cellStyle name="Normal 6 3 4 2" xfId="6546"/>
    <cellStyle name="Normal 6 3 4 2 2" xfId="6547"/>
    <cellStyle name="Normal 6 3 4 3" xfId="6548"/>
    <cellStyle name="Normal 6 3 4 3 2" xfId="6549"/>
    <cellStyle name="Normal 6 3 4 4" xfId="6550"/>
    <cellStyle name="Normal 6 3 5" xfId="6551"/>
    <cellStyle name="Normal 6 3 5 2" xfId="6552"/>
    <cellStyle name="Normal 6 3 6" xfId="6553"/>
    <cellStyle name="Normal 6 3 6 2" xfId="6554"/>
    <cellStyle name="Normal 6 3 7" xfId="6555"/>
    <cellStyle name="Normal 6 3 8" xfId="6556"/>
    <cellStyle name="Normal 6 4" xfId="6557"/>
    <cellStyle name="Normal 6 4 2" xfId="6558"/>
    <cellStyle name="Normal 6 4 2 2" xfId="6559"/>
    <cellStyle name="Normal 6 4 2 2 2" xfId="6560"/>
    <cellStyle name="Normal 6 4 2 2 2 2" xfId="6561"/>
    <cellStyle name="Normal 6 4 2 2 2 2 2" xfId="6562"/>
    <cellStyle name="Normal 6 4 2 2 2 3" xfId="6563"/>
    <cellStyle name="Normal 6 4 2 2 2 3 2" xfId="6564"/>
    <cellStyle name="Normal 6 4 2 2 2 4" xfId="6565"/>
    <cellStyle name="Normal 6 4 2 2 3" xfId="6566"/>
    <cellStyle name="Normal 6 4 2 2 3 2" xfId="6567"/>
    <cellStyle name="Normal 6 4 2 2 4" xfId="6568"/>
    <cellStyle name="Normal 6 4 2 2 4 2" xfId="6569"/>
    <cellStyle name="Normal 6 4 2 2 5" xfId="6570"/>
    <cellStyle name="Normal 6 4 2 3" xfId="6571"/>
    <cellStyle name="Normal 6 4 2 3 2" xfId="6572"/>
    <cellStyle name="Normal 6 4 2 3 2 2" xfId="6573"/>
    <cellStyle name="Normal 6 4 2 3 3" xfId="6574"/>
    <cellStyle name="Normal 6 4 2 3 3 2" xfId="6575"/>
    <cellStyle name="Normal 6 4 2 3 4" xfId="6576"/>
    <cellStyle name="Normal 6 4 2 4" xfId="6577"/>
    <cellStyle name="Normal 6 4 2 4 2" xfId="6578"/>
    <cellStyle name="Normal 6 4 2 5" xfId="6579"/>
    <cellStyle name="Normal 6 4 2 5 2" xfId="6580"/>
    <cellStyle name="Normal 6 4 2 6" xfId="6581"/>
    <cellStyle name="Normal 6 4 3" xfId="6582"/>
    <cellStyle name="Normal 6 4 3 2" xfId="6583"/>
    <cellStyle name="Normal 6 4 3 2 2" xfId="6584"/>
    <cellStyle name="Normal 6 4 3 2 2 2" xfId="6585"/>
    <cellStyle name="Normal 6 4 3 2 3" xfId="6586"/>
    <cellStyle name="Normal 6 4 3 2 3 2" xfId="6587"/>
    <cellStyle name="Normal 6 4 3 2 4" xfId="6588"/>
    <cellStyle name="Normal 6 4 3 3" xfId="6589"/>
    <cellStyle name="Normal 6 4 3 3 2" xfId="6590"/>
    <cellStyle name="Normal 6 4 3 4" xfId="6591"/>
    <cellStyle name="Normal 6 4 3 4 2" xfId="6592"/>
    <cellStyle name="Normal 6 4 3 5" xfId="6593"/>
    <cellStyle name="Normal 6 4 4" xfId="6594"/>
    <cellStyle name="Normal 6 4 4 2" xfId="6595"/>
    <cellStyle name="Normal 6 4 4 2 2" xfId="6596"/>
    <cellStyle name="Normal 6 4 4 3" xfId="6597"/>
    <cellStyle name="Normal 6 4 4 3 2" xfId="6598"/>
    <cellStyle name="Normal 6 4 4 4" xfId="6599"/>
    <cellStyle name="Normal 6 4 5" xfId="6600"/>
    <cellStyle name="Normal 6 4 5 2" xfId="6601"/>
    <cellStyle name="Normal 6 4 6" xfId="6602"/>
    <cellStyle name="Normal 6 4 6 2" xfId="6603"/>
    <cellStyle name="Normal 6 4 7" xfId="6604"/>
    <cellStyle name="Normal 6 5" xfId="6605"/>
    <cellStyle name="Normal 6 5 2" xfId="6606"/>
    <cellStyle name="Normal 6 5 2 2" xfId="6607"/>
    <cellStyle name="Normal 6 5 2 2 2" xfId="6608"/>
    <cellStyle name="Normal 6 5 2 2 2 2" xfId="6609"/>
    <cellStyle name="Normal 6 5 2 2 3" xfId="6610"/>
    <cellStyle name="Normal 6 5 2 2 3 2" xfId="6611"/>
    <cellStyle name="Normal 6 5 2 2 4" xfId="6612"/>
    <cellStyle name="Normal 6 5 2 3" xfId="6613"/>
    <cellStyle name="Normal 6 5 2 3 2" xfId="6614"/>
    <cellStyle name="Normal 6 5 2 4" xfId="6615"/>
    <cellStyle name="Normal 6 5 2 4 2" xfId="6616"/>
    <cellStyle name="Normal 6 5 2 5" xfId="6617"/>
    <cellStyle name="Normal 6 5 3" xfId="6618"/>
    <cellStyle name="Normal 6 5 3 2" xfId="6619"/>
    <cellStyle name="Normal 6 5 3 2 2" xfId="6620"/>
    <cellStyle name="Normal 6 5 3 3" xfId="6621"/>
    <cellStyle name="Normal 6 5 3 3 2" xfId="6622"/>
    <cellStyle name="Normal 6 5 3 4" xfId="6623"/>
    <cellStyle name="Normal 6 5 4" xfId="6624"/>
    <cellStyle name="Normal 6 5 4 2" xfId="6625"/>
    <cellStyle name="Normal 6 5 5" xfId="6626"/>
    <cellStyle name="Normal 6 5 5 2" xfId="6627"/>
    <cellStyle name="Normal 6 5 6" xfId="6628"/>
    <cellStyle name="Normal 6 6" xfId="6629"/>
    <cellStyle name="Normal 6 6 2" xfId="6630"/>
    <cellStyle name="Normal 6 6 2 2" xfId="6631"/>
    <cellStyle name="Normal 6 6 2 2 2" xfId="6632"/>
    <cellStyle name="Normal 6 6 2 3" xfId="6633"/>
    <cellStyle name="Normal 6 6 2 3 2" xfId="6634"/>
    <cellStyle name="Normal 6 6 2 4" xfId="6635"/>
    <cellStyle name="Normal 6 6 3" xfId="6636"/>
    <cellStyle name="Normal 6 6 3 2" xfId="6637"/>
    <cellStyle name="Normal 6 6 4" xfId="6638"/>
    <cellStyle name="Normal 6 6 4 2" xfId="6639"/>
    <cellStyle name="Normal 6 6 5" xfId="6640"/>
    <cellStyle name="Normal 6 7" xfId="6641"/>
    <cellStyle name="Normal 6 7 2" xfId="6642"/>
    <cellStyle name="Normal 6 7 2 2" xfId="6643"/>
    <cellStyle name="Normal 6 7 3" xfId="6644"/>
    <cellStyle name="Normal 6 7 3 2" xfId="6645"/>
    <cellStyle name="Normal 6 7 4" xfId="6646"/>
    <cellStyle name="Normal 6 8" xfId="6647"/>
    <cellStyle name="Normal 6 8 2" xfId="6648"/>
    <cellStyle name="Normal 6 9" xfId="6649"/>
    <cellStyle name="Normal 6 9 2" xfId="6650"/>
    <cellStyle name="Normal 6_2180" xfId="6651"/>
    <cellStyle name="Normal 60" xfId="6652"/>
    <cellStyle name="Normal 60 2" xfId="6653"/>
    <cellStyle name="Normal 60 2 2" xfId="6654"/>
    <cellStyle name="Normal 60 2 2 2" xfId="6655"/>
    <cellStyle name="Normal 60 2 2 2 2" xfId="6656"/>
    <cellStyle name="Normal 60 2 2 2 2 2" xfId="6657"/>
    <cellStyle name="Normal 60 2 2 2 3" xfId="6658"/>
    <cellStyle name="Normal 60 2 2 2 3 2" xfId="6659"/>
    <cellStyle name="Normal 60 2 2 2 4" xfId="6660"/>
    <cellStyle name="Normal 60 2 2 3" xfId="6661"/>
    <cellStyle name="Normal 60 2 2 3 2" xfId="6662"/>
    <cellStyle name="Normal 60 2 2 4" xfId="6663"/>
    <cellStyle name="Normal 60 2 2 4 2" xfId="6664"/>
    <cellStyle name="Normal 60 2 2 5" xfId="6665"/>
    <cellStyle name="Normal 60 2 3" xfId="6666"/>
    <cellStyle name="Normal 60 2 3 2" xfId="6667"/>
    <cellStyle name="Normal 60 2 3 2 2" xfId="6668"/>
    <cellStyle name="Normal 60 2 3 3" xfId="6669"/>
    <cellStyle name="Normal 60 2 3 3 2" xfId="6670"/>
    <cellStyle name="Normal 60 2 3 4" xfId="6671"/>
    <cellStyle name="Normal 60 2 4" xfId="6672"/>
    <cellStyle name="Normal 60 2 4 2" xfId="6673"/>
    <cellStyle name="Normal 60 2 5" xfId="6674"/>
    <cellStyle name="Normal 60 2 5 2" xfId="6675"/>
    <cellStyle name="Normal 60 2 6" xfId="6676"/>
    <cellStyle name="Normal 60 3" xfId="6677"/>
    <cellStyle name="Normal 60 3 2" xfId="6678"/>
    <cellStyle name="Normal 60 3 2 2" xfId="6679"/>
    <cellStyle name="Normal 60 3 2 2 2" xfId="6680"/>
    <cellStyle name="Normal 60 3 2 3" xfId="6681"/>
    <cellStyle name="Normal 60 3 2 3 2" xfId="6682"/>
    <cellStyle name="Normal 60 3 2 4" xfId="6683"/>
    <cellStyle name="Normal 60 3 3" xfId="6684"/>
    <cellStyle name="Normal 60 3 3 2" xfId="6685"/>
    <cellStyle name="Normal 60 3 4" xfId="6686"/>
    <cellStyle name="Normal 60 3 4 2" xfId="6687"/>
    <cellStyle name="Normal 60 3 5" xfId="6688"/>
    <cellStyle name="Normal 60 4" xfId="6689"/>
    <cellStyle name="Normal 60 4 2" xfId="6690"/>
    <cellStyle name="Normal 60 4 2 2" xfId="6691"/>
    <cellStyle name="Normal 60 4 3" xfId="6692"/>
    <cellStyle name="Normal 60 4 3 2" xfId="6693"/>
    <cellStyle name="Normal 60 4 4" xfId="6694"/>
    <cellStyle name="Normal 60 5" xfId="6695"/>
    <cellStyle name="Normal 60 5 2" xfId="6696"/>
    <cellStyle name="Normal 60 6" xfId="6697"/>
    <cellStyle name="Normal 60 6 2" xfId="6698"/>
    <cellStyle name="Normal 60 7" xfId="6699"/>
    <cellStyle name="Normal 61" xfId="6700"/>
    <cellStyle name="Normal 61 2" xfId="6701"/>
    <cellStyle name="Normal 61 2 2" xfId="6702"/>
    <cellStyle name="Normal 61 2 2 2" xfId="6703"/>
    <cellStyle name="Normal 61 2 2 2 2" xfId="6704"/>
    <cellStyle name="Normal 61 2 2 2 2 2" xfId="6705"/>
    <cellStyle name="Normal 61 2 2 2 3" xfId="6706"/>
    <cellStyle name="Normal 61 2 2 2 3 2" xfId="6707"/>
    <cellStyle name="Normal 61 2 2 2 4" xfId="6708"/>
    <cellStyle name="Normal 61 2 2 3" xfId="6709"/>
    <cellStyle name="Normal 61 2 2 3 2" xfId="6710"/>
    <cellStyle name="Normal 61 2 2 4" xfId="6711"/>
    <cellStyle name="Normal 61 2 2 4 2" xfId="6712"/>
    <cellStyle name="Normal 61 2 2 5" xfId="6713"/>
    <cellStyle name="Normal 61 2 3" xfId="6714"/>
    <cellStyle name="Normal 61 2 3 2" xfId="6715"/>
    <cellStyle name="Normal 61 2 3 2 2" xfId="6716"/>
    <cellStyle name="Normal 61 2 3 3" xfId="6717"/>
    <cellStyle name="Normal 61 2 3 3 2" xfId="6718"/>
    <cellStyle name="Normal 61 2 3 4" xfId="6719"/>
    <cellStyle name="Normal 61 2 4" xfId="6720"/>
    <cellStyle name="Normal 61 2 4 2" xfId="6721"/>
    <cellStyle name="Normal 61 2 5" xfId="6722"/>
    <cellStyle name="Normal 61 2 5 2" xfId="6723"/>
    <cellStyle name="Normal 61 2 6" xfId="6724"/>
    <cellStyle name="Normal 61 3" xfId="6725"/>
    <cellStyle name="Normal 61 3 2" xfId="6726"/>
    <cellStyle name="Normal 61 3 2 2" xfId="6727"/>
    <cellStyle name="Normal 61 3 2 2 2" xfId="6728"/>
    <cellStyle name="Normal 61 3 2 3" xfId="6729"/>
    <cellStyle name="Normal 61 3 2 3 2" xfId="6730"/>
    <cellStyle name="Normal 61 3 2 4" xfId="6731"/>
    <cellStyle name="Normal 61 3 3" xfId="6732"/>
    <cellStyle name="Normal 61 3 3 2" xfId="6733"/>
    <cellStyle name="Normal 61 3 4" xfId="6734"/>
    <cellStyle name="Normal 61 3 4 2" xfId="6735"/>
    <cellStyle name="Normal 61 3 5" xfId="6736"/>
    <cellStyle name="Normal 61 4" xfId="6737"/>
    <cellStyle name="Normal 61 4 2" xfId="6738"/>
    <cellStyle name="Normal 61 4 2 2" xfId="6739"/>
    <cellStyle name="Normal 61 4 3" xfId="6740"/>
    <cellStyle name="Normal 61 4 3 2" xfId="6741"/>
    <cellStyle name="Normal 61 4 4" xfId="6742"/>
    <cellStyle name="Normal 61 5" xfId="6743"/>
    <cellStyle name="Normal 61 5 2" xfId="6744"/>
    <cellStyle name="Normal 61 6" xfId="6745"/>
    <cellStyle name="Normal 61 6 2" xfId="6746"/>
    <cellStyle name="Normal 61 7" xfId="6747"/>
    <cellStyle name="Normal 62" xfId="6748"/>
    <cellStyle name="Normal 62 2" xfId="6749"/>
    <cellStyle name="Normal 62 2 2" xfId="6750"/>
    <cellStyle name="Normal 62 2 2 2" xfId="6751"/>
    <cellStyle name="Normal 62 2 2 2 2" xfId="6752"/>
    <cellStyle name="Normal 62 2 2 2 2 2" xfId="6753"/>
    <cellStyle name="Normal 62 2 2 2 3" xfId="6754"/>
    <cellStyle name="Normal 62 2 2 2 3 2" xfId="6755"/>
    <cellStyle name="Normal 62 2 2 2 4" xfId="6756"/>
    <cellStyle name="Normal 62 2 2 3" xfId="6757"/>
    <cellStyle name="Normal 62 2 2 3 2" xfId="6758"/>
    <cellStyle name="Normal 62 2 2 4" xfId="6759"/>
    <cellStyle name="Normal 62 2 2 4 2" xfId="6760"/>
    <cellStyle name="Normal 62 2 2 5" xfId="6761"/>
    <cellStyle name="Normal 62 2 3" xfId="6762"/>
    <cellStyle name="Normal 62 2 3 2" xfId="6763"/>
    <cellStyle name="Normal 62 2 3 2 2" xfId="6764"/>
    <cellStyle name="Normal 62 2 3 3" xfId="6765"/>
    <cellStyle name="Normal 62 2 3 3 2" xfId="6766"/>
    <cellStyle name="Normal 62 2 3 4" xfId="6767"/>
    <cellStyle name="Normal 62 2 4" xfId="6768"/>
    <cellStyle name="Normal 62 2 4 2" xfId="6769"/>
    <cellStyle name="Normal 62 2 5" xfId="6770"/>
    <cellStyle name="Normal 62 2 5 2" xfId="6771"/>
    <cellStyle name="Normal 62 2 6" xfId="6772"/>
    <cellStyle name="Normal 62 3" xfId="6773"/>
    <cellStyle name="Normal 62 3 2" xfId="6774"/>
    <cellStyle name="Normal 62 3 2 2" xfId="6775"/>
    <cellStyle name="Normal 62 3 2 2 2" xfId="6776"/>
    <cellStyle name="Normal 62 3 2 3" xfId="6777"/>
    <cellStyle name="Normal 62 3 2 3 2" xfId="6778"/>
    <cellStyle name="Normal 62 3 2 4" xfId="6779"/>
    <cellStyle name="Normal 62 3 3" xfId="6780"/>
    <cellStyle name="Normal 62 3 3 2" xfId="6781"/>
    <cellStyle name="Normal 62 3 4" xfId="6782"/>
    <cellStyle name="Normal 62 3 4 2" xfId="6783"/>
    <cellStyle name="Normal 62 3 5" xfId="6784"/>
    <cellStyle name="Normal 62 4" xfId="6785"/>
    <cellStyle name="Normal 62 4 2" xfId="6786"/>
    <cellStyle name="Normal 62 4 2 2" xfId="6787"/>
    <cellStyle name="Normal 62 4 3" xfId="6788"/>
    <cellStyle name="Normal 62 4 3 2" xfId="6789"/>
    <cellStyle name="Normal 62 4 4" xfId="6790"/>
    <cellStyle name="Normal 62 5" xfId="6791"/>
    <cellStyle name="Normal 62 5 2" xfId="6792"/>
    <cellStyle name="Normal 62 6" xfId="6793"/>
    <cellStyle name="Normal 62 6 2" xfId="6794"/>
    <cellStyle name="Normal 62 7" xfId="6795"/>
    <cellStyle name="Normal 63" xfId="6796"/>
    <cellStyle name="Normal 63 2" xfId="6797"/>
    <cellStyle name="Normal 63 2 2" xfId="6798"/>
    <cellStyle name="Normal 63 2 2 2" xfId="6799"/>
    <cellStyle name="Normal 63 2 2 2 2" xfId="6800"/>
    <cellStyle name="Normal 63 2 2 2 2 2" xfId="6801"/>
    <cellStyle name="Normal 63 2 2 2 3" xfId="6802"/>
    <cellStyle name="Normal 63 2 2 2 3 2" xfId="6803"/>
    <cellStyle name="Normal 63 2 2 2 4" xfId="6804"/>
    <cellStyle name="Normal 63 2 2 3" xfId="6805"/>
    <cellStyle name="Normal 63 2 2 3 2" xfId="6806"/>
    <cellStyle name="Normal 63 2 2 4" xfId="6807"/>
    <cellStyle name="Normal 63 2 2 4 2" xfId="6808"/>
    <cellStyle name="Normal 63 2 2 5" xfId="6809"/>
    <cellStyle name="Normal 63 2 3" xfId="6810"/>
    <cellStyle name="Normal 63 2 3 2" xfId="6811"/>
    <cellStyle name="Normal 63 2 3 2 2" xfId="6812"/>
    <cellStyle name="Normal 63 2 3 3" xfId="6813"/>
    <cellStyle name="Normal 63 2 3 3 2" xfId="6814"/>
    <cellStyle name="Normal 63 2 3 4" xfId="6815"/>
    <cellStyle name="Normal 63 2 4" xfId="6816"/>
    <cellStyle name="Normal 63 2 4 2" xfId="6817"/>
    <cellStyle name="Normal 63 2 5" xfId="6818"/>
    <cellStyle name="Normal 63 2 5 2" xfId="6819"/>
    <cellStyle name="Normal 63 2 6" xfId="6820"/>
    <cellStyle name="Normal 63 3" xfId="6821"/>
    <cellStyle name="Normal 63 3 2" xfId="6822"/>
    <cellStyle name="Normal 63 3 2 2" xfId="6823"/>
    <cellStyle name="Normal 63 3 2 2 2" xfId="6824"/>
    <cellStyle name="Normal 63 3 2 3" xfId="6825"/>
    <cellStyle name="Normal 63 3 2 3 2" xfId="6826"/>
    <cellStyle name="Normal 63 3 2 4" xfId="6827"/>
    <cellStyle name="Normal 63 3 3" xfId="6828"/>
    <cellStyle name="Normal 63 3 3 2" xfId="6829"/>
    <cellStyle name="Normal 63 3 4" xfId="6830"/>
    <cellStyle name="Normal 63 3 4 2" xfId="6831"/>
    <cellStyle name="Normal 63 3 5" xfId="6832"/>
    <cellStyle name="Normal 63 4" xfId="6833"/>
    <cellStyle name="Normal 63 4 2" xfId="6834"/>
    <cellStyle name="Normal 63 4 2 2" xfId="6835"/>
    <cellStyle name="Normal 63 4 3" xfId="6836"/>
    <cellStyle name="Normal 63 4 3 2" xfId="6837"/>
    <cellStyle name="Normal 63 4 4" xfId="6838"/>
    <cellStyle name="Normal 63 5" xfId="6839"/>
    <cellStyle name="Normal 63 5 2" xfId="6840"/>
    <cellStyle name="Normal 63 6" xfId="6841"/>
    <cellStyle name="Normal 63 6 2" xfId="6842"/>
    <cellStyle name="Normal 63 7" xfId="6843"/>
    <cellStyle name="Normal 64" xfId="6844"/>
    <cellStyle name="Normal 64 2" xfId="6845"/>
    <cellStyle name="Normal 64 3" xfId="6846"/>
    <cellStyle name="Normal 65" xfId="6847"/>
    <cellStyle name="Normal 65 2" xfId="6848"/>
    <cellStyle name="Normal 65 2 2" xfId="6849"/>
    <cellStyle name="Normal 65 2 2 2" xfId="6850"/>
    <cellStyle name="Normal 65 2 2 2 2" xfId="6851"/>
    <cellStyle name="Normal 65 2 2 2 2 2" xfId="6852"/>
    <cellStyle name="Normal 65 2 2 2 3" xfId="6853"/>
    <cellStyle name="Normal 65 2 2 2 3 2" xfId="6854"/>
    <cellStyle name="Normal 65 2 2 2 4" xfId="6855"/>
    <cellStyle name="Normal 65 2 2 3" xfId="6856"/>
    <cellStyle name="Normal 65 2 2 3 2" xfId="6857"/>
    <cellStyle name="Normal 65 2 2 4" xfId="6858"/>
    <cellStyle name="Normal 65 2 2 4 2" xfId="6859"/>
    <cellStyle name="Normal 65 2 2 5" xfId="6860"/>
    <cellStyle name="Normal 65 2 3" xfId="6861"/>
    <cellStyle name="Normal 65 2 3 2" xfId="6862"/>
    <cellStyle name="Normal 65 2 3 2 2" xfId="6863"/>
    <cellStyle name="Normal 65 2 3 3" xfId="6864"/>
    <cellStyle name="Normal 65 2 3 3 2" xfId="6865"/>
    <cellStyle name="Normal 65 2 3 4" xfId="6866"/>
    <cellStyle name="Normal 65 2 4" xfId="6867"/>
    <cellStyle name="Normal 65 2 4 2" xfId="6868"/>
    <cellStyle name="Normal 65 2 5" xfId="6869"/>
    <cellStyle name="Normal 65 2 5 2" xfId="6870"/>
    <cellStyle name="Normal 65 2 6" xfId="6871"/>
    <cellStyle name="Normal 65 3" xfId="6872"/>
    <cellStyle name="Normal 65 3 2" xfId="6873"/>
    <cellStyle name="Normal 65 3 2 2" xfId="6874"/>
    <cellStyle name="Normal 65 3 2 2 2" xfId="6875"/>
    <cellStyle name="Normal 65 3 2 3" xfId="6876"/>
    <cellStyle name="Normal 65 3 2 3 2" xfId="6877"/>
    <cellStyle name="Normal 65 3 2 4" xfId="6878"/>
    <cellStyle name="Normal 65 3 3" xfId="6879"/>
    <cellStyle name="Normal 65 3 3 2" xfId="6880"/>
    <cellStyle name="Normal 65 3 4" xfId="6881"/>
    <cellStyle name="Normal 65 3 4 2" xfId="6882"/>
    <cellStyle name="Normal 65 3 5" xfId="6883"/>
    <cellStyle name="Normal 65 4" xfId="6884"/>
    <cellStyle name="Normal 65 4 2" xfId="6885"/>
    <cellStyle name="Normal 65 4 2 2" xfId="6886"/>
    <cellStyle name="Normal 65 4 3" xfId="6887"/>
    <cellStyle name="Normal 65 4 3 2" xfId="6888"/>
    <cellStyle name="Normal 65 4 4" xfId="6889"/>
    <cellStyle name="Normal 65 5" xfId="6890"/>
    <cellStyle name="Normal 65 5 2" xfId="6891"/>
    <cellStyle name="Normal 65 6" xfId="6892"/>
    <cellStyle name="Normal 65 6 2" xfId="6893"/>
    <cellStyle name="Normal 65 7" xfId="6894"/>
    <cellStyle name="Normal 66" xfId="6895"/>
    <cellStyle name="Normal 66 2" xfId="6896"/>
    <cellStyle name="Normal 66 3" xfId="6897"/>
    <cellStyle name="Normal 67" xfId="6898"/>
    <cellStyle name="Normal 67 2" xfId="6899"/>
    <cellStyle name="Normal 67 3" xfId="6900"/>
    <cellStyle name="Normal 68" xfId="6901"/>
    <cellStyle name="Normal 68 2" xfId="6902"/>
    <cellStyle name="Normal 68 3" xfId="6903"/>
    <cellStyle name="Normal 69" xfId="6904"/>
    <cellStyle name="Normal 69 2" xfId="6905"/>
    <cellStyle name="Normal 69 3" xfId="6906"/>
    <cellStyle name="Normal 7" xfId="6907"/>
    <cellStyle name="Normal 7 10" xfId="6908"/>
    <cellStyle name="Normal 7 10 2" xfId="6909"/>
    <cellStyle name="Normal 7 11" xfId="6910"/>
    <cellStyle name="Normal 7 2" xfId="6911"/>
    <cellStyle name="Normal 7 2 10" xfId="6912"/>
    <cellStyle name="Normal 7 2 2" xfId="6913"/>
    <cellStyle name="Normal 7 2 2 2" xfId="6914"/>
    <cellStyle name="Normal 7 2 2 2 2" xfId="6915"/>
    <cellStyle name="Normal 7 2 2 2 2 2" xfId="6916"/>
    <cellStyle name="Normal 7 2 2 2 2 2 2" xfId="6917"/>
    <cellStyle name="Normal 7 2 2 2 2 2 2 2" xfId="6918"/>
    <cellStyle name="Normal 7 2 2 2 2 2 2 2 2" xfId="6919"/>
    <cellStyle name="Normal 7 2 2 2 2 2 2 3" xfId="6920"/>
    <cellStyle name="Normal 7 2 2 2 2 2 2 3 2" xfId="6921"/>
    <cellStyle name="Normal 7 2 2 2 2 2 2 4" xfId="6922"/>
    <cellStyle name="Normal 7 2 2 2 2 2 3" xfId="6923"/>
    <cellStyle name="Normal 7 2 2 2 2 2 3 2" xfId="6924"/>
    <cellStyle name="Normal 7 2 2 2 2 2 4" xfId="6925"/>
    <cellStyle name="Normal 7 2 2 2 2 2 4 2" xfId="6926"/>
    <cellStyle name="Normal 7 2 2 2 2 2 5" xfId="6927"/>
    <cellStyle name="Normal 7 2 2 2 2 3" xfId="6928"/>
    <cellStyle name="Normal 7 2 2 2 2 3 2" xfId="6929"/>
    <cellStyle name="Normal 7 2 2 2 2 3 2 2" xfId="6930"/>
    <cellStyle name="Normal 7 2 2 2 2 3 3" xfId="6931"/>
    <cellStyle name="Normal 7 2 2 2 2 3 3 2" xfId="6932"/>
    <cellStyle name="Normal 7 2 2 2 2 3 4" xfId="6933"/>
    <cellStyle name="Normal 7 2 2 2 2 4" xfId="6934"/>
    <cellStyle name="Normal 7 2 2 2 2 4 2" xfId="6935"/>
    <cellStyle name="Normal 7 2 2 2 2 5" xfId="6936"/>
    <cellStyle name="Normal 7 2 2 2 2 5 2" xfId="6937"/>
    <cellStyle name="Normal 7 2 2 2 2 6" xfId="6938"/>
    <cellStyle name="Normal 7 2 2 2 3" xfId="6939"/>
    <cellStyle name="Normal 7 2 2 2 3 2" xfId="6940"/>
    <cellStyle name="Normal 7 2 2 2 3 2 2" xfId="6941"/>
    <cellStyle name="Normal 7 2 2 2 3 2 2 2" xfId="6942"/>
    <cellStyle name="Normal 7 2 2 2 3 2 3" xfId="6943"/>
    <cellStyle name="Normal 7 2 2 2 3 2 3 2" xfId="6944"/>
    <cellStyle name="Normal 7 2 2 2 3 2 4" xfId="6945"/>
    <cellStyle name="Normal 7 2 2 2 3 3" xfId="6946"/>
    <cellStyle name="Normal 7 2 2 2 3 3 2" xfId="6947"/>
    <cellStyle name="Normal 7 2 2 2 3 4" xfId="6948"/>
    <cellStyle name="Normal 7 2 2 2 3 4 2" xfId="6949"/>
    <cellStyle name="Normal 7 2 2 2 3 5" xfId="6950"/>
    <cellStyle name="Normal 7 2 2 2 4" xfId="6951"/>
    <cellStyle name="Normal 7 2 2 2 4 2" xfId="6952"/>
    <cellStyle name="Normal 7 2 2 2 4 2 2" xfId="6953"/>
    <cellStyle name="Normal 7 2 2 2 4 3" xfId="6954"/>
    <cellStyle name="Normal 7 2 2 2 4 3 2" xfId="6955"/>
    <cellStyle name="Normal 7 2 2 2 4 4" xfId="6956"/>
    <cellStyle name="Normal 7 2 2 2 5" xfId="6957"/>
    <cellStyle name="Normal 7 2 2 2 5 2" xfId="6958"/>
    <cellStyle name="Normal 7 2 2 2 6" xfId="6959"/>
    <cellStyle name="Normal 7 2 2 2 6 2" xfId="6960"/>
    <cellStyle name="Normal 7 2 2 2 7" xfId="6961"/>
    <cellStyle name="Normal 7 2 2 3" xfId="6962"/>
    <cellStyle name="Normal 7 2 2 3 2" xfId="6963"/>
    <cellStyle name="Normal 7 2 2 3 2 2" xfId="6964"/>
    <cellStyle name="Normal 7 2 2 3 2 2 2" xfId="6965"/>
    <cellStyle name="Normal 7 2 2 3 2 2 2 2" xfId="6966"/>
    <cellStyle name="Normal 7 2 2 3 2 2 3" xfId="6967"/>
    <cellStyle name="Normal 7 2 2 3 2 2 3 2" xfId="6968"/>
    <cellStyle name="Normal 7 2 2 3 2 2 4" xfId="6969"/>
    <cellStyle name="Normal 7 2 2 3 2 3" xfId="6970"/>
    <cellStyle name="Normal 7 2 2 3 2 3 2" xfId="6971"/>
    <cellStyle name="Normal 7 2 2 3 2 4" xfId="6972"/>
    <cellStyle name="Normal 7 2 2 3 2 4 2" xfId="6973"/>
    <cellStyle name="Normal 7 2 2 3 2 5" xfId="6974"/>
    <cellStyle name="Normal 7 2 2 3 3" xfId="6975"/>
    <cellStyle name="Normal 7 2 2 3 3 2" xfId="6976"/>
    <cellStyle name="Normal 7 2 2 3 3 2 2" xfId="6977"/>
    <cellStyle name="Normal 7 2 2 3 3 3" xfId="6978"/>
    <cellStyle name="Normal 7 2 2 3 3 3 2" xfId="6979"/>
    <cellStyle name="Normal 7 2 2 3 3 4" xfId="6980"/>
    <cellStyle name="Normal 7 2 2 3 4" xfId="6981"/>
    <cellStyle name="Normal 7 2 2 3 4 2" xfId="6982"/>
    <cellStyle name="Normal 7 2 2 3 5" xfId="6983"/>
    <cellStyle name="Normal 7 2 2 3 5 2" xfId="6984"/>
    <cellStyle name="Normal 7 2 2 3 6" xfId="6985"/>
    <cellStyle name="Normal 7 2 2 4" xfId="6986"/>
    <cellStyle name="Normal 7 2 2 4 2" xfId="6987"/>
    <cellStyle name="Normal 7 2 2 4 2 2" xfId="6988"/>
    <cellStyle name="Normal 7 2 2 4 2 2 2" xfId="6989"/>
    <cellStyle name="Normal 7 2 2 4 2 3" xfId="6990"/>
    <cellStyle name="Normal 7 2 2 4 2 3 2" xfId="6991"/>
    <cellStyle name="Normal 7 2 2 4 2 4" xfId="6992"/>
    <cellStyle name="Normal 7 2 2 4 3" xfId="6993"/>
    <cellStyle name="Normal 7 2 2 4 3 2" xfId="6994"/>
    <cellStyle name="Normal 7 2 2 4 4" xfId="6995"/>
    <cellStyle name="Normal 7 2 2 4 4 2" xfId="6996"/>
    <cellStyle name="Normal 7 2 2 4 5" xfId="6997"/>
    <cellStyle name="Normal 7 2 2 5" xfId="6998"/>
    <cellStyle name="Normal 7 2 2 5 2" xfId="6999"/>
    <cellStyle name="Normal 7 2 2 5 2 2" xfId="7000"/>
    <cellStyle name="Normal 7 2 2 5 3" xfId="7001"/>
    <cellStyle name="Normal 7 2 2 5 3 2" xfId="7002"/>
    <cellStyle name="Normal 7 2 2 5 4" xfId="7003"/>
    <cellStyle name="Normal 7 2 2 6" xfId="7004"/>
    <cellStyle name="Normal 7 2 2 6 2" xfId="7005"/>
    <cellStyle name="Normal 7 2 2 7" xfId="7006"/>
    <cellStyle name="Normal 7 2 2 7 2" xfId="7007"/>
    <cellStyle name="Normal 7 2 2 8" xfId="7008"/>
    <cellStyle name="Normal 7 2 3" xfId="7009"/>
    <cellStyle name="Normal 7 2 3 2" xfId="7010"/>
    <cellStyle name="Normal 7 2 3 2 2" xfId="7011"/>
    <cellStyle name="Normal 7 2 3 2 2 2" xfId="7012"/>
    <cellStyle name="Normal 7 2 3 2 2 2 2" xfId="7013"/>
    <cellStyle name="Normal 7 2 3 2 2 2 2 2" xfId="7014"/>
    <cellStyle name="Normal 7 2 3 2 2 2 3" xfId="7015"/>
    <cellStyle name="Normal 7 2 3 2 2 2 3 2" xfId="7016"/>
    <cellStyle name="Normal 7 2 3 2 2 2 4" xfId="7017"/>
    <cellStyle name="Normal 7 2 3 2 2 3" xfId="7018"/>
    <cellStyle name="Normal 7 2 3 2 2 3 2" xfId="7019"/>
    <cellStyle name="Normal 7 2 3 2 2 4" xfId="7020"/>
    <cellStyle name="Normal 7 2 3 2 2 4 2" xfId="7021"/>
    <cellStyle name="Normal 7 2 3 2 2 5" xfId="7022"/>
    <cellStyle name="Normal 7 2 3 2 3" xfId="7023"/>
    <cellStyle name="Normal 7 2 3 2 3 2" xfId="7024"/>
    <cellStyle name="Normal 7 2 3 2 3 2 2" xfId="7025"/>
    <cellStyle name="Normal 7 2 3 2 3 3" xfId="7026"/>
    <cellStyle name="Normal 7 2 3 2 3 3 2" xfId="7027"/>
    <cellStyle name="Normal 7 2 3 2 3 4" xfId="7028"/>
    <cellStyle name="Normal 7 2 3 2 4" xfId="7029"/>
    <cellStyle name="Normal 7 2 3 2 4 2" xfId="7030"/>
    <cellStyle name="Normal 7 2 3 2 5" xfId="7031"/>
    <cellStyle name="Normal 7 2 3 2 5 2" xfId="7032"/>
    <cellStyle name="Normal 7 2 3 2 6" xfId="7033"/>
    <cellStyle name="Normal 7 2 3 3" xfId="7034"/>
    <cellStyle name="Normal 7 2 3 3 2" xfId="7035"/>
    <cellStyle name="Normal 7 2 3 3 2 2" xfId="7036"/>
    <cellStyle name="Normal 7 2 3 3 2 2 2" xfId="7037"/>
    <cellStyle name="Normal 7 2 3 3 2 3" xfId="7038"/>
    <cellStyle name="Normal 7 2 3 3 2 3 2" xfId="7039"/>
    <cellStyle name="Normal 7 2 3 3 2 4" xfId="7040"/>
    <cellStyle name="Normal 7 2 3 3 3" xfId="7041"/>
    <cellStyle name="Normal 7 2 3 3 3 2" xfId="7042"/>
    <cellStyle name="Normal 7 2 3 3 4" xfId="7043"/>
    <cellStyle name="Normal 7 2 3 3 4 2" xfId="7044"/>
    <cellStyle name="Normal 7 2 3 3 5" xfId="7045"/>
    <cellStyle name="Normal 7 2 3 4" xfId="7046"/>
    <cellStyle name="Normal 7 2 3 4 2" xfId="7047"/>
    <cellStyle name="Normal 7 2 3 4 2 2" xfId="7048"/>
    <cellStyle name="Normal 7 2 3 4 3" xfId="7049"/>
    <cellStyle name="Normal 7 2 3 4 3 2" xfId="7050"/>
    <cellStyle name="Normal 7 2 3 4 4" xfId="7051"/>
    <cellStyle name="Normal 7 2 3 5" xfId="7052"/>
    <cellStyle name="Normal 7 2 3 5 2" xfId="7053"/>
    <cellStyle name="Normal 7 2 3 6" xfId="7054"/>
    <cellStyle name="Normal 7 2 3 6 2" xfId="7055"/>
    <cellStyle name="Normal 7 2 3 7" xfId="7056"/>
    <cellStyle name="Normal 7 2 4" xfId="7057"/>
    <cellStyle name="Normal 7 2 4 2" xfId="7058"/>
    <cellStyle name="Normal 7 2 4 2 2" xfId="7059"/>
    <cellStyle name="Normal 7 2 4 2 2 2" xfId="7060"/>
    <cellStyle name="Normal 7 2 4 2 2 2 2" xfId="7061"/>
    <cellStyle name="Normal 7 2 4 2 2 2 2 2" xfId="7062"/>
    <cellStyle name="Normal 7 2 4 2 2 2 3" xfId="7063"/>
    <cellStyle name="Normal 7 2 4 2 2 2 3 2" xfId="7064"/>
    <cellStyle name="Normal 7 2 4 2 2 2 4" xfId="7065"/>
    <cellStyle name="Normal 7 2 4 2 2 3" xfId="7066"/>
    <cellStyle name="Normal 7 2 4 2 2 3 2" xfId="7067"/>
    <cellStyle name="Normal 7 2 4 2 2 4" xfId="7068"/>
    <cellStyle name="Normal 7 2 4 2 2 4 2" xfId="7069"/>
    <cellStyle name="Normal 7 2 4 2 2 5" xfId="7070"/>
    <cellStyle name="Normal 7 2 4 2 3" xfId="7071"/>
    <cellStyle name="Normal 7 2 4 2 3 2" xfId="7072"/>
    <cellStyle name="Normal 7 2 4 2 3 2 2" xfId="7073"/>
    <cellStyle name="Normal 7 2 4 2 3 3" xfId="7074"/>
    <cellStyle name="Normal 7 2 4 2 3 3 2" xfId="7075"/>
    <cellStyle name="Normal 7 2 4 2 3 4" xfId="7076"/>
    <cellStyle name="Normal 7 2 4 2 4" xfId="7077"/>
    <cellStyle name="Normal 7 2 4 2 4 2" xfId="7078"/>
    <cellStyle name="Normal 7 2 4 2 5" xfId="7079"/>
    <cellStyle name="Normal 7 2 4 2 5 2" xfId="7080"/>
    <cellStyle name="Normal 7 2 4 2 6" xfId="7081"/>
    <cellStyle name="Normal 7 2 4 3" xfId="7082"/>
    <cellStyle name="Normal 7 2 4 3 2" xfId="7083"/>
    <cellStyle name="Normal 7 2 4 3 2 2" xfId="7084"/>
    <cellStyle name="Normal 7 2 4 3 2 2 2" xfId="7085"/>
    <cellStyle name="Normal 7 2 4 3 2 3" xfId="7086"/>
    <cellStyle name="Normal 7 2 4 3 2 3 2" xfId="7087"/>
    <cellStyle name="Normal 7 2 4 3 2 4" xfId="7088"/>
    <cellStyle name="Normal 7 2 4 3 3" xfId="7089"/>
    <cellStyle name="Normal 7 2 4 3 3 2" xfId="7090"/>
    <cellStyle name="Normal 7 2 4 3 4" xfId="7091"/>
    <cellStyle name="Normal 7 2 4 3 4 2" xfId="7092"/>
    <cellStyle name="Normal 7 2 4 3 5" xfId="7093"/>
    <cellStyle name="Normal 7 2 4 4" xfId="7094"/>
    <cellStyle name="Normal 7 2 4 4 2" xfId="7095"/>
    <cellStyle name="Normal 7 2 4 4 2 2" xfId="7096"/>
    <cellStyle name="Normal 7 2 4 4 3" xfId="7097"/>
    <cellStyle name="Normal 7 2 4 4 3 2" xfId="7098"/>
    <cellStyle name="Normal 7 2 4 4 4" xfId="7099"/>
    <cellStyle name="Normal 7 2 4 5" xfId="7100"/>
    <cellStyle name="Normal 7 2 4 5 2" xfId="7101"/>
    <cellStyle name="Normal 7 2 4 6" xfId="7102"/>
    <cellStyle name="Normal 7 2 4 6 2" xfId="7103"/>
    <cellStyle name="Normal 7 2 4 7" xfId="7104"/>
    <cellStyle name="Normal 7 2 5" xfId="7105"/>
    <cellStyle name="Normal 7 2 5 2" xfId="7106"/>
    <cellStyle name="Normal 7 2 5 2 2" xfId="7107"/>
    <cellStyle name="Normal 7 2 5 2 2 2" xfId="7108"/>
    <cellStyle name="Normal 7 2 5 2 2 2 2" xfId="7109"/>
    <cellStyle name="Normal 7 2 5 2 2 3" xfId="7110"/>
    <cellStyle name="Normal 7 2 5 2 2 3 2" xfId="7111"/>
    <cellStyle name="Normal 7 2 5 2 2 4" xfId="7112"/>
    <cellStyle name="Normal 7 2 5 2 3" xfId="7113"/>
    <cellStyle name="Normal 7 2 5 2 3 2" xfId="7114"/>
    <cellStyle name="Normal 7 2 5 2 4" xfId="7115"/>
    <cellStyle name="Normal 7 2 5 2 4 2" xfId="7116"/>
    <cellStyle name="Normal 7 2 5 2 5" xfId="7117"/>
    <cellStyle name="Normal 7 2 5 3" xfId="7118"/>
    <cellStyle name="Normal 7 2 5 3 2" xfId="7119"/>
    <cellStyle name="Normal 7 2 5 3 2 2" xfId="7120"/>
    <cellStyle name="Normal 7 2 5 3 3" xfId="7121"/>
    <cellStyle name="Normal 7 2 5 3 3 2" xfId="7122"/>
    <cellStyle name="Normal 7 2 5 3 4" xfId="7123"/>
    <cellStyle name="Normal 7 2 5 4" xfId="7124"/>
    <cellStyle name="Normal 7 2 5 4 2" xfId="7125"/>
    <cellStyle name="Normal 7 2 5 5" xfId="7126"/>
    <cellStyle name="Normal 7 2 5 5 2" xfId="7127"/>
    <cellStyle name="Normal 7 2 5 6" xfId="7128"/>
    <cellStyle name="Normal 7 2 6" xfId="7129"/>
    <cellStyle name="Normal 7 2 6 2" xfId="7130"/>
    <cellStyle name="Normal 7 2 6 2 2" xfId="7131"/>
    <cellStyle name="Normal 7 2 6 2 2 2" xfId="7132"/>
    <cellStyle name="Normal 7 2 6 2 3" xfId="7133"/>
    <cellStyle name="Normal 7 2 6 2 3 2" xfId="7134"/>
    <cellStyle name="Normal 7 2 6 2 4" xfId="7135"/>
    <cellStyle name="Normal 7 2 6 3" xfId="7136"/>
    <cellStyle name="Normal 7 2 6 3 2" xfId="7137"/>
    <cellStyle name="Normal 7 2 6 4" xfId="7138"/>
    <cellStyle name="Normal 7 2 6 4 2" xfId="7139"/>
    <cellStyle name="Normal 7 2 6 5" xfId="7140"/>
    <cellStyle name="Normal 7 2 7" xfId="7141"/>
    <cellStyle name="Normal 7 2 7 2" xfId="7142"/>
    <cellStyle name="Normal 7 2 7 2 2" xfId="7143"/>
    <cellStyle name="Normal 7 2 7 3" xfId="7144"/>
    <cellStyle name="Normal 7 2 7 3 2" xfId="7145"/>
    <cellStyle name="Normal 7 2 7 4" xfId="7146"/>
    <cellStyle name="Normal 7 2 8" xfId="7147"/>
    <cellStyle name="Normal 7 2 8 2" xfId="7148"/>
    <cellStyle name="Normal 7 2 9" xfId="7149"/>
    <cellStyle name="Normal 7 2 9 2" xfId="7150"/>
    <cellStyle name="Normal 7 3" xfId="7151"/>
    <cellStyle name="Normal 7 3 2" xfId="7152"/>
    <cellStyle name="Normal 7 3 2 2" xfId="7153"/>
    <cellStyle name="Normal 7 3 2 2 2" xfId="7154"/>
    <cellStyle name="Normal 7 3 2 2 2 2" xfId="7155"/>
    <cellStyle name="Normal 7 3 2 2 2 2 2" xfId="7156"/>
    <cellStyle name="Normal 7 3 2 2 2 2 2 2" xfId="7157"/>
    <cellStyle name="Normal 7 3 2 2 2 2 3" xfId="7158"/>
    <cellStyle name="Normal 7 3 2 2 2 2 3 2" xfId="7159"/>
    <cellStyle name="Normal 7 3 2 2 2 2 4" xfId="7160"/>
    <cellStyle name="Normal 7 3 2 2 2 3" xfId="7161"/>
    <cellStyle name="Normal 7 3 2 2 2 3 2" xfId="7162"/>
    <cellStyle name="Normal 7 3 2 2 2 4" xfId="7163"/>
    <cellStyle name="Normal 7 3 2 2 2 4 2" xfId="7164"/>
    <cellStyle name="Normal 7 3 2 2 2 5" xfId="7165"/>
    <cellStyle name="Normal 7 3 2 2 3" xfId="7166"/>
    <cellStyle name="Normal 7 3 2 2 3 2" xfId="7167"/>
    <cellStyle name="Normal 7 3 2 2 3 2 2" xfId="7168"/>
    <cellStyle name="Normal 7 3 2 2 3 3" xfId="7169"/>
    <cellStyle name="Normal 7 3 2 2 3 3 2" xfId="7170"/>
    <cellStyle name="Normal 7 3 2 2 3 4" xfId="7171"/>
    <cellStyle name="Normal 7 3 2 2 4" xfId="7172"/>
    <cellStyle name="Normal 7 3 2 2 4 2" xfId="7173"/>
    <cellStyle name="Normal 7 3 2 2 5" xfId="7174"/>
    <cellStyle name="Normal 7 3 2 2 5 2" xfId="7175"/>
    <cellStyle name="Normal 7 3 2 2 6" xfId="7176"/>
    <cellStyle name="Normal 7 3 2 3" xfId="7177"/>
    <cellStyle name="Normal 7 3 2 3 2" xfId="7178"/>
    <cellStyle name="Normal 7 3 2 3 2 2" xfId="7179"/>
    <cellStyle name="Normal 7 3 2 3 2 2 2" xfId="7180"/>
    <cellStyle name="Normal 7 3 2 3 2 3" xfId="7181"/>
    <cellStyle name="Normal 7 3 2 3 2 3 2" xfId="7182"/>
    <cellStyle name="Normal 7 3 2 3 2 4" xfId="7183"/>
    <cellStyle name="Normal 7 3 2 3 3" xfId="7184"/>
    <cellStyle name="Normal 7 3 2 3 3 2" xfId="7185"/>
    <cellStyle name="Normal 7 3 2 3 4" xfId="7186"/>
    <cellStyle name="Normal 7 3 2 3 4 2" xfId="7187"/>
    <cellStyle name="Normal 7 3 2 3 5" xfId="7188"/>
    <cellStyle name="Normal 7 3 2 4" xfId="7189"/>
    <cellStyle name="Normal 7 3 2 4 2" xfId="7190"/>
    <cellStyle name="Normal 7 3 2 4 2 2" xfId="7191"/>
    <cellStyle name="Normal 7 3 2 4 3" xfId="7192"/>
    <cellStyle name="Normal 7 3 2 4 3 2" xfId="7193"/>
    <cellStyle name="Normal 7 3 2 4 4" xfId="7194"/>
    <cellStyle name="Normal 7 3 2 5" xfId="7195"/>
    <cellStyle name="Normal 7 3 2 5 2" xfId="7196"/>
    <cellStyle name="Normal 7 3 2 6" xfId="7197"/>
    <cellStyle name="Normal 7 3 2 6 2" xfId="7198"/>
    <cellStyle name="Normal 7 3 2 7" xfId="7199"/>
    <cellStyle name="Normal 7 3 3" xfId="7200"/>
    <cellStyle name="Normal 7 3 3 2" xfId="7201"/>
    <cellStyle name="Normal 7 3 3 2 2" xfId="7202"/>
    <cellStyle name="Normal 7 3 3 2 2 2" xfId="7203"/>
    <cellStyle name="Normal 7 3 3 2 2 2 2" xfId="7204"/>
    <cellStyle name="Normal 7 3 3 2 2 3" xfId="7205"/>
    <cellStyle name="Normal 7 3 3 2 2 3 2" xfId="7206"/>
    <cellStyle name="Normal 7 3 3 2 2 4" xfId="7207"/>
    <cellStyle name="Normal 7 3 3 2 3" xfId="7208"/>
    <cellStyle name="Normal 7 3 3 2 3 2" xfId="7209"/>
    <cellStyle name="Normal 7 3 3 2 4" xfId="7210"/>
    <cellStyle name="Normal 7 3 3 2 4 2" xfId="7211"/>
    <cellStyle name="Normal 7 3 3 2 5" xfId="7212"/>
    <cellStyle name="Normal 7 3 3 3" xfId="7213"/>
    <cellStyle name="Normal 7 3 3 3 2" xfId="7214"/>
    <cellStyle name="Normal 7 3 3 3 2 2" xfId="7215"/>
    <cellStyle name="Normal 7 3 3 3 3" xfId="7216"/>
    <cellStyle name="Normal 7 3 3 3 3 2" xfId="7217"/>
    <cellStyle name="Normal 7 3 3 3 4" xfId="7218"/>
    <cellStyle name="Normal 7 3 3 4" xfId="7219"/>
    <cellStyle name="Normal 7 3 3 4 2" xfId="7220"/>
    <cellStyle name="Normal 7 3 3 5" xfId="7221"/>
    <cellStyle name="Normal 7 3 3 5 2" xfId="7222"/>
    <cellStyle name="Normal 7 3 3 6" xfId="7223"/>
    <cellStyle name="Normal 7 3 4" xfId="7224"/>
    <cellStyle name="Normal 7 3 4 2" xfId="7225"/>
    <cellStyle name="Normal 7 3 4 2 2" xfId="7226"/>
    <cellStyle name="Normal 7 3 4 2 2 2" xfId="7227"/>
    <cellStyle name="Normal 7 3 4 2 3" xfId="7228"/>
    <cellStyle name="Normal 7 3 4 2 3 2" xfId="7229"/>
    <cellStyle name="Normal 7 3 4 2 4" xfId="7230"/>
    <cellStyle name="Normal 7 3 4 3" xfId="7231"/>
    <cellStyle name="Normal 7 3 4 3 2" xfId="7232"/>
    <cellStyle name="Normal 7 3 4 4" xfId="7233"/>
    <cellStyle name="Normal 7 3 4 4 2" xfId="7234"/>
    <cellStyle name="Normal 7 3 4 5" xfId="7235"/>
    <cellStyle name="Normal 7 3 5" xfId="7236"/>
    <cellStyle name="Normal 7 3 5 2" xfId="7237"/>
    <cellStyle name="Normal 7 3 5 2 2" xfId="7238"/>
    <cellStyle name="Normal 7 3 5 3" xfId="7239"/>
    <cellStyle name="Normal 7 3 5 3 2" xfId="7240"/>
    <cellStyle name="Normal 7 3 5 4" xfId="7241"/>
    <cellStyle name="Normal 7 3 6" xfId="7242"/>
    <cellStyle name="Normal 7 3 6 2" xfId="7243"/>
    <cellStyle name="Normal 7 3 7" xfId="7244"/>
    <cellStyle name="Normal 7 3 7 2" xfId="7245"/>
    <cellStyle name="Normal 7 3 8" xfId="7246"/>
    <cellStyle name="Normal 7 3 9" xfId="7247"/>
    <cellStyle name="Normal 7 4" xfId="7248"/>
    <cellStyle name="Normal 7 4 2" xfId="7249"/>
    <cellStyle name="Normal 7 4 2 2" xfId="7250"/>
    <cellStyle name="Normal 7 4 2 2 2" xfId="7251"/>
    <cellStyle name="Normal 7 4 2 2 2 2" xfId="7252"/>
    <cellStyle name="Normal 7 4 2 2 2 2 2" xfId="7253"/>
    <cellStyle name="Normal 7 4 2 2 2 3" xfId="7254"/>
    <cellStyle name="Normal 7 4 2 2 2 3 2" xfId="7255"/>
    <cellStyle name="Normal 7 4 2 2 2 4" xfId="7256"/>
    <cellStyle name="Normal 7 4 2 2 3" xfId="7257"/>
    <cellStyle name="Normal 7 4 2 2 3 2" xfId="7258"/>
    <cellStyle name="Normal 7 4 2 2 4" xfId="7259"/>
    <cellStyle name="Normal 7 4 2 2 4 2" xfId="7260"/>
    <cellStyle name="Normal 7 4 2 2 5" xfId="7261"/>
    <cellStyle name="Normal 7 4 2 3" xfId="7262"/>
    <cellStyle name="Normal 7 4 2 3 2" xfId="7263"/>
    <cellStyle name="Normal 7 4 2 3 2 2" xfId="7264"/>
    <cellStyle name="Normal 7 4 2 3 3" xfId="7265"/>
    <cellStyle name="Normal 7 4 2 3 3 2" xfId="7266"/>
    <cellStyle name="Normal 7 4 2 3 4" xfId="7267"/>
    <cellStyle name="Normal 7 4 2 4" xfId="7268"/>
    <cellStyle name="Normal 7 4 2 4 2" xfId="7269"/>
    <cellStyle name="Normal 7 4 2 5" xfId="7270"/>
    <cellStyle name="Normal 7 4 2 5 2" xfId="7271"/>
    <cellStyle name="Normal 7 4 2 6" xfId="7272"/>
    <cellStyle name="Normal 7 4 3" xfId="7273"/>
    <cellStyle name="Normal 7 4 3 2" xfId="7274"/>
    <cellStyle name="Normal 7 4 3 2 2" xfId="7275"/>
    <cellStyle name="Normal 7 4 3 2 2 2" xfId="7276"/>
    <cellStyle name="Normal 7 4 3 2 3" xfId="7277"/>
    <cellStyle name="Normal 7 4 3 2 3 2" xfId="7278"/>
    <cellStyle name="Normal 7 4 3 2 4" xfId="7279"/>
    <cellStyle name="Normal 7 4 3 3" xfId="7280"/>
    <cellStyle name="Normal 7 4 3 3 2" xfId="7281"/>
    <cellStyle name="Normal 7 4 3 4" xfId="7282"/>
    <cellStyle name="Normal 7 4 3 4 2" xfId="7283"/>
    <cellStyle name="Normal 7 4 3 5" xfId="7284"/>
    <cellStyle name="Normal 7 4 4" xfId="7285"/>
    <cellStyle name="Normal 7 4 4 2" xfId="7286"/>
    <cellStyle name="Normal 7 4 4 2 2" xfId="7287"/>
    <cellStyle name="Normal 7 4 4 3" xfId="7288"/>
    <cellStyle name="Normal 7 4 4 3 2" xfId="7289"/>
    <cellStyle name="Normal 7 4 4 4" xfId="7290"/>
    <cellStyle name="Normal 7 4 5" xfId="7291"/>
    <cellStyle name="Normal 7 4 5 2" xfId="7292"/>
    <cellStyle name="Normal 7 4 6" xfId="7293"/>
    <cellStyle name="Normal 7 4 6 2" xfId="7294"/>
    <cellStyle name="Normal 7 4 7" xfId="7295"/>
    <cellStyle name="Normal 7 5" xfId="7296"/>
    <cellStyle name="Normal 7 5 2" xfId="7297"/>
    <cellStyle name="Normal 7 5 2 2" xfId="7298"/>
    <cellStyle name="Normal 7 5 2 2 2" xfId="7299"/>
    <cellStyle name="Normal 7 5 2 2 2 2" xfId="7300"/>
    <cellStyle name="Normal 7 5 2 2 2 2 2" xfId="7301"/>
    <cellStyle name="Normal 7 5 2 2 2 3" xfId="7302"/>
    <cellStyle name="Normal 7 5 2 2 2 3 2" xfId="7303"/>
    <cellStyle name="Normal 7 5 2 2 2 4" xfId="7304"/>
    <cellStyle name="Normal 7 5 2 2 3" xfId="7305"/>
    <cellStyle name="Normal 7 5 2 2 3 2" xfId="7306"/>
    <cellStyle name="Normal 7 5 2 2 4" xfId="7307"/>
    <cellStyle name="Normal 7 5 2 2 4 2" xfId="7308"/>
    <cellStyle name="Normal 7 5 2 2 5" xfId="7309"/>
    <cellStyle name="Normal 7 5 2 3" xfId="7310"/>
    <cellStyle name="Normal 7 5 2 3 2" xfId="7311"/>
    <cellStyle name="Normal 7 5 2 3 2 2" xfId="7312"/>
    <cellStyle name="Normal 7 5 2 3 3" xfId="7313"/>
    <cellStyle name="Normal 7 5 2 3 3 2" xfId="7314"/>
    <cellStyle name="Normal 7 5 2 3 4" xfId="7315"/>
    <cellStyle name="Normal 7 5 2 4" xfId="7316"/>
    <cellStyle name="Normal 7 5 2 4 2" xfId="7317"/>
    <cellStyle name="Normal 7 5 2 5" xfId="7318"/>
    <cellStyle name="Normal 7 5 2 5 2" xfId="7319"/>
    <cellStyle name="Normal 7 5 2 6" xfId="7320"/>
    <cellStyle name="Normal 7 5 3" xfId="7321"/>
    <cellStyle name="Normal 7 5 3 2" xfId="7322"/>
    <cellStyle name="Normal 7 5 3 2 2" xfId="7323"/>
    <cellStyle name="Normal 7 5 3 2 2 2" xfId="7324"/>
    <cellStyle name="Normal 7 5 3 2 3" xfId="7325"/>
    <cellStyle name="Normal 7 5 3 2 3 2" xfId="7326"/>
    <cellStyle name="Normal 7 5 3 2 4" xfId="7327"/>
    <cellStyle name="Normal 7 5 3 3" xfId="7328"/>
    <cellStyle name="Normal 7 5 3 3 2" xfId="7329"/>
    <cellStyle name="Normal 7 5 3 4" xfId="7330"/>
    <cellStyle name="Normal 7 5 3 4 2" xfId="7331"/>
    <cellStyle name="Normal 7 5 3 5" xfId="7332"/>
    <cellStyle name="Normal 7 5 4" xfId="7333"/>
    <cellStyle name="Normal 7 5 4 2" xfId="7334"/>
    <cellStyle name="Normal 7 5 4 2 2" xfId="7335"/>
    <cellStyle name="Normal 7 5 4 3" xfId="7336"/>
    <cellStyle name="Normal 7 5 4 3 2" xfId="7337"/>
    <cellStyle name="Normal 7 5 4 4" xfId="7338"/>
    <cellStyle name="Normal 7 5 5" xfId="7339"/>
    <cellStyle name="Normal 7 5 5 2" xfId="7340"/>
    <cellStyle name="Normal 7 5 6" xfId="7341"/>
    <cellStyle name="Normal 7 5 6 2" xfId="7342"/>
    <cellStyle name="Normal 7 5 7" xfId="7343"/>
    <cellStyle name="Normal 7 6" xfId="7344"/>
    <cellStyle name="Normal 7 6 2" xfId="7345"/>
    <cellStyle name="Normal 7 6 2 2" xfId="7346"/>
    <cellStyle name="Normal 7 6 2 2 2" xfId="7347"/>
    <cellStyle name="Normal 7 6 2 2 2 2" xfId="7348"/>
    <cellStyle name="Normal 7 6 2 2 3" xfId="7349"/>
    <cellStyle name="Normal 7 6 2 2 3 2" xfId="7350"/>
    <cellStyle name="Normal 7 6 2 2 4" xfId="7351"/>
    <cellStyle name="Normal 7 6 2 3" xfId="7352"/>
    <cellStyle name="Normal 7 6 2 3 2" xfId="7353"/>
    <cellStyle name="Normal 7 6 2 4" xfId="7354"/>
    <cellStyle name="Normal 7 6 2 4 2" xfId="7355"/>
    <cellStyle name="Normal 7 6 2 5" xfId="7356"/>
    <cellStyle name="Normal 7 6 3" xfId="7357"/>
    <cellStyle name="Normal 7 6 3 2" xfId="7358"/>
    <cellStyle name="Normal 7 6 3 2 2" xfId="7359"/>
    <cellStyle name="Normal 7 6 3 3" xfId="7360"/>
    <cellStyle name="Normal 7 6 3 3 2" xfId="7361"/>
    <cellStyle name="Normal 7 6 3 4" xfId="7362"/>
    <cellStyle name="Normal 7 6 4" xfId="7363"/>
    <cellStyle name="Normal 7 6 4 2" xfId="7364"/>
    <cellStyle name="Normal 7 6 5" xfId="7365"/>
    <cellStyle name="Normal 7 6 5 2" xfId="7366"/>
    <cellStyle name="Normal 7 6 6" xfId="7367"/>
    <cellStyle name="Normal 7 7" xfId="7368"/>
    <cellStyle name="Normal 7 7 2" xfId="7369"/>
    <cellStyle name="Normal 7 7 2 2" xfId="7370"/>
    <cellStyle name="Normal 7 7 2 2 2" xfId="7371"/>
    <cellStyle name="Normal 7 7 2 3" xfId="7372"/>
    <cellStyle name="Normal 7 7 2 3 2" xfId="7373"/>
    <cellStyle name="Normal 7 7 2 4" xfId="7374"/>
    <cellStyle name="Normal 7 7 3" xfId="7375"/>
    <cellStyle name="Normal 7 7 3 2" xfId="7376"/>
    <cellStyle name="Normal 7 7 4" xfId="7377"/>
    <cellStyle name="Normal 7 7 4 2" xfId="7378"/>
    <cellStyle name="Normal 7 7 5" xfId="7379"/>
    <cellStyle name="Normal 7 8" xfId="7380"/>
    <cellStyle name="Normal 7 8 2" xfId="7381"/>
    <cellStyle name="Normal 7 8 2 2" xfId="7382"/>
    <cellStyle name="Normal 7 8 3" xfId="7383"/>
    <cellStyle name="Normal 7 8 3 2" xfId="7384"/>
    <cellStyle name="Normal 7 8 4" xfId="7385"/>
    <cellStyle name="Normal 7 9" xfId="7386"/>
    <cellStyle name="Normal 7 9 2" xfId="7387"/>
    <cellStyle name="Normal 7_2180" xfId="7388"/>
    <cellStyle name="Normal 70" xfId="7389"/>
    <cellStyle name="Normal 70 2" xfId="7390"/>
    <cellStyle name="Normal 70 3" xfId="7391"/>
    <cellStyle name="Normal 71" xfId="7392"/>
    <cellStyle name="Normal 72" xfId="7393"/>
    <cellStyle name="Normal 72 2" xfId="7394"/>
    <cellStyle name="Normal 72 2 2" xfId="7395"/>
    <cellStyle name="Normal 72 2 2 2" xfId="7396"/>
    <cellStyle name="Normal 72 2 2 2 2" xfId="7397"/>
    <cellStyle name="Normal 72 2 2 3" xfId="7398"/>
    <cellStyle name="Normal 72 2 2 3 2" xfId="7399"/>
    <cellStyle name="Normal 72 2 2 4" xfId="7400"/>
    <cellStyle name="Normal 72 2 3" xfId="7401"/>
    <cellStyle name="Normal 72 2 3 2" xfId="7402"/>
    <cellStyle name="Normal 72 2 4" xfId="7403"/>
    <cellStyle name="Normal 72 2 4 2" xfId="7404"/>
    <cellStyle name="Normal 72 2 5" xfId="7405"/>
    <cellStyle name="Normal 72 3" xfId="7406"/>
    <cellStyle name="Normal 72 3 2" xfId="7407"/>
    <cellStyle name="Normal 72 3 2 2" xfId="7408"/>
    <cellStyle name="Normal 72 3 3" xfId="7409"/>
    <cellStyle name="Normal 72 3 3 2" xfId="7410"/>
    <cellStyle name="Normal 72 3 4" xfId="7411"/>
    <cellStyle name="Normal 72 4" xfId="7412"/>
    <cellStyle name="Normal 72 4 2" xfId="7413"/>
    <cellStyle name="Normal 72 5" xfId="7414"/>
    <cellStyle name="Normal 72 5 2" xfId="7415"/>
    <cellStyle name="Normal 72 6" xfId="7416"/>
    <cellStyle name="Normal 73" xfId="7417"/>
    <cellStyle name="Normal 73 2" xfId="7418"/>
    <cellStyle name="Normal 74" xfId="7419"/>
    <cellStyle name="Normal 75" xfId="7420"/>
    <cellStyle name="Normal 76" xfId="7421"/>
    <cellStyle name="Normal 77" xfId="7422"/>
    <cellStyle name="Normal 78" xfId="7423"/>
    <cellStyle name="Normal 79" xfId="7424"/>
    <cellStyle name="Normal 8" xfId="7425"/>
    <cellStyle name="Normal 8 10" xfId="7426"/>
    <cellStyle name="Normal 8 2" xfId="7427"/>
    <cellStyle name="Normal 8 2 2" xfId="7428"/>
    <cellStyle name="Normal 8 2 2 2" xfId="7429"/>
    <cellStyle name="Normal 8 2 2 2 2" xfId="7430"/>
    <cellStyle name="Normal 8 2 2 2 2 2" xfId="7431"/>
    <cellStyle name="Normal 8 2 2 2 2 2 2" xfId="7432"/>
    <cellStyle name="Normal 8 2 2 2 2 2 2 2" xfId="7433"/>
    <cellStyle name="Normal 8 2 2 2 2 2 3" xfId="7434"/>
    <cellStyle name="Normal 8 2 2 2 2 2 3 2" xfId="7435"/>
    <cellStyle name="Normal 8 2 2 2 2 2 4" xfId="7436"/>
    <cellStyle name="Normal 8 2 2 2 2 3" xfId="7437"/>
    <cellStyle name="Normal 8 2 2 2 2 3 2" xfId="7438"/>
    <cellStyle name="Normal 8 2 2 2 2 4" xfId="7439"/>
    <cellStyle name="Normal 8 2 2 2 2 4 2" xfId="7440"/>
    <cellStyle name="Normal 8 2 2 2 2 5" xfId="7441"/>
    <cellStyle name="Normal 8 2 2 2 3" xfId="7442"/>
    <cellStyle name="Normal 8 2 2 2 3 2" xfId="7443"/>
    <cellStyle name="Normal 8 2 2 2 3 2 2" xfId="7444"/>
    <cellStyle name="Normal 8 2 2 2 3 3" xfId="7445"/>
    <cellStyle name="Normal 8 2 2 2 3 3 2" xfId="7446"/>
    <cellStyle name="Normal 8 2 2 2 3 4" xfId="7447"/>
    <cellStyle name="Normal 8 2 2 2 4" xfId="7448"/>
    <cellStyle name="Normal 8 2 2 2 4 2" xfId="7449"/>
    <cellStyle name="Normal 8 2 2 2 5" xfId="7450"/>
    <cellStyle name="Normal 8 2 2 2 5 2" xfId="7451"/>
    <cellStyle name="Normal 8 2 2 2 6" xfId="7452"/>
    <cellStyle name="Normal 8 2 2 3" xfId="7453"/>
    <cellStyle name="Normal 8 2 2 3 2" xfId="7454"/>
    <cellStyle name="Normal 8 2 2 3 2 2" xfId="7455"/>
    <cellStyle name="Normal 8 2 2 3 2 2 2" xfId="7456"/>
    <cellStyle name="Normal 8 2 2 3 2 3" xfId="7457"/>
    <cellStyle name="Normal 8 2 2 3 2 3 2" xfId="7458"/>
    <cellStyle name="Normal 8 2 2 3 2 4" xfId="7459"/>
    <cellStyle name="Normal 8 2 2 3 3" xfId="7460"/>
    <cellStyle name="Normal 8 2 2 3 3 2" xfId="7461"/>
    <cellStyle name="Normal 8 2 2 3 4" xfId="7462"/>
    <cellStyle name="Normal 8 2 2 3 4 2" xfId="7463"/>
    <cellStyle name="Normal 8 2 2 3 5" xfId="7464"/>
    <cellStyle name="Normal 8 2 2 4" xfId="7465"/>
    <cellStyle name="Normal 8 2 2 4 2" xfId="7466"/>
    <cellStyle name="Normal 8 2 2 4 2 2" xfId="7467"/>
    <cellStyle name="Normal 8 2 2 4 3" xfId="7468"/>
    <cellStyle name="Normal 8 2 2 4 3 2" xfId="7469"/>
    <cellStyle name="Normal 8 2 2 4 4" xfId="7470"/>
    <cellStyle name="Normal 8 2 2 5" xfId="7471"/>
    <cellStyle name="Normal 8 2 2 5 2" xfId="7472"/>
    <cellStyle name="Normal 8 2 2 6" xfId="7473"/>
    <cellStyle name="Normal 8 2 2 6 2" xfId="7474"/>
    <cellStyle name="Normal 8 2 2 7" xfId="7475"/>
    <cellStyle name="Normal 8 2 3" xfId="7476"/>
    <cellStyle name="Normal 8 2 3 2" xfId="7477"/>
    <cellStyle name="Normal 8 2 3 2 2" xfId="7478"/>
    <cellStyle name="Normal 8 2 3 2 2 2" xfId="7479"/>
    <cellStyle name="Normal 8 2 3 2 2 2 2" xfId="7480"/>
    <cellStyle name="Normal 8 2 3 2 2 3" xfId="7481"/>
    <cellStyle name="Normal 8 2 3 2 2 3 2" xfId="7482"/>
    <cellStyle name="Normal 8 2 3 2 2 4" xfId="7483"/>
    <cellStyle name="Normal 8 2 3 2 3" xfId="7484"/>
    <cellStyle name="Normal 8 2 3 2 3 2" xfId="7485"/>
    <cellStyle name="Normal 8 2 3 2 4" xfId="7486"/>
    <cellStyle name="Normal 8 2 3 2 4 2" xfId="7487"/>
    <cellStyle name="Normal 8 2 3 2 5" xfId="7488"/>
    <cellStyle name="Normal 8 2 3 3" xfId="7489"/>
    <cellStyle name="Normal 8 2 3 3 2" xfId="7490"/>
    <cellStyle name="Normal 8 2 3 3 2 2" xfId="7491"/>
    <cellStyle name="Normal 8 2 3 3 3" xfId="7492"/>
    <cellStyle name="Normal 8 2 3 3 3 2" xfId="7493"/>
    <cellStyle name="Normal 8 2 3 3 4" xfId="7494"/>
    <cellStyle name="Normal 8 2 3 4" xfId="7495"/>
    <cellStyle name="Normal 8 2 3 4 2" xfId="7496"/>
    <cellStyle name="Normal 8 2 3 5" xfId="7497"/>
    <cellStyle name="Normal 8 2 3 5 2" xfId="7498"/>
    <cellStyle name="Normal 8 2 3 6" xfId="7499"/>
    <cellStyle name="Normal 8 2 4" xfId="7500"/>
    <cellStyle name="Normal 8 2 4 2" xfId="7501"/>
    <cellStyle name="Normal 8 2 4 2 2" xfId="7502"/>
    <cellStyle name="Normal 8 2 4 2 2 2" xfId="7503"/>
    <cellStyle name="Normal 8 2 4 2 3" xfId="7504"/>
    <cellStyle name="Normal 8 2 4 2 3 2" xfId="7505"/>
    <cellStyle name="Normal 8 2 4 2 4" xfId="7506"/>
    <cellStyle name="Normal 8 2 4 3" xfId="7507"/>
    <cellStyle name="Normal 8 2 4 3 2" xfId="7508"/>
    <cellStyle name="Normal 8 2 4 4" xfId="7509"/>
    <cellStyle name="Normal 8 2 4 4 2" xfId="7510"/>
    <cellStyle name="Normal 8 2 4 5" xfId="7511"/>
    <cellStyle name="Normal 8 2 5" xfId="7512"/>
    <cellStyle name="Normal 8 2 5 2" xfId="7513"/>
    <cellStyle name="Normal 8 2 5 2 2" xfId="7514"/>
    <cellStyle name="Normal 8 2 5 3" xfId="7515"/>
    <cellStyle name="Normal 8 2 5 3 2" xfId="7516"/>
    <cellStyle name="Normal 8 2 5 4" xfId="7517"/>
    <cellStyle name="Normal 8 2 6" xfId="7518"/>
    <cellStyle name="Normal 8 2 6 2" xfId="7519"/>
    <cellStyle name="Normal 8 2 7" xfId="7520"/>
    <cellStyle name="Normal 8 2 7 2" xfId="7521"/>
    <cellStyle name="Normal 8 2 8" xfId="7522"/>
    <cellStyle name="Normal 8 2 9" xfId="7523"/>
    <cellStyle name="Normal 8 3" xfId="7524"/>
    <cellStyle name="Normal 8 3 2" xfId="7525"/>
    <cellStyle name="Normal 8 3 2 2" xfId="7526"/>
    <cellStyle name="Normal 8 3 2 2 2" xfId="7527"/>
    <cellStyle name="Normal 8 3 2 2 2 2" xfId="7528"/>
    <cellStyle name="Normal 8 3 2 2 2 2 2" xfId="7529"/>
    <cellStyle name="Normal 8 3 2 2 2 3" xfId="7530"/>
    <cellStyle name="Normal 8 3 2 2 2 3 2" xfId="7531"/>
    <cellStyle name="Normal 8 3 2 2 2 4" xfId="7532"/>
    <cellStyle name="Normal 8 3 2 2 3" xfId="7533"/>
    <cellStyle name="Normal 8 3 2 2 3 2" xfId="7534"/>
    <cellStyle name="Normal 8 3 2 2 4" xfId="7535"/>
    <cellStyle name="Normal 8 3 2 2 4 2" xfId="7536"/>
    <cellStyle name="Normal 8 3 2 2 5" xfId="7537"/>
    <cellStyle name="Normal 8 3 2 3" xfId="7538"/>
    <cellStyle name="Normal 8 3 2 3 2" xfId="7539"/>
    <cellStyle name="Normal 8 3 2 3 2 2" xfId="7540"/>
    <cellStyle name="Normal 8 3 2 3 3" xfId="7541"/>
    <cellStyle name="Normal 8 3 2 3 3 2" xfId="7542"/>
    <cellStyle name="Normal 8 3 2 3 4" xfId="7543"/>
    <cellStyle name="Normal 8 3 2 4" xfId="7544"/>
    <cellStyle name="Normal 8 3 2 4 2" xfId="7545"/>
    <cellStyle name="Normal 8 3 2 5" xfId="7546"/>
    <cellStyle name="Normal 8 3 2 5 2" xfId="7547"/>
    <cellStyle name="Normal 8 3 2 6" xfId="7548"/>
    <cellStyle name="Normal 8 3 3" xfId="7549"/>
    <cellStyle name="Normal 8 3 3 2" xfId="7550"/>
    <cellStyle name="Normal 8 3 3 2 2" xfId="7551"/>
    <cellStyle name="Normal 8 3 3 2 2 2" xfId="7552"/>
    <cellStyle name="Normal 8 3 3 2 3" xfId="7553"/>
    <cellStyle name="Normal 8 3 3 2 3 2" xfId="7554"/>
    <cellStyle name="Normal 8 3 3 2 4" xfId="7555"/>
    <cellStyle name="Normal 8 3 3 3" xfId="7556"/>
    <cellStyle name="Normal 8 3 3 3 2" xfId="7557"/>
    <cellStyle name="Normal 8 3 3 4" xfId="7558"/>
    <cellStyle name="Normal 8 3 3 4 2" xfId="7559"/>
    <cellStyle name="Normal 8 3 3 5" xfId="7560"/>
    <cellStyle name="Normal 8 3 4" xfId="7561"/>
    <cellStyle name="Normal 8 3 4 2" xfId="7562"/>
    <cellStyle name="Normal 8 3 4 2 2" xfId="7563"/>
    <cellStyle name="Normal 8 3 4 3" xfId="7564"/>
    <cellStyle name="Normal 8 3 4 3 2" xfId="7565"/>
    <cellStyle name="Normal 8 3 4 4" xfId="7566"/>
    <cellStyle name="Normal 8 3 5" xfId="7567"/>
    <cellStyle name="Normal 8 3 5 2" xfId="7568"/>
    <cellStyle name="Normal 8 3 6" xfId="7569"/>
    <cellStyle name="Normal 8 3 6 2" xfId="7570"/>
    <cellStyle name="Normal 8 3 7" xfId="7571"/>
    <cellStyle name="Normal 8 4" xfId="7572"/>
    <cellStyle name="Normal 8 4 2" xfId="7573"/>
    <cellStyle name="Normal 8 4 2 2" xfId="7574"/>
    <cellStyle name="Normal 8 4 2 2 2" xfId="7575"/>
    <cellStyle name="Normal 8 4 2 2 2 2" xfId="7576"/>
    <cellStyle name="Normal 8 4 2 2 2 2 2" xfId="7577"/>
    <cellStyle name="Normal 8 4 2 2 2 3" xfId="7578"/>
    <cellStyle name="Normal 8 4 2 2 2 3 2" xfId="7579"/>
    <cellStyle name="Normal 8 4 2 2 2 4" xfId="7580"/>
    <cellStyle name="Normal 8 4 2 2 3" xfId="7581"/>
    <cellStyle name="Normal 8 4 2 2 3 2" xfId="7582"/>
    <cellStyle name="Normal 8 4 2 2 4" xfId="7583"/>
    <cellStyle name="Normal 8 4 2 2 4 2" xfId="7584"/>
    <cellStyle name="Normal 8 4 2 2 5" xfId="7585"/>
    <cellStyle name="Normal 8 4 2 3" xfId="7586"/>
    <cellStyle name="Normal 8 4 2 3 2" xfId="7587"/>
    <cellStyle name="Normal 8 4 2 3 2 2" xfId="7588"/>
    <cellStyle name="Normal 8 4 2 3 3" xfId="7589"/>
    <cellStyle name="Normal 8 4 2 3 3 2" xfId="7590"/>
    <cellStyle name="Normal 8 4 2 3 4" xfId="7591"/>
    <cellStyle name="Normal 8 4 2 4" xfId="7592"/>
    <cellStyle name="Normal 8 4 2 4 2" xfId="7593"/>
    <cellStyle name="Normal 8 4 2 5" xfId="7594"/>
    <cellStyle name="Normal 8 4 2 5 2" xfId="7595"/>
    <cellStyle name="Normal 8 4 2 6" xfId="7596"/>
    <cellStyle name="Normal 8 4 3" xfId="7597"/>
    <cellStyle name="Normal 8 4 3 2" xfId="7598"/>
    <cellStyle name="Normal 8 4 3 2 2" xfId="7599"/>
    <cellStyle name="Normal 8 4 3 2 2 2" xfId="7600"/>
    <cellStyle name="Normal 8 4 3 2 3" xfId="7601"/>
    <cellStyle name="Normal 8 4 3 2 3 2" xfId="7602"/>
    <cellStyle name="Normal 8 4 3 2 4" xfId="7603"/>
    <cellStyle name="Normal 8 4 3 3" xfId="7604"/>
    <cellStyle name="Normal 8 4 3 3 2" xfId="7605"/>
    <cellStyle name="Normal 8 4 3 4" xfId="7606"/>
    <cellStyle name="Normal 8 4 3 4 2" xfId="7607"/>
    <cellStyle name="Normal 8 4 3 5" xfId="7608"/>
    <cellStyle name="Normal 8 4 4" xfId="7609"/>
    <cellStyle name="Normal 8 4 4 2" xfId="7610"/>
    <cellStyle name="Normal 8 4 4 2 2" xfId="7611"/>
    <cellStyle name="Normal 8 4 4 3" xfId="7612"/>
    <cellStyle name="Normal 8 4 4 3 2" xfId="7613"/>
    <cellStyle name="Normal 8 4 4 4" xfId="7614"/>
    <cellStyle name="Normal 8 4 5" xfId="7615"/>
    <cellStyle name="Normal 8 4 5 2" xfId="7616"/>
    <cellStyle name="Normal 8 4 6" xfId="7617"/>
    <cellStyle name="Normal 8 4 6 2" xfId="7618"/>
    <cellStyle name="Normal 8 4 7" xfId="7619"/>
    <cellStyle name="Normal 8 5" xfId="7620"/>
    <cellStyle name="Normal 8 5 2" xfId="7621"/>
    <cellStyle name="Normal 8 5 2 2" xfId="7622"/>
    <cellStyle name="Normal 8 5 2 2 2" xfId="7623"/>
    <cellStyle name="Normal 8 5 2 2 2 2" xfId="7624"/>
    <cellStyle name="Normal 8 5 2 2 3" xfId="7625"/>
    <cellStyle name="Normal 8 5 2 2 3 2" xfId="7626"/>
    <cellStyle name="Normal 8 5 2 2 4" xfId="7627"/>
    <cellStyle name="Normal 8 5 2 3" xfId="7628"/>
    <cellStyle name="Normal 8 5 2 3 2" xfId="7629"/>
    <cellStyle name="Normal 8 5 2 4" xfId="7630"/>
    <cellStyle name="Normal 8 5 2 4 2" xfId="7631"/>
    <cellStyle name="Normal 8 5 2 5" xfId="7632"/>
    <cellStyle name="Normal 8 5 3" xfId="7633"/>
    <cellStyle name="Normal 8 5 3 2" xfId="7634"/>
    <cellStyle name="Normal 8 5 3 2 2" xfId="7635"/>
    <cellStyle name="Normal 8 5 3 3" xfId="7636"/>
    <cellStyle name="Normal 8 5 3 3 2" xfId="7637"/>
    <cellStyle name="Normal 8 5 3 4" xfId="7638"/>
    <cellStyle name="Normal 8 5 4" xfId="7639"/>
    <cellStyle name="Normal 8 5 4 2" xfId="7640"/>
    <cellStyle name="Normal 8 5 5" xfId="7641"/>
    <cellStyle name="Normal 8 5 5 2" xfId="7642"/>
    <cellStyle name="Normal 8 5 6" xfId="7643"/>
    <cellStyle name="Normal 8 6" xfId="7644"/>
    <cellStyle name="Normal 8 6 2" xfId="7645"/>
    <cellStyle name="Normal 8 6 2 2" xfId="7646"/>
    <cellStyle name="Normal 8 6 2 2 2" xfId="7647"/>
    <cellStyle name="Normal 8 6 2 3" xfId="7648"/>
    <cellStyle name="Normal 8 6 2 3 2" xfId="7649"/>
    <cellStyle name="Normal 8 6 2 4" xfId="7650"/>
    <cellStyle name="Normal 8 6 3" xfId="7651"/>
    <cellStyle name="Normal 8 6 3 2" xfId="7652"/>
    <cellStyle name="Normal 8 6 4" xfId="7653"/>
    <cellStyle name="Normal 8 6 4 2" xfId="7654"/>
    <cellStyle name="Normal 8 6 5" xfId="7655"/>
    <cellStyle name="Normal 8 7" xfId="7656"/>
    <cellStyle name="Normal 8 7 2" xfId="7657"/>
    <cellStyle name="Normal 8 7 2 2" xfId="7658"/>
    <cellStyle name="Normal 8 7 3" xfId="7659"/>
    <cellStyle name="Normal 8 7 3 2" xfId="7660"/>
    <cellStyle name="Normal 8 7 4" xfId="7661"/>
    <cellStyle name="Normal 8 8" xfId="7662"/>
    <cellStyle name="Normal 8 8 2" xfId="7663"/>
    <cellStyle name="Normal 8 9" xfId="7664"/>
    <cellStyle name="Normal 8 9 2" xfId="7665"/>
    <cellStyle name="Normal 8_2180" xfId="7666"/>
    <cellStyle name="Normal 80" xfId="7667"/>
    <cellStyle name="Normal 81" xfId="7668"/>
    <cellStyle name="Normal 81 2" xfId="7669"/>
    <cellStyle name="Normal 81 2 2" xfId="7670"/>
    <cellStyle name="Normal 81 2 2 2" xfId="7671"/>
    <cellStyle name="Normal 81 2 3" xfId="7672"/>
    <cellStyle name="Normal 81 2 3 2" xfId="7673"/>
    <cellStyle name="Normal 81 2 4" xfId="7674"/>
    <cellStyle name="Normal 81 3" xfId="7675"/>
    <cellStyle name="Normal 81 3 2" xfId="7676"/>
    <cellStyle name="Normal 81 4" xfId="7677"/>
    <cellStyle name="Normal 81 4 2" xfId="7678"/>
    <cellStyle name="Normal 81 5" xfId="7679"/>
    <cellStyle name="Normal 82" xfId="7680"/>
    <cellStyle name="Normal 82 2" xfId="7681"/>
    <cellStyle name="Normal 82 2 2" xfId="7682"/>
    <cellStyle name="Normal 82 2 2 2" xfId="7683"/>
    <cellStyle name="Normal 82 2 3" xfId="7684"/>
    <cellStyle name="Normal 82 2 3 2" xfId="7685"/>
    <cellStyle name="Normal 82 2 4" xfId="7686"/>
    <cellStyle name="Normal 82 3" xfId="7687"/>
    <cellStyle name="Normal 82 3 2" xfId="7688"/>
    <cellStyle name="Normal 82 4" xfId="7689"/>
    <cellStyle name="Normal 82 4 2" xfId="7690"/>
    <cellStyle name="Normal 82 5" xfId="7691"/>
    <cellStyle name="Normal 83" xfId="7692"/>
    <cellStyle name="Normal 84" xfId="7693"/>
    <cellStyle name="Normal 84 2" xfId="7694"/>
    <cellStyle name="Normal 84 2 2" xfId="7695"/>
    <cellStyle name="Normal 84 2 2 2" xfId="7696"/>
    <cellStyle name="Normal 84 2 3" xfId="7697"/>
    <cellStyle name="Normal 84 2 3 2" xfId="7698"/>
    <cellStyle name="Normal 84 2 4" xfId="7699"/>
    <cellStyle name="Normal 84 3" xfId="7700"/>
    <cellStyle name="Normal 84 3 2" xfId="7701"/>
    <cellStyle name="Normal 84 4" xfId="7702"/>
    <cellStyle name="Normal 84 4 2" xfId="7703"/>
    <cellStyle name="Normal 84 5" xfId="7704"/>
    <cellStyle name="Normal 85" xfId="7705"/>
    <cellStyle name="Normal 85 2" xfId="7706"/>
    <cellStyle name="Normal 85 2 2" xfId="7707"/>
    <cellStyle name="Normal 85 3" xfId="7708"/>
    <cellStyle name="Normal 85 3 2" xfId="7709"/>
    <cellStyle name="Normal 85 4" xfId="7710"/>
    <cellStyle name="Normal 86" xfId="7711"/>
    <cellStyle name="Normal 86 2" xfId="7712"/>
    <cellStyle name="Normal 86 3" xfId="7713"/>
    <cellStyle name="Normal 87" xfId="7714"/>
    <cellStyle name="Normal 87 2" xfId="7715"/>
    <cellStyle name="Normal 88" xfId="7716"/>
    <cellStyle name="Normal 88 2" xfId="7717"/>
    <cellStyle name="Normal 89" xfId="7718"/>
    <cellStyle name="Normal 9" xfId="7719"/>
    <cellStyle name="Normal 9 10" xfId="7720"/>
    <cellStyle name="Normal 9 11" xfId="7721"/>
    <cellStyle name="Normal 9 12" xfId="7722"/>
    <cellStyle name="Normal 9 13" xfId="7723"/>
    <cellStyle name="Normal 9 2" xfId="7724"/>
    <cellStyle name="Normal 9 2 10" xfId="7725"/>
    <cellStyle name="Normal 9 2 11" xfId="7726"/>
    <cellStyle name="Normal 9 2 12" xfId="7727"/>
    <cellStyle name="Normal 9 2 2" xfId="7728"/>
    <cellStyle name="Normal 9 2 2 2" xfId="7729"/>
    <cellStyle name="Normal 9 2 2 2 2" xfId="7730"/>
    <cellStyle name="Normal 9 2 2 2 2 2" xfId="7731"/>
    <cellStyle name="Normal 9 2 2 2 2 2 2" xfId="7732"/>
    <cellStyle name="Normal 9 2 2 2 2 2 2 2" xfId="7733"/>
    <cellStyle name="Normal 9 2 2 2 2 2 3" xfId="7734"/>
    <cellStyle name="Normal 9 2 2 2 2 2 3 2" xfId="7735"/>
    <cellStyle name="Normal 9 2 2 2 2 2 4" xfId="7736"/>
    <cellStyle name="Normal 9 2 2 2 2 3" xfId="7737"/>
    <cellStyle name="Normal 9 2 2 2 2 3 2" xfId="7738"/>
    <cellStyle name="Normal 9 2 2 2 2 4" xfId="7739"/>
    <cellStyle name="Normal 9 2 2 2 2 4 2" xfId="7740"/>
    <cellStyle name="Normal 9 2 2 2 2 5" xfId="7741"/>
    <cellStyle name="Normal 9 2 2 2 3" xfId="7742"/>
    <cellStyle name="Normal 9 2 2 2 3 2" xfId="7743"/>
    <cellStyle name="Normal 9 2 2 2 3 2 2" xfId="7744"/>
    <cellStyle name="Normal 9 2 2 2 3 3" xfId="7745"/>
    <cellStyle name="Normal 9 2 2 2 3 3 2" xfId="7746"/>
    <cellStyle name="Normal 9 2 2 2 3 4" xfId="7747"/>
    <cellStyle name="Normal 9 2 2 2 4" xfId="7748"/>
    <cellStyle name="Normal 9 2 2 2 4 2" xfId="7749"/>
    <cellStyle name="Normal 9 2 2 2 5" xfId="7750"/>
    <cellStyle name="Normal 9 2 2 2 5 2" xfId="7751"/>
    <cellStyle name="Normal 9 2 2 2 6" xfId="7752"/>
    <cellStyle name="Normal 9 2 2 3" xfId="7753"/>
    <cellStyle name="Normal 9 2 2 3 2" xfId="7754"/>
    <cellStyle name="Normal 9 2 2 3 2 2" xfId="7755"/>
    <cellStyle name="Normal 9 2 2 3 2 2 2" xfId="7756"/>
    <cellStyle name="Normal 9 2 2 3 2 3" xfId="7757"/>
    <cellStyle name="Normal 9 2 2 3 2 3 2" xfId="7758"/>
    <cellStyle name="Normal 9 2 2 3 2 4" xfId="7759"/>
    <cellStyle name="Normal 9 2 2 3 3" xfId="7760"/>
    <cellStyle name="Normal 9 2 2 3 3 2" xfId="7761"/>
    <cellStyle name="Normal 9 2 2 3 4" xfId="7762"/>
    <cellStyle name="Normal 9 2 2 3 4 2" xfId="7763"/>
    <cellStyle name="Normal 9 2 2 3 5" xfId="7764"/>
    <cellStyle name="Normal 9 2 2 4" xfId="7765"/>
    <cellStyle name="Normal 9 2 2 4 2" xfId="7766"/>
    <cellStyle name="Normal 9 2 2 4 2 2" xfId="7767"/>
    <cellStyle name="Normal 9 2 2 4 3" xfId="7768"/>
    <cellStyle name="Normal 9 2 2 4 3 2" xfId="7769"/>
    <cellStyle name="Normal 9 2 2 4 4" xfId="7770"/>
    <cellStyle name="Normal 9 2 2 5" xfId="7771"/>
    <cellStyle name="Normal 9 2 2 5 2" xfId="7772"/>
    <cellStyle name="Normal 9 2 2 6" xfId="7773"/>
    <cellStyle name="Normal 9 2 2 6 2" xfId="7774"/>
    <cellStyle name="Normal 9 2 2 7" xfId="7775"/>
    <cellStyle name="Normal 9 2 3" xfId="7776"/>
    <cellStyle name="Normal 9 2 3 2" xfId="7777"/>
    <cellStyle name="Normal 9 2 3 2 2" xfId="7778"/>
    <cellStyle name="Normal 9 2 3 2 2 2" xfId="7779"/>
    <cellStyle name="Normal 9 2 3 2 2 2 2" xfId="7780"/>
    <cellStyle name="Normal 9 2 3 2 2 3" xfId="7781"/>
    <cellStyle name="Normal 9 2 3 2 2 3 2" xfId="7782"/>
    <cellStyle name="Normal 9 2 3 2 2 4" xfId="7783"/>
    <cellStyle name="Normal 9 2 3 2 3" xfId="7784"/>
    <cellStyle name="Normal 9 2 3 2 3 2" xfId="7785"/>
    <cellStyle name="Normal 9 2 3 2 4" xfId="7786"/>
    <cellStyle name="Normal 9 2 3 2 4 2" xfId="7787"/>
    <cellStyle name="Normal 9 2 3 2 5" xfId="7788"/>
    <cellStyle name="Normal 9 2 3 3" xfId="7789"/>
    <cellStyle name="Normal 9 2 3 3 2" xfId="7790"/>
    <cellStyle name="Normal 9 2 3 3 2 2" xfId="7791"/>
    <cellStyle name="Normal 9 2 3 3 3" xfId="7792"/>
    <cellStyle name="Normal 9 2 3 3 3 2" xfId="7793"/>
    <cellStyle name="Normal 9 2 3 3 4" xfId="7794"/>
    <cellStyle name="Normal 9 2 3 4" xfId="7795"/>
    <cellStyle name="Normal 9 2 3 4 2" xfId="7796"/>
    <cellStyle name="Normal 9 2 3 4 3" xfId="7797"/>
    <cellStyle name="Normal 9 2 3 5" xfId="7798"/>
    <cellStyle name="Normal 9 2 3 5 2" xfId="7799"/>
    <cellStyle name="Normal 9 2 3 6" xfId="7800"/>
    <cellStyle name="Normal 9 2 4" xfId="7801"/>
    <cellStyle name="Normal 9 2 4 2" xfId="7802"/>
    <cellStyle name="Normal 9 2 4 2 2" xfId="7803"/>
    <cellStyle name="Normal 9 2 4 2 2 2" xfId="7804"/>
    <cellStyle name="Normal 9 2 4 2 3" xfId="7805"/>
    <cellStyle name="Normal 9 2 4 2 3 2" xfId="7806"/>
    <cellStyle name="Normal 9 2 4 2 4" xfId="7807"/>
    <cellStyle name="Normal 9 2 4 2 5" xfId="7808"/>
    <cellStyle name="Normal 9 2 4 3" xfId="7809"/>
    <cellStyle name="Normal 9 2 4 3 2" xfId="7810"/>
    <cellStyle name="Normal 9 2 4 3 3" xfId="7811"/>
    <cellStyle name="Normal 9 2 4 4" xfId="7812"/>
    <cellStyle name="Normal 9 2 4 4 2" xfId="7813"/>
    <cellStyle name="Normal 9 2 4 4 3" xfId="7814"/>
    <cellStyle name="Normal 9 2 4 5" xfId="7815"/>
    <cellStyle name="Normal 9 2 4 6" xfId="7816"/>
    <cellStyle name="Normal 9 2 5" xfId="7817"/>
    <cellStyle name="Normal 9 2 5 2" xfId="7818"/>
    <cellStyle name="Normal 9 2 5 2 2" xfId="7819"/>
    <cellStyle name="Normal 9 2 5 2 2 2" xfId="7820"/>
    <cellStyle name="Normal 9 2 5 2 2 3" xfId="7821"/>
    <cellStyle name="Normal 9 2 5 2 2 4" xfId="7822"/>
    <cellStyle name="Normal 9 2 5 2 2 5" xfId="7823"/>
    <cellStyle name="Normal 9 2 5 2 3" xfId="7824"/>
    <cellStyle name="Normal 9 2 5 2 3 2" xfId="7825"/>
    <cellStyle name="Normal 9 2 5 2 3 3" xfId="7826"/>
    <cellStyle name="Normal 9 2 5 2 4" xfId="7827"/>
    <cellStyle name="Normal 9 2 5 2 4 2" xfId="7828"/>
    <cellStyle name="Normal 9 2 5 2 4 3" xfId="7829"/>
    <cellStyle name="Normal 9 2 5 2 5" xfId="7830"/>
    <cellStyle name="Normal 9 2 5 2 6" xfId="7831"/>
    <cellStyle name="Normal 9 2 5 3" xfId="7832"/>
    <cellStyle name="Normal 9 2 5 3 2" xfId="7833"/>
    <cellStyle name="Normal 9 2 5 3 2 2" xfId="7834"/>
    <cellStyle name="Normal 9 2 5 3 2 2 2" xfId="7835"/>
    <cellStyle name="Normal 9 2 5 3 2 2 3" xfId="7836"/>
    <cellStyle name="Normal 9 2 5 3 2 3" xfId="7837"/>
    <cellStyle name="Normal 9 2 5 3 2 3 2" xfId="7838"/>
    <cellStyle name="Normal 9 2 5 3 2 3 3" xfId="7839"/>
    <cellStyle name="Normal 9 2 5 3 2 4" xfId="7840"/>
    <cellStyle name="Normal 9 2 5 3 2 5" xfId="7841"/>
    <cellStyle name="Normal 9 2 5 3 3" xfId="7842"/>
    <cellStyle name="Normal 9 2 5 3 3 2" xfId="7843"/>
    <cellStyle name="Normal 9 2 5 3 3 3" xfId="7844"/>
    <cellStyle name="Normal 9 2 5 3 3 4" xfId="7845"/>
    <cellStyle name="Normal 9 2 5 3 3 5" xfId="7846"/>
    <cellStyle name="Normal 9 2 5 3 4" xfId="7847"/>
    <cellStyle name="Normal 9 2 5 3 4 2" xfId="7848"/>
    <cellStyle name="Normal 9 2 5 3 4 3" xfId="7849"/>
    <cellStyle name="Normal 9 2 5 3 5" xfId="7850"/>
    <cellStyle name="Normal 9 2 5 3 5 2" xfId="7851"/>
    <cellStyle name="Normal 9 2 5 3 5 3" xfId="7852"/>
    <cellStyle name="Normal 9 2 5 3 6" xfId="7853"/>
    <cellStyle name="Normal 9 2 5 3 7" xfId="7854"/>
    <cellStyle name="Normal 9 2 5 4" xfId="7855"/>
    <cellStyle name="Normal 9 2 5 4 2" xfId="7856"/>
    <cellStyle name="Normal 9 2 5 4 2 2" xfId="7857"/>
    <cellStyle name="Normal 9 2 5 4 2 3" xfId="7858"/>
    <cellStyle name="Normal 9 2 5 4 3" xfId="7859"/>
    <cellStyle name="Normal 9 2 5 4 3 2" xfId="7860"/>
    <cellStyle name="Normal 9 2 5 4 3 3" xfId="7861"/>
    <cellStyle name="Normal 9 2 5 4 4" xfId="7862"/>
    <cellStyle name="Normal 9 2 5 4 5" xfId="7863"/>
    <cellStyle name="Normal 9 2 5 5" xfId="7864"/>
    <cellStyle name="Normal 9 2 5 5 2" xfId="7865"/>
    <cellStyle name="Normal 9 2 5 5 3" xfId="7866"/>
    <cellStyle name="Normal 9 2 5 5 4" xfId="7867"/>
    <cellStyle name="Normal 9 2 5 5 5" xfId="7868"/>
    <cellStyle name="Normal 9 2 5 6" xfId="7869"/>
    <cellStyle name="Normal 9 2 5 6 2" xfId="7870"/>
    <cellStyle name="Normal 9 2 5 6 3" xfId="7871"/>
    <cellStyle name="Normal 9 2 5 7" xfId="7872"/>
    <cellStyle name="Normal 9 2 5 7 2" xfId="7873"/>
    <cellStyle name="Normal 9 2 5 7 3" xfId="7874"/>
    <cellStyle name="Normal 9 2 5 8" xfId="7875"/>
    <cellStyle name="Normal 9 2 5 9" xfId="7876"/>
    <cellStyle name="Normal 9 2 5_10070" xfId="7877"/>
    <cellStyle name="Normal 9 2 6" xfId="7878"/>
    <cellStyle name="Normal 9 2 6 2" xfId="7879"/>
    <cellStyle name="Normal 9 2 6 3" xfId="7880"/>
    <cellStyle name="Normal 9 2 6 4" xfId="7881"/>
    <cellStyle name="Normal 9 2 6 5" xfId="7882"/>
    <cellStyle name="Normal 9 2 7" xfId="7883"/>
    <cellStyle name="Normal 9 2 7 2" xfId="7884"/>
    <cellStyle name="Normal 9 2 7 3" xfId="7885"/>
    <cellStyle name="Normal 9 2 8" xfId="7886"/>
    <cellStyle name="Normal 9 2 8 2" xfId="7887"/>
    <cellStyle name="Normal 9 2 8 3" xfId="7888"/>
    <cellStyle name="Normal 9 2 9" xfId="7889"/>
    <cellStyle name="Normal 9 3" xfId="7890"/>
    <cellStyle name="Normal 9 3 2" xfId="7891"/>
    <cellStyle name="Normal 9 3 2 2" xfId="7892"/>
    <cellStyle name="Normal 9 3 2 2 2" xfId="7893"/>
    <cellStyle name="Normal 9 3 2 2 2 2" xfId="7894"/>
    <cellStyle name="Normal 9 3 2 2 2 2 2" xfId="7895"/>
    <cellStyle name="Normal 9 3 2 2 2 3" xfId="7896"/>
    <cellStyle name="Normal 9 3 2 2 2 3 2" xfId="7897"/>
    <cellStyle name="Normal 9 3 2 2 2 4" xfId="7898"/>
    <cellStyle name="Normal 9 3 2 2 3" xfId="7899"/>
    <cellStyle name="Normal 9 3 2 2 3 2" xfId="7900"/>
    <cellStyle name="Normal 9 3 2 2 4" xfId="7901"/>
    <cellStyle name="Normal 9 3 2 2 4 2" xfId="7902"/>
    <cellStyle name="Normal 9 3 2 2 5" xfId="7903"/>
    <cellStyle name="Normal 9 3 2 3" xfId="7904"/>
    <cellStyle name="Normal 9 3 2 3 2" xfId="7905"/>
    <cellStyle name="Normal 9 3 2 3 2 2" xfId="7906"/>
    <cellStyle name="Normal 9 3 2 3 3" xfId="7907"/>
    <cellStyle name="Normal 9 3 2 3 3 2" xfId="7908"/>
    <cellStyle name="Normal 9 3 2 3 4" xfId="7909"/>
    <cellStyle name="Normal 9 3 2 4" xfId="7910"/>
    <cellStyle name="Normal 9 3 2 4 2" xfId="7911"/>
    <cellStyle name="Normal 9 3 2 5" xfId="7912"/>
    <cellStyle name="Normal 9 3 2 5 2" xfId="7913"/>
    <cellStyle name="Normal 9 3 2 6" xfId="7914"/>
    <cellStyle name="Normal 9 3 3" xfId="7915"/>
    <cellStyle name="Normal 9 3 3 2" xfId="7916"/>
    <cellStyle name="Normal 9 3 3 2 2" xfId="7917"/>
    <cellStyle name="Normal 9 3 3 2 2 2" xfId="7918"/>
    <cellStyle name="Normal 9 3 3 2 3" xfId="7919"/>
    <cellStyle name="Normal 9 3 3 2 3 2" xfId="7920"/>
    <cellStyle name="Normal 9 3 3 2 4" xfId="7921"/>
    <cellStyle name="Normal 9 3 3 3" xfId="7922"/>
    <cellStyle name="Normal 9 3 3 3 2" xfId="7923"/>
    <cellStyle name="Normal 9 3 3 4" xfId="7924"/>
    <cellStyle name="Normal 9 3 3 4 2" xfId="7925"/>
    <cellStyle name="Normal 9 3 3 5" xfId="7926"/>
    <cellStyle name="Normal 9 3 4" xfId="7927"/>
    <cellStyle name="Normal 9 3 4 2" xfId="7928"/>
    <cellStyle name="Normal 9 3 4 2 2" xfId="7929"/>
    <cellStyle name="Normal 9 3 4 3" xfId="7930"/>
    <cellStyle name="Normal 9 3 4 3 2" xfId="7931"/>
    <cellStyle name="Normal 9 3 4 4" xfId="7932"/>
    <cellStyle name="Normal 9 3 5" xfId="7933"/>
    <cellStyle name="Normal 9 3 5 2" xfId="7934"/>
    <cellStyle name="Normal 9 3 6" xfId="7935"/>
    <cellStyle name="Normal 9 3 6 2" xfId="7936"/>
    <cellStyle name="Normal 9 3 7" xfId="7937"/>
    <cellStyle name="Normal 9 4" xfId="7938"/>
    <cellStyle name="Normal 9 4 2" xfId="7939"/>
    <cellStyle name="Normal 9 4 2 2" xfId="7940"/>
    <cellStyle name="Normal 9 4 2 2 2" xfId="7941"/>
    <cellStyle name="Normal 9 4 2 2 2 2" xfId="7942"/>
    <cellStyle name="Normal 9 4 2 2 2 2 2" xfId="7943"/>
    <cellStyle name="Normal 9 4 2 2 2 3" xfId="7944"/>
    <cellStyle name="Normal 9 4 2 2 2 3 2" xfId="7945"/>
    <cellStyle name="Normal 9 4 2 2 2 4" xfId="7946"/>
    <cellStyle name="Normal 9 4 2 2 3" xfId="7947"/>
    <cellStyle name="Normal 9 4 2 2 3 2" xfId="7948"/>
    <cellStyle name="Normal 9 4 2 2 4" xfId="7949"/>
    <cellStyle name="Normal 9 4 2 2 4 2" xfId="7950"/>
    <cellStyle name="Normal 9 4 2 2 5" xfId="7951"/>
    <cellStyle name="Normal 9 4 2 3" xfId="7952"/>
    <cellStyle name="Normal 9 4 2 3 2" xfId="7953"/>
    <cellStyle name="Normal 9 4 2 3 2 2" xfId="7954"/>
    <cellStyle name="Normal 9 4 2 3 3" xfId="7955"/>
    <cellStyle name="Normal 9 4 2 3 3 2" xfId="7956"/>
    <cellStyle name="Normal 9 4 2 3 4" xfId="7957"/>
    <cellStyle name="Normal 9 4 2 4" xfId="7958"/>
    <cellStyle name="Normal 9 4 2 4 2" xfId="7959"/>
    <cellStyle name="Normal 9 4 2 5" xfId="7960"/>
    <cellStyle name="Normal 9 4 2 5 2" xfId="7961"/>
    <cellStyle name="Normal 9 4 2 6" xfId="7962"/>
    <cellStyle name="Normal 9 4 3" xfId="7963"/>
    <cellStyle name="Normal 9 4 3 2" xfId="7964"/>
    <cellStyle name="Normal 9 4 3 2 2" xfId="7965"/>
    <cellStyle name="Normal 9 4 3 2 2 2" xfId="7966"/>
    <cellStyle name="Normal 9 4 3 2 3" xfId="7967"/>
    <cellStyle name="Normal 9 4 3 2 3 2" xfId="7968"/>
    <cellStyle name="Normal 9 4 3 2 4" xfId="7969"/>
    <cellStyle name="Normal 9 4 3 3" xfId="7970"/>
    <cellStyle name="Normal 9 4 3 3 2" xfId="7971"/>
    <cellStyle name="Normal 9 4 3 4" xfId="7972"/>
    <cellStyle name="Normal 9 4 3 4 2" xfId="7973"/>
    <cellStyle name="Normal 9 4 3 5" xfId="7974"/>
    <cellStyle name="Normal 9 4 4" xfId="7975"/>
    <cellStyle name="Normal 9 4 4 2" xfId="7976"/>
    <cellStyle name="Normal 9 4 4 2 2" xfId="7977"/>
    <cellStyle name="Normal 9 4 4 3" xfId="7978"/>
    <cellStyle name="Normal 9 4 4 3 2" xfId="7979"/>
    <cellStyle name="Normal 9 4 4 4" xfId="7980"/>
    <cellStyle name="Normal 9 4 5" xfId="7981"/>
    <cellStyle name="Normal 9 4 5 2" xfId="7982"/>
    <cellStyle name="Normal 9 4 6" xfId="7983"/>
    <cellStyle name="Normal 9 4 6 2" xfId="7984"/>
    <cellStyle name="Normal 9 4 7" xfId="7985"/>
    <cellStyle name="Normal 9 5" xfId="7986"/>
    <cellStyle name="Normal 9 5 2" xfId="7987"/>
    <cellStyle name="Normal 9 5 2 2" xfId="7988"/>
    <cellStyle name="Normal 9 5 2 2 2" xfId="7989"/>
    <cellStyle name="Normal 9 5 2 2 2 2" xfId="7990"/>
    <cellStyle name="Normal 9 5 2 2 3" xfId="7991"/>
    <cellStyle name="Normal 9 5 2 2 3 2" xfId="7992"/>
    <cellStyle name="Normal 9 5 2 2 4" xfId="7993"/>
    <cellStyle name="Normal 9 5 2 2 5" xfId="7994"/>
    <cellStyle name="Normal 9 5 2 3" xfId="7995"/>
    <cellStyle name="Normal 9 5 2 3 2" xfId="7996"/>
    <cellStyle name="Normal 9 5 2 3 3" xfId="7997"/>
    <cellStyle name="Normal 9 5 2 4" xfId="7998"/>
    <cellStyle name="Normal 9 5 2 4 2" xfId="7999"/>
    <cellStyle name="Normal 9 5 2 4 3" xfId="8000"/>
    <cellStyle name="Normal 9 5 2 5" xfId="8001"/>
    <cellStyle name="Normal 9 5 2 6" xfId="8002"/>
    <cellStyle name="Normal 9 5 3" xfId="8003"/>
    <cellStyle name="Normal 9 5 3 2" xfId="8004"/>
    <cellStyle name="Normal 9 5 3 2 2" xfId="8005"/>
    <cellStyle name="Normal 9 5 3 2 2 2" xfId="8006"/>
    <cellStyle name="Normal 9 5 3 2 2 3" xfId="8007"/>
    <cellStyle name="Normal 9 5 3 2 3" xfId="8008"/>
    <cellStyle name="Normal 9 5 3 2 3 2" xfId="8009"/>
    <cellStyle name="Normal 9 5 3 2 3 3" xfId="8010"/>
    <cellStyle name="Normal 9 5 3 2 4" xfId="8011"/>
    <cellStyle name="Normal 9 5 3 2 5" xfId="8012"/>
    <cellStyle name="Normal 9 5 3 3" xfId="8013"/>
    <cellStyle name="Normal 9 5 3 3 2" xfId="8014"/>
    <cellStyle name="Normal 9 5 3 3 3" xfId="8015"/>
    <cellStyle name="Normal 9 5 3 3 4" xfId="8016"/>
    <cellStyle name="Normal 9 5 3 3 5" xfId="8017"/>
    <cellStyle name="Normal 9 5 3 4" xfId="8018"/>
    <cellStyle name="Normal 9 5 3 4 2" xfId="8019"/>
    <cellStyle name="Normal 9 5 3 4 3" xfId="8020"/>
    <cellStyle name="Normal 9 5 3 5" xfId="8021"/>
    <cellStyle name="Normal 9 5 3 5 2" xfId="8022"/>
    <cellStyle name="Normal 9 5 3 5 3" xfId="8023"/>
    <cellStyle name="Normal 9 5 3 6" xfId="8024"/>
    <cellStyle name="Normal 9 5 3 7" xfId="8025"/>
    <cellStyle name="Normal 9 5 4" xfId="8026"/>
    <cellStyle name="Normal 9 5 4 2" xfId="8027"/>
    <cellStyle name="Normal 9 5 4 2 2" xfId="8028"/>
    <cellStyle name="Normal 9 5 4 2 3" xfId="8029"/>
    <cellStyle name="Normal 9 5 4 3" xfId="8030"/>
    <cellStyle name="Normal 9 5 4 3 2" xfId="8031"/>
    <cellStyle name="Normal 9 5 4 3 3" xfId="8032"/>
    <cellStyle name="Normal 9 5 4 4" xfId="8033"/>
    <cellStyle name="Normal 9 5 4 5" xfId="8034"/>
    <cellStyle name="Normal 9 5 5" xfId="8035"/>
    <cellStyle name="Normal 9 5 5 2" xfId="8036"/>
    <cellStyle name="Normal 9 5 5 3" xfId="8037"/>
    <cellStyle name="Normal 9 5 5 4" xfId="8038"/>
    <cellStyle name="Normal 9 5 5 5" xfId="8039"/>
    <cellStyle name="Normal 9 5 6" xfId="8040"/>
    <cellStyle name="Normal 9 5 6 2" xfId="8041"/>
    <cellStyle name="Normal 9 5 6 3" xfId="8042"/>
    <cellStyle name="Normal 9 5 7" xfId="8043"/>
    <cellStyle name="Normal 9 5 7 2" xfId="8044"/>
    <cellStyle name="Normal 9 5 7 3" xfId="8045"/>
    <cellStyle name="Normal 9 5 8" xfId="8046"/>
    <cellStyle name="Normal 9 5 9" xfId="8047"/>
    <cellStyle name="Normal 9 5_10070" xfId="8048"/>
    <cellStyle name="Normal 9 6" xfId="8049"/>
    <cellStyle name="Normal 9 6 2" xfId="8050"/>
    <cellStyle name="Normal 9 6 2 2" xfId="8051"/>
    <cellStyle name="Normal 9 6 2 2 2" xfId="8052"/>
    <cellStyle name="Normal 9 6 2 3" xfId="8053"/>
    <cellStyle name="Normal 9 6 2 3 2" xfId="8054"/>
    <cellStyle name="Normal 9 6 2 4" xfId="8055"/>
    <cellStyle name="Normal 9 6 3" xfId="8056"/>
    <cellStyle name="Normal 9 6 3 2" xfId="8057"/>
    <cellStyle name="Normal 9 6 3 3" xfId="8058"/>
    <cellStyle name="Normal 9 6 4" xfId="8059"/>
    <cellStyle name="Normal 9 6 4 2" xfId="8060"/>
    <cellStyle name="Normal 9 6 5" xfId="8061"/>
    <cellStyle name="Normal 9 7" xfId="8062"/>
    <cellStyle name="Normal 9 7 2" xfId="8063"/>
    <cellStyle name="Normal 9 7 2 2" xfId="8064"/>
    <cellStyle name="Normal 9 7 3" xfId="8065"/>
    <cellStyle name="Normal 9 7 3 2" xfId="8066"/>
    <cellStyle name="Normal 9 7 4" xfId="8067"/>
    <cellStyle name="Normal 9 7 5" xfId="8068"/>
    <cellStyle name="Normal 9 8" xfId="8069"/>
    <cellStyle name="Normal 9 8 2" xfId="8070"/>
    <cellStyle name="Normal 9 8 3" xfId="8071"/>
    <cellStyle name="Normal 9 9" xfId="8072"/>
    <cellStyle name="Normal 9 9 2" xfId="8073"/>
    <cellStyle name="Normal 9 9 3" xfId="8074"/>
    <cellStyle name="Normal 9_2180" xfId="8075"/>
    <cellStyle name="Normal 90" xfId="8076"/>
    <cellStyle name="Normal 90 2" xfId="8077"/>
    <cellStyle name="Normal 91" xfId="8078"/>
    <cellStyle name="Normal 92" xfId="8079"/>
    <cellStyle name="Normal 92 2" xfId="8080"/>
    <cellStyle name="Normal 92 2 2" xfId="8081"/>
    <cellStyle name="Normal 93" xfId="8082"/>
    <cellStyle name="Normal 93 2" xfId="8083"/>
    <cellStyle name="Normal 93 3" xfId="8084"/>
    <cellStyle name="Normal 94" xfId="8085"/>
    <cellStyle name="Normal 94 2" xfId="8086"/>
    <cellStyle name="Normal 94 3" xfId="8087"/>
    <cellStyle name="Normal 95" xfId="8088"/>
    <cellStyle name="Normal 95 2" xfId="8089"/>
    <cellStyle name="Normal 95 3" xfId="8090"/>
    <cellStyle name="Normal 96" xfId="8091"/>
    <cellStyle name="Normal 96 2" xfId="8092"/>
    <cellStyle name="Normal 96 3" xfId="8093"/>
    <cellStyle name="Normal 97" xfId="8094"/>
    <cellStyle name="Normal 97 2" xfId="8095"/>
    <cellStyle name="Normal 97 3" xfId="8096"/>
    <cellStyle name="Normal 98" xfId="8097"/>
    <cellStyle name="Normal 98 2" xfId="8098"/>
    <cellStyle name="Normal 98 2 2" xfId="8099"/>
    <cellStyle name="Normal 99" xfId="8100"/>
    <cellStyle name="Normal 99 2" xfId="8101"/>
    <cellStyle name="Normal 99 3" xfId="8102"/>
    <cellStyle name="Normal 99 4" xfId="8103"/>
    <cellStyle name="Note 2" xfId="8104"/>
    <cellStyle name="Note 2 2" xfId="8105"/>
    <cellStyle name="Note 2 2 2" xfId="8106"/>
    <cellStyle name="Note 2 2 2 2" xfId="8107"/>
    <cellStyle name="Note 2 2 2 3" xfId="8108"/>
    <cellStyle name="Note 2 2 2 4" xfId="8109"/>
    <cellStyle name="Note 2 2 2 5" xfId="8110"/>
    <cellStyle name="Note 2 2 3" xfId="8111"/>
    <cellStyle name="Note 2 2 3 2" xfId="8112"/>
    <cellStyle name="Note 2 2 3 3" xfId="8113"/>
    <cellStyle name="Note 2 2 3 4" xfId="8114"/>
    <cellStyle name="Note 2 2 3 5" xfId="8115"/>
    <cellStyle name="Note 2 3" xfId="8116"/>
    <cellStyle name="Note 2 3 2" xfId="8117"/>
    <cellStyle name="Note 2 3 2 2" xfId="8118"/>
    <cellStyle name="Note 2 3 2 3" xfId="8119"/>
    <cellStyle name="Note 2 3 2 4" xfId="8120"/>
    <cellStyle name="Note 2 3 2 5" xfId="8121"/>
    <cellStyle name="Note 2 3 3" xfId="8122"/>
    <cellStyle name="Note 2 4" xfId="8123"/>
    <cellStyle name="Note 2 4 2" xfId="8124"/>
    <cellStyle name="Note 2 4 2 2" xfId="8125"/>
    <cellStyle name="Note 2 4 2 3" xfId="8126"/>
    <cellStyle name="Note 2 4 2 4" xfId="8127"/>
    <cellStyle name="Note 2 4 2 5" xfId="8128"/>
    <cellStyle name="Note 2 4 3" xfId="8129"/>
    <cellStyle name="Note 2 5" xfId="8130"/>
    <cellStyle name="Note 2 5 2" xfId="8131"/>
    <cellStyle name="Note 2 5 3" xfId="8132"/>
    <cellStyle name="Note 2 5 4" xfId="8133"/>
    <cellStyle name="Note 2 5 5" xfId="8134"/>
    <cellStyle name="Note 2 6" xfId="8135"/>
    <cellStyle name="Note 3" xfId="8136"/>
    <cellStyle name="Note 3 2" xfId="8137"/>
    <cellStyle name="Note 3 2 2" xfId="8138"/>
    <cellStyle name="Note 3 2 2 2" xfId="8139"/>
    <cellStyle name="Note 3 2 2 3" xfId="8140"/>
    <cellStyle name="Note 3 2 2 4" xfId="8141"/>
    <cellStyle name="Note 3 2 2 5" xfId="8142"/>
    <cellStyle name="Note 3 2 3" xfId="8143"/>
    <cellStyle name="Note 3 2 3 2" xfId="8144"/>
    <cellStyle name="Note 3 2 3 3" xfId="8145"/>
    <cellStyle name="Note 3 2 3 4" xfId="8146"/>
    <cellStyle name="Note 3 2 3 5" xfId="8147"/>
    <cellStyle name="Note 3 3" xfId="8148"/>
    <cellStyle name="Note 3 3 2" xfId="8149"/>
    <cellStyle name="Note 3 3 2 2" xfId="8150"/>
    <cellStyle name="Note 3 3 2 3" xfId="8151"/>
    <cellStyle name="Note 3 3 2 4" xfId="8152"/>
    <cellStyle name="Note 3 3 2 5" xfId="8153"/>
    <cellStyle name="Note 3 3 3" xfId="8154"/>
    <cellStyle name="Note 3 4" xfId="8155"/>
    <cellStyle name="Note 3 4 2" xfId="8156"/>
    <cellStyle name="Note 3 4 2 2" xfId="8157"/>
    <cellStyle name="Note 3 4 2 3" xfId="8158"/>
    <cellStyle name="Note 3 4 2 4" xfId="8159"/>
    <cellStyle name="Note 3 4 2 5" xfId="8160"/>
    <cellStyle name="Note 3 4 3" xfId="8161"/>
    <cellStyle name="Note 3 5" xfId="8162"/>
    <cellStyle name="Note 3 5 2" xfId="8163"/>
    <cellStyle name="Note 3 5 3" xfId="8164"/>
    <cellStyle name="Note 3 5 4" xfId="8165"/>
    <cellStyle name="Note 3 5 5" xfId="8166"/>
    <cellStyle name="Note 3 6" xfId="8167"/>
    <cellStyle name="Note 4" xfId="8168"/>
    <cellStyle name="Note 4 2" xfId="8169"/>
    <cellStyle name="Note 4 3" xfId="8170"/>
    <cellStyle name="Note 4 3 2" xfId="8171"/>
    <cellStyle name="Note 4 3 3" xfId="8172"/>
    <cellStyle name="Note 4 3 4" xfId="8173"/>
    <cellStyle name="Note 4 3 5" xfId="8174"/>
    <cellStyle name="Note 4 4" xfId="8175"/>
    <cellStyle name="Note 4 5" xfId="8176"/>
    <cellStyle name="Note 5" xfId="8177"/>
    <cellStyle name="Note 5 2" xfId="8178"/>
    <cellStyle name="Note 5 2 2" xfId="8179"/>
    <cellStyle name="Note 5 2 3" xfId="8180"/>
    <cellStyle name="Note 5 2 4" xfId="8181"/>
    <cellStyle name="Note 5 2 5" xfId="8182"/>
    <cellStyle name="Note 6" xfId="8183"/>
    <cellStyle name="Notes" xfId="8184"/>
    <cellStyle name="Output" xfId="8185" builtinId="21" customBuiltin="1"/>
    <cellStyle name="Output 2" xfId="8186"/>
    <cellStyle name="Output 2 2" xfId="8187"/>
    <cellStyle name="Output 2 2 2" xfId="8188"/>
    <cellStyle name="Output 2 2 2 2" xfId="8189"/>
    <cellStyle name="Output 2 2 2 2 2" xfId="8190"/>
    <cellStyle name="Output 2 2 2 2 3" xfId="8191"/>
    <cellStyle name="Output 2 2 2 2 4" xfId="8192"/>
    <cellStyle name="Output 2 2 2 2 5" xfId="8193"/>
    <cellStyle name="Output 2 2 2 3" xfId="8194"/>
    <cellStyle name="Output 2 2 3" xfId="8195"/>
    <cellStyle name="Output 2 2 3 2" xfId="8196"/>
    <cellStyle name="Output 2 2 3 3" xfId="8197"/>
    <cellStyle name="Output 2 2 3 4" xfId="8198"/>
    <cellStyle name="Output 2 2 3 5" xfId="8199"/>
    <cellStyle name="Output 2 2 4" xfId="8200"/>
    <cellStyle name="Output 2 3" xfId="8201"/>
    <cellStyle name="Output 2 3 2" xfId="8202"/>
    <cellStyle name="Output 2 3 2 2" xfId="8203"/>
    <cellStyle name="Output 2 3 2 3" xfId="8204"/>
    <cellStyle name="Output 2 3 2 4" xfId="8205"/>
    <cellStyle name="Output 2 3 2 5" xfId="8206"/>
    <cellStyle name="Output 2 3 3" xfId="8207"/>
    <cellStyle name="Output 2 4" xfId="8208"/>
    <cellStyle name="Output 2 4 2" xfId="8209"/>
    <cellStyle name="Output 2 4 3" xfId="8210"/>
    <cellStyle name="Output 2 4 4" xfId="8211"/>
    <cellStyle name="Output 2 4 5" xfId="8212"/>
    <cellStyle name="Output 2 5" xfId="8213"/>
    <cellStyle name="Output 3" xfId="8214"/>
    <cellStyle name="Output 3 2" xfId="8215"/>
    <cellStyle name="Output 3 2 2" xfId="8216"/>
    <cellStyle name="Output 3 2 2 2" xfId="8217"/>
    <cellStyle name="Output 3 2 2 3" xfId="8218"/>
    <cellStyle name="Output 3 2 2 4" xfId="8219"/>
    <cellStyle name="Output 3 2 2 5" xfId="8220"/>
    <cellStyle name="Output 3 2 3" xfId="8221"/>
    <cellStyle name="Output 3 3" xfId="8222"/>
    <cellStyle name="Output 3 3 2" xfId="8223"/>
    <cellStyle name="Output 3 3 3" xfId="8224"/>
    <cellStyle name="Output 3 3 4" xfId="8225"/>
    <cellStyle name="Output 3 3 5" xfId="8226"/>
    <cellStyle name="Output 3 4" xfId="8227"/>
    <cellStyle name="Output 3 4 2" xfId="8228"/>
    <cellStyle name="Output 3 4 3" xfId="8229"/>
    <cellStyle name="Output 3 4 4" xfId="8230"/>
    <cellStyle name="Output 3 4 5" xfId="8231"/>
    <cellStyle name="Output 3 5" xfId="8232"/>
    <cellStyle name="Output 4" xfId="8233"/>
    <cellStyle name="Percent" xfId="8877" builtinId="5"/>
    <cellStyle name="Percent 10" xfId="8234"/>
    <cellStyle name="Percent 10 2" xfId="8235"/>
    <cellStyle name="Percent 10 3" xfId="8236"/>
    <cellStyle name="Percent 10 4" xfId="8237"/>
    <cellStyle name="Percent 11" xfId="8238"/>
    <cellStyle name="Percent 11 2" xfId="8239"/>
    <cellStyle name="Percent 11 2 2" xfId="8240"/>
    <cellStyle name="Percent 11 3" xfId="8241"/>
    <cellStyle name="Percent 11 3 2" xfId="8242"/>
    <cellStyle name="Percent 11 4" xfId="8243"/>
    <cellStyle name="Percent 12" xfId="8244"/>
    <cellStyle name="Percent 13" xfId="8245"/>
    <cellStyle name="Percent 14" xfId="8246"/>
    <cellStyle name="Percent 14 2" xfId="8247"/>
    <cellStyle name="Percent 14 2 2" xfId="8248"/>
    <cellStyle name="Percent 16 2" xfId="8249"/>
    <cellStyle name="Percent 16 2 2" xfId="8250"/>
    <cellStyle name="Percent 2" xfId="8251"/>
    <cellStyle name="Percent 2 2" xfId="8252"/>
    <cellStyle name="Percent 2 2 2" xfId="8253"/>
    <cellStyle name="Percent 2 2 3" xfId="8254"/>
    <cellStyle name="Percent 2 2 3 2" xfId="8255"/>
    <cellStyle name="Percent 2 3" xfId="8256"/>
    <cellStyle name="Percent 2 3 2" xfId="8257"/>
    <cellStyle name="Percent 2 3 3" xfId="8258"/>
    <cellStyle name="Percent 2 4" xfId="8259"/>
    <cellStyle name="Percent 2 4 2" xfId="8260"/>
    <cellStyle name="Percent 2 4 3" xfId="8261"/>
    <cellStyle name="Percent 2 5" xfId="8262"/>
    <cellStyle name="Percent 2 6" xfId="8263"/>
    <cellStyle name="Percent 3" xfId="8264"/>
    <cellStyle name="Percent 3 10" xfId="8265"/>
    <cellStyle name="Percent 3 2" xfId="8266"/>
    <cellStyle name="Percent 3 2 2" xfId="8267"/>
    <cellStyle name="Percent 3 2 2 2" xfId="8268"/>
    <cellStyle name="Percent 3 2 2 2 2" xfId="8269"/>
    <cellStyle name="Percent 3 2 2 2 2 2" xfId="8270"/>
    <cellStyle name="Percent 3 2 2 2 2 2 2" xfId="8271"/>
    <cellStyle name="Percent 3 2 2 2 2 2 2 2" xfId="8272"/>
    <cellStyle name="Percent 3 2 2 2 2 2 3" xfId="8273"/>
    <cellStyle name="Percent 3 2 2 2 2 2 3 2" xfId="8274"/>
    <cellStyle name="Percent 3 2 2 2 2 2 4" xfId="8275"/>
    <cellStyle name="Percent 3 2 2 2 2 3" xfId="8276"/>
    <cellStyle name="Percent 3 2 2 2 2 3 2" xfId="8277"/>
    <cellStyle name="Percent 3 2 2 2 2 4" xfId="8278"/>
    <cellStyle name="Percent 3 2 2 2 2 4 2" xfId="8279"/>
    <cellStyle name="Percent 3 2 2 2 2 5" xfId="8280"/>
    <cellStyle name="Percent 3 2 2 2 3" xfId="8281"/>
    <cellStyle name="Percent 3 2 2 2 3 2" xfId="8282"/>
    <cellStyle name="Percent 3 2 2 2 3 2 2" xfId="8283"/>
    <cellStyle name="Percent 3 2 2 2 3 3" xfId="8284"/>
    <cellStyle name="Percent 3 2 2 2 3 3 2" xfId="8285"/>
    <cellStyle name="Percent 3 2 2 2 3 4" xfId="8286"/>
    <cellStyle name="Percent 3 2 2 2 4" xfId="8287"/>
    <cellStyle name="Percent 3 2 2 2 4 2" xfId="8288"/>
    <cellStyle name="Percent 3 2 2 2 5" xfId="8289"/>
    <cellStyle name="Percent 3 2 2 2 5 2" xfId="8290"/>
    <cellStyle name="Percent 3 2 2 2 6" xfId="8291"/>
    <cellStyle name="Percent 3 2 2 3" xfId="8292"/>
    <cellStyle name="Percent 3 2 2 3 2" xfId="8293"/>
    <cellStyle name="Percent 3 2 2 3 2 2" xfId="8294"/>
    <cellStyle name="Percent 3 2 2 3 2 2 2" xfId="8295"/>
    <cellStyle name="Percent 3 2 2 3 2 3" xfId="8296"/>
    <cellStyle name="Percent 3 2 2 3 2 3 2" xfId="8297"/>
    <cellStyle name="Percent 3 2 2 3 2 4" xfId="8298"/>
    <cellStyle name="Percent 3 2 2 3 3" xfId="8299"/>
    <cellStyle name="Percent 3 2 2 3 3 2" xfId="8300"/>
    <cellStyle name="Percent 3 2 2 3 4" xfId="8301"/>
    <cellStyle name="Percent 3 2 2 3 4 2" xfId="8302"/>
    <cellStyle name="Percent 3 2 2 3 5" xfId="8303"/>
    <cellStyle name="Percent 3 2 2 4" xfId="8304"/>
    <cellStyle name="Percent 3 2 2 4 2" xfId="8305"/>
    <cellStyle name="Percent 3 2 2 4 2 2" xfId="8306"/>
    <cellStyle name="Percent 3 2 2 4 3" xfId="8307"/>
    <cellStyle name="Percent 3 2 2 4 3 2" xfId="8308"/>
    <cellStyle name="Percent 3 2 2 4 4" xfId="8309"/>
    <cellStyle name="Percent 3 2 2 5" xfId="8310"/>
    <cellStyle name="Percent 3 2 2 5 2" xfId="8311"/>
    <cellStyle name="Percent 3 2 2 6" xfId="8312"/>
    <cellStyle name="Percent 3 2 2 6 2" xfId="8313"/>
    <cellStyle name="Percent 3 2 2 7" xfId="8314"/>
    <cellStyle name="Percent 3 2 3" xfId="8315"/>
    <cellStyle name="Percent 3 2 3 2" xfId="8316"/>
    <cellStyle name="Percent 3 2 3 2 2" xfId="8317"/>
    <cellStyle name="Percent 3 2 3 2 2 2" xfId="8318"/>
    <cellStyle name="Percent 3 2 3 2 2 2 2" xfId="8319"/>
    <cellStyle name="Percent 3 2 3 2 2 3" xfId="8320"/>
    <cellStyle name="Percent 3 2 3 2 2 3 2" xfId="8321"/>
    <cellStyle name="Percent 3 2 3 2 2 4" xfId="8322"/>
    <cellStyle name="Percent 3 2 3 2 3" xfId="8323"/>
    <cellStyle name="Percent 3 2 3 2 3 2" xfId="8324"/>
    <cellStyle name="Percent 3 2 3 2 4" xfId="8325"/>
    <cellStyle name="Percent 3 2 3 2 4 2" xfId="8326"/>
    <cellStyle name="Percent 3 2 3 2 5" xfId="8327"/>
    <cellStyle name="Percent 3 2 3 3" xfId="8328"/>
    <cellStyle name="Percent 3 2 3 3 2" xfId="8329"/>
    <cellStyle name="Percent 3 2 3 3 2 2" xfId="8330"/>
    <cellStyle name="Percent 3 2 3 3 3" xfId="8331"/>
    <cellStyle name="Percent 3 2 3 3 3 2" xfId="8332"/>
    <cellStyle name="Percent 3 2 3 3 4" xfId="8333"/>
    <cellStyle name="Percent 3 2 3 4" xfId="8334"/>
    <cellStyle name="Percent 3 2 3 4 2" xfId="8335"/>
    <cellStyle name="Percent 3 2 3 5" xfId="8336"/>
    <cellStyle name="Percent 3 2 3 5 2" xfId="8337"/>
    <cellStyle name="Percent 3 2 3 6" xfId="8338"/>
    <cellStyle name="Percent 3 2 4" xfId="8339"/>
    <cellStyle name="Percent 3 2 4 2" xfId="8340"/>
    <cellStyle name="Percent 3 2 4 2 2" xfId="8341"/>
    <cellStyle name="Percent 3 2 4 2 2 2" xfId="8342"/>
    <cellStyle name="Percent 3 2 4 2 3" xfId="8343"/>
    <cellStyle name="Percent 3 2 4 2 3 2" xfId="8344"/>
    <cellStyle name="Percent 3 2 4 2 4" xfId="8345"/>
    <cellStyle name="Percent 3 2 4 3" xfId="8346"/>
    <cellStyle name="Percent 3 2 4 3 2" xfId="8347"/>
    <cellStyle name="Percent 3 2 4 4" xfId="8348"/>
    <cellStyle name="Percent 3 2 4 4 2" xfId="8349"/>
    <cellStyle name="Percent 3 2 4 5" xfId="8350"/>
    <cellStyle name="Percent 3 2 5" xfId="8351"/>
    <cellStyle name="Percent 3 2 5 2" xfId="8352"/>
    <cellStyle name="Percent 3 2 5 2 2" xfId="8353"/>
    <cellStyle name="Percent 3 2 5 3" xfId="8354"/>
    <cellStyle name="Percent 3 2 5 3 2" xfId="8355"/>
    <cellStyle name="Percent 3 2 5 4" xfId="8356"/>
    <cellStyle name="Percent 3 2 6" xfId="8357"/>
    <cellStyle name="Percent 3 2 6 2" xfId="8358"/>
    <cellStyle name="Percent 3 2 7" xfId="8359"/>
    <cellStyle name="Percent 3 2 7 2" xfId="8360"/>
    <cellStyle name="Percent 3 2 8" xfId="8361"/>
    <cellStyle name="Percent 3 3" xfId="8362"/>
    <cellStyle name="Percent 3 3 2" xfId="8363"/>
    <cellStyle name="Percent 3 3 2 2" xfId="8364"/>
    <cellStyle name="Percent 3 3 2 2 2" xfId="8365"/>
    <cellStyle name="Percent 3 3 2 2 2 2" xfId="8366"/>
    <cellStyle name="Percent 3 3 2 2 2 2 2" xfId="8367"/>
    <cellStyle name="Percent 3 3 2 2 2 3" xfId="8368"/>
    <cellStyle name="Percent 3 3 2 2 2 3 2" xfId="8369"/>
    <cellStyle name="Percent 3 3 2 2 2 4" xfId="8370"/>
    <cellStyle name="Percent 3 3 2 2 3" xfId="8371"/>
    <cellStyle name="Percent 3 3 2 2 3 2" xfId="8372"/>
    <cellStyle name="Percent 3 3 2 2 4" xfId="8373"/>
    <cellStyle name="Percent 3 3 2 2 4 2" xfId="8374"/>
    <cellStyle name="Percent 3 3 2 2 5" xfId="8375"/>
    <cellStyle name="Percent 3 3 2 3" xfId="8376"/>
    <cellStyle name="Percent 3 3 2 3 2" xfId="8377"/>
    <cellStyle name="Percent 3 3 2 3 2 2" xfId="8378"/>
    <cellStyle name="Percent 3 3 2 3 3" xfId="8379"/>
    <cellStyle name="Percent 3 3 2 3 3 2" xfId="8380"/>
    <cellStyle name="Percent 3 3 2 3 4" xfId="8381"/>
    <cellStyle name="Percent 3 3 2 4" xfId="8382"/>
    <cellStyle name="Percent 3 3 2 4 2" xfId="8383"/>
    <cellStyle name="Percent 3 3 2 5" xfId="8384"/>
    <cellStyle name="Percent 3 3 2 5 2" xfId="8385"/>
    <cellStyle name="Percent 3 3 2 6" xfId="8386"/>
    <cellStyle name="Percent 3 3 3" xfId="8387"/>
    <cellStyle name="Percent 3 3 3 2" xfId="8388"/>
    <cellStyle name="Percent 3 3 3 2 2" xfId="8389"/>
    <cellStyle name="Percent 3 3 3 2 2 2" xfId="8390"/>
    <cellStyle name="Percent 3 3 3 2 3" xfId="8391"/>
    <cellStyle name="Percent 3 3 3 2 3 2" xfId="8392"/>
    <cellStyle name="Percent 3 3 3 2 4" xfId="8393"/>
    <cellStyle name="Percent 3 3 3 3" xfId="8394"/>
    <cellStyle name="Percent 3 3 3 3 2" xfId="8395"/>
    <cellStyle name="Percent 3 3 3 4" xfId="8396"/>
    <cellStyle name="Percent 3 3 3 4 2" xfId="8397"/>
    <cellStyle name="Percent 3 3 3 5" xfId="8398"/>
    <cellStyle name="Percent 3 3 4" xfId="8399"/>
    <cellStyle name="Percent 3 3 4 2" xfId="8400"/>
    <cellStyle name="Percent 3 3 4 2 2" xfId="8401"/>
    <cellStyle name="Percent 3 3 4 3" xfId="8402"/>
    <cellStyle name="Percent 3 3 4 3 2" xfId="8403"/>
    <cellStyle name="Percent 3 3 4 4" xfId="8404"/>
    <cellStyle name="Percent 3 3 5" xfId="8405"/>
    <cellStyle name="Percent 3 3 5 2" xfId="8406"/>
    <cellStyle name="Percent 3 3 6" xfId="8407"/>
    <cellStyle name="Percent 3 3 6 2" xfId="8408"/>
    <cellStyle name="Percent 3 3 7" xfId="8409"/>
    <cellStyle name="Percent 3 4" xfId="8410"/>
    <cellStyle name="Percent 3 4 2" xfId="8411"/>
    <cellStyle name="Percent 3 4 2 2" xfId="8412"/>
    <cellStyle name="Percent 3 4 2 2 2" xfId="8413"/>
    <cellStyle name="Percent 3 4 2 2 2 2" xfId="8414"/>
    <cellStyle name="Percent 3 4 2 2 2 2 2" xfId="8415"/>
    <cellStyle name="Percent 3 4 2 2 2 3" xfId="8416"/>
    <cellStyle name="Percent 3 4 2 2 2 3 2" xfId="8417"/>
    <cellStyle name="Percent 3 4 2 2 2 4" xfId="8418"/>
    <cellStyle name="Percent 3 4 2 2 3" xfId="8419"/>
    <cellStyle name="Percent 3 4 2 2 3 2" xfId="8420"/>
    <cellStyle name="Percent 3 4 2 2 4" xfId="8421"/>
    <cellStyle name="Percent 3 4 2 2 4 2" xfId="8422"/>
    <cellStyle name="Percent 3 4 2 2 5" xfId="8423"/>
    <cellStyle name="Percent 3 4 2 3" xfId="8424"/>
    <cellStyle name="Percent 3 4 2 3 2" xfId="8425"/>
    <cellStyle name="Percent 3 4 2 3 2 2" xfId="8426"/>
    <cellStyle name="Percent 3 4 2 3 3" xfId="8427"/>
    <cellStyle name="Percent 3 4 2 3 3 2" xfId="8428"/>
    <cellStyle name="Percent 3 4 2 3 4" xfId="8429"/>
    <cellStyle name="Percent 3 4 2 4" xfId="8430"/>
    <cellStyle name="Percent 3 4 2 4 2" xfId="8431"/>
    <cellStyle name="Percent 3 4 2 5" xfId="8432"/>
    <cellStyle name="Percent 3 4 2 5 2" xfId="8433"/>
    <cellStyle name="Percent 3 4 2 6" xfId="8434"/>
    <cellStyle name="Percent 3 4 3" xfId="8435"/>
    <cellStyle name="Percent 3 4 3 2" xfId="8436"/>
    <cellStyle name="Percent 3 4 3 2 2" xfId="8437"/>
    <cellStyle name="Percent 3 4 3 2 2 2" xfId="8438"/>
    <cellStyle name="Percent 3 4 3 2 3" xfId="8439"/>
    <cellStyle name="Percent 3 4 3 2 3 2" xfId="8440"/>
    <cellStyle name="Percent 3 4 3 2 4" xfId="8441"/>
    <cellStyle name="Percent 3 4 3 3" xfId="8442"/>
    <cellStyle name="Percent 3 4 3 3 2" xfId="8443"/>
    <cellStyle name="Percent 3 4 3 4" xfId="8444"/>
    <cellStyle name="Percent 3 4 3 4 2" xfId="8445"/>
    <cellStyle name="Percent 3 4 3 5" xfId="8446"/>
    <cellStyle name="Percent 3 4 4" xfId="8447"/>
    <cellStyle name="Percent 3 4 4 2" xfId="8448"/>
    <cellStyle name="Percent 3 4 4 2 2" xfId="8449"/>
    <cellStyle name="Percent 3 4 4 3" xfId="8450"/>
    <cellStyle name="Percent 3 4 4 3 2" xfId="8451"/>
    <cellStyle name="Percent 3 4 4 4" xfId="8452"/>
    <cellStyle name="Percent 3 4 5" xfId="8453"/>
    <cellStyle name="Percent 3 4 5 2" xfId="8454"/>
    <cellStyle name="Percent 3 4 6" xfId="8455"/>
    <cellStyle name="Percent 3 4 6 2" xfId="8456"/>
    <cellStyle name="Percent 3 4 7" xfId="8457"/>
    <cellStyle name="Percent 3 5" xfId="8458"/>
    <cellStyle name="Percent 3 5 2" xfId="8459"/>
    <cellStyle name="Percent 3 6" xfId="8460"/>
    <cellStyle name="Percent 3 6 2" xfId="8461"/>
    <cellStyle name="Percent 3 6 2 2" xfId="8462"/>
    <cellStyle name="Percent 3 6 2 2 2" xfId="8463"/>
    <cellStyle name="Percent 3 6 2 3" xfId="8464"/>
    <cellStyle name="Percent 3 6 2 3 2" xfId="8465"/>
    <cellStyle name="Percent 3 6 2 4" xfId="8466"/>
    <cellStyle name="Percent 3 6 3" xfId="8467"/>
    <cellStyle name="Percent 3 6 3 2" xfId="8468"/>
    <cellStyle name="Percent 3 6 4" xfId="8469"/>
    <cellStyle name="Percent 3 6 4 2" xfId="8470"/>
    <cellStyle name="Percent 3 6 5" xfId="8471"/>
    <cellStyle name="Percent 3 7" xfId="8472"/>
    <cellStyle name="Percent 3 7 2" xfId="8473"/>
    <cellStyle name="Percent 3 7 2 2" xfId="8474"/>
    <cellStyle name="Percent 3 7 3" xfId="8475"/>
    <cellStyle name="Percent 3 7 3 2" xfId="8476"/>
    <cellStyle name="Percent 3 7 4" xfId="8477"/>
    <cellStyle name="Percent 3 8" xfId="8478"/>
    <cellStyle name="Percent 3 8 2" xfId="8479"/>
    <cellStyle name="Percent 3 9" xfId="8480"/>
    <cellStyle name="Percent 3 9 2" xfId="8481"/>
    <cellStyle name="Percent 4" xfId="8482"/>
    <cellStyle name="Percent 4 2" xfId="8483"/>
    <cellStyle name="Percent 4 2 2" xfId="8484"/>
    <cellStyle name="Percent 4 3" xfId="8485"/>
    <cellStyle name="Percent 4 3 2" xfId="8486"/>
    <cellStyle name="Percent 4 4" xfId="8487"/>
    <cellStyle name="Percent 4 4 2" xfId="8488"/>
    <cellStyle name="Percent 4 4 2 2" xfId="8489"/>
    <cellStyle name="Percent 4 4 3" xfId="8490"/>
    <cellStyle name="Percent 4 5" xfId="8491"/>
    <cellStyle name="Percent 5" xfId="8492"/>
    <cellStyle name="Percent 5 2" xfId="8493"/>
    <cellStyle name="Percent 5 2 2" xfId="8494"/>
    <cellStyle name="Percent 5 2 2 2" xfId="8495"/>
    <cellStyle name="Percent 5 2 2 2 2" xfId="8496"/>
    <cellStyle name="Percent 5 2 2 2 2 2" xfId="8497"/>
    <cellStyle name="Percent 5 2 2 2 2 2 2" xfId="8498"/>
    <cellStyle name="Percent 5 2 2 2 2 3" xfId="8499"/>
    <cellStyle name="Percent 5 2 2 2 2 3 2" xfId="8500"/>
    <cellStyle name="Percent 5 2 2 2 2 4" xfId="8501"/>
    <cellStyle name="Percent 5 2 2 2 3" xfId="8502"/>
    <cellStyle name="Percent 5 2 2 2 3 2" xfId="8503"/>
    <cellStyle name="Percent 5 2 2 2 4" xfId="8504"/>
    <cellStyle name="Percent 5 2 2 2 4 2" xfId="8505"/>
    <cellStyle name="Percent 5 2 2 2 5" xfId="8506"/>
    <cellStyle name="Percent 5 2 2 3" xfId="8507"/>
    <cellStyle name="Percent 5 2 2 3 2" xfId="8508"/>
    <cellStyle name="Percent 5 2 2 3 2 2" xfId="8509"/>
    <cellStyle name="Percent 5 2 2 3 3" xfId="8510"/>
    <cellStyle name="Percent 5 2 2 3 3 2" xfId="8511"/>
    <cellStyle name="Percent 5 2 2 3 4" xfId="8512"/>
    <cellStyle name="Percent 5 2 2 4" xfId="8513"/>
    <cellStyle name="Percent 5 2 2 4 2" xfId="8514"/>
    <cellStyle name="Percent 5 2 2 5" xfId="8515"/>
    <cellStyle name="Percent 5 2 2 5 2" xfId="8516"/>
    <cellStyle name="Percent 5 2 2 6" xfId="8517"/>
    <cellStyle name="Percent 5 2 3" xfId="8518"/>
    <cellStyle name="Percent 5 2 3 2" xfId="8519"/>
    <cellStyle name="Percent 5 2 3 2 2" xfId="8520"/>
    <cellStyle name="Percent 5 2 3 2 2 2" xfId="8521"/>
    <cellStyle name="Percent 5 2 3 2 3" xfId="8522"/>
    <cellStyle name="Percent 5 2 3 2 3 2" xfId="8523"/>
    <cellStyle name="Percent 5 2 3 2 4" xfId="8524"/>
    <cellStyle name="Percent 5 2 3 3" xfId="8525"/>
    <cellStyle name="Percent 5 2 3 3 2" xfId="8526"/>
    <cellStyle name="Percent 5 2 3 4" xfId="8527"/>
    <cellStyle name="Percent 5 2 3 4 2" xfId="8528"/>
    <cellStyle name="Percent 5 2 3 5" xfId="8529"/>
    <cellStyle name="Percent 5 2 4" xfId="8530"/>
    <cellStyle name="Percent 5 2 4 2" xfId="8531"/>
    <cellStyle name="Percent 5 2 4 2 2" xfId="8532"/>
    <cellStyle name="Percent 5 2 4 3" xfId="8533"/>
    <cellStyle name="Percent 5 2 4 3 2" xfId="8534"/>
    <cellStyle name="Percent 5 2 4 4" xfId="8535"/>
    <cellStyle name="Percent 5 2 5" xfId="8536"/>
    <cellStyle name="Percent 5 2 5 2" xfId="8537"/>
    <cellStyle name="Percent 5 2 6" xfId="8538"/>
    <cellStyle name="Percent 5 2 6 2" xfId="8539"/>
    <cellStyle name="Percent 5 2 7" xfId="8540"/>
    <cellStyle name="Percent 5 3" xfId="8541"/>
    <cellStyle name="Percent 5 3 2" xfId="8542"/>
    <cellStyle name="Percent 5 3 2 2" xfId="8543"/>
    <cellStyle name="Percent 5 3 2 2 2" xfId="8544"/>
    <cellStyle name="Percent 5 3 2 2 2 2" xfId="8545"/>
    <cellStyle name="Percent 5 3 2 2 3" xfId="8546"/>
    <cellStyle name="Percent 5 3 2 2 3 2" xfId="8547"/>
    <cellStyle name="Percent 5 3 2 2 4" xfId="8548"/>
    <cellStyle name="Percent 5 3 2 3" xfId="8549"/>
    <cellStyle name="Percent 5 3 2 3 2" xfId="8550"/>
    <cellStyle name="Percent 5 3 2 4" xfId="8551"/>
    <cellStyle name="Percent 5 3 2 4 2" xfId="8552"/>
    <cellStyle name="Percent 5 3 2 5" xfId="8553"/>
    <cellStyle name="Percent 5 3 3" xfId="8554"/>
    <cellStyle name="Percent 5 3 3 2" xfId="8555"/>
    <cellStyle name="Percent 5 3 3 2 2" xfId="8556"/>
    <cellStyle name="Percent 5 3 3 3" xfId="8557"/>
    <cellStyle name="Percent 5 3 3 3 2" xfId="8558"/>
    <cellStyle name="Percent 5 3 3 4" xfId="8559"/>
    <cellStyle name="Percent 5 3 4" xfId="8560"/>
    <cellStyle name="Percent 5 3 4 2" xfId="8561"/>
    <cellStyle name="Percent 5 3 5" xfId="8562"/>
    <cellStyle name="Percent 5 3 5 2" xfId="8563"/>
    <cellStyle name="Percent 5 3 6" xfId="8564"/>
    <cellStyle name="Percent 5 4" xfId="8565"/>
    <cellStyle name="Percent 5 4 2" xfId="8566"/>
    <cellStyle name="Percent 5 4 2 2" xfId="8567"/>
    <cellStyle name="Percent 5 4 2 2 2" xfId="8568"/>
    <cellStyle name="Percent 5 4 2 3" xfId="8569"/>
    <cellStyle name="Percent 5 4 2 3 2" xfId="8570"/>
    <cellStyle name="Percent 5 4 2 4" xfId="8571"/>
    <cellStyle name="Percent 5 4 3" xfId="8572"/>
    <cellStyle name="Percent 5 4 3 2" xfId="8573"/>
    <cellStyle name="Percent 5 4 4" xfId="8574"/>
    <cellStyle name="Percent 5 4 4 2" xfId="8575"/>
    <cellStyle name="Percent 5 4 5" xfId="8576"/>
    <cellStyle name="Percent 5 5" xfId="8577"/>
    <cellStyle name="Percent 5 5 2" xfId="8578"/>
    <cellStyle name="Percent 5 5 2 2" xfId="8579"/>
    <cellStyle name="Percent 5 5 3" xfId="8580"/>
    <cellStyle name="Percent 5 5 3 2" xfId="8581"/>
    <cellStyle name="Percent 5 5 4" xfId="8582"/>
    <cellStyle name="Percent 5 6" xfId="8583"/>
    <cellStyle name="Percent 5 6 2" xfId="8584"/>
    <cellStyle name="Percent 5 7" xfId="8585"/>
    <cellStyle name="Percent 5 7 2" xfId="8586"/>
    <cellStyle name="Percent 5 8" xfId="8587"/>
    <cellStyle name="Percent 6" xfId="8588"/>
    <cellStyle name="Percent 6 2" xfId="8589"/>
    <cellStyle name="Percent 6 2 2" xfId="8590"/>
    <cellStyle name="Percent 6 2 2 2" xfId="8591"/>
    <cellStyle name="Percent 6 2 2 2 2" xfId="8592"/>
    <cellStyle name="Percent 6 2 2 2 2 2" xfId="8593"/>
    <cellStyle name="Percent 6 2 2 2 3" xfId="8594"/>
    <cellStyle name="Percent 6 2 2 2 3 2" xfId="8595"/>
    <cellStyle name="Percent 6 2 2 2 4" xfId="8596"/>
    <cellStyle name="Percent 6 2 2 3" xfId="8597"/>
    <cellStyle name="Percent 6 2 2 3 2" xfId="8598"/>
    <cellStyle name="Percent 6 2 2 4" xfId="8599"/>
    <cellStyle name="Percent 6 2 2 4 2" xfId="8600"/>
    <cellStyle name="Percent 6 2 2 5" xfId="8601"/>
    <cellStyle name="Percent 6 2 3" xfId="8602"/>
    <cellStyle name="Percent 6 2 3 2" xfId="8603"/>
    <cellStyle name="Percent 6 2 3 2 2" xfId="8604"/>
    <cellStyle name="Percent 6 2 3 3" xfId="8605"/>
    <cellStyle name="Percent 6 2 3 3 2" xfId="8606"/>
    <cellStyle name="Percent 6 2 3 4" xfId="8607"/>
    <cellStyle name="Percent 6 2 4" xfId="8608"/>
    <cellStyle name="Percent 6 2 4 2" xfId="8609"/>
    <cellStyle name="Percent 6 2 5" xfId="8610"/>
    <cellStyle name="Percent 6 2 5 2" xfId="8611"/>
    <cellStyle name="Percent 6 2 6" xfId="8612"/>
    <cellStyle name="Percent 6 3" xfId="8613"/>
    <cellStyle name="Percent 6 3 2" xfId="8614"/>
    <cellStyle name="Percent 6 3 2 2" xfId="8615"/>
    <cellStyle name="Percent 6 3 2 2 2" xfId="8616"/>
    <cellStyle name="Percent 6 3 2 3" xfId="8617"/>
    <cellStyle name="Percent 6 3 2 3 2" xfId="8618"/>
    <cellStyle name="Percent 6 3 2 4" xfId="8619"/>
    <cellStyle name="Percent 6 3 3" xfId="8620"/>
    <cellStyle name="Percent 6 3 3 2" xfId="8621"/>
    <cellStyle name="Percent 6 3 4" xfId="8622"/>
    <cellStyle name="Percent 6 3 4 2" xfId="8623"/>
    <cellStyle name="Percent 6 3 5" xfId="8624"/>
    <cellStyle name="Percent 6 4" xfId="8625"/>
    <cellStyle name="Percent 6 4 2" xfId="8626"/>
    <cellStyle name="Percent 6 4 2 2" xfId="8627"/>
    <cellStyle name="Percent 6 4 3" xfId="8628"/>
    <cellStyle name="Percent 6 4 3 2" xfId="8629"/>
    <cellStyle name="Percent 6 4 4" xfId="8630"/>
    <cellStyle name="Percent 6 5" xfId="8631"/>
    <cellStyle name="Percent 6 5 2" xfId="8632"/>
    <cellStyle name="Percent 6 6" xfId="8633"/>
    <cellStyle name="Percent 6 6 2" xfId="8634"/>
    <cellStyle name="Percent 6 7" xfId="8635"/>
    <cellStyle name="Percent 7" xfId="8636"/>
    <cellStyle name="Percent 7 2" xfId="8637"/>
    <cellStyle name="Percent 7 2 2" xfId="8638"/>
    <cellStyle name="Percent 7 2 2 2" xfId="8639"/>
    <cellStyle name="Percent 7 2 2 2 2" xfId="8640"/>
    <cellStyle name="Percent 7 2 2 2 2 2" xfId="8641"/>
    <cellStyle name="Percent 7 2 2 2 3" xfId="8642"/>
    <cellStyle name="Percent 7 2 2 2 3 2" xfId="8643"/>
    <cellStyle name="Percent 7 2 2 2 4" xfId="8644"/>
    <cellStyle name="Percent 7 2 2 3" xfId="8645"/>
    <cellStyle name="Percent 7 2 2 3 2" xfId="8646"/>
    <cellStyle name="Percent 7 2 2 4" xfId="8647"/>
    <cellStyle name="Percent 7 2 2 4 2" xfId="8648"/>
    <cellStyle name="Percent 7 2 2 5" xfId="8649"/>
    <cellStyle name="Percent 7 2 3" xfId="8650"/>
    <cellStyle name="Percent 7 2 3 2" xfId="8651"/>
    <cellStyle name="Percent 7 2 3 2 2" xfId="8652"/>
    <cellStyle name="Percent 7 2 3 3" xfId="8653"/>
    <cellStyle name="Percent 7 2 3 3 2" xfId="8654"/>
    <cellStyle name="Percent 7 2 3 4" xfId="8655"/>
    <cellStyle name="Percent 7 2 4" xfId="8656"/>
    <cellStyle name="Percent 7 2 4 2" xfId="8657"/>
    <cellStyle name="Percent 7 2 5" xfId="8658"/>
    <cellStyle name="Percent 7 2 5 2" xfId="8659"/>
    <cellStyle name="Percent 7 2 6" xfId="8660"/>
    <cellStyle name="Percent 7 3" xfId="8661"/>
    <cellStyle name="Percent 7 3 2" xfId="8662"/>
    <cellStyle name="Percent 7 3 2 2" xfId="8663"/>
    <cellStyle name="Percent 7 3 2 2 2" xfId="8664"/>
    <cellStyle name="Percent 7 3 2 3" xfId="8665"/>
    <cellStyle name="Percent 7 3 2 3 2" xfId="8666"/>
    <cellStyle name="Percent 7 3 2 4" xfId="8667"/>
    <cellStyle name="Percent 7 3 3" xfId="8668"/>
    <cellStyle name="Percent 7 3 3 2" xfId="8669"/>
    <cellStyle name="Percent 7 3 4" xfId="8670"/>
    <cellStyle name="Percent 7 3 4 2" xfId="8671"/>
    <cellStyle name="Percent 7 3 5" xfId="8672"/>
    <cellStyle name="Percent 7 4" xfId="8673"/>
    <cellStyle name="Percent 7 4 2" xfId="8674"/>
    <cellStyle name="Percent 7 4 2 2" xfId="8675"/>
    <cellStyle name="Percent 7 4 3" xfId="8676"/>
    <cellStyle name="Percent 7 4 3 2" xfId="8677"/>
    <cellStyle name="Percent 7 4 4" xfId="8678"/>
    <cellStyle name="Percent 7 5" xfId="8679"/>
    <cellStyle name="Percent 7 5 2" xfId="8680"/>
    <cellStyle name="Percent 7 6" xfId="8681"/>
    <cellStyle name="Percent 7 6 2" xfId="8682"/>
    <cellStyle name="Percent 7 7" xfId="8683"/>
    <cellStyle name="Percent 8" xfId="8684"/>
    <cellStyle name="Percent 8 2" xfId="8685"/>
    <cellStyle name="Percent 8 2 2" xfId="8686"/>
    <cellStyle name="Percent 8 2 2 2" xfId="8687"/>
    <cellStyle name="Percent 8 2 2 2 2" xfId="8688"/>
    <cellStyle name="Percent 8 2 2 3" xfId="8689"/>
    <cellStyle name="Percent 8 2 2 3 2" xfId="8690"/>
    <cellStyle name="Percent 8 2 2 4" xfId="8691"/>
    <cellStyle name="Percent 8 2 3" xfId="8692"/>
    <cellStyle name="Percent 8 2 3 2" xfId="8693"/>
    <cellStyle name="Percent 8 2 4" xfId="8694"/>
    <cellStyle name="Percent 8 2 4 2" xfId="8695"/>
    <cellStyle name="Percent 8 2 5" xfId="8696"/>
    <cellStyle name="Percent 8 3" xfId="8697"/>
    <cellStyle name="Percent 8 3 2" xfId="8698"/>
    <cellStyle name="Percent 8 3 2 2" xfId="8699"/>
    <cellStyle name="Percent 8 3 3" xfId="8700"/>
    <cellStyle name="Percent 8 3 3 2" xfId="8701"/>
    <cellStyle name="Percent 8 3 4" xfId="8702"/>
    <cellStyle name="Percent 8 4" xfId="8703"/>
    <cellStyle name="Percent 8 4 2" xfId="8704"/>
    <cellStyle name="Percent 8 5" xfId="8705"/>
    <cellStyle name="Percent 8 5 2" xfId="8706"/>
    <cellStyle name="Percent 8 6" xfId="8707"/>
    <cellStyle name="Percent 8 7" xfId="8708"/>
    <cellStyle name="Percent 9" xfId="8709"/>
    <cellStyle name="Percent 9 2" xfId="8710"/>
    <cellStyle name="Percent 9 3" xfId="8711"/>
    <cellStyle name="Percent 9 4" xfId="8712"/>
    <cellStyle name="Percent(1)" xfId="8713"/>
    <cellStyle name="Percent(2)" xfId="8714"/>
    <cellStyle name="Posting_Period" xfId="8715"/>
    <cellStyle name="PRM" xfId="8716"/>
    <cellStyle name="PRM 2" xfId="8717"/>
    <cellStyle name="PRM 3" xfId="8718"/>
    <cellStyle name="PRM_2011-11" xfId="8719"/>
    <cellStyle name="PS_Comma" xfId="8720"/>
    <cellStyle name="PSChar" xfId="8721"/>
    <cellStyle name="PSDate" xfId="8722"/>
    <cellStyle name="PSDec" xfId="8723"/>
    <cellStyle name="PSHeading" xfId="8724"/>
    <cellStyle name="PSHeading 2" xfId="8725"/>
    <cellStyle name="PSHeading 2 2" xfId="8726"/>
    <cellStyle name="PSInt" xfId="8727"/>
    <cellStyle name="PSSpacer" xfId="8728"/>
    <cellStyle name="Reset  - Style4" xfId="8729"/>
    <cellStyle name="Reset  - Style7" xfId="8730"/>
    <cellStyle name="STYL0 - Style1" xfId="8731"/>
    <cellStyle name="STYL1 - Style2" xfId="8732"/>
    <cellStyle name="STYL2 - Style3" xfId="8733"/>
    <cellStyle name="STYL3 - Style4" xfId="8734"/>
    <cellStyle name="STYL4 - Style5" xfId="8735"/>
    <cellStyle name="STYL5 - Style6" xfId="8736"/>
    <cellStyle name="STYL6 - Style7" xfId="8737"/>
    <cellStyle name="STYL7 - Style8" xfId="8738"/>
    <cellStyle name="Style 1" xfId="8739"/>
    <cellStyle name="Style 1 2" xfId="8740"/>
    <cellStyle name="Style 1 2 2" xfId="8741"/>
    <cellStyle name="Style 1 3" xfId="8742"/>
    <cellStyle name="Style 1 4" xfId="8743"/>
    <cellStyle name="Style 1_Recycle Center Commodities MRF" xfId="8744"/>
    <cellStyle name="STYLE1" xfId="8745"/>
    <cellStyle name="STYLE1 2" xfId="8746"/>
    <cellStyle name="sub heading" xfId="8747"/>
    <cellStyle name="Table  - Style5" xfId="8748"/>
    <cellStyle name="Table  - Style5 2" xfId="8749"/>
    <cellStyle name="Table  - Style5 3" xfId="8750"/>
    <cellStyle name="Table  - Style5 4" xfId="8751"/>
    <cellStyle name="Table  - Style5 5" xfId="8752"/>
    <cellStyle name="Table  - Style6" xfId="8753"/>
    <cellStyle name="Table  - Style6 2" xfId="8754"/>
    <cellStyle name="Table  - Style6 3" xfId="8755"/>
    <cellStyle name="Table  - Style6 4" xfId="8756"/>
    <cellStyle name="Table  - Style6 5" xfId="8757"/>
    <cellStyle name="Tax_Rate" xfId="8758"/>
    <cellStyle name="Title" xfId="8759" builtinId="15" customBuiltin="1"/>
    <cellStyle name="Title  - Style1" xfId="8760"/>
    <cellStyle name="Title  - Style6" xfId="8761"/>
    <cellStyle name="Title 10" xfId="8762"/>
    <cellStyle name="Title 11" xfId="8763"/>
    <cellStyle name="Title 12" xfId="8764"/>
    <cellStyle name="Title 2" xfId="8765"/>
    <cellStyle name="Title 2 2" xfId="8766"/>
    <cellStyle name="Title 2 2 2" xfId="8767"/>
    <cellStyle name="Title 2 3" xfId="8768"/>
    <cellStyle name="Title 3" xfId="8769"/>
    <cellStyle name="Title 3 2" xfId="8770"/>
    <cellStyle name="Title 4" xfId="8771"/>
    <cellStyle name="Title 5" xfId="8772"/>
    <cellStyle name="Title 6" xfId="8773"/>
    <cellStyle name="Title 7" xfId="8774"/>
    <cellStyle name="Title 8" xfId="8775"/>
    <cellStyle name="Title 9" xfId="8776"/>
    <cellStyle name="Total" xfId="8777" builtinId="25" customBuiltin="1"/>
    <cellStyle name="Total 2" xfId="8778"/>
    <cellStyle name="Total 2 2" xfId="8779"/>
    <cellStyle name="Total 2 2 2" xfId="8780"/>
    <cellStyle name="Total 2 2 2 2" xfId="8781"/>
    <cellStyle name="Total 2 2 2 3" xfId="8782"/>
    <cellStyle name="Total 2 2 2 4" xfId="8783"/>
    <cellStyle name="Total 2 2 2 5" xfId="8784"/>
    <cellStyle name="Total 2 2 3" xfId="8785"/>
    <cellStyle name="Total 2 2 3 2" xfId="8786"/>
    <cellStyle name="Total 2 2 3 3" xfId="8787"/>
    <cellStyle name="Total 2 2 3 4" xfId="8788"/>
    <cellStyle name="Total 2 2 3 5" xfId="8789"/>
    <cellStyle name="Total 2 3" xfId="8790"/>
    <cellStyle name="Total 2 3 2" xfId="8791"/>
    <cellStyle name="Total 2 3 2 2" xfId="8792"/>
    <cellStyle name="Total 2 3 2 3" xfId="8793"/>
    <cellStyle name="Total 2 3 2 4" xfId="8794"/>
    <cellStyle name="Total 2 3 2 5" xfId="8795"/>
    <cellStyle name="Total 2 3 3" xfId="8796"/>
    <cellStyle name="Total 2 3 4" xfId="8797"/>
    <cellStyle name="Total 2 3 5" xfId="8798"/>
    <cellStyle name="Total 2 3 6" xfId="8799"/>
    <cellStyle name="Total 2 4" xfId="8800"/>
    <cellStyle name="Total 2 4 2" xfId="8801"/>
    <cellStyle name="Total 2 4 2 2" xfId="8802"/>
    <cellStyle name="Total 2 4 2 3" xfId="8803"/>
    <cellStyle name="Total 2 4 2 4" xfId="8804"/>
    <cellStyle name="Total 2 4 2 5" xfId="8805"/>
    <cellStyle name="Total 2 4 3" xfId="8806"/>
    <cellStyle name="Total 2 4 4" xfId="8807"/>
    <cellStyle name="Total 2 4 5" xfId="8808"/>
    <cellStyle name="Total 2 4 6" xfId="8809"/>
    <cellStyle name="Total 2 5" xfId="8810"/>
    <cellStyle name="Total 2 5 2" xfId="8811"/>
    <cellStyle name="Total 2 5 3" xfId="8812"/>
    <cellStyle name="Total 2 5 4" xfId="8813"/>
    <cellStyle name="Total 2 5 5" xfId="8814"/>
    <cellStyle name="Total 2 6" xfId="8815"/>
    <cellStyle name="Total 3" xfId="8816"/>
    <cellStyle name="Total 3 2" xfId="8817"/>
    <cellStyle name="Total 3 2 2" xfId="8818"/>
    <cellStyle name="Total 3 2 2 2" xfId="8819"/>
    <cellStyle name="Total 3 2 2 3" xfId="8820"/>
    <cellStyle name="Total 3 2 2 4" xfId="8821"/>
    <cellStyle name="Total 3 2 2 5" xfId="8822"/>
    <cellStyle name="Total 3 2 3" xfId="8823"/>
    <cellStyle name="Total 3 2 3 2" xfId="8824"/>
    <cellStyle name="Total 3 2 3 3" xfId="8825"/>
    <cellStyle name="Total 3 2 3 4" xfId="8826"/>
    <cellStyle name="Total 3 2 3 5" xfId="8827"/>
    <cellStyle name="Total 3 3" xfId="8828"/>
    <cellStyle name="Total 3 3 2" xfId="8829"/>
    <cellStyle name="Total 3 3 2 2" xfId="8830"/>
    <cellStyle name="Total 3 3 2 3" xfId="8831"/>
    <cellStyle name="Total 3 3 2 4" xfId="8832"/>
    <cellStyle name="Total 3 3 2 5" xfId="8833"/>
    <cellStyle name="Total 3 3 3" xfId="8834"/>
    <cellStyle name="Total 3 3 4" xfId="8835"/>
    <cellStyle name="Total 3 3 5" xfId="8836"/>
    <cellStyle name="Total 3 3 6" xfId="8837"/>
    <cellStyle name="Total 3 4" xfId="8838"/>
    <cellStyle name="Total 3 4 2" xfId="8839"/>
    <cellStyle name="Total 3 4 3" xfId="8840"/>
    <cellStyle name="Total 3 4 4" xfId="8841"/>
    <cellStyle name="Total 3 4 5" xfId="8842"/>
    <cellStyle name="Total 3 5" xfId="8843"/>
    <cellStyle name="Total 3 5 2" xfId="8844"/>
    <cellStyle name="Total 3 5 3" xfId="8845"/>
    <cellStyle name="Total 3 5 4" xfId="8846"/>
    <cellStyle name="Total 3 5 5" xfId="8847"/>
    <cellStyle name="Total 4" xfId="8848"/>
    <cellStyle name="Total 4 2" xfId="8849"/>
    <cellStyle name="Total 4 3" xfId="8850"/>
    <cellStyle name="Total 4 3 2" xfId="8851"/>
    <cellStyle name="Total 4 3 3" xfId="8852"/>
    <cellStyle name="Total 4 3 4" xfId="8853"/>
    <cellStyle name="Total 4 3 5" xfId="8854"/>
    <cellStyle name="Total 4 4" xfId="8855"/>
    <cellStyle name="Total 4 5" xfId="8856"/>
    <cellStyle name="Total 4 6" xfId="8857"/>
    <cellStyle name="Total 4 7" xfId="8858"/>
    <cellStyle name="TotCol - Style5" xfId="8859"/>
    <cellStyle name="TotCol - Style7" xfId="8860"/>
    <cellStyle name="TotRow - Style4" xfId="8861"/>
    <cellStyle name="TotRow - Style4 2" xfId="8862"/>
    <cellStyle name="TotRow - Style4 3" xfId="8863"/>
    <cellStyle name="TotRow - Style4 4" xfId="8864"/>
    <cellStyle name="TotRow - Style4 5" xfId="8865"/>
    <cellStyle name="TotRow - Style8" xfId="8866"/>
    <cellStyle name="TotRow - Style8 2" xfId="8867"/>
    <cellStyle name="TotRow - Style8 3" xfId="8868"/>
    <cellStyle name="TotRow - Style8 4" xfId="8869"/>
    <cellStyle name="TotRow - Style8 5" xfId="8870"/>
    <cellStyle name="Transcript_Date" xfId="8871"/>
    <cellStyle name="Warning Text" xfId="8872" builtinId="11" customBuiltin="1"/>
    <cellStyle name="Warning Text 2" xfId="8873"/>
    <cellStyle name="Warning Text 3" xfId="8874"/>
    <cellStyle name="Warning Text 4" xfId="8875"/>
    <cellStyle name="WM_STANDARD" xfId="887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0</xdr:rowOff>
    </xdr:from>
    <xdr:to>
      <xdr:col>2</xdr:col>
      <xdr:colOff>4562475</xdr:colOff>
      <xdr:row>115</xdr:row>
      <xdr:rowOff>47625</xdr:rowOff>
    </xdr:to>
    <xdr:pic>
      <xdr:nvPicPr>
        <xdr:cNvPr id="9660"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401925"/>
          <a:ext cx="7543800" cy="764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22</xdr:row>
          <xdr:rowOff>0</xdr:rowOff>
        </xdr:from>
        <xdr:to>
          <xdr:col>2</xdr:col>
          <xdr:colOff>7477125</xdr:colOff>
          <xdr:row>75</xdr:row>
          <xdr:rowOff>0</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4857750</xdr:colOff>
          <xdr:row>77</xdr:row>
          <xdr:rowOff>38100</xdr:rowOff>
        </xdr:from>
        <xdr:to>
          <xdr:col>8</xdr:col>
          <xdr:colOff>695325</xdr:colOff>
          <xdr:row>115</xdr:row>
          <xdr:rowOff>85725</xdr:rowOff>
        </xdr:to>
        <xdr:sp macro="" textlink="">
          <xdr:nvSpPr>
            <xdr:cNvPr id="9221" name="Object 5" hidden="1">
              <a:extLst>
                <a:ext uri="{63B3BB69-23CF-44E3-9099-C40C66FF867C}">
                  <a14:compatExt spid="_x0000_s9221"/>
                </a:ext>
              </a:extLst>
            </xdr:cNvPr>
            <xdr:cNvSpPr/>
          </xdr:nvSpPr>
          <xdr:spPr>
            <a:xfrm>
              <a:off x="0" y="0"/>
              <a:ext cx="0" cy="0"/>
            </a:xfrm>
            <a:prstGeom prst="rect">
              <a:avLst/>
            </a:prstGeom>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stern%20Region/WUTC/WIP%20Files/2111%20Murrey's/2018/General%20Rate%20Filing/.Murrey's%20Proforma%209.3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stern%20Region/WUTC/WIP%20Files/2111%20Murrey's/2018/General%20Rate%20Filing/VEHICLE%20AUDIT%20REPORT%20-%20RVA_From%20distric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Western%20Region/WUTC/WUTC-Murrey%20%202111/General%20Rate%20Filings/Rate%20Filing%204-1-2016/Audit/Final/1-%20Staff%205-11-2016%20TG-160232%20CONFIDENTIAL%20M-A%20Pro%20forma%20Fina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Western%20Region/WUTC/WIP%20Files/2111%20Murrey's/2018/General%20Rate%20Filing/CI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estern%20Region/WUTC/WIP%20Files/2111%20Murrey's/Depreciation/2017/staff%20T-Stn,%20Retention%20Pond%20Detai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estern%20Region/WUTC/WIP%20Files/2131%20American/Depreciation/2017/2131%20Depr%2012-31-2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Western%20Region/WUTC/WIP%20Files/2131%20American/Depreciation/2017/staff%20Guerrero%20Tracking%20Lo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rrey's-American IS"/>
      <sheetName val="Vashon IS"/>
      <sheetName val="DM IS"/>
      <sheetName val="YoY"/>
      <sheetName val="LG Summary"/>
      <sheetName val="Consolidated IS"/>
      <sheetName val="Murrey's"/>
      <sheetName val="Vashon"/>
      <sheetName val="Hours+Tons"/>
      <sheetName val="Revenue+Cust"/>
      <sheetName val="Murrey's Rate Sheet"/>
      <sheetName val="Disposal"/>
      <sheetName val="Shop Hours"/>
      <sheetName val="Restating - Mur-Amer"/>
      <sheetName val="Restating - Vashon"/>
      <sheetName val="Restating Expl"/>
      <sheetName val="Pro forma Adj"/>
      <sheetName val="Corp OH"/>
      <sheetName val="M-A Reg OH"/>
      <sheetName val="Vashon Reg OH"/>
      <sheetName val="DM Region OH"/>
      <sheetName val="Explanations"/>
      <sheetName val="Deprec"/>
      <sheetName val="LG Total Company 2111"/>
      <sheetName val="LG Med Waste 2111"/>
      <sheetName val="LG MSW 2111"/>
      <sheetName val="LG Recycling 2111"/>
      <sheetName val="LG YW 2111"/>
      <sheetName val="LG Roll Off 2111"/>
      <sheetName val="LG Total Company 2132"/>
      <sheetName val="LG MSW 2132"/>
      <sheetName val="LG Recycle 2132"/>
      <sheetName val="Rate Schedule"/>
      <sheetName val="DVP-DivCon Allocs"/>
      <sheetName val="Fuel Adjustment"/>
      <sheetName val="M-A Payroll Schedule"/>
      <sheetName val="Vashon Payroll Schedule"/>
      <sheetName val="DM Payroll Schedule"/>
      <sheetName val="70095"/>
      <sheetName val="70195"/>
      <sheetName val="70255"/>
      <sheetName val="2111_BS_09.30.18"/>
      <sheetName val="2111_BS_09.30.17"/>
      <sheetName val="2132_BS_09.30.18"/>
      <sheetName val="2132_BS_09.30.17"/>
    </sheetNames>
    <sheetDataSet>
      <sheetData sheetId="0"/>
      <sheetData sheetId="1"/>
      <sheetData sheetId="2"/>
      <sheetData sheetId="3"/>
      <sheetData sheetId="4"/>
      <sheetData sheetId="5"/>
      <sheetData sheetId="6"/>
      <sheetData sheetId="7"/>
      <sheetData sheetId="8">
        <row r="6">
          <cell r="C6">
            <v>22764.041170611297</v>
          </cell>
        </row>
        <row r="8">
          <cell r="C8">
            <v>16259.802472392297</v>
          </cell>
        </row>
        <row r="10">
          <cell r="C10">
            <v>212.32</v>
          </cell>
        </row>
        <row r="31">
          <cell r="D31">
            <v>1.5331197013057766E-3</v>
          </cell>
        </row>
        <row r="32">
          <cell r="D32">
            <v>0.62988351543325505</v>
          </cell>
        </row>
        <row r="33">
          <cell r="D33">
            <v>0.22510999035417509</v>
          </cell>
        </row>
        <row r="34">
          <cell r="D34">
            <v>2.4862896519915283E-2</v>
          </cell>
        </row>
        <row r="35">
          <cell r="D35">
            <v>0.11861047799134868</v>
          </cell>
        </row>
        <row r="43">
          <cell r="D43">
            <v>0.3939010217212951</v>
          </cell>
        </row>
        <row r="45">
          <cell r="D45">
            <v>0.11489393538648313</v>
          </cell>
        </row>
        <row r="49">
          <cell r="D49">
            <v>9.3343051378777186E-2</v>
          </cell>
        </row>
        <row r="50">
          <cell r="D50">
            <v>5.3089287850130423E-2</v>
          </cell>
        </row>
        <row r="53">
          <cell r="D53">
            <v>0.1725849255654574</v>
          </cell>
        </row>
        <row r="54">
          <cell r="D54">
            <v>6.2304015448210126E-2</v>
          </cell>
        </row>
        <row r="55">
          <cell r="D55">
            <v>0</v>
          </cell>
        </row>
        <row r="56">
          <cell r="D56">
            <v>0</v>
          </cell>
        </row>
        <row r="57">
          <cell r="D57">
            <v>4.6366349132930303E-3</v>
          </cell>
        </row>
        <row r="59">
          <cell r="D59">
            <v>9.8433007735275857E-2</v>
          </cell>
        </row>
        <row r="61">
          <cell r="D61">
            <v>6.8141200010778417E-3</v>
          </cell>
        </row>
        <row r="62">
          <cell r="E62">
            <v>121.705</v>
          </cell>
        </row>
        <row r="72">
          <cell r="C72">
            <v>2769.2497339370584</v>
          </cell>
          <cell r="D72">
            <v>2988.5312660629415</v>
          </cell>
        </row>
        <row r="73">
          <cell r="C73">
            <v>0.48095780890885886</v>
          </cell>
          <cell r="D73">
            <v>0.51904219109114114</v>
          </cell>
        </row>
        <row r="77">
          <cell r="C77">
            <v>28979.45</v>
          </cell>
          <cell r="D77">
            <v>0.26433933568932422</v>
          </cell>
          <cell r="F77">
            <v>0.46605726405362946</v>
          </cell>
        </row>
        <row r="78">
          <cell r="C78">
            <v>20805.900000000078</v>
          </cell>
          <cell r="D78">
            <v>0.18978337354292546</v>
          </cell>
          <cell r="F78">
            <v>0.33460748323979389</v>
          </cell>
        </row>
        <row r="79">
          <cell r="C79">
            <v>12394.670000000007</v>
          </cell>
          <cell r="D79">
            <v>0.11305938635441315</v>
          </cell>
          <cell r="E79">
            <v>0.51825913814074875</v>
          </cell>
          <cell r="F79">
            <v>0.19933525270657662</v>
          </cell>
        </row>
        <row r="80">
          <cell r="C80">
            <v>35928.410000000003</v>
          </cell>
          <cell r="D80">
            <v>0.32772506144090635</v>
          </cell>
        </row>
        <row r="81">
          <cell r="D81">
            <v>0.10509284297243084</v>
          </cell>
          <cell r="E81">
            <v>0.48174086185925119</v>
          </cell>
        </row>
      </sheetData>
      <sheetData sheetId="9">
        <row r="23">
          <cell r="AA23">
            <v>0.67965605092830006</v>
          </cell>
          <cell r="AB23">
            <v>0.32034394907170005</v>
          </cell>
        </row>
        <row r="24">
          <cell r="F24">
            <v>0.35878199224963064</v>
          </cell>
        </row>
        <row r="25">
          <cell r="F25">
            <v>0.3625424551352156</v>
          </cell>
          <cell r="AA25">
            <v>0.80294263502429897</v>
          </cell>
          <cell r="AB25">
            <v>0.19705736497570109</v>
          </cell>
        </row>
        <row r="26">
          <cell r="F26">
            <v>0.21028172077893018</v>
          </cell>
        </row>
        <row r="27">
          <cell r="F27">
            <v>7.9972694601259092E-4</v>
          </cell>
          <cell r="AA27">
            <v>0.66489161645853678</v>
          </cell>
          <cell r="AB27">
            <v>0.33510838354146316</v>
          </cell>
        </row>
        <row r="28">
          <cell r="F28">
            <v>1.1413745389761349E-2</v>
          </cell>
        </row>
        <row r="29">
          <cell r="AA29">
            <v>0.988746168887909</v>
          </cell>
          <cell r="AB29">
            <v>1.1253831112090903E-2</v>
          </cell>
        </row>
        <row r="30">
          <cell r="F30">
            <v>3.7447276828616156E-2</v>
          </cell>
        </row>
        <row r="31">
          <cell r="F31">
            <v>1.7003761226016649E-2</v>
          </cell>
          <cell r="AA31">
            <v>0.64409384425112803</v>
          </cell>
          <cell r="AB31">
            <v>0.35590615574887186</v>
          </cell>
        </row>
        <row r="32">
          <cell r="F32">
            <v>1.7293214458168318E-3</v>
          </cell>
        </row>
        <row r="34">
          <cell r="D34">
            <v>104706.5653944997</v>
          </cell>
          <cell r="E34">
            <v>50346.356878858023</v>
          </cell>
          <cell r="G34">
            <v>3142.5611805079875</v>
          </cell>
          <cell r="L34">
            <v>73534.475849126989</v>
          </cell>
        </row>
        <row r="35">
          <cell r="AA35">
            <v>0.6783091436662454</v>
          </cell>
          <cell r="AB35">
            <v>0.3216908563337546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
      <sheetName val="ALL"/>
      <sheetName val="2111"/>
      <sheetName val="2132"/>
      <sheetName val="2140"/>
      <sheetName val="2150"/>
      <sheetName val="2160"/>
      <sheetName val="Truck Listing"/>
      <sheetName val="Raw Data"/>
      <sheetName val="Sheet1"/>
    </sheetNames>
    <sheetDataSet>
      <sheetData sheetId="0" refreshError="1"/>
      <sheetData sheetId="1" refreshError="1"/>
      <sheetData sheetId="2">
        <row r="2">
          <cell r="D2">
            <v>127</v>
          </cell>
          <cell r="S2">
            <v>128</v>
          </cell>
        </row>
        <row r="4">
          <cell r="S4">
            <v>84</v>
          </cell>
        </row>
        <row r="5">
          <cell r="S5">
            <v>1</v>
          </cell>
        </row>
        <row r="6">
          <cell r="S6">
            <v>8</v>
          </cell>
        </row>
      </sheetData>
      <sheetData sheetId="3" refreshError="1"/>
      <sheetData sheetId="4" refreshError="1"/>
      <sheetData sheetId="5" refreshError="1"/>
      <sheetData sheetId="6" refreshError="1"/>
      <sheetData sheetId="7" refreshError="1"/>
      <sheetData sheetId="8" refreshError="1"/>
      <sheetData sheetId="9" refreshError="1"/>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e Summary"/>
      <sheetName val="Tariff Rate Sheet"/>
      <sheetName val="Rate Schedule"/>
      <sheetName val="Class A IS"/>
      <sheetName val="Murrey's IS"/>
      <sheetName val="American IS"/>
      <sheetName val="DM IS"/>
      <sheetName val="Consolidated IS"/>
      <sheetName val="Line of Service"/>
      <sheetName val="Yard Waste"/>
      <sheetName val="Four-Factor Allocation"/>
      <sheetName val="Ratios"/>
      <sheetName val="Restating Adj"/>
      <sheetName val="Restating Expl"/>
      <sheetName val="Pro forma Adj"/>
      <sheetName val="Pro-forma"/>
      <sheetName val="Disposal LG Effect"/>
      <sheetName val="LG-Total Actual"/>
      <sheetName val="LG Pckr-RO Rts"/>
      <sheetName val="LG-SF, MF Recycling"/>
      <sheetName val="LG-YW"/>
      <sheetName val="Explanations"/>
      <sheetName val="Price-out"/>
      <sheetName val="Remaining Amortized Exp"/>
      <sheetName val="M-Depr Summary"/>
      <sheetName val="M-Shared Asset Allocation"/>
      <sheetName val="A-Depr Summary"/>
      <sheetName val="M-A Payroll Summary"/>
      <sheetName val="M-A Payroll"/>
      <sheetName val="DM Payroll Summary"/>
      <sheetName val="DM Payroll"/>
      <sheetName val="Route-Hours"/>
      <sheetName val="Shop-Hours"/>
      <sheetName val="TFS-Tons"/>
      <sheetName val="Recycling Tons"/>
      <sheetName val="Disposal Schedule"/>
      <sheetName val="Fuel Schedule"/>
      <sheetName val="Jan 2016 Fuel"/>
      <sheetName val="DVP-DivCon Allocs"/>
      <sheetName val="Consolidated Cust Cnt, Revenue"/>
      <sheetName val="Murrey's Rev 2015"/>
      <sheetName val="American Rev 2015"/>
      <sheetName val="Corp-BS"/>
      <sheetName val="Corp-IS"/>
      <sheetName val="Corp-OH"/>
      <sheetName val="Corp FAR"/>
      <sheetName val="EE Comm exp Summary"/>
      <sheetName val="JE 56095"/>
      <sheetName val="JE 70095"/>
      <sheetName val="Region OH Calc"/>
      <sheetName val="JE 40122"/>
      <sheetName val="JE-52120"/>
      <sheetName val="JE 59400"/>
      <sheetName val="JE 70110"/>
      <sheetName val="JE 70195"/>
      <sheetName val="JE 70335"/>
      <sheetName val="JE 70235"/>
      <sheetName val="JE 70255"/>
      <sheetName val="JE 91010"/>
      <sheetName val="BS-2111-2015"/>
      <sheetName val="BS-2131-2015"/>
      <sheetName val="BS-2111-2014"/>
      <sheetName val="BS-2131-2014"/>
      <sheetName val="PY Claim - 59342 "/>
      <sheetName val="sick leave Feb-Mar 2016"/>
    </sheetNames>
    <sheetDataSet>
      <sheetData sheetId="0"/>
      <sheetData sheetId="1">
        <row r="4">
          <cell r="P4">
            <v>8.2016804098824919E-3</v>
          </cell>
        </row>
      </sheetData>
      <sheetData sheetId="2"/>
      <sheetData sheetId="3"/>
      <sheetData sheetId="4"/>
      <sheetData sheetId="5"/>
      <sheetData sheetId="6"/>
      <sheetData sheetId="7"/>
      <sheetData sheetId="8"/>
      <sheetData sheetId="9"/>
      <sheetData sheetId="10"/>
      <sheetData sheetId="11">
        <row r="160">
          <cell r="D160">
            <v>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Summary"/>
      <sheetName val="JE Query"/>
      <sheetName val="JE Lookup"/>
      <sheetName val="ControlPanel"/>
    </sheetNames>
    <sheetDataSet>
      <sheetData sheetId="0"/>
      <sheetData sheetId="1">
        <row r="1">
          <cell r="D1">
            <v>1707081.73</v>
          </cell>
        </row>
        <row r="2">
          <cell r="D2">
            <v>710636.12999999989</v>
          </cell>
        </row>
        <row r="5">
          <cell r="D5">
            <v>75626.34</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tion Pond"/>
      <sheetName val="Transfer Station"/>
      <sheetName val="Paving"/>
      <sheetName val="Reconciliation"/>
    </sheetNames>
    <sheetDataSet>
      <sheetData sheetId="0"/>
      <sheetData sheetId="1"/>
      <sheetData sheetId="2"/>
      <sheetData sheetId="3">
        <row r="8">
          <cell r="F8">
            <v>734487.29999999993</v>
          </cell>
        </row>
        <row r="9">
          <cell r="F9">
            <v>1306485.8600000001</v>
          </cell>
        </row>
        <row r="10">
          <cell r="F10">
            <v>226036.81</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131 Trks"/>
      <sheetName val="2131 Cont, DB"/>
      <sheetName val="2131 YW"/>
      <sheetName val="2131 Other"/>
      <sheetName val="Container Recon"/>
    </sheetNames>
    <sheetDataSet>
      <sheetData sheetId="0">
        <row r="5">
          <cell r="F5">
            <v>42370</v>
          </cell>
          <cell r="H5">
            <v>42735</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y"/>
    </sheetNames>
    <sheetDataSet>
      <sheetData sheetId="0">
        <row r="121">
          <cell r="B121">
            <v>0.27102803738317754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6.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J130"/>
  <sheetViews>
    <sheetView showGridLines="0" tabSelected="1" zoomScale="85" zoomScaleNormal="85" workbookViewId="0">
      <pane xSplit="1" ySplit="5" topLeftCell="B6" activePane="bottomRight" state="frozen"/>
      <selection pane="topRight" activeCell="B1" sqref="B1"/>
      <selection pane="bottomLeft" activeCell="A6" sqref="A6"/>
      <selection pane="bottomRight"/>
    </sheetView>
  </sheetViews>
  <sheetFormatPr defaultRowHeight="15"/>
  <cols>
    <col min="1" max="1" width="16.44140625" style="3" customWidth="1"/>
    <col min="2" max="8" width="10.33203125" style="3" customWidth="1"/>
    <col min="9" max="9" width="4.6640625" style="3" customWidth="1"/>
    <col min="10" max="10" width="1.6640625" style="3" customWidth="1"/>
    <col min="11" max="11" width="10.44140625" style="4" customWidth="1"/>
    <col min="12" max="12" width="10.44140625" style="3" customWidth="1"/>
    <col min="13" max="13" width="1.21875" style="4" customWidth="1"/>
    <col min="14" max="15" width="10.44140625" style="3" customWidth="1"/>
    <col min="16" max="16" width="1.21875" style="3" customWidth="1"/>
    <col min="17" max="17" width="10.44140625" style="4" customWidth="1"/>
    <col min="18" max="18" width="10.44140625" style="3" customWidth="1"/>
    <col min="19" max="19" width="1.21875" style="3" customWidth="1"/>
    <col min="20" max="24" width="10.44140625" style="3" customWidth="1"/>
    <col min="25" max="25" width="1.21875" style="3" customWidth="1"/>
    <col min="26" max="26" width="17.109375" style="3" customWidth="1"/>
    <col min="27" max="28" width="12.33203125" style="3" customWidth="1"/>
    <col min="29" max="29" width="18.6640625" style="3" bestFit="1" customWidth="1"/>
    <col min="30" max="34" width="11.33203125" style="3" customWidth="1"/>
    <col min="35" max="35" width="8.88671875" style="3" customWidth="1"/>
    <col min="36" max="256" width="8.88671875" style="3"/>
    <col min="257" max="257" width="16.44140625" style="3" customWidth="1"/>
    <col min="258" max="264" width="10.33203125" style="3" customWidth="1"/>
    <col min="265" max="265" width="4.6640625" style="3" customWidth="1"/>
    <col min="266" max="266" width="1.6640625" style="3" customWidth="1"/>
    <col min="267" max="268" width="10.44140625" style="3" customWidth="1"/>
    <col min="269" max="269" width="1.21875" style="3" customWidth="1"/>
    <col min="270" max="271" width="10.44140625" style="3" customWidth="1"/>
    <col min="272" max="272" width="1.21875" style="3" customWidth="1"/>
    <col min="273" max="274" width="10.44140625" style="3" customWidth="1"/>
    <col min="275" max="275" width="1.21875" style="3" customWidth="1"/>
    <col min="276" max="280" width="10.44140625" style="3" customWidth="1"/>
    <col min="281" max="281" width="1.21875" style="3" customWidth="1"/>
    <col min="282" max="282" width="17.109375" style="3" customWidth="1"/>
    <col min="283" max="284" width="12.33203125" style="3" customWidth="1"/>
    <col min="285" max="285" width="13.5546875" style="3" customWidth="1"/>
    <col min="286" max="290" width="11.33203125" style="3" customWidth="1"/>
    <col min="291" max="291" width="7.44140625" style="3" customWidth="1"/>
    <col min="292" max="512" width="8.88671875" style="3"/>
    <col min="513" max="513" width="16.44140625" style="3" customWidth="1"/>
    <col min="514" max="520" width="10.33203125" style="3" customWidth="1"/>
    <col min="521" max="521" width="4.6640625" style="3" customWidth="1"/>
    <col min="522" max="522" width="1.6640625" style="3" customWidth="1"/>
    <col min="523" max="524" width="10.44140625" style="3" customWidth="1"/>
    <col min="525" max="525" width="1.21875" style="3" customWidth="1"/>
    <col min="526" max="527" width="10.44140625" style="3" customWidth="1"/>
    <col min="528" max="528" width="1.21875" style="3" customWidth="1"/>
    <col min="529" max="530" width="10.44140625" style="3" customWidth="1"/>
    <col min="531" max="531" width="1.21875" style="3" customWidth="1"/>
    <col min="532" max="536" width="10.44140625" style="3" customWidth="1"/>
    <col min="537" max="537" width="1.21875" style="3" customWidth="1"/>
    <col min="538" max="538" width="17.109375" style="3" customWidth="1"/>
    <col min="539" max="540" width="12.33203125" style="3" customWidth="1"/>
    <col min="541" max="541" width="13.5546875" style="3" customWidth="1"/>
    <col min="542" max="546" width="11.33203125" style="3" customWidth="1"/>
    <col min="547" max="547" width="7.44140625" style="3" customWidth="1"/>
    <col min="548" max="768" width="8.88671875" style="3"/>
    <col min="769" max="769" width="16.44140625" style="3" customWidth="1"/>
    <col min="770" max="776" width="10.33203125" style="3" customWidth="1"/>
    <col min="777" max="777" width="4.6640625" style="3" customWidth="1"/>
    <col min="778" max="778" width="1.6640625" style="3" customWidth="1"/>
    <col min="779" max="780" width="10.44140625" style="3" customWidth="1"/>
    <col min="781" max="781" width="1.21875" style="3" customWidth="1"/>
    <col min="782" max="783" width="10.44140625" style="3" customWidth="1"/>
    <col min="784" max="784" width="1.21875" style="3" customWidth="1"/>
    <col min="785" max="786" width="10.44140625" style="3" customWidth="1"/>
    <col min="787" max="787" width="1.21875" style="3" customWidth="1"/>
    <col min="788" max="792" width="10.44140625" style="3" customWidth="1"/>
    <col min="793" max="793" width="1.21875" style="3" customWidth="1"/>
    <col min="794" max="794" width="17.109375" style="3" customWidth="1"/>
    <col min="795" max="796" width="12.33203125" style="3" customWidth="1"/>
    <col min="797" max="797" width="13.5546875" style="3" customWidth="1"/>
    <col min="798" max="802" width="11.33203125" style="3" customWidth="1"/>
    <col min="803" max="803" width="7.44140625" style="3" customWidth="1"/>
    <col min="804" max="1024" width="8.88671875" style="3"/>
    <col min="1025" max="1025" width="16.44140625" style="3" customWidth="1"/>
    <col min="1026" max="1032" width="10.33203125" style="3" customWidth="1"/>
    <col min="1033" max="1033" width="4.6640625" style="3" customWidth="1"/>
    <col min="1034" max="1034" width="1.6640625" style="3" customWidth="1"/>
    <col min="1035" max="1036" width="10.44140625" style="3" customWidth="1"/>
    <col min="1037" max="1037" width="1.21875" style="3" customWidth="1"/>
    <col min="1038" max="1039" width="10.44140625" style="3" customWidth="1"/>
    <col min="1040" max="1040" width="1.21875" style="3" customWidth="1"/>
    <col min="1041" max="1042" width="10.44140625" style="3" customWidth="1"/>
    <col min="1043" max="1043" width="1.21875" style="3" customWidth="1"/>
    <col min="1044" max="1048" width="10.44140625" style="3" customWidth="1"/>
    <col min="1049" max="1049" width="1.21875" style="3" customWidth="1"/>
    <col min="1050" max="1050" width="17.109375" style="3" customWidth="1"/>
    <col min="1051" max="1052" width="12.33203125" style="3" customWidth="1"/>
    <col min="1053" max="1053" width="13.5546875" style="3" customWidth="1"/>
    <col min="1054" max="1058" width="11.33203125" style="3" customWidth="1"/>
    <col min="1059" max="1059" width="7.44140625" style="3" customWidth="1"/>
    <col min="1060" max="1280" width="8.88671875" style="3"/>
    <col min="1281" max="1281" width="16.44140625" style="3" customWidth="1"/>
    <col min="1282" max="1288" width="10.33203125" style="3" customWidth="1"/>
    <col min="1289" max="1289" width="4.6640625" style="3" customWidth="1"/>
    <col min="1290" max="1290" width="1.6640625" style="3" customWidth="1"/>
    <col min="1291" max="1292" width="10.44140625" style="3" customWidth="1"/>
    <col min="1293" max="1293" width="1.21875" style="3" customWidth="1"/>
    <col min="1294" max="1295" width="10.44140625" style="3" customWidth="1"/>
    <col min="1296" max="1296" width="1.21875" style="3" customWidth="1"/>
    <col min="1297" max="1298" width="10.44140625" style="3" customWidth="1"/>
    <col min="1299" max="1299" width="1.21875" style="3" customWidth="1"/>
    <col min="1300" max="1304" width="10.44140625" style="3" customWidth="1"/>
    <col min="1305" max="1305" width="1.21875" style="3" customWidth="1"/>
    <col min="1306" max="1306" width="17.109375" style="3" customWidth="1"/>
    <col min="1307" max="1308" width="12.33203125" style="3" customWidth="1"/>
    <col min="1309" max="1309" width="13.5546875" style="3" customWidth="1"/>
    <col min="1310" max="1314" width="11.33203125" style="3" customWidth="1"/>
    <col min="1315" max="1315" width="7.44140625" style="3" customWidth="1"/>
    <col min="1316" max="1536" width="8.88671875" style="3"/>
    <col min="1537" max="1537" width="16.44140625" style="3" customWidth="1"/>
    <col min="1538" max="1544" width="10.33203125" style="3" customWidth="1"/>
    <col min="1545" max="1545" width="4.6640625" style="3" customWidth="1"/>
    <col min="1546" max="1546" width="1.6640625" style="3" customWidth="1"/>
    <col min="1547" max="1548" width="10.44140625" style="3" customWidth="1"/>
    <col min="1549" max="1549" width="1.21875" style="3" customWidth="1"/>
    <col min="1550" max="1551" width="10.44140625" style="3" customWidth="1"/>
    <col min="1552" max="1552" width="1.21875" style="3" customWidth="1"/>
    <col min="1553" max="1554" width="10.44140625" style="3" customWidth="1"/>
    <col min="1555" max="1555" width="1.21875" style="3" customWidth="1"/>
    <col min="1556" max="1560" width="10.44140625" style="3" customWidth="1"/>
    <col min="1561" max="1561" width="1.21875" style="3" customWidth="1"/>
    <col min="1562" max="1562" width="17.109375" style="3" customWidth="1"/>
    <col min="1563" max="1564" width="12.33203125" style="3" customWidth="1"/>
    <col min="1565" max="1565" width="13.5546875" style="3" customWidth="1"/>
    <col min="1566" max="1570" width="11.33203125" style="3" customWidth="1"/>
    <col min="1571" max="1571" width="7.44140625" style="3" customWidth="1"/>
    <col min="1572" max="1792" width="8.88671875" style="3"/>
    <col min="1793" max="1793" width="16.44140625" style="3" customWidth="1"/>
    <col min="1794" max="1800" width="10.33203125" style="3" customWidth="1"/>
    <col min="1801" max="1801" width="4.6640625" style="3" customWidth="1"/>
    <col min="1802" max="1802" width="1.6640625" style="3" customWidth="1"/>
    <col min="1803" max="1804" width="10.44140625" style="3" customWidth="1"/>
    <col min="1805" max="1805" width="1.21875" style="3" customWidth="1"/>
    <col min="1806" max="1807" width="10.44140625" style="3" customWidth="1"/>
    <col min="1808" max="1808" width="1.21875" style="3" customWidth="1"/>
    <col min="1809" max="1810" width="10.44140625" style="3" customWidth="1"/>
    <col min="1811" max="1811" width="1.21875" style="3" customWidth="1"/>
    <col min="1812" max="1816" width="10.44140625" style="3" customWidth="1"/>
    <col min="1817" max="1817" width="1.21875" style="3" customWidth="1"/>
    <col min="1818" max="1818" width="17.109375" style="3" customWidth="1"/>
    <col min="1819" max="1820" width="12.33203125" style="3" customWidth="1"/>
    <col min="1821" max="1821" width="13.5546875" style="3" customWidth="1"/>
    <col min="1822" max="1826" width="11.33203125" style="3" customWidth="1"/>
    <col min="1827" max="1827" width="7.44140625" style="3" customWidth="1"/>
    <col min="1828" max="2048" width="8.88671875" style="3"/>
    <col min="2049" max="2049" width="16.44140625" style="3" customWidth="1"/>
    <col min="2050" max="2056" width="10.33203125" style="3" customWidth="1"/>
    <col min="2057" max="2057" width="4.6640625" style="3" customWidth="1"/>
    <col min="2058" max="2058" width="1.6640625" style="3" customWidth="1"/>
    <col min="2059" max="2060" width="10.44140625" style="3" customWidth="1"/>
    <col min="2061" max="2061" width="1.21875" style="3" customWidth="1"/>
    <col min="2062" max="2063" width="10.44140625" style="3" customWidth="1"/>
    <col min="2064" max="2064" width="1.21875" style="3" customWidth="1"/>
    <col min="2065" max="2066" width="10.44140625" style="3" customWidth="1"/>
    <col min="2067" max="2067" width="1.21875" style="3" customWidth="1"/>
    <col min="2068" max="2072" width="10.44140625" style="3" customWidth="1"/>
    <col min="2073" max="2073" width="1.21875" style="3" customWidth="1"/>
    <col min="2074" max="2074" width="17.109375" style="3" customWidth="1"/>
    <col min="2075" max="2076" width="12.33203125" style="3" customWidth="1"/>
    <col min="2077" max="2077" width="13.5546875" style="3" customWidth="1"/>
    <col min="2078" max="2082" width="11.33203125" style="3" customWidth="1"/>
    <col min="2083" max="2083" width="7.44140625" style="3" customWidth="1"/>
    <col min="2084" max="2304" width="8.88671875" style="3"/>
    <col min="2305" max="2305" width="16.44140625" style="3" customWidth="1"/>
    <col min="2306" max="2312" width="10.33203125" style="3" customWidth="1"/>
    <col min="2313" max="2313" width="4.6640625" style="3" customWidth="1"/>
    <col min="2314" max="2314" width="1.6640625" style="3" customWidth="1"/>
    <col min="2315" max="2316" width="10.44140625" style="3" customWidth="1"/>
    <col min="2317" max="2317" width="1.21875" style="3" customWidth="1"/>
    <col min="2318" max="2319" width="10.44140625" style="3" customWidth="1"/>
    <col min="2320" max="2320" width="1.21875" style="3" customWidth="1"/>
    <col min="2321" max="2322" width="10.44140625" style="3" customWidth="1"/>
    <col min="2323" max="2323" width="1.21875" style="3" customWidth="1"/>
    <col min="2324" max="2328" width="10.44140625" style="3" customWidth="1"/>
    <col min="2329" max="2329" width="1.21875" style="3" customWidth="1"/>
    <col min="2330" max="2330" width="17.109375" style="3" customWidth="1"/>
    <col min="2331" max="2332" width="12.33203125" style="3" customWidth="1"/>
    <col min="2333" max="2333" width="13.5546875" style="3" customWidth="1"/>
    <col min="2334" max="2338" width="11.33203125" style="3" customWidth="1"/>
    <col min="2339" max="2339" width="7.44140625" style="3" customWidth="1"/>
    <col min="2340" max="2560" width="8.88671875" style="3"/>
    <col min="2561" max="2561" width="16.44140625" style="3" customWidth="1"/>
    <col min="2562" max="2568" width="10.33203125" style="3" customWidth="1"/>
    <col min="2569" max="2569" width="4.6640625" style="3" customWidth="1"/>
    <col min="2570" max="2570" width="1.6640625" style="3" customWidth="1"/>
    <col min="2571" max="2572" width="10.44140625" style="3" customWidth="1"/>
    <col min="2573" max="2573" width="1.21875" style="3" customWidth="1"/>
    <col min="2574" max="2575" width="10.44140625" style="3" customWidth="1"/>
    <col min="2576" max="2576" width="1.21875" style="3" customWidth="1"/>
    <col min="2577" max="2578" width="10.44140625" style="3" customWidth="1"/>
    <col min="2579" max="2579" width="1.21875" style="3" customWidth="1"/>
    <col min="2580" max="2584" width="10.44140625" style="3" customWidth="1"/>
    <col min="2585" max="2585" width="1.21875" style="3" customWidth="1"/>
    <col min="2586" max="2586" width="17.109375" style="3" customWidth="1"/>
    <col min="2587" max="2588" width="12.33203125" style="3" customWidth="1"/>
    <col min="2589" max="2589" width="13.5546875" style="3" customWidth="1"/>
    <col min="2590" max="2594" width="11.33203125" style="3" customWidth="1"/>
    <col min="2595" max="2595" width="7.44140625" style="3" customWidth="1"/>
    <col min="2596" max="2816" width="8.88671875" style="3"/>
    <col min="2817" max="2817" width="16.44140625" style="3" customWidth="1"/>
    <col min="2818" max="2824" width="10.33203125" style="3" customWidth="1"/>
    <col min="2825" max="2825" width="4.6640625" style="3" customWidth="1"/>
    <col min="2826" max="2826" width="1.6640625" style="3" customWidth="1"/>
    <col min="2827" max="2828" width="10.44140625" style="3" customWidth="1"/>
    <col min="2829" max="2829" width="1.21875" style="3" customWidth="1"/>
    <col min="2830" max="2831" width="10.44140625" style="3" customWidth="1"/>
    <col min="2832" max="2832" width="1.21875" style="3" customWidth="1"/>
    <col min="2833" max="2834" width="10.44140625" style="3" customWidth="1"/>
    <col min="2835" max="2835" width="1.21875" style="3" customWidth="1"/>
    <col min="2836" max="2840" width="10.44140625" style="3" customWidth="1"/>
    <col min="2841" max="2841" width="1.21875" style="3" customWidth="1"/>
    <col min="2842" max="2842" width="17.109375" style="3" customWidth="1"/>
    <col min="2843" max="2844" width="12.33203125" style="3" customWidth="1"/>
    <col min="2845" max="2845" width="13.5546875" style="3" customWidth="1"/>
    <col min="2846" max="2850" width="11.33203125" style="3" customWidth="1"/>
    <col min="2851" max="2851" width="7.44140625" style="3" customWidth="1"/>
    <col min="2852" max="3072" width="8.88671875" style="3"/>
    <col min="3073" max="3073" width="16.44140625" style="3" customWidth="1"/>
    <col min="3074" max="3080" width="10.33203125" style="3" customWidth="1"/>
    <col min="3081" max="3081" width="4.6640625" style="3" customWidth="1"/>
    <col min="3082" max="3082" width="1.6640625" style="3" customWidth="1"/>
    <col min="3083" max="3084" width="10.44140625" style="3" customWidth="1"/>
    <col min="3085" max="3085" width="1.21875" style="3" customWidth="1"/>
    <col min="3086" max="3087" width="10.44140625" style="3" customWidth="1"/>
    <col min="3088" max="3088" width="1.21875" style="3" customWidth="1"/>
    <col min="3089" max="3090" width="10.44140625" style="3" customWidth="1"/>
    <col min="3091" max="3091" width="1.21875" style="3" customWidth="1"/>
    <col min="3092" max="3096" width="10.44140625" style="3" customWidth="1"/>
    <col min="3097" max="3097" width="1.21875" style="3" customWidth="1"/>
    <col min="3098" max="3098" width="17.109375" style="3" customWidth="1"/>
    <col min="3099" max="3100" width="12.33203125" style="3" customWidth="1"/>
    <col min="3101" max="3101" width="13.5546875" style="3" customWidth="1"/>
    <col min="3102" max="3106" width="11.33203125" style="3" customWidth="1"/>
    <col min="3107" max="3107" width="7.44140625" style="3" customWidth="1"/>
    <col min="3108" max="3328" width="8.88671875" style="3"/>
    <col min="3329" max="3329" width="16.44140625" style="3" customWidth="1"/>
    <col min="3330" max="3336" width="10.33203125" style="3" customWidth="1"/>
    <col min="3337" max="3337" width="4.6640625" style="3" customWidth="1"/>
    <col min="3338" max="3338" width="1.6640625" style="3" customWidth="1"/>
    <col min="3339" max="3340" width="10.44140625" style="3" customWidth="1"/>
    <col min="3341" max="3341" width="1.21875" style="3" customWidth="1"/>
    <col min="3342" max="3343" width="10.44140625" style="3" customWidth="1"/>
    <col min="3344" max="3344" width="1.21875" style="3" customWidth="1"/>
    <col min="3345" max="3346" width="10.44140625" style="3" customWidth="1"/>
    <col min="3347" max="3347" width="1.21875" style="3" customWidth="1"/>
    <col min="3348" max="3352" width="10.44140625" style="3" customWidth="1"/>
    <col min="3353" max="3353" width="1.21875" style="3" customWidth="1"/>
    <col min="3354" max="3354" width="17.109375" style="3" customWidth="1"/>
    <col min="3355" max="3356" width="12.33203125" style="3" customWidth="1"/>
    <col min="3357" max="3357" width="13.5546875" style="3" customWidth="1"/>
    <col min="3358" max="3362" width="11.33203125" style="3" customWidth="1"/>
    <col min="3363" max="3363" width="7.44140625" style="3" customWidth="1"/>
    <col min="3364" max="3584" width="8.88671875" style="3"/>
    <col min="3585" max="3585" width="16.44140625" style="3" customWidth="1"/>
    <col min="3586" max="3592" width="10.33203125" style="3" customWidth="1"/>
    <col min="3593" max="3593" width="4.6640625" style="3" customWidth="1"/>
    <col min="3594" max="3594" width="1.6640625" style="3" customWidth="1"/>
    <col min="3595" max="3596" width="10.44140625" style="3" customWidth="1"/>
    <col min="3597" max="3597" width="1.21875" style="3" customWidth="1"/>
    <col min="3598" max="3599" width="10.44140625" style="3" customWidth="1"/>
    <col min="3600" max="3600" width="1.21875" style="3" customWidth="1"/>
    <col min="3601" max="3602" width="10.44140625" style="3" customWidth="1"/>
    <col min="3603" max="3603" width="1.21875" style="3" customWidth="1"/>
    <col min="3604" max="3608" width="10.44140625" style="3" customWidth="1"/>
    <col min="3609" max="3609" width="1.21875" style="3" customWidth="1"/>
    <col min="3610" max="3610" width="17.109375" style="3" customWidth="1"/>
    <col min="3611" max="3612" width="12.33203125" style="3" customWidth="1"/>
    <col min="3613" max="3613" width="13.5546875" style="3" customWidth="1"/>
    <col min="3614" max="3618" width="11.33203125" style="3" customWidth="1"/>
    <col min="3619" max="3619" width="7.44140625" style="3" customWidth="1"/>
    <col min="3620" max="3840" width="8.88671875" style="3"/>
    <col min="3841" max="3841" width="16.44140625" style="3" customWidth="1"/>
    <col min="3842" max="3848" width="10.33203125" style="3" customWidth="1"/>
    <col min="3849" max="3849" width="4.6640625" style="3" customWidth="1"/>
    <col min="3850" max="3850" width="1.6640625" style="3" customWidth="1"/>
    <col min="3851" max="3852" width="10.44140625" style="3" customWidth="1"/>
    <col min="3853" max="3853" width="1.21875" style="3" customWidth="1"/>
    <col min="3854" max="3855" width="10.44140625" style="3" customWidth="1"/>
    <col min="3856" max="3856" width="1.21875" style="3" customWidth="1"/>
    <col min="3857" max="3858" width="10.44140625" style="3" customWidth="1"/>
    <col min="3859" max="3859" width="1.21875" style="3" customWidth="1"/>
    <col min="3860" max="3864" width="10.44140625" style="3" customWidth="1"/>
    <col min="3865" max="3865" width="1.21875" style="3" customWidth="1"/>
    <col min="3866" max="3866" width="17.109375" style="3" customWidth="1"/>
    <col min="3867" max="3868" width="12.33203125" style="3" customWidth="1"/>
    <col min="3869" max="3869" width="13.5546875" style="3" customWidth="1"/>
    <col min="3870" max="3874" width="11.33203125" style="3" customWidth="1"/>
    <col min="3875" max="3875" width="7.44140625" style="3" customWidth="1"/>
    <col min="3876" max="4096" width="8.88671875" style="3"/>
    <col min="4097" max="4097" width="16.44140625" style="3" customWidth="1"/>
    <col min="4098" max="4104" width="10.33203125" style="3" customWidth="1"/>
    <col min="4105" max="4105" width="4.6640625" style="3" customWidth="1"/>
    <col min="4106" max="4106" width="1.6640625" style="3" customWidth="1"/>
    <col min="4107" max="4108" width="10.44140625" style="3" customWidth="1"/>
    <col min="4109" max="4109" width="1.21875" style="3" customWidth="1"/>
    <col min="4110" max="4111" width="10.44140625" style="3" customWidth="1"/>
    <col min="4112" max="4112" width="1.21875" style="3" customWidth="1"/>
    <col min="4113" max="4114" width="10.44140625" style="3" customWidth="1"/>
    <col min="4115" max="4115" width="1.21875" style="3" customWidth="1"/>
    <col min="4116" max="4120" width="10.44140625" style="3" customWidth="1"/>
    <col min="4121" max="4121" width="1.21875" style="3" customWidth="1"/>
    <col min="4122" max="4122" width="17.109375" style="3" customWidth="1"/>
    <col min="4123" max="4124" width="12.33203125" style="3" customWidth="1"/>
    <col min="4125" max="4125" width="13.5546875" style="3" customWidth="1"/>
    <col min="4126" max="4130" width="11.33203125" style="3" customWidth="1"/>
    <col min="4131" max="4131" width="7.44140625" style="3" customWidth="1"/>
    <col min="4132" max="4352" width="8.88671875" style="3"/>
    <col min="4353" max="4353" width="16.44140625" style="3" customWidth="1"/>
    <col min="4354" max="4360" width="10.33203125" style="3" customWidth="1"/>
    <col min="4361" max="4361" width="4.6640625" style="3" customWidth="1"/>
    <col min="4362" max="4362" width="1.6640625" style="3" customWidth="1"/>
    <col min="4363" max="4364" width="10.44140625" style="3" customWidth="1"/>
    <col min="4365" max="4365" width="1.21875" style="3" customWidth="1"/>
    <col min="4366" max="4367" width="10.44140625" style="3" customWidth="1"/>
    <col min="4368" max="4368" width="1.21875" style="3" customWidth="1"/>
    <col min="4369" max="4370" width="10.44140625" style="3" customWidth="1"/>
    <col min="4371" max="4371" width="1.21875" style="3" customWidth="1"/>
    <col min="4372" max="4376" width="10.44140625" style="3" customWidth="1"/>
    <col min="4377" max="4377" width="1.21875" style="3" customWidth="1"/>
    <col min="4378" max="4378" width="17.109375" style="3" customWidth="1"/>
    <col min="4379" max="4380" width="12.33203125" style="3" customWidth="1"/>
    <col min="4381" max="4381" width="13.5546875" style="3" customWidth="1"/>
    <col min="4382" max="4386" width="11.33203125" style="3" customWidth="1"/>
    <col min="4387" max="4387" width="7.44140625" style="3" customWidth="1"/>
    <col min="4388" max="4608" width="8.88671875" style="3"/>
    <col min="4609" max="4609" width="16.44140625" style="3" customWidth="1"/>
    <col min="4610" max="4616" width="10.33203125" style="3" customWidth="1"/>
    <col min="4617" max="4617" width="4.6640625" style="3" customWidth="1"/>
    <col min="4618" max="4618" width="1.6640625" style="3" customWidth="1"/>
    <col min="4619" max="4620" width="10.44140625" style="3" customWidth="1"/>
    <col min="4621" max="4621" width="1.21875" style="3" customWidth="1"/>
    <col min="4622" max="4623" width="10.44140625" style="3" customWidth="1"/>
    <col min="4624" max="4624" width="1.21875" style="3" customWidth="1"/>
    <col min="4625" max="4626" width="10.44140625" style="3" customWidth="1"/>
    <col min="4627" max="4627" width="1.21875" style="3" customWidth="1"/>
    <col min="4628" max="4632" width="10.44140625" style="3" customWidth="1"/>
    <col min="4633" max="4633" width="1.21875" style="3" customWidth="1"/>
    <col min="4634" max="4634" width="17.109375" style="3" customWidth="1"/>
    <col min="4635" max="4636" width="12.33203125" style="3" customWidth="1"/>
    <col min="4637" max="4637" width="13.5546875" style="3" customWidth="1"/>
    <col min="4638" max="4642" width="11.33203125" style="3" customWidth="1"/>
    <col min="4643" max="4643" width="7.44140625" style="3" customWidth="1"/>
    <col min="4644" max="4864" width="8.88671875" style="3"/>
    <col min="4865" max="4865" width="16.44140625" style="3" customWidth="1"/>
    <col min="4866" max="4872" width="10.33203125" style="3" customWidth="1"/>
    <col min="4873" max="4873" width="4.6640625" style="3" customWidth="1"/>
    <col min="4874" max="4874" width="1.6640625" style="3" customWidth="1"/>
    <col min="4875" max="4876" width="10.44140625" style="3" customWidth="1"/>
    <col min="4877" max="4877" width="1.21875" style="3" customWidth="1"/>
    <col min="4878" max="4879" width="10.44140625" style="3" customWidth="1"/>
    <col min="4880" max="4880" width="1.21875" style="3" customWidth="1"/>
    <col min="4881" max="4882" width="10.44140625" style="3" customWidth="1"/>
    <col min="4883" max="4883" width="1.21875" style="3" customWidth="1"/>
    <col min="4884" max="4888" width="10.44140625" style="3" customWidth="1"/>
    <col min="4889" max="4889" width="1.21875" style="3" customWidth="1"/>
    <col min="4890" max="4890" width="17.109375" style="3" customWidth="1"/>
    <col min="4891" max="4892" width="12.33203125" style="3" customWidth="1"/>
    <col min="4893" max="4893" width="13.5546875" style="3" customWidth="1"/>
    <col min="4894" max="4898" width="11.33203125" style="3" customWidth="1"/>
    <col min="4899" max="4899" width="7.44140625" style="3" customWidth="1"/>
    <col min="4900" max="5120" width="8.88671875" style="3"/>
    <col min="5121" max="5121" width="16.44140625" style="3" customWidth="1"/>
    <col min="5122" max="5128" width="10.33203125" style="3" customWidth="1"/>
    <col min="5129" max="5129" width="4.6640625" style="3" customWidth="1"/>
    <col min="5130" max="5130" width="1.6640625" style="3" customWidth="1"/>
    <col min="5131" max="5132" width="10.44140625" style="3" customWidth="1"/>
    <col min="5133" max="5133" width="1.21875" style="3" customWidth="1"/>
    <col min="5134" max="5135" width="10.44140625" style="3" customWidth="1"/>
    <col min="5136" max="5136" width="1.21875" style="3" customWidth="1"/>
    <col min="5137" max="5138" width="10.44140625" style="3" customWidth="1"/>
    <col min="5139" max="5139" width="1.21875" style="3" customWidth="1"/>
    <col min="5140" max="5144" width="10.44140625" style="3" customWidth="1"/>
    <col min="5145" max="5145" width="1.21875" style="3" customWidth="1"/>
    <col min="5146" max="5146" width="17.109375" style="3" customWidth="1"/>
    <col min="5147" max="5148" width="12.33203125" style="3" customWidth="1"/>
    <col min="5149" max="5149" width="13.5546875" style="3" customWidth="1"/>
    <col min="5150" max="5154" width="11.33203125" style="3" customWidth="1"/>
    <col min="5155" max="5155" width="7.44140625" style="3" customWidth="1"/>
    <col min="5156" max="5376" width="8.88671875" style="3"/>
    <col min="5377" max="5377" width="16.44140625" style="3" customWidth="1"/>
    <col min="5378" max="5384" width="10.33203125" style="3" customWidth="1"/>
    <col min="5385" max="5385" width="4.6640625" style="3" customWidth="1"/>
    <col min="5386" max="5386" width="1.6640625" style="3" customWidth="1"/>
    <col min="5387" max="5388" width="10.44140625" style="3" customWidth="1"/>
    <col min="5389" max="5389" width="1.21875" style="3" customWidth="1"/>
    <col min="5390" max="5391" width="10.44140625" style="3" customWidth="1"/>
    <col min="5392" max="5392" width="1.21875" style="3" customWidth="1"/>
    <col min="5393" max="5394" width="10.44140625" style="3" customWidth="1"/>
    <col min="5395" max="5395" width="1.21875" style="3" customWidth="1"/>
    <col min="5396" max="5400" width="10.44140625" style="3" customWidth="1"/>
    <col min="5401" max="5401" width="1.21875" style="3" customWidth="1"/>
    <col min="5402" max="5402" width="17.109375" style="3" customWidth="1"/>
    <col min="5403" max="5404" width="12.33203125" style="3" customWidth="1"/>
    <col min="5405" max="5405" width="13.5546875" style="3" customWidth="1"/>
    <col min="5406" max="5410" width="11.33203125" style="3" customWidth="1"/>
    <col min="5411" max="5411" width="7.44140625" style="3" customWidth="1"/>
    <col min="5412" max="5632" width="8.88671875" style="3"/>
    <col min="5633" max="5633" width="16.44140625" style="3" customWidth="1"/>
    <col min="5634" max="5640" width="10.33203125" style="3" customWidth="1"/>
    <col min="5641" max="5641" width="4.6640625" style="3" customWidth="1"/>
    <col min="5642" max="5642" width="1.6640625" style="3" customWidth="1"/>
    <col min="5643" max="5644" width="10.44140625" style="3" customWidth="1"/>
    <col min="5645" max="5645" width="1.21875" style="3" customWidth="1"/>
    <col min="5646" max="5647" width="10.44140625" style="3" customWidth="1"/>
    <col min="5648" max="5648" width="1.21875" style="3" customWidth="1"/>
    <col min="5649" max="5650" width="10.44140625" style="3" customWidth="1"/>
    <col min="5651" max="5651" width="1.21875" style="3" customWidth="1"/>
    <col min="5652" max="5656" width="10.44140625" style="3" customWidth="1"/>
    <col min="5657" max="5657" width="1.21875" style="3" customWidth="1"/>
    <col min="5658" max="5658" width="17.109375" style="3" customWidth="1"/>
    <col min="5659" max="5660" width="12.33203125" style="3" customWidth="1"/>
    <col min="5661" max="5661" width="13.5546875" style="3" customWidth="1"/>
    <col min="5662" max="5666" width="11.33203125" style="3" customWidth="1"/>
    <col min="5667" max="5667" width="7.44140625" style="3" customWidth="1"/>
    <col min="5668" max="5888" width="8.88671875" style="3"/>
    <col min="5889" max="5889" width="16.44140625" style="3" customWidth="1"/>
    <col min="5890" max="5896" width="10.33203125" style="3" customWidth="1"/>
    <col min="5897" max="5897" width="4.6640625" style="3" customWidth="1"/>
    <col min="5898" max="5898" width="1.6640625" style="3" customWidth="1"/>
    <col min="5899" max="5900" width="10.44140625" style="3" customWidth="1"/>
    <col min="5901" max="5901" width="1.21875" style="3" customWidth="1"/>
    <col min="5902" max="5903" width="10.44140625" style="3" customWidth="1"/>
    <col min="5904" max="5904" width="1.21875" style="3" customWidth="1"/>
    <col min="5905" max="5906" width="10.44140625" style="3" customWidth="1"/>
    <col min="5907" max="5907" width="1.21875" style="3" customWidth="1"/>
    <col min="5908" max="5912" width="10.44140625" style="3" customWidth="1"/>
    <col min="5913" max="5913" width="1.21875" style="3" customWidth="1"/>
    <col min="5914" max="5914" width="17.109375" style="3" customWidth="1"/>
    <col min="5915" max="5916" width="12.33203125" style="3" customWidth="1"/>
    <col min="5917" max="5917" width="13.5546875" style="3" customWidth="1"/>
    <col min="5918" max="5922" width="11.33203125" style="3" customWidth="1"/>
    <col min="5923" max="5923" width="7.44140625" style="3" customWidth="1"/>
    <col min="5924" max="6144" width="8.88671875" style="3"/>
    <col min="6145" max="6145" width="16.44140625" style="3" customWidth="1"/>
    <col min="6146" max="6152" width="10.33203125" style="3" customWidth="1"/>
    <col min="6153" max="6153" width="4.6640625" style="3" customWidth="1"/>
    <col min="6154" max="6154" width="1.6640625" style="3" customWidth="1"/>
    <col min="6155" max="6156" width="10.44140625" style="3" customWidth="1"/>
    <col min="6157" max="6157" width="1.21875" style="3" customWidth="1"/>
    <col min="6158" max="6159" width="10.44140625" style="3" customWidth="1"/>
    <col min="6160" max="6160" width="1.21875" style="3" customWidth="1"/>
    <col min="6161" max="6162" width="10.44140625" style="3" customWidth="1"/>
    <col min="6163" max="6163" width="1.21875" style="3" customWidth="1"/>
    <col min="6164" max="6168" width="10.44140625" style="3" customWidth="1"/>
    <col min="6169" max="6169" width="1.21875" style="3" customWidth="1"/>
    <col min="6170" max="6170" width="17.109375" style="3" customWidth="1"/>
    <col min="6171" max="6172" width="12.33203125" style="3" customWidth="1"/>
    <col min="6173" max="6173" width="13.5546875" style="3" customWidth="1"/>
    <col min="6174" max="6178" width="11.33203125" style="3" customWidth="1"/>
    <col min="6179" max="6179" width="7.44140625" style="3" customWidth="1"/>
    <col min="6180" max="6400" width="8.88671875" style="3"/>
    <col min="6401" max="6401" width="16.44140625" style="3" customWidth="1"/>
    <col min="6402" max="6408" width="10.33203125" style="3" customWidth="1"/>
    <col min="6409" max="6409" width="4.6640625" style="3" customWidth="1"/>
    <col min="6410" max="6410" width="1.6640625" style="3" customWidth="1"/>
    <col min="6411" max="6412" width="10.44140625" style="3" customWidth="1"/>
    <col min="6413" max="6413" width="1.21875" style="3" customWidth="1"/>
    <col min="6414" max="6415" width="10.44140625" style="3" customWidth="1"/>
    <col min="6416" max="6416" width="1.21875" style="3" customWidth="1"/>
    <col min="6417" max="6418" width="10.44140625" style="3" customWidth="1"/>
    <col min="6419" max="6419" width="1.21875" style="3" customWidth="1"/>
    <col min="6420" max="6424" width="10.44140625" style="3" customWidth="1"/>
    <col min="6425" max="6425" width="1.21875" style="3" customWidth="1"/>
    <col min="6426" max="6426" width="17.109375" style="3" customWidth="1"/>
    <col min="6427" max="6428" width="12.33203125" style="3" customWidth="1"/>
    <col min="6429" max="6429" width="13.5546875" style="3" customWidth="1"/>
    <col min="6430" max="6434" width="11.33203125" style="3" customWidth="1"/>
    <col min="6435" max="6435" width="7.44140625" style="3" customWidth="1"/>
    <col min="6436" max="6656" width="8.88671875" style="3"/>
    <col min="6657" max="6657" width="16.44140625" style="3" customWidth="1"/>
    <col min="6658" max="6664" width="10.33203125" style="3" customWidth="1"/>
    <col min="6665" max="6665" width="4.6640625" style="3" customWidth="1"/>
    <col min="6666" max="6666" width="1.6640625" style="3" customWidth="1"/>
    <col min="6667" max="6668" width="10.44140625" style="3" customWidth="1"/>
    <col min="6669" max="6669" width="1.21875" style="3" customWidth="1"/>
    <col min="6670" max="6671" width="10.44140625" style="3" customWidth="1"/>
    <col min="6672" max="6672" width="1.21875" style="3" customWidth="1"/>
    <col min="6673" max="6674" width="10.44140625" style="3" customWidth="1"/>
    <col min="6675" max="6675" width="1.21875" style="3" customWidth="1"/>
    <col min="6676" max="6680" width="10.44140625" style="3" customWidth="1"/>
    <col min="6681" max="6681" width="1.21875" style="3" customWidth="1"/>
    <col min="6682" max="6682" width="17.109375" style="3" customWidth="1"/>
    <col min="6683" max="6684" width="12.33203125" style="3" customWidth="1"/>
    <col min="6685" max="6685" width="13.5546875" style="3" customWidth="1"/>
    <col min="6686" max="6690" width="11.33203125" style="3" customWidth="1"/>
    <col min="6691" max="6691" width="7.44140625" style="3" customWidth="1"/>
    <col min="6692" max="6912" width="8.88671875" style="3"/>
    <col min="6913" max="6913" width="16.44140625" style="3" customWidth="1"/>
    <col min="6914" max="6920" width="10.33203125" style="3" customWidth="1"/>
    <col min="6921" max="6921" width="4.6640625" style="3" customWidth="1"/>
    <col min="6922" max="6922" width="1.6640625" style="3" customWidth="1"/>
    <col min="6923" max="6924" width="10.44140625" style="3" customWidth="1"/>
    <col min="6925" max="6925" width="1.21875" style="3" customWidth="1"/>
    <col min="6926" max="6927" width="10.44140625" style="3" customWidth="1"/>
    <col min="6928" max="6928" width="1.21875" style="3" customWidth="1"/>
    <col min="6929" max="6930" width="10.44140625" style="3" customWidth="1"/>
    <col min="6931" max="6931" width="1.21875" style="3" customWidth="1"/>
    <col min="6932" max="6936" width="10.44140625" style="3" customWidth="1"/>
    <col min="6937" max="6937" width="1.21875" style="3" customWidth="1"/>
    <col min="6938" max="6938" width="17.109375" style="3" customWidth="1"/>
    <col min="6939" max="6940" width="12.33203125" style="3" customWidth="1"/>
    <col min="6941" max="6941" width="13.5546875" style="3" customWidth="1"/>
    <col min="6942" max="6946" width="11.33203125" style="3" customWidth="1"/>
    <col min="6947" max="6947" width="7.44140625" style="3" customWidth="1"/>
    <col min="6948" max="7168" width="8.88671875" style="3"/>
    <col min="7169" max="7169" width="16.44140625" style="3" customWidth="1"/>
    <col min="7170" max="7176" width="10.33203125" style="3" customWidth="1"/>
    <col min="7177" max="7177" width="4.6640625" style="3" customWidth="1"/>
    <col min="7178" max="7178" width="1.6640625" style="3" customWidth="1"/>
    <col min="7179" max="7180" width="10.44140625" style="3" customWidth="1"/>
    <col min="7181" max="7181" width="1.21875" style="3" customWidth="1"/>
    <col min="7182" max="7183" width="10.44140625" style="3" customWidth="1"/>
    <col min="7184" max="7184" width="1.21875" style="3" customWidth="1"/>
    <col min="7185" max="7186" width="10.44140625" style="3" customWidth="1"/>
    <col min="7187" max="7187" width="1.21875" style="3" customWidth="1"/>
    <col min="7188" max="7192" width="10.44140625" style="3" customWidth="1"/>
    <col min="7193" max="7193" width="1.21875" style="3" customWidth="1"/>
    <col min="7194" max="7194" width="17.109375" style="3" customWidth="1"/>
    <col min="7195" max="7196" width="12.33203125" style="3" customWidth="1"/>
    <col min="7197" max="7197" width="13.5546875" style="3" customWidth="1"/>
    <col min="7198" max="7202" width="11.33203125" style="3" customWidth="1"/>
    <col min="7203" max="7203" width="7.44140625" style="3" customWidth="1"/>
    <col min="7204" max="7424" width="8.88671875" style="3"/>
    <col min="7425" max="7425" width="16.44140625" style="3" customWidth="1"/>
    <col min="7426" max="7432" width="10.33203125" style="3" customWidth="1"/>
    <col min="7433" max="7433" width="4.6640625" style="3" customWidth="1"/>
    <col min="7434" max="7434" width="1.6640625" style="3" customWidth="1"/>
    <col min="7435" max="7436" width="10.44140625" style="3" customWidth="1"/>
    <col min="7437" max="7437" width="1.21875" style="3" customWidth="1"/>
    <col min="7438" max="7439" width="10.44140625" style="3" customWidth="1"/>
    <col min="7440" max="7440" width="1.21875" style="3" customWidth="1"/>
    <col min="7441" max="7442" width="10.44140625" style="3" customWidth="1"/>
    <col min="7443" max="7443" width="1.21875" style="3" customWidth="1"/>
    <col min="7444" max="7448" width="10.44140625" style="3" customWidth="1"/>
    <col min="7449" max="7449" width="1.21875" style="3" customWidth="1"/>
    <col min="7450" max="7450" width="17.109375" style="3" customWidth="1"/>
    <col min="7451" max="7452" width="12.33203125" style="3" customWidth="1"/>
    <col min="7453" max="7453" width="13.5546875" style="3" customWidth="1"/>
    <col min="7454" max="7458" width="11.33203125" style="3" customWidth="1"/>
    <col min="7459" max="7459" width="7.44140625" style="3" customWidth="1"/>
    <col min="7460" max="7680" width="8.88671875" style="3"/>
    <col min="7681" max="7681" width="16.44140625" style="3" customWidth="1"/>
    <col min="7682" max="7688" width="10.33203125" style="3" customWidth="1"/>
    <col min="7689" max="7689" width="4.6640625" style="3" customWidth="1"/>
    <col min="7690" max="7690" width="1.6640625" style="3" customWidth="1"/>
    <col min="7691" max="7692" width="10.44140625" style="3" customWidth="1"/>
    <col min="7693" max="7693" width="1.21875" style="3" customWidth="1"/>
    <col min="7694" max="7695" width="10.44140625" style="3" customWidth="1"/>
    <col min="7696" max="7696" width="1.21875" style="3" customWidth="1"/>
    <col min="7697" max="7698" width="10.44140625" style="3" customWidth="1"/>
    <col min="7699" max="7699" width="1.21875" style="3" customWidth="1"/>
    <col min="7700" max="7704" width="10.44140625" style="3" customWidth="1"/>
    <col min="7705" max="7705" width="1.21875" style="3" customWidth="1"/>
    <col min="7706" max="7706" width="17.109375" style="3" customWidth="1"/>
    <col min="7707" max="7708" width="12.33203125" style="3" customWidth="1"/>
    <col min="7709" max="7709" width="13.5546875" style="3" customWidth="1"/>
    <col min="7710" max="7714" width="11.33203125" style="3" customWidth="1"/>
    <col min="7715" max="7715" width="7.44140625" style="3" customWidth="1"/>
    <col min="7716" max="7936" width="8.88671875" style="3"/>
    <col min="7937" max="7937" width="16.44140625" style="3" customWidth="1"/>
    <col min="7938" max="7944" width="10.33203125" style="3" customWidth="1"/>
    <col min="7945" max="7945" width="4.6640625" style="3" customWidth="1"/>
    <col min="7946" max="7946" width="1.6640625" style="3" customWidth="1"/>
    <col min="7947" max="7948" width="10.44140625" style="3" customWidth="1"/>
    <col min="7949" max="7949" width="1.21875" style="3" customWidth="1"/>
    <col min="7950" max="7951" width="10.44140625" style="3" customWidth="1"/>
    <col min="7952" max="7952" width="1.21875" style="3" customWidth="1"/>
    <col min="7953" max="7954" width="10.44140625" style="3" customWidth="1"/>
    <col min="7955" max="7955" width="1.21875" style="3" customWidth="1"/>
    <col min="7956" max="7960" width="10.44140625" style="3" customWidth="1"/>
    <col min="7961" max="7961" width="1.21875" style="3" customWidth="1"/>
    <col min="7962" max="7962" width="17.109375" style="3" customWidth="1"/>
    <col min="7963" max="7964" width="12.33203125" style="3" customWidth="1"/>
    <col min="7965" max="7965" width="13.5546875" style="3" customWidth="1"/>
    <col min="7966" max="7970" width="11.33203125" style="3" customWidth="1"/>
    <col min="7971" max="7971" width="7.44140625" style="3" customWidth="1"/>
    <col min="7972" max="8192" width="8.88671875" style="3"/>
    <col min="8193" max="8193" width="16.44140625" style="3" customWidth="1"/>
    <col min="8194" max="8200" width="10.33203125" style="3" customWidth="1"/>
    <col min="8201" max="8201" width="4.6640625" style="3" customWidth="1"/>
    <col min="8202" max="8202" width="1.6640625" style="3" customWidth="1"/>
    <col min="8203" max="8204" width="10.44140625" style="3" customWidth="1"/>
    <col min="8205" max="8205" width="1.21875" style="3" customWidth="1"/>
    <col min="8206" max="8207" width="10.44140625" style="3" customWidth="1"/>
    <col min="8208" max="8208" width="1.21875" style="3" customWidth="1"/>
    <col min="8209" max="8210" width="10.44140625" style="3" customWidth="1"/>
    <col min="8211" max="8211" width="1.21875" style="3" customWidth="1"/>
    <col min="8212" max="8216" width="10.44140625" style="3" customWidth="1"/>
    <col min="8217" max="8217" width="1.21875" style="3" customWidth="1"/>
    <col min="8218" max="8218" width="17.109375" style="3" customWidth="1"/>
    <col min="8219" max="8220" width="12.33203125" style="3" customWidth="1"/>
    <col min="8221" max="8221" width="13.5546875" style="3" customWidth="1"/>
    <col min="8222" max="8226" width="11.33203125" style="3" customWidth="1"/>
    <col min="8227" max="8227" width="7.44140625" style="3" customWidth="1"/>
    <col min="8228" max="8448" width="8.88671875" style="3"/>
    <col min="8449" max="8449" width="16.44140625" style="3" customWidth="1"/>
    <col min="8450" max="8456" width="10.33203125" style="3" customWidth="1"/>
    <col min="8457" max="8457" width="4.6640625" style="3" customWidth="1"/>
    <col min="8458" max="8458" width="1.6640625" style="3" customWidth="1"/>
    <col min="8459" max="8460" width="10.44140625" style="3" customWidth="1"/>
    <col min="8461" max="8461" width="1.21875" style="3" customWidth="1"/>
    <col min="8462" max="8463" width="10.44140625" style="3" customWidth="1"/>
    <col min="8464" max="8464" width="1.21875" style="3" customWidth="1"/>
    <col min="8465" max="8466" width="10.44140625" style="3" customWidth="1"/>
    <col min="8467" max="8467" width="1.21875" style="3" customWidth="1"/>
    <col min="8468" max="8472" width="10.44140625" style="3" customWidth="1"/>
    <col min="8473" max="8473" width="1.21875" style="3" customWidth="1"/>
    <col min="8474" max="8474" width="17.109375" style="3" customWidth="1"/>
    <col min="8475" max="8476" width="12.33203125" style="3" customWidth="1"/>
    <col min="8477" max="8477" width="13.5546875" style="3" customWidth="1"/>
    <col min="8478" max="8482" width="11.33203125" style="3" customWidth="1"/>
    <col min="8483" max="8483" width="7.44140625" style="3" customWidth="1"/>
    <col min="8484" max="8704" width="8.88671875" style="3"/>
    <col min="8705" max="8705" width="16.44140625" style="3" customWidth="1"/>
    <col min="8706" max="8712" width="10.33203125" style="3" customWidth="1"/>
    <col min="8713" max="8713" width="4.6640625" style="3" customWidth="1"/>
    <col min="8714" max="8714" width="1.6640625" style="3" customWidth="1"/>
    <col min="8715" max="8716" width="10.44140625" style="3" customWidth="1"/>
    <col min="8717" max="8717" width="1.21875" style="3" customWidth="1"/>
    <col min="8718" max="8719" width="10.44140625" style="3" customWidth="1"/>
    <col min="8720" max="8720" width="1.21875" style="3" customWidth="1"/>
    <col min="8721" max="8722" width="10.44140625" style="3" customWidth="1"/>
    <col min="8723" max="8723" width="1.21875" style="3" customWidth="1"/>
    <col min="8724" max="8728" width="10.44140625" style="3" customWidth="1"/>
    <col min="8729" max="8729" width="1.21875" style="3" customWidth="1"/>
    <col min="8730" max="8730" width="17.109375" style="3" customWidth="1"/>
    <col min="8731" max="8732" width="12.33203125" style="3" customWidth="1"/>
    <col min="8733" max="8733" width="13.5546875" style="3" customWidth="1"/>
    <col min="8734" max="8738" width="11.33203125" style="3" customWidth="1"/>
    <col min="8739" max="8739" width="7.44140625" style="3" customWidth="1"/>
    <col min="8740" max="8960" width="8.88671875" style="3"/>
    <col min="8961" max="8961" width="16.44140625" style="3" customWidth="1"/>
    <col min="8962" max="8968" width="10.33203125" style="3" customWidth="1"/>
    <col min="8969" max="8969" width="4.6640625" style="3" customWidth="1"/>
    <col min="8970" max="8970" width="1.6640625" style="3" customWidth="1"/>
    <col min="8971" max="8972" width="10.44140625" style="3" customWidth="1"/>
    <col min="8973" max="8973" width="1.21875" style="3" customWidth="1"/>
    <col min="8974" max="8975" width="10.44140625" style="3" customWidth="1"/>
    <col min="8976" max="8976" width="1.21875" style="3" customWidth="1"/>
    <col min="8977" max="8978" width="10.44140625" style="3" customWidth="1"/>
    <col min="8979" max="8979" width="1.21875" style="3" customWidth="1"/>
    <col min="8980" max="8984" width="10.44140625" style="3" customWidth="1"/>
    <col min="8985" max="8985" width="1.21875" style="3" customWidth="1"/>
    <col min="8986" max="8986" width="17.109375" style="3" customWidth="1"/>
    <col min="8987" max="8988" width="12.33203125" style="3" customWidth="1"/>
    <col min="8989" max="8989" width="13.5546875" style="3" customWidth="1"/>
    <col min="8990" max="8994" width="11.33203125" style="3" customWidth="1"/>
    <col min="8995" max="8995" width="7.44140625" style="3" customWidth="1"/>
    <col min="8996" max="9216" width="8.88671875" style="3"/>
    <col min="9217" max="9217" width="16.44140625" style="3" customWidth="1"/>
    <col min="9218" max="9224" width="10.33203125" style="3" customWidth="1"/>
    <col min="9225" max="9225" width="4.6640625" style="3" customWidth="1"/>
    <col min="9226" max="9226" width="1.6640625" style="3" customWidth="1"/>
    <col min="9227" max="9228" width="10.44140625" style="3" customWidth="1"/>
    <col min="9229" max="9229" width="1.21875" style="3" customWidth="1"/>
    <col min="9230" max="9231" width="10.44140625" style="3" customWidth="1"/>
    <col min="9232" max="9232" width="1.21875" style="3" customWidth="1"/>
    <col min="9233" max="9234" width="10.44140625" style="3" customWidth="1"/>
    <col min="9235" max="9235" width="1.21875" style="3" customWidth="1"/>
    <col min="9236" max="9240" width="10.44140625" style="3" customWidth="1"/>
    <col min="9241" max="9241" width="1.21875" style="3" customWidth="1"/>
    <col min="9242" max="9242" width="17.109375" style="3" customWidth="1"/>
    <col min="9243" max="9244" width="12.33203125" style="3" customWidth="1"/>
    <col min="9245" max="9245" width="13.5546875" style="3" customWidth="1"/>
    <col min="9246" max="9250" width="11.33203125" style="3" customWidth="1"/>
    <col min="9251" max="9251" width="7.44140625" style="3" customWidth="1"/>
    <col min="9252" max="9472" width="8.88671875" style="3"/>
    <col min="9473" max="9473" width="16.44140625" style="3" customWidth="1"/>
    <col min="9474" max="9480" width="10.33203125" style="3" customWidth="1"/>
    <col min="9481" max="9481" width="4.6640625" style="3" customWidth="1"/>
    <col min="9482" max="9482" width="1.6640625" style="3" customWidth="1"/>
    <col min="9483" max="9484" width="10.44140625" style="3" customWidth="1"/>
    <col min="9485" max="9485" width="1.21875" style="3" customWidth="1"/>
    <col min="9486" max="9487" width="10.44140625" style="3" customWidth="1"/>
    <col min="9488" max="9488" width="1.21875" style="3" customWidth="1"/>
    <col min="9489" max="9490" width="10.44140625" style="3" customWidth="1"/>
    <col min="9491" max="9491" width="1.21875" style="3" customWidth="1"/>
    <col min="9492" max="9496" width="10.44140625" style="3" customWidth="1"/>
    <col min="9497" max="9497" width="1.21875" style="3" customWidth="1"/>
    <col min="9498" max="9498" width="17.109375" style="3" customWidth="1"/>
    <col min="9499" max="9500" width="12.33203125" style="3" customWidth="1"/>
    <col min="9501" max="9501" width="13.5546875" style="3" customWidth="1"/>
    <col min="9502" max="9506" width="11.33203125" style="3" customWidth="1"/>
    <col min="9507" max="9507" width="7.44140625" style="3" customWidth="1"/>
    <col min="9508" max="9728" width="8.88671875" style="3"/>
    <col min="9729" max="9729" width="16.44140625" style="3" customWidth="1"/>
    <col min="9730" max="9736" width="10.33203125" style="3" customWidth="1"/>
    <col min="9737" max="9737" width="4.6640625" style="3" customWidth="1"/>
    <col min="9738" max="9738" width="1.6640625" style="3" customWidth="1"/>
    <col min="9739" max="9740" width="10.44140625" style="3" customWidth="1"/>
    <col min="9741" max="9741" width="1.21875" style="3" customWidth="1"/>
    <col min="9742" max="9743" width="10.44140625" style="3" customWidth="1"/>
    <col min="9744" max="9744" width="1.21875" style="3" customWidth="1"/>
    <col min="9745" max="9746" width="10.44140625" style="3" customWidth="1"/>
    <col min="9747" max="9747" width="1.21875" style="3" customWidth="1"/>
    <col min="9748" max="9752" width="10.44140625" style="3" customWidth="1"/>
    <col min="9753" max="9753" width="1.21875" style="3" customWidth="1"/>
    <col min="9754" max="9754" width="17.109375" style="3" customWidth="1"/>
    <col min="9755" max="9756" width="12.33203125" style="3" customWidth="1"/>
    <col min="9757" max="9757" width="13.5546875" style="3" customWidth="1"/>
    <col min="9758" max="9762" width="11.33203125" style="3" customWidth="1"/>
    <col min="9763" max="9763" width="7.44140625" style="3" customWidth="1"/>
    <col min="9764" max="9984" width="8.88671875" style="3"/>
    <col min="9985" max="9985" width="16.44140625" style="3" customWidth="1"/>
    <col min="9986" max="9992" width="10.33203125" style="3" customWidth="1"/>
    <col min="9993" max="9993" width="4.6640625" style="3" customWidth="1"/>
    <col min="9994" max="9994" width="1.6640625" style="3" customWidth="1"/>
    <col min="9995" max="9996" width="10.44140625" style="3" customWidth="1"/>
    <col min="9997" max="9997" width="1.21875" style="3" customWidth="1"/>
    <col min="9998" max="9999" width="10.44140625" style="3" customWidth="1"/>
    <col min="10000" max="10000" width="1.21875" style="3" customWidth="1"/>
    <col min="10001" max="10002" width="10.44140625" style="3" customWidth="1"/>
    <col min="10003" max="10003" width="1.21875" style="3" customWidth="1"/>
    <col min="10004" max="10008" width="10.44140625" style="3" customWidth="1"/>
    <col min="10009" max="10009" width="1.21875" style="3" customWidth="1"/>
    <col min="10010" max="10010" width="17.109375" style="3" customWidth="1"/>
    <col min="10011" max="10012" width="12.33203125" style="3" customWidth="1"/>
    <col min="10013" max="10013" width="13.5546875" style="3" customWidth="1"/>
    <col min="10014" max="10018" width="11.33203125" style="3" customWidth="1"/>
    <col min="10019" max="10019" width="7.44140625" style="3" customWidth="1"/>
    <col min="10020" max="10240" width="8.88671875" style="3"/>
    <col min="10241" max="10241" width="16.44140625" style="3" customWidth="1"/>
    <col min="10242" max="10248" width="10.33203125" style="3" customWidth="1"/>
    <col min="10249" max="10249" width="4.6640625" style="3" customWidth="1"/>
    <col min="10250" max="10250" width="1.6640625" style="3" customWidth="1"/>
    <col min="10251" max="10252" width="10.44140625" style="3" customWidth="1"/>
    <col min="10253" max="10253" width="1.21875" style="3" customWidth="1"/>
    <col min="10254" max="10255" width="10.44140625" style="3" customWidth="1"/>
    <col min="10256" max="10256" width="1.21875" style="3" customWidth="1"/>
    <col min="10257" max="10258" width="10.44140625" style="3" customWidth="1"/>
    <col min="10259" max="10259" width="1.21875" style="3" customWidth="1"/>
    <col min="10260" max="10264" width="10.44140625" style="3" customWidth="1"/>
    <col min="10265" max="10265" width="1.21875" style="3" customWidth="1"/>
    <col min="10266" max="10266" width="17.109375" style="3" customWidth="1"/>
    <col min="10267" max="10268" width="12.33203125" style="3" customWidth="1"/>
    <col min="10269" max="10269" width="13.5546875" style="3" customWidth="1"/>
    <col min="10270" max="10274" width="11.33203125" style="3" customWidth="1"/>
    <col min="10275" max="10275" width="7.44140625" style="3" customWidth="1"/>
    <col min="10276" max="10496" width="8.88671875" style="3"/>
    <col min="10497" max="10497" width="16.44140625" style="3" customWidth="1"/>
    <col min="10498" max="10504" width="10.33203125" style="3" customWidth="1"/>
    <col min="10505" max="10505" width="4.6640625" style="3" customWidth="1"/>
    <col min="10506" max="10506" width="1.6640625" style="3" customWidth="1"/>
    <col min="10507" max="10508" width="10.44140625" style="3" customWidth="1"/>
    <col min="10509" max="10509" width="1.21875" style="3" customWidth="1"/>
    <col min="10510" max="10511" width="10.44140625" style="3" customWidth="1"/>
    <col min="10512" max="10512" width="1.21875" style="3" customWidth="1"/>
    <col min="10513" max="10514" width="10.44140625" style="3" customWidth="1"/>
    <col min="10515" max="10515" width="1.21875" style="3" customWidth="1"/>
    <col min="10516" max="10520" width="10.44140625" style="3" customWidth="1"/>
    <col min="10521" max="10521" width="1.21875" style="3" customWidth="1"/>
    <col min="10522" max="10522" width="17.109375" style="3" customWidth="1"/>
    <col min="10523" max="10524" width="12.33203125" style="3" customWidth="1"/>
    <col min="10525" max="10525" width="13.5546875" style="3" customWidth="1"/>
    <col min="10526" max="10530" width="11.33203125" style="3" customWidth="1"/>
    <col min="10531" max="10531" width="7.44140625" style="3" customWidth="1"/>
    <col min="10532" max="10752" width="8.88671875" style="3"/>
    <col min="10753" max="10753" width="16.44140625" style="3" customWidth="1"/>
    <col min="10754" max="10760" width="10.33203125" style="3" customWidth="1"/>
    <col min="10761" max="10761" width="4.6640625" style="3" customWidth="1"/>
    <col min="10762" max="10762" width="1.6640625" style="3" customWidth="1"/>
    <col min="10763" max="10764" width="10.44140625" style="3" customWidth="1"/>
    <col min="10765" max="10765" width="1.21875" style="3" customWidth="1"/>
    <col min="10766" max="10767" width="10.44140625" style="3" customWidth="1"/>
    <col min="10768" max="10768" width="1.21875" style="3" customWidth="1"/>
    <col min="10769" max="10770" width="10.44140625" style="3" customWidth="1"/>
    <col min="10771" max="10771" width="1.21875" style="3" customWidth="1"/>
    <col min="10772" max="10776" width="10.44140625" style="3" customWidth="1"/>
    <col min="10777" max="10777" width="1.21875" style="3" customWidth="1"/>
    <col min="10778" max="10778" width="17.109375" style="3" customWidth="1"/>
    <col min="10779" max="10780" width="12.33203125" style="3" customWidth="1"/>
    <col min="10781" max="10781" width="13.5546875" style="3" customWidth="1"/>
    <col min="10782" max="10786" width="11.33203125" style="3" customWidth="1"/>
    <col min="10787" max="10787" width="7.44140625" style="3" customWidth="1"/>
    <col min="10788" max="11008" width="8.88671875" style="3"/>
    <col min="11009" max="11009" width="16.44140625" style="3" customWidth="1"/>
    <col min="11010" max="11016" width="10.33203125" style="3" customWidth="1"/>
    <col min="11017" max="11017" width="4.6640625" style="3" customWidth="1"/>
    <col min="11018" max="11018" width="1.6640625" style="3" customWidth="1"/>
    <col min="11019" max="11020" width="10.44140625" style="3" customWidth="1"/>
    <col min="11021" max="11021" width="1.21875" style="3" customWidth="1"/>
    <col min="11022" max="11023" width="10.44140625" style="3" customWidth="1"/>
    <col min="11024" max="11024" width="1.21875" style="3" customWidth="1"/>
    <col min="11025" max="11026" width="10.44140625" style="3" customWidth="1"/>
    <col min="11027" max="11027" width="1.21875" style="3" customWidth="1"/>
    <col min="11028" max="11032" width="10.44140625" style="3" customWidth="1"/>
    <col min="11033" max="11033" width="1.21875" style="3" customWidth="1"/>
    <col min="11034" max="11034" width="17.109375" style="3" customWidth="1"/>
    <col min="11035" max="11036" width="12.33203125" style="3" customWidth="1"/>
    <col min="11037" max="11037" width="13.5546875" style="3" customWidth="1"/>
    <col min="11038" max="11042" width="11.33203125" style="3" customWidth="1"/>
    <col min="11043" max="11043" width="7.44140625" style="3" customWidth="1"/>
    <col min="11044" max="11264" width="8.88671875" style="3"/>
    <col min="11265" max="11265" width="16.44140625" style="3" customWidth="1"/>
    <col min="11266" max="11272" width="10.33203125" style="3" customWidth="1"/>
    <col min="11273" max="11273" width="4.6640625" style="3" customWidth="1"/>
    <col min="11274" max="11274" width="1.6640625" style="3" customWidth="1"/>
    <col min="11275" max="11276" width="10.44140625" style="3" customWidth="1"/>
    <col min="11277" max="11277" width="1.21875" style="3" customWidth="1"/>
    <col min="11278" max="11279" width="10.44140625" style="3" customWidth="1"/>
    <col min="11280" max="11280" width="1.21875" style="3" customWidth="1"/>
    <col min="11281" max="11282" width="10.44140625" style="3" customWidth="1"/>
    <col min="11283" max="11283" width="1.21875" style="3" customWidth="1"/>
    <col min="11284" max="11288" width="10.44140625" style="3" customWidth="1"/>
    <col min="11289" max="11289" width="1.21875" style="3" customWidth="1"/>
    <col min="11290" max="11290" width="17.109375" style="3" customWidth="1"/>
    <col min="11291" max="11292" width="12.33203125" style="3" customWidth="1"/>
    <col min="11293" max="11293" width="13.5546875" style="3" customWidth="1"/>
    <col min="11294" max="11298" width="11.33203125" style="3" customWidth="1"/>
    <col min="11299" max="11299" width="7.44140625" style="3" customWidth="1"/>
    <col min="11300" max="11520" width="8.88671875" style="3"/>
    <col min="11521" max="11521" width="16.44140625" style="3" customWidth="1"/>
    <col min="11522" max="11528" width="10.33203125" style="3" customWidth="1"/>
    <col min="11529" max="11529" width="4.6640625" style="3" customWidth="1"/>
    <col min="11530" max="11530" width="1.6640625" style="3" customWidth="1"/>
    <col min="11531" max="11532" width="10.44140625" style="3" customWidth="1"/>
    <col min="11533" max="11533" width="1.21875" style="3" customWidth="1"/>
    <col min="11534" max="11535" width="10.44140625" style="3" customWidth="1"/>
    <col min="11536" max="11536" width="1.21875" style="3" customWidth="1"/>
    <col min="11537" max="11538" width="10.44140625" style="3" customWidth="1"/>
    <col min="11539" max="11539" width="1.21875" style="3" customWidth="1"/>
    <col min="11540" max="11544" width="10.44140625" style="3" customWidth="1"/>
    <col min="11545" max="11545" width="1.21875" style="3" customWidth="1"/>
    <col min="11546" max="11546" width="17.109375" style="3" customWidth="1"/>
    <col min="11547" max="11548" width="12.33203125" style="3" customWidth="1"/>
    <col min="11549" max="11549" width="13.5546875" style="3" customWidth="1"/>
    <col min="11550" max="11554" width="11.33203125" style="3" customWidth="1"/>
    <col min="11555" max="11555" width="7.44140625" style="3" customWidth="1"/>
    <col min="11556" max="11776" width="8.88671875" style="3"/>
    <col min="11777" max="11777" width="16.44140625" style="3" customWidth="1"/>
    <col min="11778" max="11784" width="10.33203125" style="3" customWidth="1"/>
    <col min="11785" max="11785" width="4.6640625" style="3" customWidth="1"/>
    <col min="11786" max="11786" width="1.6640625" style="3" customWidth="1"/>
    <col min="11787" max="11788" width="10.44140625" style="3" customWidth="1"/>
    <col min="11789" max="11789" width="1.21875" style="3" customWidth="1"/>
    <col min="11790" max="11791" width="10.44140625" style="3" customWidth="1"/>
    <col min="11792" max="11792" width="1.21875" style="3" customWidth="1"/>
    <col min="11793" max="11794" width="10.44140625" style="3" customWidth="1"/>
    <col min="11795" max="11795" width="1.21875" style="3" customWidth="1"/>
    <col min="11796" max="11800" width="10.44140625" style="3" customWidth="1"/>
    <col min="11801" max="11801" width="1.21875" style="3" customWidth="1"/>
    <col min="11802" max="11802" width="17.109375" style="3" customWidth="1"/>
    <col min="11803" max="11804" width="12.33203125" style="3" customWidth="1"/>
    <col min="11805" max="11805" width="13.5546875" style="3" customWidth="1"/>
    <col min="11806" max="11810" width="11.33203125" style="3" customWidth="1"/>
    <col min="11811" max="11811" width="7.44140625" style="3" customWidth="1"/>
    <col min="11812" max="12032" width="8.88671875" style="3"/>
    <col min="12033" max="12033" width="16.44140625" style="3" customWidth="1"/>
    <col min="12034" max="12040" width="10.33203125" style="3" customWidth="1"/>
    <col min="12041" max="12041" width="4.6640625" style="3" customWidth="1"/>
    <col min="12042" max="12042" width="1.6640625" style="3" customWidth="1"/>
    <col min="12043" max="12044" width="10.44140625" style="3" customWidth="1"/>
    <col min="12045" max="12045" width="1.21875" style="3" customWidth="1"/>
    <col min="12046" max="12047" width="10.44140625" style="3" customWidth="1"/>
    <col min="12048" max="12048" width="1.21875" style="3" customWidth="1"/>
    <col min="12049" max="12050" width="10.44140625" style="3" customWidth="1"/>
    <col min="12051" max="12051" width="1.21875" style="3" customWidth="1"/>
    <col min="12052" max="12056" width="10.44140625" style="3" customWidth="1"/>
    <col min="12057" max="12057" width="1.21875" style="3" customWidth="1"/>
    <col min="12058" max="12058" width="17.109375" style="3" customWidth="1"/>
    <col min="12059" max="12060" width="12.33203125" style="3" customWidth="1"/>
    <col min="12061" max="12061" width="13.5546875" style="3" customWidth="1"/>
    <col min="12062" max="12066" width="11.33203125" style="3" customWidth="1"/>
    <col min="12067" max="12067" width="7.44140625" style="3" customWidth="1"/>
    <col min="12068" max="12288" width="8.88671875" style="3"/>
    <col min="12289" max="12289" width="16.44140625" style="3" customWidth="1"/>
    <col min="12290" max="12296" width="10.33203125" style="3" customWidth="1"/>
    <col min="12297" max="12297" width="4.6640625" style="3" customWidth="1"/>
    <col min="12298" max="12298" width="1.6640625" style="3" customWidth="1"/>
    <col min="12299" max="12300" width="10.44140625" style="3" customWidth="1"/>
    <col min="12301" max="12301" width="1.21875" style="3" customWidth="1"/>
    <col min="12302" max="12303" width="10.44140625" style="3" customWidth="1"/>
    <col min="12304" max="12304" width="1.21875" style="3" customWidth="1"/>
    <col min="12305" max="12306" width="10.44140625" style="3" customWidth="1"/>
    <col min="12307" max="12307" width="1.21875" style="3" customWidth="1"/>
    <col min="12308" max="12312" width="10.44140625" style="3" customWidth="1"/>
    <col min="12313" max="12313" width="1.21875" style="3" customWidth="1"/>
    <col min="12314" max="12314" width="17.109375" style="3" customWidth="1"/>
    <col min="12315" max="12316" width="12.33203125" style="3" customWidth="1"/>
    <col min="12317" max="12317" width="13.5546875" style="3" customWidth="1"/>
    <col min="12318" max="12322" width="11.33203125" style="3" customWidth="1"/>
    <col min="12323" max="12323" width="7.44140625" style="3" customWidth="1"/>
    <col min="12324" max="12544" width="8.88671875" style="3"/>
    <col min="12545" max="12545" width="16.44140625" style="3" customWidth="1"/>
    <col min="12546" max="12552" width="10.33203125" style="3" customWidth="1"/>
    <col min="12553" max="12553" width="4.6640625" style="3" customWidth="1"/>
    <col min="12554" max="12554" width="1.6640625" style="3" customWidth="1"/>
    <col min="12555" max="12556" width="10.44140625" style="3" customWidth="1"/>
    <col min="12557" max="12557" width="1.21875" style="3" customWidth="1"/>
    <col min="12558" max="12559" width="10.44140625" style="3" customWidth="1"/>
    <col min="12560" max="12560" width="1.21875" style="3" customWidth="1"/>
    <col min="12561" max="12562" width="10.44140625" style="3" customWidth="1"/>
    <col min="12563" max="12563" width="1.21875" style="3" customWidth="1"/>
    <col min="12564" max="12568" width="10.44140625" style="3" customWidth="1"/>
    <col min="12569" max="12569" width="1.21875" style="3" customWidth="1"/>
    <col min="12570" max="12570" width="17.109375" style="3" customWidth="1"/>
    <col min="12571" max="12572" width="12.33203125" style="3" customWidth="1"/>
    <col min="12573" max="12573" width="13.5546875" style="3" customWidth="1"/>
    <col min="12574" max="12578" width="11.33203125" style="3" customWidth="1"/>
    <col min="12579" max="12579" width="7.44140625" style="3" customWidth="1"/>
    <col min="12580" max="12800" width="8.88671875" style="3"/>
    <col min="12801" max="12801" width="16.44140625" style="3" customWidth="1"/>
    <col min="12802" max="12808" width="10.33203125" style="3" customWidth="1"/>
    <col min="12809" max="12809" width="4.6640625" style="3" customWidth="1"/>
    <col min="12810" max="12810" width="1.6640625" style="3" customWidth="1"/>
    <col min="12811" max="12812" width="10.44140625" style="3" customWidth="1"/>
    <col min="12813" max="12813" width="1.21875" style="3" customWidth="1"/>
    <col min="12814" max="12815" width="10.44140625" style="3" customWidth="1"/>
    <col min="12816" max="12816" width="1.21875" style="3" customWidth="1"/>
    <col min="12817" max="12818" width="10.44140625" style="3" customWidth="1"/>
    <col min="12819" max="12819" width="1.21875" style="3" customWidth="1"/>
    <col min="12820" max="12824" width="10.44140625" style="3" customWidth="1"/>
    <col min="12825" max="12825" width="1.21875" style="3" customWidth="1"/>
    <col min="12826" max="12826" width="17.109375" style="3" customWidth="1"/>
    <col min="12827" max="12828" width="12.33203125" style="3" customWidth="1"/>
    <col min="12829" max="12829" width="13.5546875" style="3" customWidth="1"/>
    <col min="12830" max="12834" width="11.33203125" style="3" customWidth="1"/>
    <col min="12835" max="12835" width="7.44140625" style="3" customWidth="1"/>
    <col min="12836" max="13056" width="8.88671875" style="3"/>
    <col min="13057" max="13057" width="16.44140625" style="3" customWidth="1"/>
    <col min="13058" max="13064" width="10.33203125" style="3" customWidth="1"/>
    <col min="13065" max="13065" width="4.6640625" style="3" customWidth="1"/>
    <col min="13066" max="13066" width="1.6640625" style="3" customWidth="1"/>
    <col min="13067" max="13068" width="10.44140625" style="3" customWidth="1"/>
    <col min="13069" max="13069" width="1.21875" style="3" customWidth="1"/>
    <col min="13070" max="13071" width="10.44140625" style="3" customWidth="1"/>
    <col min="13072" max="13072" width="1.21875" style="3" customWidth="1"/>
    <col min="13073" max="13074" width="10.44140625" style="3" customWidth="1"/>
    <col min="13075" max="13075" width="1.21875" style="3" customWidth="1"/>
    <col min="13076" max="13080" width="10.44140625" style="3" customWidth="1"/>
    <col min="13081" max="13081" width="1.21875" style="3" customWidth="1"/>
    <col min="13082" max="13082" width="17.109375" style="3" customWidth="1"/>
    <col min="13083" max="13084" width="12.33203125" style="3" customWidth="1"/>
    <col min="13085" max="13085" width="13.5546875" style="3" customWidth="1"/>
    <col min="13086" max="13090" width="11.33203125" style="3" customWidth="1"/>
    <col min="13091" max="13091" width="7.44140625" style="3" customWidth="1"/>
    <col min="13092" max="13312" width="8.88671875" style="3"/>
    <col min="13313" max="13313" width="16.44140625" style="3" customWidth="1"/>
    <col min="13314" max="13320" width="10.33203125" style="3" customWidth="1"/>
    <col min="13321" max="13321" width="4.6640625" style="3" customWidth="1"/>
    <col min="13322" max="13322" width="1.6640625" style="3" customWidth="1"/>
    <col min="13323" max="13324" width="10.44140625" style="3" customWidth="1"/>
    <col min="13325" max="13325" width="1.21875" style="3" customWidth="1"/>
    <col min="13326" max="13327" width="10.44140625" style="3" customWidth="1"/>
    <col min="13328" max="13328" width="1.21875" style="3" customWidth="1"/>
    <col min="13329" max="13330" width="10.44140625" style="3" customWidth="1"/>
    <col min="13331" max="13331" width="1.21875" style="3" customWidth="1"/>
    <col min="13332" max="13336" width="10.44140625" style="3" customWidth="1"/>
    <col min="13337" max="13337" width="1.21875" style="3" customWidth="1"/>
    <col min="13338" max="13338" width="17.109375" style="3" customWidth="1"/>
    <col min="13339" max="13340" width="12.33203125" style="3" customWidth="1"/>
    <col min="13341" max="13341" width="13.5546875" style="3" customWidth="1"/>
    <col min="13342" max="13346" width="11.33203125" style="3" customWidth="1"/>
    <col min="13347" max="13347" width="7.44140625" style="3" customWidth="1"/>
    <col min="13348" max="13568" width="8.88671875" style="3"/>
    <col min="13569" max="13569" width="16.44140625" style="3" customWidth="1"/>
    <col min="13570" max="13576" width="10.33203125" style="3" customWidth="1"/>
    <col min="13577" max="13577" width="4.6640625" style="3" customWidth="1"/>
    <col min="13578" max="13578" width="1.6640625" style="3" customWidth="1"/>
    <col min="13579" max="13580" width="10.44140625" style="3" customWidth="1"/>
    <col min="13581" max="13581" width="1.21875" style="3" customWidth="1"/>
    <col min="13582" max="13583" width="10.44140625" style="3" customWidth="1"/>
    <col min="13584" max="13584" width="1.21875" style="3" customWidth="1"/>
    <col min="13585" max="13586" width="10.44140625" style="3" customWidth="1"/>
    <col min="13587" max="13587" width="1.21875" style="3" customWidth="1"/>
    <col min="13588" max="13592" width="10.44140625" style="3" customWidth="1"/>
    <col min="13593" max="13593" width="1.21875" style="3" customWidth="1"/>
    <col min="13594" max="13594" width="17.109375" style="3" customWidth="1"/>
    <col min="13595" max="13596" width="12.33203125" style="3" customWidth="1"/>
    <col min="13597" max="13597" width="13.5546875" style="3" customWidth="1"/>
    <col min="13598" max="13602" width="11.33203125" style="3" customWidth="1"/>
    <col min="13603" max="13603" width="7.44140625" style="3" customWidth="1"/>
    <col min="13604" max="13824" width="8.88671875" style="3"/>
    <col min="13825" max="13825" width="16.44140625" style="3" customWidth="1"/>
    <col min="13826" max="13832" width="10.33203125" style="3" customWidth="1"/>
    <col min="13833" max="13833" width="4.6640625" style="3" customWidth="1"/>
    <col min="13834" max="13834" width="1.6640625" style="3" customWidth="1"/>
    <col min="13835" max="13836" width="10.44140625" style="3" customWidth="1"/>
    <col min="13837" max="13837" width="1.21875" style="3" customWidth="1"/>
    <col min="13838" max="13839" width="10.44140625" style="3" customWidth="1"/>
    <col min="13840" max="13840" width="1.21875" style="3" customWidth="1"/>
    <col min="13841" max="13842" width="10.44140625" style="3" customWidth="1"/>
    <col min="13843" max="13843" width="1.21875" style="3" customWidth="1"/>
    <col min="13844" max="13848" width="10.44140625" style="3" customWidth="1"/>
    <col min="13849" max="13849" width="1.21875" style="3" customWidth="1"/>
    <col min="13850" max="13850" width="17.109375" style="3" customWidth="1"/>
    <col min="13851" max="13852" width="12.33203125" style="3" customWidth="1"/>
    <col min="13853" max="13853" width="13.5546875" style="3" customWidth="1"/>
    <col min="13854" max="13858" width="11.33203125" style="3" customWidth="1"/>
    <col min="13859" max="13859" width="7.44140625" style="3" customWidth="1"/>
    <col min="13860" max="14080" width="8.88671875" style="3"/>
    <col min="14081" max="14081" width="16.44140625" style="3" customWidth="1"/>
    <col min="14082" max="14088" width="10.33203125" style="3" customWidth="1"/>
    <col min="14089" max="14089" width="4.6640625" style="3" customWidth="1"/>
    <col min="14090" max="14090" width="1.6640625" style="3" customWidth="1"/>
    <col min="14091" max="14092" width="10.44140625" style="3" customWidth="1"/>
    <col min="14093" max="14093" width="1.21875" style="3" customWidth="1"/>
    <col min="14094" max="14095" width="10.44140625" style="3" customWidth="1"/>
    <col min="14096" max="14096" width="1.21875" style="3" customWidth="1"/>
    <col min="14097" max="14098" width="10.44140625" style="3" customWidth="1"/>
    <col min="14099" max="14099" width="1.21875" style="3" customWidth="1"/>
    <col min="14100" max="14104" width="10.44140625" style="3" customWidth="1"/>
    <col min="14105" max="14105" width="1.21875" style="3" customWidth="1"/>
    <col min="14106" max="14106" width="17.109375" style="3" customWidth="1"/>
    <col min="14107" max="14108" width="12.33203125" style="3" customWidth="1"/>
    <col min="14109" max="14109" width="13.5546875" style="3" customWidth="1"/>
    <col min="14110" max="14114" width="11.33203125" style="3" customWidth="1"/>
    <col min="14115" max="14115" width="7.44140625" style="3" customWidth="1"/>
    <col min="14116" max="14336" width="8.88671875" style="3"/>
    <col min="14337" max="14337" width="16.44140625" style="3" customWidth="1"/>
    <col min="14338" max="14344" width="10.33203125" style="3" customWidth="1"/>
    <col min="14345" max="14345" width="4.6640625" style="3" customWidth="1"/>
    <col min="14346" max="14346" width="1.6640625" style="3" customWidth="1"/>
    <col min="14347" max="14348" width="10.44140625" style="3" customWidth="1"/>
    <col min="14349" max="14349" width="1.21875" style="3" customWidth="1"/>
    <col min="14350" max="14351" width="10.44140625" style="3" customWidth="1"/>
    <col min="14352" max="14352" width="1.21875" style="3" customWidth="1"/>
    <col min="14353" max="14354" width="10.44140625" style="3" customWidth="1"/>
    <col min="14355" max="14355" width="1.21875" style="3" customWidth="1"/>
    <col min="14356" max="14360" width="10.44140625" style="3" customWidth="1"/>
    <col min="14361" max="14361" width="1.21875" style="3" customWidth="1"/>
    <col min="14362" max="14362" width="17.109375" style="3" customWidth="1"/>
    <col min="14363" max="14364" width="12.33203125" style="3" customWidth="1"/>
    <col min="14365" max="14365" width="13.5546875" style="3" customWidth="1"/>
    <col min="14366" max="14370" width="11.33203125" style="3" customWidth="1"/>
    <col min="14371" max="14371" width="7.44140625" style="3" customWidth="1"/>
    <col min="14372" max="14592" width="8.88671875" style="3"/>
    <col min="14593" max="14593" width="16.44140625" style="3" customWidth="1"/>
    <col min="14594" max="14600" width="10.33203125" style="3" customWidth="1"/>
    <col min="14601" max="14601" width="4.6640625" style="3" customWidth="1"/>
    <col min="14602" max="14602" width="1.6640625" style="3" customWidth="1"/>
    <col min="14603" max="14604" width="10.44140625" style="3" customWidth="1"/>
    <col min="14605" max="14605" width="1.21875" style="3" customWidth="1"/>
    <col min="14606" max="14607" width="10.44140625" style="3" customWidth="1"/>
    <col min="14608" max="14608" width="1.21875" style="3" customWidth="1"/>
    <col min="14609" max="14610" width="10.44140625" style="3" customWidth="1"/>
    <col min="14611" max="14611" width="1.21875" style="3" customWidth="1"/>
    <col min="14612" max="14616" width="10.44140625" style="3" customWidth="1"/>
    <col min="14617" max="14617" width="1.21875" style="3" customWidth="1"/>
    <col min="14618" max="14618" width="17.109375" style="3" customWidth="1"/>
    <col min="14619" max="14620" width="12.33203125" style="3" customWidth="1"/>
    <col min="14621" max="14621" width="13.5546875" style="3" customWidth="1"/>
    <col min="14622" max="14626" width="11.33203125" style="3" customWidth="1"/>
    <col min="14627" max="14627" width="7.44140625" style="3" customWidth="1"/>
    <col min="14628" max="14848" width="8.88671875" style="3"/>
    <col min="14849" max="14849" width="16.44140625" style="3" customWidth="1"/>
    <col min="14850" max="14856" width="10.33203125" style="3" customWidth="1"/>
    <col min="14857" max="14857" width="4.6640625" style="3" customWidth="1"/>
    <col min="14858" max="14858" width="1.6640625" style="3" customWidth="1"/>
    <col min="14859" max="14860" width="10.44140625" style="3" customWidth="1"/>
    <col min="14861" max="14861" width="1.21875" style="3" customWidth="1"/>
    <col min="14862" max="14863" width="10.44140625" style="3" customWidth="1"/>
    <col min="14864" max="14864" width="1.21875" style="3" customWidth="1"/>
    <col min="14865" max="14866" width="10.44140625" style="3" customWidth="1"/>
    <col min="14867" max="14867" width="1.21875" style="3" customWidth="1"/>
    <col min="14868" max="14872" width="10.44140625" style="3" customWidth="1"/>
    <col min="14873" max="14873" width="1.21875" style="3" customWidth="1"/>
    <col min="14874" max="14874" width="17.109375" style="3" customWidth="1"/>
    <col min="14875" max="14876" width="12.33203125" style="3" customWidth="1"/>
    <col min="14877" max="14877" width="13.5546875" style="3" customWidth="1"/>
    <col min="14878" max="14882" width="11.33203125" style="3" customWidth="1"/>
    <col min="14883" max="14883" width="7.44140625" style="3" customWidth="1"/>
    <col min="14884" max="15104" width="8.88671875" style="3"/>
    <col min="15105" max="15105" width="16.44140625" style="3" customWidth="1"/>
    <col min="15106" max="15112" width="10.33203125" style="3" customWidth="1"/>
    <col min="15113" max="15113" width="4.6640625" style="3" customWidth="1"/>
    <col min="15114" max="15114" width="1.6640625" style="3" customWidth="1"/>
    <col min="15115" max="15116" width="10.44140625" style="3" customWidth="1"/>
    <col min="15117" max="15117" width="1.21875" style="3" customWidth="1"/>
    <col min="15118" max="15119" width="10.44140625" style="3" customWidth="1"/>
    <col min="15120" max="15120" width="1.21875" style="3" customWidth="1"/>
    <col min="15121" max="15122" width="10.44140625" style="3" customWidth="1"/>
    <col min="15123" max="15123" width="1.21875" style="3" customWidth="1"/>
    <col min="15124" max="15128" width="10.44140625" style="3" customWidth="1"/>
    <col min="15129" max="15129" width="1.21875" style="3" customWidth="1"/>
    <col min="15130" max="15130" width="17.109375" style="3" customWidth="1"/>
    <col min="15131" max="15132" width="12.33203125" style="3" customWidth="1"/>
    <col min="15133" max="15133" width="13.5546875" style="3" customWidth="1"/>
    <col min="15134" max="15138" width="11.33203125" style="3" customWidth="1"/>
    <col min="15139" max="15139" width="7.44140625" style="3" customWidth="1"/>
    <col min="15140" max="15360" width="8.88671875" style="3"/>
    <col min="15361" max="15361" width="16.44140625" style="3" customWidth="1"/>
    <col min="15362" max="15368" width="10.33203125" style="3" customWidth="1"/>
    <col min="15369" max="15369" width="4.6640625" style="3" customWidth="1"/>
    <col min="15370" max="15370" width="1.6640625" style="3" customWidth="1"/>
    <col min="15371" max="15372" width="10.44140625" style="3" customWidth="1"/>
    <col min="15373" max="15373" width="1.21875" style="3" customWidth="1"/>
    <col min="15374" max="15375" width="10.44140625" style="3" customWidth="1"/>
    <col min="15376" max="15376" width="1.21875" style="3" customWidth="1"/>
    <col min="15377" max="15378" width="10.44140625" style="3" customWidth="1"/>
    <col min="15379" max="15379" width="1.21875" style="3" customWidth="1"/>
    <col min="15380" max="15384" width="10.44140625" style="3" customWidth="1"/>
    <col min="15385" max="15385" width="1.21875" style="3" customWidth="1"/>
    <col min="15386" max="15386" width="17.109375" style="3" customWidth="1"/>
    <col min="15387" max="15388" width="12.33203125" style="3" customWidth="1"/>
    <col min="15389" max="15389" width="13.5546875" style="3" customWidth="1"/>
    <col min="15390" max="15394" width="11.33203125" style="3" customWidth="1"/>
    <col min="15395" max="15395" width="7.44140625" style="3" customWidth="1"/>
    <col min="15396" max="15616" width="8.88671875" style="3"/>
    <col min="15617" max="15617" width="16.44140625" style="3" customWidth="1"/>
    <col min="15618" max="15624" width="10.33203125" style="3" customWidth="1"/>
    <col min="15625" max="15625" width="4.6640625" style="3" customWidth="1"/>
    <col min="15626" max="15626" width="1.6640625" style="3" customWidth="1"/>
    <col min="15627" max="15628" width="10.44140625" style="3" customWidth="1"/>
    <col min="15629" max="15629" width="1.21875" style="3" customWidth="1"/>
    <col min="15630" max="15631" width="10.44140625" style="3" customWidth="1"/>
    <col min="15632" max="15632" width="1.21875" style="3" customWidth="1"/>
    <col min="15633" max="15634" width="10.44140625" style="3" customWidth="1"/>
    <col min="15635" max="15635" width="1.21875" style="3" customWidth="1"/>
    <col min="15636" max="15640" width="10.44140625" style="3" customWidth="1"/>
    <col min="15641" max="15641" width="1.21875" style="3" customWidth="1"/>
    <col min="15642" max="15642" width="17.109375" style="3" customWidth="1"/>
    <col min="15643" max="15644" width="12.33203125" style="3" customWidth="1"/>
    <col min="15645" max="15645" width="13.5546875" style="3" customWidth="1"/>
    <col min="15646" max="15650" width="11.33203125" style="3" customWidth="1"/>
    <col min="15651" max="15651" width="7.44140625" style="3" customWidth="1"/>
    <col min="15652" max="15872" width="8.88671875" style="3"/>
    <col min="15873" max="15873" width="16.44140625" style="3" customWidth="1"/>
    <col min="15874" max="15880" width="10.33203125" style="3" customWidth="1"/>
    <col min="15881" max="15881" width="4.6640625" style="3" customWidth="1"/>
    <col min="15882" max="15882" width="1.6640625" style="3" customWidth="1"/>
    <col min="15883" max="15884" width="10.44140625" style="3" customWidth="1"/>
    <col min="15885" max="15885" width="1.21875" style="3" customWidth="1"/>
    <col min="15886" max="15887" width="10.44140625" style="3" customWidth="1"/>
    <col min="15888" max="15888" width="1.21875" style="3" customWidth="1"/>
    <col min="15889" max="15890" width="10.44140625" style="3" customWidth="1"/>
    <col min="15891" max="15891" width="1.21875" style="3" customWidth="1"/>
    <col min="15892" max="15896" width="10.44140625" style="3" customWidth="1"/>
    <col min="15897" max="15897" width="1.21875" style="3" customWidth="1"/>
    <col min="15898" max="15898" width="17.109375" style="3" customWidth="1"/>
    <col min="15899" max="15900" width="12.33203125" style="3" customWidth="1"/>
    <col min="15901" max="15901" width="13.5546875" style="3" customWidth="1"/>
    <col min="15902" max="15906" width="11.33203125" style="3" customWidth="1"/>
    <col min="15907" max="15907" width="7.44140625" style="3" customWidth="1"/>
    <col min="15908" max="16128" width="8.88671875" style="3"/>
    <col min="16129" max="16129" width="16.44140625" style="3" customWidth="1"/>
    <col min="16130" max="16136" width="10.33203125" style="3" customWidth="1"/>
    <col min="16137" max="16137" width="4.6640625" style="3" customWidth="1"/>
    <col min="16138" max="16138" width="1.6640625" style="3" customWidth="1"/>
    <col min="16139" max="16140" width="10.44140625" style="3" customWidth="1"/>
    <col min="16141" max="16141" width="1.21875" style="3" customWidth="1"/>
    <col min="16142" max="16143" width="10.44140625" style="3" customWidth="1"/>
    <col min="16144" max="16144" width="1.21875" style="3" customWidth="1"/>
    <col min="16145" max="16146" width="10.44140625" style="3" customWidth="1"/>
    <col min="16147" max="16147" width="1.21875" style="3" customWidth="1"/>
    <col min="16148" max="16152" width="10.44140625" style="3" customWidth="1"/>
    <col min="16153" max="16153" width="1.21875" style="3" customWidth="1"/>
    <col min="16154" max="16154" width="17.109375" style="3" customWidth="1"/>
    <col min="16155" max="16156" width="12.33203125" style="3" customWidth="1"/>
    <col min="16157" max="16157" width="13.5546875" style="3" customWidth="1"/>
    <col min="16158" max="16162" width="11.33203125" style="3" customWidth="1"/>
    <col min="16163" max="16163" width="7.44140625" style="3" customWidth="1"/>
    <col min="16164" max="16384" width="8.88671875" style="3"/>
  </cols>
  <sheetData>
    <row r="1" spans="1:32" ht="13.5" customHeight="1">
      <c r="A1" s="1" t="s">
        <v>243</v>
      </c>
      <c r="B1" s="2"/>
    </row>
    <row r="2" spans="1:32" ht="13.5" customHeight="1">
      <c r="A2" s="1"/>
      <c r="B2" s="5"/>
      <c r="K2" s="244" t="s">
        <v>914</v>
      </c>
      <c r="L2" s="245"/>
      <c r="M2" s="6"/>
      <c r="N2" s="244" t="s">
        <v>391</v>
      </c>
      <c r="O2" s="245"/>
      <c r="Q2" s="244" t="s">
        <v>262</v>
      </c>
      <c r="R2" s="245"/>
      <c r="U2" s="244" t="s">
        <v>920</v>
      </c>
      <c r="V2" s="245"/>
      <c r="W2" s="244" t="s">
        <v>264</v>
      </c>
      <c r="X2" s="245"/>
      <c r="Z2" s="244" t="s">
        <v>1012</v>
      </c>
      <c r="AA2" s="246"/>
      <c r="AB2" s="245"/>
    </row>
    <row r="3" spans="1:32" ht="13.5" customHeight="1">
      <c r="F3" s="7" t="s">
        <v>18</v>
      </c>
      <c r="G3" s="7" t="s">
        <v>118</v>
      </c>
      <c r="H3" s="7" t="s">
        <v>38</v>
      </c>
      <c r="K3" s="241" t="s">
        <v>915</v>
      </c>
      <c r="L3" s="241" t="s">
        <v>916</v>
      </c>
      <c r="M3" s="8"/>
      <c r="N3" s="241" t="s">
        <v>915</v>
      </c>
      <c r="O3" s="241" t="s">
        <v>916</v>
      </c>
      <c r="Q3" s="241" t="s">
        <v>915</v>
      </c>
      <c r="R3" s="241" t="s">
        <v>916</v>
      </c>
      <c r="T3" s="241" t="s">
        <v>384</v>
      </c>
      <c r="U3" s="241" t="s">
        <v>919</v>
      </c>
      <c r="V3" s="241" t="s">
        <v>262</v>
      </c>
      <c r="W3" s="241" t="s">
        <v>915</v>
      </c>
      <c r="X3" s="241" t="s">
        <v>916</v>
      </c>
      <c r="Z3" s="242" t="s">
        <v>1010</v>
      </c>
      <c r="AA3" s="242" t="s">
        <v>35</v>
      </c>
      <c r="AB3" s="242" t="s">
        <v>1009</v>
      </c>
    </row>
    <row r="4" spans="1:32" ht="13.5" customHeight="1">
      <c r="A4" s="7" t="s">
        <v>121</v>
      </c>
      <c r="B4" s="7" t="s">
        <v>42</v>
      </c>
      <c r="C4" s="7" t="s">
        <v>23</v>
      </c>
      <c r="D4" s="7" t="s">
        <v>67</v>
      </c>
      <c r="E4" s="7" t="s">
        <v>122</v>
      </c>
      <c r="F4" s="7" t="s">
        <v>123</v>
      </c>
      <c r="G4" s="7" t="s">
        <v>123</v>
      </c>
      <c r="H4" s="7" t="s">
        <v>45</v>
      </c>
      <c r="K4" s="242"/>
      <c r="L4" s="242"/>
      <c r="M4" s="8"/>
      <c r="N4" s="242"/>
      <c r="O4" s="242"/>
      <c r="Q4" s="242"/>
      <c r="R4" s="242"/>
      <c r="T4" s="242"/>
      <c r="U4" s="242"/>
      <c r="V4" s="242"/>
      <c r="W4" s="242"/>
      <c r="X4" s="242"/>
      <c r="Z4" s="242"/>
      <c r="AA4" s="242"/>
      <c r="AB4" s="242"/>
    </row>
    <row r="5" spans="1:32" ht="13.5" customHeight="1">
      <c r="A5" s="7"/>
      <c r="B5" s="7"/>
      <c r="C5" s="7"/>
      <c r="D5" s="7" t="s">
        <v>42</v>
      </c>
      <c r="E5" s="7" t="s">
        <v>67</v>
      </c>
      <c r="F5" s="9">
        <v>43009</v>
      </c>
      <c r="G5" s="10">
        <v>43373</v>
      </c>
      <c r="H5" s="9">
        <f>G5</f>
        <v>43373</v>
      </c>
      <c r="K5" s="243"/>
      <c r="L5" s="243"/>
      <c r="M5" s="8"/>
      <c r="N5" s="243"/>
      <c r="O5" s="243"/>
      <c r="Q5" s="243"/>
      <c r="R5" s="243"/>
      <c r="T5" s="243"/>
      <c r="U5" s="243"/>
      <c r="V5" s="243"/>
      <c r="W5" s="243"/>
      <c r="X5" s="243"/>
      <c r="Z5" s="243"/>
      <c r="AA5" s="243" t="s">
        <v>35</v>
      </c>
      <c r="AB5" s="243" t="s">
        <v>1008</v>
      </c>
    </row>
    <row r="6" spans="1:32" ht="13.5" customHeight="1" thickBot="1">
      <c r="A6" s="1" t="s">
        <v>124</v>
      </c>
      <c r="B6" s="5"/>
      <c r="Z6" s="11" t="s">
        <v>997</v>
      </c>
    </row>
    <row r="7" spans="1:32" ht="13.5" customHeight="1">
      <c r="A7" s="3" t="s">
        <v>125</v>
      </c>
      <c r="B7" s="12">
        <f>'2111 Trks'!M100</f>
        <v>11458704.104999997</v>
      </c>
      <c r="C7" s="12">
        <f>B7-D7</f>
        <v>0</v>
      </c>
      <c r="D7" s="12">
        <f>'2111 Trks'!N100</f>
        <v>11458704.104999997</v>
      </c>
      <c r="E7" s="12">
        <f>'2111 Trks'!Q100</f>
        <v>1168222.1193492061</v>
      </c>
      <c r="F7" s="12">
        <f>'2111 Trks'!S100</f>
        <v>2776812.5914761899</v>
      </c>
      <c r="G7" s="12">
        <f>'2111 Trks'!T100</f>
        <v>3945034.7108253953</v>
      </c>
      <c r="H7" s="12">
        <f>'2111 Trks'!U100</f>
        <v>8097780.4538492057</v>
      </c>
      <c r="I7" s="13"/>
      <c r="J7" s="13"/>
      <c r="K7" s="14">
        <f>E7</f>
        <v>1168222.1193492061</v>
      </c>
      <c r="L7" s="14">
        <f>H7</f>
        <v>8097780.4538492057</v>
      </c>
      <c r="M7" s="12"/>
      <c r="N7" s="12"/>
      <c r="O7" s="12"/>
      <c r="P7" s="13"/>
      <c r="Q7" s="12"/>
      <c r="R7" s="12"/>
      <c r="S7" s="13"/>
      <c r="T7" s="130" t="s">
        <v>934</v>
      </c>
      <c r="U7" s="13"/>
      <c r="V7" s="13"/>
      <c r="W7" s="13"/>
      <c r="X7" s="13"/>
      <c r="Z7" s="15" t="s">
        <v>998</v>
      </c>
      <c r="AA7" s="13">
        <f>K7</f>
        <v>1168222.1193492061</v>
      </c>
      <c r="AB7" s="13">
        <f>L7</f>
        <v>8097780.4538492057</v>
      </c>
      <c r="AD7" s="131" t="s">
        <v>1015</v>
      </c>
      <c r="AE7" s="132"/>
      <c r="AF7" s="133"/>
    </row>
    <row r="8" spans="1:32" ht="13.5" customHeight="1">
      <c r="B8" s="12"/>
      <c r="C8" s="12"/>
      <c r="D8" s="12"/>
      <c r="E8" s="12"/>
      <c r="F8" s="12"/>
      <c r="G8" s="12"/>
      <c r="H8" s="12"/>
      <c r="I8" s="13"/>
      <c r="J8" s="13"/>
      <c r="K8" s="12"/>
      <c r="L8" s="12"/>
      <c r="M8" s="12"/>
      <c r="N8" s="12"/>
      <c r="O8" s="12"/>
      <c r="P8" s="13"/>
      <c r="Q8" s="12"/>
      <c r="R8" s="12"/>
      <c r="S8" s="13"/>
      <c r="T8" s="134"/>
      <c r="U8" s="13"/>
      <c r="V8" s="13"/>
      <c r="W8" s="13"/>
      <c r="X8" s="13"/>
      <c r="Z8" s="15" t="s">
        <v>416</v>
      </c>
      <c r="AA8" s="13">
        <f>SUM($K$11,$K$15)*AF8</f>
        <v>88854.223643713107</v>
      </c>
      <c r="AB8" s="13">
        <f>SUM(,$L$11,$L$15)*AF8</f>
        <v>253244.06089322304</v>
      </c>
      <c r="AC8" s="16" t="s">
        <v>901</v>
      </c>
      <c r="AD8" s="135" t="s">
        <v>1016</v>
      </c>
      <c r="AE8" s="217">
        <f>'[1]Hours+Tons'!C77</f>
        <v>28979.45</v>
      </c>
      <c r="AF8" s="136">
        <f>AE8/(AE9+AE8+AE10)</f>
        <v>0.46605726405362946</v>
      </c>
    </row>
    <row r="9" spans="1:32" ht="13.5" customHeight="1">
      <c r="A9" s="3" t="s">
        <v>588</v>
      </c>
      <c r="B9" s="12">
        <f>+'2111 Trks'!M116</f>
        <v>576972.52</v>
      </c>
      <c r="C9" s="12">
        <f>B9-D9</f>
        <v>0</v>
      </c>
      <c r="D9" s="12">
        <f>+'2111 Trks'!N116</f>
        <v>576972.52</v>
      </c>
      <c r="E9" s="12">
        <f>+'2111 Trks'!Q116</f>
        <v>65827.215538095246</v>
      </c>
      <c r="F9" s="12">
        <f>+'2111 Trks'!S116</f>
        <v>187737.96409999998</v>
      </c>
      <c r="G9" s="12">
        <f>+'2111 Trks'!T116</f>
        <v>253565.17963809526</v>
      </c>
      <c r="H9" s="12">
        <f>+'2111 Trks'!U116</f>
        <v>356320.94813095237</v>
      </c>
      <c r="I9" s="13"/>
      <c r="J9" s="13"/>
      <c r="K9" s="17">
        <f>E9*U9</f>
        <v>44651.202201578752</v>
      </c>
      <c r="L9" s="17">
        <f>H9*U9</f>
        <v>241695.75719705093</v>
      </c>
      <c r="M9" s="12"/>
      <c r="N9" s="12"/>
      <c r="O9" s="12"/>
      <c r="P9" s="18"/>
      <c r="Q9" s="19">
        <f>E9*V9</f>
        <v>21176.013336516498</v>
      </c>
      <c r="R9" s="19">
        <f>H9*V9</f>
        <v>114625.19093390142</v>
      </c>
      <c r="S9" s="20"/>
      <c r="T9" s="137" t="s">
        <v>899</v>
      </c>
      <c r="U9" s="21">
        <f>'[1]Revenue+Cust'!$AA$35</f>
        <v>0.6783091436662454</v>
      </c>
      <c r="V9" s="21">
        <f>'[1]Revenue+Cust'!$AB$35</f>
        <v>0.3216908563337546</v>
      </c>
      <c r="W9" s="20">
        <f>E9-K9-Q9</f>
        <v>0</v>
      </c>
      <c r="X9" s="22">
        <f>H9-L9-R9</f>
        <v>0</v>
      </c>
      <c r="Z9" s="3" t="s">
        <v>1043</v>
      </c>
      <c r="AA9" s="219">
        <f>$K$9*AE43</f>
        <v>24770.845005429663</v>
      </c>
      <c r="AB9" s="219">
        <f>$L$9*AE43</f>
        <v>134083.91812094196</v>
      </c>
      <c r="AC9" s="16" t="s">
        <v>898</v>
      </c>
      <c r="AD9" s="135" t="s">
        <v>1017</v>
      </c>
      <c r="AE9" s="217">
        <f>'[1]Hours+Tons'!C78</f>
        <v>20805.900000000078</v>
      </c>
      <c r="AF9" s="136">
        <f>AE9/(AE10+AE9+AE8)</f>
        <v>0.33460748323979389</v>
      </c>
    </row>
    <row r="10" spans="1:32" ht="13.5" customHeight="1">
      <c r="B10" s="12"/>
      <c r="C10" s="12"/>
      <c r="D10" s="12"/>
      <c r="E10" s="12"/>
      <c r="F10" s="12"/>
      <c r="G10" s="12"/>
      <c r="H10" s="12"/>
      <c r="I10" s="13"/>
      <c r="J10" s="13"/>
      <c r="K10" s="12"/>
      <c r="L10" s="12"/>
      <c r="M10" s="12"/>
      <c r="N10" s="12"/>
      <c r="O10" s="12"/>
      <c r="P10" s="23"/>
      <c r="Q10" s="12"/>
      <c r="R10" s="12"/>
      <c r="S10" s="13"/>
      <c r="T10" s="134"/>
      <c r="U10" s="24"/>
      <c r="V10" s="24"/>
      <c r="W10" s="13"/>
      <c r="X10" s="4"/>
      <c r="Y10" s="4"/>
      <c r="Z10" s="15"/>
      <c r="AA10" s="23"/>
      <c r="AB10" s="23"/>
      <c r="AD10" s="135" t="s">
        <v>1018</v>
      </c>
      <c r="AE10" s="217">
        <f>'[1]Hours+Tons'!C79</f>
        <v>12394.670000000007</v>
      </c>
      <c r="AF10" s="136">
        <f>AE10/(AE8+AE10+AE9)</f>
        <v>0.19933525270657662</v>
      </c>
    </row>
    <row r="11" spans="1:32" s="1" customFormat="1" ht="13.5" customHeight="1" thickBot="1">
      <c r="A11" s="4" t="s">
        <v>77</v>
      </c>
      <c r="B11" s="12">
        <f>+'2111 Trks'!M226</f>
        <v>3479960.7624999997</v>
      </c>
      <c r="C11" s="12">
        <f>B11-D11</f>
        <v>0</v>
      </c>
      <c r="D11" s="12">
        <f>+'2111 Trks'!N226</f>
        <v>3479960.7624999997</v>
      </c>
      <c r="E11" s="12">
        <f>+'2111 Trks'!Q226</f>
        <v>327579.8417761905</v>
      </c>
      <c r="F11" s="12">
        <f>+'2111 Trks'!S226</f>
        <v>2379537.2696952377</v>
      </c>
      <c r="G11" s="12">
        <f>+'2111 Trks'!T226</f>
        <v>2707117.1114714295</v>
      </c>
      <c r="H11" s="12">
        <f>+'2111 Trks'!U226</f>
        <v>936633.57191666681</v>
      </c>
      <c r="I11" s="20"/>
      <c r="J11" s="20"/>
      <c r="K11" s="25">
        <f>E11*U11</f>
        <v>185797.42113056718</v>
      </c>
      <c r="L11" s="25">
        <f>H11*U11</f>
        <v>531241.79211651639</v>
      </c>
      <c r="M11" s="26"/>
      <c r="N11" s="26"/>
      <c r="O11" s="26"/>
      <c r="P11" s="18"/>
      <c r="Q11" s="19">
        <f>E11*V11</f>
        <v>141782.42064562332</v>
      </c>
      <c r="R11" s="19">
        <f>H11*V11</f>
        <v>405391.77980015049</v>
      </c>
      <c r="S11" s="20"/>
      <c r="T11" s="130" t="s">
        <v>901</v>
      </c>
      <c r="U11" s="21">
        <f>SUM('[1]Hours+Tons'!$D$77:$D$79)</f>
        <v>0.56718209558666288</v>
      </c>
      <c r="V11" s="21">
        <f>SUM('[1]Hours+Tons'!$D$80:$D$81)</f>
        <v>0.43281790441333717</v>
      </c>
      <c r="W11" s="20">
        <f>E11-K11-Q11</f>
        <v>0</v>
      </c>
      <c r="X11" s="22">
        <f>H11-L11-R11</f>
        <v>0</v>
      </c>
      <c r="Y11" s="27"/>
      <c r="Z11" s="220" t="s">
        <v>1045</v>
      </c>
      <c r="AA11" s="221">
        <f>SUM(AA7:AA10)</f>
        <v>1281847.1879983488</v>
      </c>
      <c r="AB11" s="221">
        <f>SUM(AB7:AB10)</f>
        <v>8485108.4328633696</v>
      </c>
      <c r="AD11" s="138" t="s">
        <v>1019</v>
      </c>
      <c r="AE11" s="139">
        <f>SUM(AE8:AE10)</f>
        <v>62180.020000000084</v>
      </c>
      <c r="AF11" s="140">
        <f>SUM(AF8:AF10)</f>
        <v>1</v>
      </c>
    </row>
    <row r="12" spans="1:32" ht="13.5" customHeight="1" thickBot="1">
      <c r="B12" s="12"/>
      <c r="C12" s="12"/>
      <c r="D12" s="12"/>
      <c r="E12" s="12"/>
      <c r="F12" s="12"/>
      <c r="G12" s="12"/>
      <c r="H12" s="12"/>
      <c r="I12" s="13"/>
      <c r="J12" s="13"/>
      <c r="K12" s="12"/>
      <c r="L12" s="12"/>
      <c r="M12" s="12"/>
      <c r="N12" s="12"/>
      <c r="O12" s="12"/>
      <c r="P12" s="23"/>
      <c r="Q12" s="12"/>
      <c r="R12" s="12"/>
      <c r="S12" s="13"/>
      <c r="T12" s="134"/>
      <c r="U12" s="24"/>
      <c r="V12" s="24"/>
      <c r="W12" s="13"/>
      <c r="X12" s="22"/>
      <c r="Y12" s="27"/>
      <c r="AD12" s="141"/>
      <c r="AE12" s="142"/>
      <c r="AF12" s="143"/>
    </row>
    <row r="13" spans="1:32" ht="13.5" customHeight="1">
      <c r="A13" s="3" t="s">
        <v>126</v>
      </c>
      <c r="B13" s="12">
        <f>+'2111 Trks'!M265</f>
        <v>961661.9600000002</v>
      </c>
      <c r="C13" s="12">
        <f>B13-D13</f>
        <v>1091.0128000000259</v>
      </c>
      <c r="D13" s="12">
        <f>+'2111 Trks'!N265</f>
        <v>960570.94720000017</v>
      </c>
      <c r="E13" s="12">
        <f>+'2111 Trks'!Q265</f>
        <v>97493.233476190464</v>
      </c>
      <c r="F13" s="12">
        <f>+'2111 Trks'!S268</f>
        <v>102685.552</v>
      </c>
      <c r="G13" s="12">
        <f>+'2111 Trks'!T268</f>
        <v>102685.552</v>
      </c>
      <c r="H13" s="12">
        <f>'2111 Trks'!U265</f>
        <v>379770.32054761902</v>
      </c>
      <c r="I13" s="13"/>
      <c r="J13" s="13"/>
      <c r="K13" s="14">
        <f>E13</f>
        <v>97493.233476190464</v>
      </c>
      <c r="L13" s="14">
        <f>H13</f>
        <v>379770.32054761902</v>
      </c>
      <c r="M13" s="12"/>
      <c r="N13" s="12"/>
      <c r="O13" s="12"/>
      <c r="P13" s="23"/>
      <c r="Q13" s="12"/>
      <c r="R13" s="12"/>
      <c r="S13" s="13"/>
      <c r="T13" s="134"/>
      <c r="U13" s="24"/>
      <c r="V13" s="24"/>
      <c r="W13" s="13"/>
      <c r="X13" s="28"/>
      <c r="Y13" s="29"/>
      <c r="Z13" s="15" t="s">
        <v>1039</v>
      </c>
      <c r="AA13" s="23">
        <f>K13</f>
        <v>97493.233476190464</v>
      </c>
      <c r="AB13" s="23">
        <f>L13</f>
        <v>379770.32054761902</v>
      </c>
    </row>
    <row r="14" spans="1:32" ht="13.5" customHeight="1">
      <c r="B14" s="12"/>
      <c r="C14" s="12"/>
      <c r="D14" s="12"/>
      <c r="E14" s="12"/>
      <c r="F14" s="12"/>
      <c r="G14" s="12"/>
      <c r="H14" s="12"/>
      <c r="I14" s="13"/>
      <c r="J14" s="13"/>
      <c r="K14" s="12"/>
      <c r="L14" s="12"/>
      <c r="M14" s="12"/>
      <c r="N14" s="12"/>
      <c r="O14" s="12"/>
      <c r="P14" s="23"/>
      <c r="Q14" s="12"/>
      <c r="R14" s="12"/>
      <c r="S14" s="13"/>
      <c r="T14" s="32"/>
      <c r="U14" s="24"/>
      <c r="V14" s="24"/>
      <c r="W14" s="13"/>
      <c r="X14" s="22"/>
      <c r="Y14" s="30"/>
      <c r="Z14" s="15" t="s">
        <v>416</v>
      </c>
      <c r="AA14" s="13">
        <f>SUM($K$11,$K$15)*AF9</f>
        <v>63793.208349666311</v>
      </c>
      <c r="AB14" s="13">
        <f>SUM(,$L$11,$L$15)*AF9</f>
        <v>181817.48123371316</v>
      </c>
      <c r="AC14" s="16" t="s">
        <v>901</v>
      </c>
    </row>
    <row r="15" spans="1:32" ht="13.5" customHeight="1" thickBot="1">
      <c r="A15" s="4" t="s">
        <v>179</v>
      </c>
      <c r="B15" s="12">
        <f>'2111 Trks'!M271</f>
        <v>128356.94</v>
      </c>
      <c r="C15" s="12">
        <f>B15-D15</f>
        <v>0</v>
      </c>
      <c r="D15" s="12">
        <f>'2111 Trks'!N271</f>
        <v>128356.94</v>
      </c>
      <c r="E15" s="12">
        <f>+'2111 Trks'!Q271</f>
        <v>8557.129333333336</v>
      </c>
      <c r="F15" s="12">
        <f>+'2111 Trks'!S271</f>
        <v>102685.552</v>
      </c>
      <c r="G15" s="12">
        <f>+'2111 Trks'!T271</f>
        <v>111242.68133333333</v>
      </c>
      <c r="H15" s="12">
        <f>+'2111 Trks'!U271</f>
        <v>21392.823333333337</v>
      </c>
      <c r="I15" s="20"/>
      <c r="J15" s="20"/>
      <c r="K15" s="19">
        <f>E15*U15</f>
        <v>4853.4505474861053</v>
      </c>
      <c r="L15" s="19">
        <f>H15*U15</f>
        <v>12133.62636871526</v>
      </c>
      <c r="M15" s="31"/>
      <c r="N15" s="31"/>
      <c r="O15" s="31"/>
      <c r="P15" s="18"/>
      <c r="Q15" s="19">
        <f>E15*V15</f>
        <v>3703.6787858472317</v>
      </c>
      <c r="R15" s="19">
        <f>H15*V15</f>
        <v>9259.1969646180769</v>
      </c>
      <c r="S15" s="20"/>
      <c r="T15" s="130" t="s">
        <v>901</v>
      </c>
      <c r="U15" s="21">
        <f>SUM('[1]Hours+Tons'!$D$77:$D$79)</f>
        <v>0.56718209558666288</v>
      </c>
      <c r="V15" s="21">
        <f>SUM('[1]Hours+Tons'!$D$80:$D$81)</f>
        <v>0.43281790441333717</v>
      </c>
      <c r="W15" s="20">
        <f>E15-K15-Q15</f>
        <v>0</v>
      </c>
      <c r="X15" s="22">
        <f>H15-L15-R15</f>
        <v>0</v>
      </c>
      <c r="Y15" s="29"/>
      <c r="Z15" s="220" t="s">
        <v>1047</v>
      </c>
      <c r="AA15" s="222">
        <f>AA13+AA14</f>
        <v>161286.44182585677</v>
      </c>
      <c r="AB15" s="222">
        <f>AB13+AB14</f>
        <v>561587.80178133212</v>
      </c>
      <c r="AC15" s="16"/>
    </row>
    <row r="16" spans="1:32" ht="13.5" customHeight="1">
      <c r="B16" s="12"/>
      <c r="C16" s="12"/>
      <c r="D16" s="12"/>
      <c r="E16" s="12"/>
      <c r="F16" s="12"/>
      <c r="G16" s="12"/>
      <c r="H16" s="12"/>
      <c r="I16" s="20"/>
      <c r="J16" s="20"/>
      <c r="K16" s="12"/>
      <c r="L16" s="12"/>
      <c r="M16" s="12"/>
      <c r="N16" s="12"/>
      <c r="O16" s="12"/>
      <c r="P16" s="18"/>
      <c r="Q16" s="12"/>
      <c r="R16" s="12"/>
      <c r="S16" s="20"/>
      <c r="T16" s="137"/>
      <c r="U16" s="24"/>
      <c r="V16" s="24"/>
      <c r="W16" s="20"/>
      <c r="X16" s="22"/>
      <c r="Y16" s="30"/>
      <c r="Z16" s="15"/>
      <c r="AA16" s="23"/>
      <c r="AB16" s="4"/>
    </row>
    <row r="17" spans="1:34" ht="13.5" customHeight="1">
      <c r="A17" s="3" t="s">
        <v>127</v>
      </c>
      <c r="B17" s="12">
        <f>'2111 Trks'!M317</f>
        <v>2296108.88</v>
      </c>
      <c r="C17" s="12">
        <f>B17-D17</f>
        <v>0</v>
      </c>
      <c r="D17" s="12">
        <f>'2111 Trks'!N317</f>
        <v>2296108.88</v>
      </c>
      <c r="E17" s="12">
        <f>+'2111 Trks'!Q317</f>
        <v>295254.88176190475</v>
      </c>
      <c r="F17" s="12">
        <f>+'2111 Trks'!S317</f>
        <v>1090931.9108571429</v>
      </c>
      <c r="G17" s="12">
        <f>+'2111 Trks'!T317</f>
        <v>1386186.7926190472</v>
      </c>
      <c r="H17" s="12">
        <f>+'2111 Trks'!U317</f>
        <v>1057549.5282619046</v>
      </c>
      <c r="I17" s="13"/>
      <c r="J17" s="13"/>
      <c r="K17" s="14">
        <f>E17</f>
        <v>295254.88176190475</v>
      </c>
      <c r="L17" s="14">
        <f>H17</f>
        <v>1057549.5282619046</v>
      </c>
      <c r="M17" s="12"/>
      <c r="N17" s="12"/>
      <c r="O17" s="12"/>
      <c r="P17" s="13"/>
      <c r="Q17" s="12"/>
      <c r="R17" s="12"/>
      <c r="S17" s="13"/>
      <c r="T17" s="134"/>
      <c r="U17" s="24"/>
      <c r="V17" s="24"/>
      <c r="W17" s="13"/>
      <c r="X17" s="28"/>
      <c r="Y17" s="29"/>
      <c r="Z17" s="15" t="s">
        <v>999</v>
      </c>
      <c r="AA17" s="23">
        <f>K17</f>
        <v>295254.88176190475</v>
      </c>
      <c r="AB17" s="23">
        <f>L17</f>
        <v>1057549.5282619046</v>
      </c>
      <c r="AC17" s="16"/>
      <c r="AD17" s="4"/>
      <c r="AE17" s="4"/>
      <c r="AF17" s="4"/>
      <c r="AG17" s="4"/>
      <c r="AH17" s="4"/>
    </row>
    <row r="18" spans="1:34" ht="13.5" customHeight="1">
      <c r="B18" s="12"/>
      <c r="C18" s="12"/>
      <c r="D18" s="12"/>
      <c r="E18" s="12"/>
      <c r="F18" s="12"/>
      <c r="G18" s="12"/>
      <c r="H18" s="12"/>
      <c r="I18" s="13"/>
      <c r="J18" s="13"/>
      <c r="K18" s="12"/>
      <c r="L18" s="12"/>
      <c r="M18" s="12"/>
      <c r="N18" s="12"/>
      <c r="O18" s="12"/>
      <c r="P18" s="13"/>
      <c r="Q18" s="12"/>
      <c r="R18" s="12"/>
      <c r="S18" s="13"/>
      <c r="T18" s="134"/>
      <c r="U18" s="24"/>
      <c r="V18" s="24"/>
      <c r="W18" s="13"/>
      <c r="X18" s="22"/>
      <c r="Y18" s="30"/>
      <c r="Z18" s="15" t="s">
        <v>416</v>
      </c>
      <c r="AA18" s="13">
        <f>SUM($K$11,$K$15)*AF10</f>
        <v>38003.43968467386</v>
      </c>
      <c r="AB18" s="13">
        <f>SUM($L$11,$L$15)*AF10</f>
        <v>108313.87635829549</v>
      </c>
      <c r="AC18" s="16" t="s">
        <v>901</v>
      </c>
      <c r="AD18" s="32"/>
    </row>
    <row r="19" spans="1:34" ht="13.5" customHeight="1">
      <c r="A19" s="3" t="s">
        <v>128</v>
      </c>
      <c r="B19" s="12">
        <f>'2111 Trks'!M282</f>
        <v>294705.28499999997</v>
      </c>
      <c r="C19" s="12">
        <f>B19-D19</f>
        <v>0</v>
      </c>
      <c r="D19" s="12">
        <f>'2111 Trks'!N282</f>
        <v>294705.28499999997</v>
      </c>
      <c r="E19" s="12">
        <f>+'2111 Trks'!Q282</f>
        <v>32098.22</v>
      </c>
      <c r="F19" s="12">
        <f>+'2111 Trks'!S282</f>
        <v>198410.625</v>
      </c>
      <c r="G19" s="12">
        <f>+'2111 Trks'!T282</f>
        <v>230508.845</v>
      </c>
      <c r="H19" s="12">
        <f>+'2111 Trks'!U282</f>
        <v>80245.55</v>
      </c>
      <c r="I19" s="13"/>
      <c r="J19" s="13"/>
      <c r="K19" s="14">
        <f>E19</f>
        <v>32098.22</v>
      </c>
      <c r="L19" s="14">
        <f>H19</f>
        <v>80245.55</v>
      </c>
      <c r="M19" s="12"/>
      <c r="N19" s="12"/>
      <c r="O19" s="12"/>
      <c r="P19" s="13"/>
      <c r="Q19" s="12"/>
      <c r="R19" s="12"/>
      <c r="S19" s="13"/>
      <c r="T19" s="134"/>
      <c r="U19" s="24"/>
      <c r="V19" s="24"/>
      <c r="W19" s="13"/>
      <c r="X19" s="28"/>
      <c r="Y19" s="29"/>
      <c r="Z19" s="15" t="s">
        <v>88</v>
      </c>
      <c r="AA19" s="23">
        <f>K19</f>
        <v>32098.22</v>
      </c>
      <c r="AB19" s="23">
        <f>L19</f>
        <v>80245.55</v>
      </c>
    </row>
    <row r="20" spans="1:34" ht="13.5" customHeight="1">
      <c r="B20" s="12"/>
      <c r="C20" s="12"/>
      <c r="D20" s="12"/>
      <c r="E20" s="12"/>
      <c r="F20" s="12"/>
      <c r="G20" s="12"/>
      <c r="H20" s="12"/>
      <c r="I20" s="13"/>
      <c r="J20" s="13"/>
      <c r="K20" s="12"/>
      <c r="L20" s="12"/>
      <c r="M20" s="12"/>
      <c r="N20" s="12"/>
      <c r="O20" s="12"/>
      <c r="P20" s="13"/>
      <c r="Q20" s="12"/>
      <c r="R20" s="12"/>
      <c r="S20" s="13"/>
      <c r="T20" s="134"/>
      <c r="U20" s="24"/>
      <c r="V20" s="24"/>
      <c r="W20" s="13"/>
      <c r="X20" s="22"/>
      <c r="Y20" s="30"/>
      <c r="Z20" s="3" t="s">
        <v>1043</v>
      </c>
      <c r="AA20" s="13">
        <f>$K$9*AF43</f>
        <v>14876.153117245913</v>
      </c>
      <c r="AB20" s="13">
        <f>$L$9*AF43</f>
        <v>80524.216920746039</v>
      </c>
      <c r="AC20" s="16" t="s">
        <v>898</v>
      </c>
    </row>
    <row r="21" spans="1:34" ht="13.5" customHeight="1" thickBot="1">
      <c r="A21" s="3" t="s">
        <v>129</v>
      </c>
      <c r="B21" s="12">
        <f>'2111 Trks'!M341</f>
        <v>2026558.9797727275</v>
      </c>
      <c r="C21" s="12">
        <f>B21-D21</f>
        <v>448.31199999991804</v>
      </c>
      <c r="D21" s="12">
        <f>'2111 Trks'!N341</f>
        <v>2026110.6677727276</v>
      </c>
      <c r="E21" s="12">
        <f>+'2111 Trks'!Q341</f>
        <v>252546.02354675328</v>
      </c>
      <c r="F21" s="12">
        <f>+'2111 Trks'!S341</f>
        <v>818450.47640389623</v>
      </c>
      <c r="G21" s="12">
        <f>+'2111 Trks'!T341</f>
        <v>1070996.4999506494</v>
      </c>
      <c r="H21" s="12">
        <f>+'2111 Trks'!U341</f>
        <v>1081835.4915954545</v>
      </c>
      <c r="I21" s="13"/>
      <c r="J21" s="13"/>
      <c r="K21" s="14">
        <f>E21</f>
        <v>252546.02354675328</v>
      </c>
      <c r="L21" s="14">
        <f>H21</f>
        <v>1081835.4915954545</v>
      </c>
      <c r="M21" s="12"/>
      <c r="N21" s="12"/>
      <c r="O21" s="12"/>
      <c r="P21" s="13"/>
      <c r="Q21" s="12"/>
      <c r="R21" s="12"/>
      <c r="S21" s="13"/>
      <c r="T21" s="134"/>
      <c r="U21" s="24"/>
      <c r="V21" s="24"/>
      <c r="W21" s="13"/>
      <c r="X21" s="28"/>
      <c r="Y21" s="29"/>
      <c r="Z21" s="220" t="s">
        <v>1049</v>
      </c>
      <c r="AA21" s="222">
        <f>SUM(AA17:AA20)</f>
        <v>380232.69456382451</v>
      </c>
      <c r="AB21" s="222">
        <f>SUM(AB17:AB20)</f>
        <v>1326633.1715409462</v>
      </c>
      <c r="AC21" s="4"/>
    </row>
    <row r="22" spans="1:34" ht="13.5" customHeight="1">
      <c r="B22" s="12"/>
      <c r="C22" s="12"/>
      <c r="D22" s="12"/>
      <c r="E22" s="12"/>
      <c r="F22" s="12"/>
      <c r="G22" s="12"/>
      <c r="H22" s="12"/>
      <c r="I22" s="13"/>
      <c r="J22" s="13"/>
      <c r="K22" s="12"/>
      <c r="L22" s="12"/>
      <c r="M22" s="12"/>
      <c r="N22" s="12"/>
      <c r="O22" s="12"/>
      <c r="P22" s="13"/>
      <c r="Q22" s="12"/>
      <c r="R22" s="12"/>
      <c r="S22" s="13"/>
      <c r="T22" s="134"/>
      <c r="U22" s="24"/>
      <c r="V22" s="24"/>
      <c r="W22" s="13"/>
      <c r="X22" s="22"/>
      <c r="Y22" s="30"/>
      <c r="AC22" s="36"/>
    </row>
    <row r="23" spans="1:34" ht="13.5" customHeight="1">
      <c r="A23" s="3" t="s">
        <v>161</v>
      </c>
      <c r="B23" s="12">
        <f>+'2111 Trks'!M349</f>
        <v>38686.662499999999</v>
      </c>
      <c r="C23" s="12">
        <f>B23-D23</f>
        <v>897.59999999999854</v>
      </c>
      <c r="D23" s="12">
        <f>'2111 Trks'!N349</f>
        <v>37789.0625</v>
      </c>
      <c r="E23" s="12">
        <f>+'2111 Trks'!Q349</f>
        <v>2366.4</v>
      </c>
      <c r="F23" s="12">
        <f>+'2111 Trks'!S349</f>
        <v>31587.462499999998</v>
      </c>
      <c r="G23" s="12">
        <f>+'2111 Trks'!T349</f>
        <v>33953.862499999996</v>
      </c>
      <c r="H23" s="12">
        <f>+'2111 Trks'!U349</f>
        <v>5916.0000000000009</v>
      </c>
      <c r="I23" s="13"/>
      <c r="J23" s="13"/>
      <c r="K23" s="14">
        <f>E23</f>
        <v>2366.4</v>
      </c>
      <c r="L23" s="14">
        <f>H23</f>
        <v>5916.0000000000009</v>
      </c>
      <c r="M23" s="12"/>
      <c r="N23" s="12"/>
      <c r="O23" s="12"/>
      <c r="P23" s="13"/>
      <c r="Q23" s="12"/>
      <c r="R23" s="12"/>
      <c r="S23" s="13"/>
      <c r="T23" s="134"/>
      <c r="U23" s="24"/>
      <c r="V23" s="24"/>
      <c r="W23" s="13"/>
      <c r="X23" s="22"/>
      <c r="Y23" s="22"/>
      <c r="Z23" s="15" t="s">
        <v>1013</v>
      </c>
      <c r="AA23" s="23">
        <f>K23</f>
        <v>2366.4</v>
      </c>
      <c r="AB23" s="23">
        <f>L23</f>
        <v>5916.0000000000009</v>
      </c>
      <c r="AC23" s="4"/>
    </row>
    <row r="24" spans="1:34" ht="13.5" customHeight="1">
      <c r="B24" s="12"/>
      <c r="C24" s="12"/>
      <c r="D24" s="12"/>
      <c r="E24" s="12"/>
      <c r="F24" s="12"/>
      <c r="G24" s="12"/>
      <c r="H24" s="12"/>
      <c r="I24" s="13"/>
      <c r="J24" s="13"/>
      <c r="K24" s="12"/>
      <c r="L24" s="12"/>
      <c r="M24" s="12"/>
      <c r="N24" s="12"/>
      <c r="O24" s="12"/>
      <c r="P24" s="13"/>
      <c r="Q24" s="12"/>
      <c r="R24" s="12"/>
      <c r="S24" s="13"/>
      <c r="T24" s="134"/>
      <c r="U24" s="24"/>
      <c r="V24" s="24"/>
      <c r="W24" s="13"/>
      <c r="X24" s="28"/>
      <c r="Y24" s="38"/>
      <c r="Z24" s="15"/>
      <c r="AA24" s="33"/>
      <c r="AB24" s="4"/>
      <c r="AC24" s="4"/>
    </row>
    <row r="25" spans="1:34" ht="13.5" customHeight="1" thickBot="1">
      <c r="A25" s="39" t="s">
        <v>50</v>
      </c>
      <c r="B25" s="40">
        <f t="shared" ref="B25:H25" si="0">SUM(B7:B24)</f>
        <v>21261716.094772726</v>
      </c>
      <c r="C25" s="40">
        <f t="shared" si="0"/>
        <v>2436.9247999999425</v>
      </c>
      <c r="D25" s="40">
        <f t="shared" si="0"/>
        <v>21259279.169972725</v>
      </c>
      <c r="E25" s="40">
        <f>SUM(E7:E24)</f>
        <v>2249945.0647816737</v>
      </c>
      <c r="F25" s="40">
        <f t="shared" si="0"/>
        <v>7688839.4040324669</v>
      </c>
      <c r="G25" s="40">
        <f t="shared" si="0"/>
        <v>9841291.2353379522</v>
      </c>
      <c r="H25" s="40">
        <f t="shared" si="0"/>
        <v>12017444.687635139</v>
      </c>
      <c r="I25" s="13">
        <f>+B25-'2111 Trks'!M351</f>
        <v>0</v>
      </c>
      <c r="J25" s="13"/>
      <c r="K25" s="41">
        <f>SUM(K7:K24)</f>
        <v>2083282.9520136863</v>
      </c>
      <c r="L25" s="40">
        <f>SUM(L7:L24)</f>
        <v>11488168.519936468</v>
      </c>
      <c r="M25" s="38"/>
      <c r="N25" s="41">
        <f>SUM(N7:N24)</f>
        <v>0</v>
      </c>
      <c r="O25" s="40">
        <f>SUM(O7:O24)</f>
        <v>0</v>
      </c>
      <c r="P25" s="13"/>
      <c r="Q25" s="41">
        <f>SUM(Q7:Q24)</f>
        <v>166662.11276798707</v>
      </c>
      <c r="R25" s="40">
        <f>SUM(R7:R24)</f>
        <v>529276.16769866995</v>
      </c>
      <c r="S25" s="13"/>
      <c r="T25" s="134"/>
      <c r="U25" s="24"/>
      <c r="V25" s="24"/>
      <c r="W25" s="13"/>
      <c r="X25" s="42"/>
      <c r="Y25" s="30"/>
      <c r="Z25" s="15" t="s">
        <v>392</v>
      </c>
      <c r="AA25" s="23">
        <f>K21</f>
        <v>252546.02354675328</v>
      </c>
      <c r="AB25" s="23">
        <f>L21</f>
        <v>1081835.4915954545</v>
      </c>
      <c r="AC25" s="4"/>
    </row>
    <row r="26" spans="1:34" ht="13.5" customHeight="1">
      <c r="B26" s="43"/>
      <c r="C26" s="43"/>
      <c r="D26" s="43"/>
      <c r="E26" s="43">
        <f>E25-'2111 Trks'!Q351</f>
        <v>0</v>
      </c>
      <c r="F26" s="43"/>
      <c r="G26" s="43"/>
      <c r="H26" s="43">
        <f>H25-'2111 Trks'!U351</f>
        <v>0</v>
      </c>
      <c r="K26" s="12"/>
      <c r="L26" s="43"/>
      <c r="M26" s="12"/>
      <c r="N26" s="43"/>
      <c r="O26" s="43"/>
      <c r="Q26" s="12"/>
      <c r="R26" s="43"/>
      <c r="T26" s="32"/>
      <c r="U26" s="24"/>
      <c r="V26" s="24"/>
      <c r="X26" s="42"/>
      <c r="Y26" s="42"/>
      <c r="Z26" s="197" t="s">
        <v>1043</v>
      </c>
      <c r="AA26" s="13">
        <f>$K$9*AG43</f>
        <v>5004.2040789031726</v>
      </c>
      <c r="AB26" s="13">
        <f>$L$9*AG43</f>
        <v>27087.622155362897</v>
      </c>
      <c r="AC26" s="16" t="s">
        <v>898</v>
      </c>
    </row>
    <row r="27" spans="1:34" ht="13.5" customHeight="1" thickBot="1">
      <c r="A27" s="1" t="s">
        <v>130</v>
      </c>
      <c r="B27" s="43"/>
      <c r="C27" s="43"/>
      <c r="D27" s="43"/>
      <c r="E27" s="43"/>
      <c r="F27" s="43"/>
      <c r="G27" s="43"/>
      <c r="H27" s="43"/>
      <c r="K27" s="12"/>
      <c r="L27" s="43"/>
      <c r="M27" s="12"/>
      <c r="N27" s="43"/>
      <c r="O27" s="43"/>
      <c r="Q27" s="12"/>
      <c r="R27" s="43"/>
      <c r="T27" s="32"/>
      <c r="U27" s="24"/>
      <c r="V27" s="24"/>
      <c r="X27" s="42"/>
      <c r="Y27" s="42"/>
      <c r="Z27" s="220" t="s">
        <v>1048</v>
      </c>
      <c r="AA27" s="222">
        <f>SUM(AA25:AA26)</f>
        <v>257550.22762565644</v>
      </c>
      <c r="AB27" s="222">
        <f>SUM(AB25:AB26)</f>
        <v>1108923.1137508175</v>
      </c>
      <c r="AC27" s="4"/>
    </row>
    <row r="28" spans="1:34" ht="13.5" customHeight="1">
      <c r="A28" s="1"/>
      <c r="B28" s="43"/>
      <c r="C28" s="43"/>
      <c r="D28" s="43"/>
      <c r="E28" s="43"/>
      <c r="F28" s="43"/>
      <c r="G28" s="43"/>
      <c r="H28" s="43"/>
      <c r="K28" s="12"/>
      <c r="L28" s="43"/>
      <c r="M28" s="12"/>
      <c r="N28" s="43"/>
      <c r="O28" s="43"/>
      <c r="Q28" s="12"/>
      <c r="R28" s="43"/>
      <c r="T28" s="32"/>
      <c r="U28" s="24"/>
      <c r="V28" s="24"/>
      <c r="X28" s="42"/>
      <c r="Y28" s="42"/>
      <c r="AC28" s="4"/>
    </row>
    <row r="29" spans="1:34" ht="13.5" customHeight="1">
      <c r="A29" s="3" t="s">
        <v>1014</v>
      </c>
      <c r="B29" s="12">
        <f>'2111 Cont, DB'!M229</f>
        <v>1825058.0200000003</v>
      </c>
      <c r="C29" s="43">
        <f>B29-D29</f>
        <v>0</v>
      </c>
      <c r="D29" s="43">
        <f>'2111 Cont, DB'!N229</f>
        <v>1825058.0200000003</v>
      </c>
      <c r="E29" s="43">
        <f>(+'2111 Cont, DB'!Q229)</f>
        <v>130781.12183333331</v>
      </c>
      <c r="F29" s="43">
        <f>+'2111 Cont, DB'!S229</f>
        <v>852436.72399999935</v>
      </c>
      <c r="G29" s="43">
        <f>+'2111 Cont, DB'!S229</f>
        <v>852436.72399999935</v>
      </c>
      <c r="H29" s="43">
        <f>+'2111 Cont, DB'!S229</f>
        <v>852436.72399999935</v>
      </c>
      <c r="K29" s="17">
        <f>E29*U29</f>
        <v>88886.180801216193</v>
      </c>
      <c r="L29" s="17">
        <f>H29*U29</f>
        <v>579363.77750009682</v>
      </c>
      <c r="M29" s="12"/>
      <c r="N29" s="17"/>
      <c r="O29" s="17"/>
      <c r="P29" s="18"/>
      <c r="Q29" s="19">
        <f>E29*V29</f>
        <v>41894.941032117124</v>
      </c>
      <c r="R29" s="19">
        <f>H29*V29</f>
        <v>273072.94649990264</v>
      </c>
      <c r="S29" s="20"/>
      <c r="T29" s="137" t="s">
        <v>899</v>
      </c>
      <c r="U29" s="21">
        <f>'[1]Revenue+Cust'!$AA$23</f>
        <v>0.67965605092830006</v>
      </c>
      <c r="V29" s="21">
        <f>'[1]Revenue+Cust'!$AB$23</f>
        <v>0.32034394907170005</v>
      </c>
      <c r="W29" s="20">
        <f>E29-K29-Q29</f>
        <v>0</v>
      </c>
      <c r="X29" s="22">
        <f>H29-L29-R29</f>
        <v>0</v>
      </c>
      <c r="Y29" s="27"/>
      <c r="Z29" s="34" t="s">
        <v>50</v>
      </c>
      <c r="AA29" s="35">
        <f>AA11+AA15+AA21+AA27+AA23</f>
        <v>2083282.9520136863</v>
      </c>
      <c r="AB29" s="35">
        <f>AB11+AB15+AB21+AB27+AB23</f>
        <v>11488168.519936465</v>
      </c>
      <c r="AC29" s="4"/>
    </row>
    <row r="30" spans="1:34" ht="13.5" customHeight="1">
      <c r="B30" s="12"/>
      <c r="C30" s="43"/>
      <c r="D30" s="43"/>
      <c r="E30" s="43"/>
      <c r="F30" s="43"/>
      <c r="G30" s="43"/>
      <c r="H30" s="43"/>
      <c r="K30" s="12"/>
      <c r="L30" s="12"/>
      <c r="M30" s="12"/>
      <c r="N30" s="12"/>
      <c r="O30" s="12"/>
      <c r="P30" s="18"/>
      <c r="Q30" s="31"/>
      <c r="R30" s="31"/>
      <c r="S30" s="20"/>
      <c r="T30" s="137"/>
      <c r="U30" s="44"/>
      <c r="V30" s="44"/>
      <c r="W30" s="20"/>
      <c r="X30" s="22"/>
      <c r="Y30" s="27"/>
      <c r="Z30" s="4"/>
      <c r="AA30" s="23">
        <f>AA29-K25</f>
        <v>0</v>
      </c>
      <c r="AB30" s="23">
        <f>AB29-L25</f>
        <v>0</v>
      </c>
      <c r="AC30" s="4"/>
    </row>
    <row r="31" spans="1:34" ht="13.5" customHeight="1">
      <c r="A31" s="3" t="s">
        <v>1037</v>
      </c>
      <c r="B31" s="12">
        <f>'2111 Cont, DB'!M464</f>
        <v>566519.85000000009</v>
      </c>
      <c r="C31" s="43">
        <f>B31-D31</f>
        <v>0</v>
      </c>
      <c r="D31" s="43">
        <f>'2111 Cont, DB'!N464</f>
        <v>566519.85000000009</v>
      </c>
      <c r="E31" s="43">
        <f>'2111 Cont, DB'!Q464</f>
        <v>82479.048681318687</v>
      </c>
      <c r="F31" s="43">
        <f>'2111 Cont, DB'!S464</f>
        <v>0</v>
      </c>
      <c r="G31" s="43">
        <f>'2111 Cont, DB'!T464</f>
        <v>82479.048681318687</v>
      </c>
      <c r="H31" s="43">
        <f>'2111 Cont, DB'!U464</f>
        <v>525280.3256593406</v>
      </c>
      <c r="K31" s="17">
        <f>E31*U31</f>
        <v>56057.38451106807</v>
      </c>
      <c r="L31" s="17">
        <f>H31*U31</f>
        <v>357009.95176795882</v>
      </c>
      <c r="M31" s="12"/>
      <c r="N31" s="17"/>
      <c r="O31" s="17"/>
      <c r="P31" s="18"/>
      <c r="Q31" s="19">
        <f>E31*V31</f>
        <v>26421.664170250624</v>
      </c>
      <c r="R31" s="19">
        <f>H31*V31</f>
        <v>168270.37389138181</v>
      </c>
      <c r="S31" s="20"/>
      <c r="T31" s="137" t="s">
        <v>899</v>
      </c>
      <c r="U31" s="21">
        <f>'[1]Revenue+Cust'!$AA$23</f>
        <v>0.67965605092830006</v>
      </c>
      <c r="V31" s="21">
        <f>'[1]Revenue+Cust'!$AB$23</f>
        <v>0.32034394907170005</v>
      </c>
      <c r="W31" s="20"/>
      <c r="X31" s="22"/>
      <c r="Y31" s="27"/>
      <c r="Z31" s="37" t="s">
        <v>130</v>
      </c>
      <c r="AA31" s="4"/>
      <c r="AB31" s="4"/>
      <c r="AC31" s="4"/>
    </row>
    <row r="32" spans="1:34" ht="13.5" customHeight="1">
      <c r="B32" s="43"/>
      <c r="C32" s="43"/>
      <c r="D32" s="43"/>
      <c r="E32" s="43"/>
      <c r="F32" s="43"/>
      <c r="G32" s="43"/>
      <c r="H32" s="43"/>
      <c r="K32" s="12"/>
      <c r="L32" s="43"/>
      <c r="M32" s="12"/>
      <c r="N32" s="12"/>
      <c r="O32" s="12"/>
      <c r="P32" s="4"/>
      <c r="Q32" s="12"/>
      <c r="R32" s="43"/>
      <c r="T32" s="137"/>
      <c r="U32" s="44"/>
      <c r="V32" s="44"/>
      <c r="X32" s="42"/>
      <c r="Y32" s="27"/>
      <c r="Z32" s="15" t="s">
        <v>1014</v>
      </c>
      <c r="AA32" s="12">
        <f>K29</f>
        <v>88886.180801216193</v>
      </c>
      <c r="AB32" s="12">
        <f>L29</f>
        <v>579363.77750009682</v>
      </c>
    </row>
    <row r="33" spans="1:36" ht="13.5" customHeight="1">
      <c r="A33" s="42" t="s">
        <v>131</v>
      </c>
      <c r="B33" s="43">
        <f>'2111 Cont, DB'!M380</f>
        <v>3347561.8199999984</v>
      </c>
      <c r="C33" s="43">
        <f>B33-D33</f>
        <v>0</v>
      </c>
      <c r="D33" s="43">
        <f>'2111 Cont, DB'!N380</f>
        <v>3347561.8199999984</v>
      </c>
      <c r="E33" s="43">
        <f>+'2111 Cont, DB'!Q380</f>
        <v>200550.28133333335</v>
      </c>
      <c r="F33" s="43">
        <f>+'2111 Cont, DB'!S380</f>
        <v>1593767.8608333336</v>
      </c>
      <c r="G33" s="43">
        <f>+'2111 Cont, DB'!T380</f>
        <v>1794318.1421666667</v>
      </c>
      <c r="H33" s="43">
        <f>+'2111 Cont, DB'!U380</f>
        <v>1653518.8185000001</v>
      </c>
      <c r="K33" s="17">
        <f>E33*U33</f>
        <v>161030.37134865116</v>
      </c>
      <c r="L33" s="17">
        <f>H33*U33</f>
        <v>1327680.7571886557</v>
      </c>
      <c r="M33" s="31"/>
      <c r="N33" s="19"/>
      <c r="O33" s="19"/>
      <c r="P33" s="18"/>
      <c r="Q33" s="19">
        <f>E33*V33</f>
        <v>39519.909984682199</v>
      </c>
      <c r="R33" s="19">
        <f>H33*V33</f>
        <v>325838.06131134456</v>
      </c>
      <c r="S33" s="20"/>
      <c r="T33" s="137" t="s">
        <v>899</v>
      </c>
      <c r="U33" s="21">
        <f>'[1]Revenue+Cust'!AA25</f>
        <v>0.80294263502429897</v>
      </c>
      <c r="V33" s="21">
        <f>'[1]Revenue+Cust'!AB25</f>
        <v>0.19705736497570109</v>
      </c>
      <c r="W33" s="20">
        <f>E33-K33-Q33</f>
        <v>0</v>
      </c>
      <c r="X33" s="22">
        <f>H33-L33-R33</f>
        <v>0</v>
      </c>
      <c r="Y33" s="45"/>
      <c r="Z33" s="15" t="s">
        <v>1037</v>
      </c>
      <c r="AA33" s="13">
        <f>K31</f>
        <v>56057.38451106807</v>
      </c>
      <c r="AB33" s="13">
        <f>L31</f>
        <v>357009.95176795882</v>
      </c>
    </row>
    <row r="34" spans="1:36" ht="13.5" customHeight="1">
      <c r="A34" s="42"/>
      <c r="B34" s="43"/>
      <c r="C34" s="43"/>
      <c r="D34" s="43"/>
      <c r="E34" s="43"/>
      <c r="F34" s="43"/>
      <c r="G34" s="43"/>
      <c r="H34" s="43"/>
      <c r="K34" s="12"/>
      <c r="L34" s="43"/>
      <c r="M34" s="12"/>
      <c r="N34" s="12"/>
      <c r="O34" s="12"/>
      <c r="P34" s="4"/>
      <c r="Q34" s="12"/>
      <c r="R34" s="43"/>
      <c r="T34" s="137"/>
      <c r="U34" s="44"/>
      <c r="V34" s="44"/>
      <c r="X34" s="42"/>
      <c r="Y34" s="30"/>
      <c r="Z34" s="15" t="s">
        <v>1028</v>
      </c>
      <c r="AA34" s="12">
        <f>K43</f>
        <v>341353.19142857142</v>
      </c>
      <c r="AB34" s="12">
        <f>L43</f>
        <v>2218795.7442857143</v>
      </c>
    </row>
    <row r="35" spans="1:36" ht="13.5" customHeight="1" thickBot="1">
      <c r="A35" s="3" t="s">
        <v>1030</v>
      </c>
      <c r="B35" s="43">
        <f>'2111 Cont, DB'!M423</f>
        <v>1292121.31</v>
      </c>
      <c r="C35" s="43">
        <f>B35-D35</f>
        <v>0</v>
      </c>
      <c r="D35" s="43">
        <f>'2111 Cont, DB'!N423</f>
        <v>1292121.31</v>
      </c>
      <c r="E35" s="43">
        <f>'2111 Cont, DB'!Q423</f>
        <v>43891.365999999995</v>
      </c>
      <c r="F35" s="43">
        <f>'2111 Cont, DB'!S423</f>
        <v>1077355.6940000001</v>
      </c>
      <c r="G35" s="43">
        <f>'2111 Cont, DB'!T423</f>
        <v>1121247.0600000003</v>
      </c>
      <c r="H35" s="43">
        <f>'2111 Cont, DB'!U423</f>
        <v>192819.93300000002</v>
      </c>
      <c r="K35" s="17">
        <f>E35*U35</f>
        <v>43891.365999999995</v>
      </c>
      <c r="L35" s="17">
        <f>H35*U35</f>
        <v>192819.93300000002</v>
      </c>
      <c r="M35" s="31"/>
      <c r="N35" s="19"/>
      <c r="O35" s="19"/>
      <c r="P35" s="18"/>
      <c r="Q35" s="19">
        <f>E35*V35</f>
        <v>0</v>
      </c>
      <c r="R35" s="19">
        <f>H35*V35</f>
        <v>0</v>
      </c>
      <c r="S35" s="20"/>
      <c r="T35" s="137" t="s">
        <v>1031</v>
      </c>
      <c r="U35" s="21">
        <v>1</v>
      </c>
      <c r="V35" s="21">
        <v>0</v>
      </c>
      <c r="W35" s="20">
        <f>E35-K35-Q35</f>
        <v>0</v>
      </c>
      <c r="X35" s="22">
        <f>H35-L35-R35</f>
        <v>0</v>
      </c>
      <c r="Y35" s="42"/>
      <c r="Z35" s="220" t="s">
        <v>1045</v>
      </c>
      <c r="AA35" s="221">
        <f>SUM(AA31:AA34)</f>
        <v>486296.75674085569</v>
      </c>
      <c r="AB35" s="221">
        <f>SUM(AB31:AB34)</f>
        <v>3155169.4735537702</v>
      </c>
      <c r="AI35" s="46"/>
    </row>
    <row r="36" spans="1:36" ht="13.5" customHeight="1">
      <c r="B36" s="43"/>
      <c r="C36" s="43"/>
      <c r="D36" s="43"/>
      <c r="E36" s="43"/>
      <c r="F36" s="43"/>
      <c r="G36" s="43"/>
      <c r="H36" s="43"/>
      <c r="K36" s="12"/>
      <c r="L36" s="12"/>
      <c r="M36" s="31"/>
      <c r="N36" s="31"/>
      <c r="O36" s="31"/>
      <c r="P36" s="18"/>
      <c r="Q36" s="31"/>
      <c r="R36" s="31"/>
      <c r="S36" s="18"/>
      <c r="T36" s="130"/>
      <c r="U36" s="44"/>
      <c r="V36" s="44"/>
      <c r="W36" s="20"/>
      <c r="X36" s="22"/>
      <c r="Y36" s="42"/>
      <c r="Z36" s="15"/>
      <c r="AA36" s="12"/>
      <c r="AB36" s="12"/>
    </row>
    <row r="37" spans="1:36" ht="13.5" customHeight="1" thickBot="1">
      <c r="A37" s="3" t="s">
        <v>1029</v>
      </c>
      <c r="B37" s="43">
        <f>'2111 Cont, DB'!M482</f>
        <v>350545.17000000004</v>
      </c>
      <c r="C37" s="43">
        <f>B37-D37</f>
        <v>0</v>
      </c>
      <c r="D37" s="43">
        <f>'2111 Cont, DB'!N482</f>
        <v>350545.17000000004</v>
      </c>
      <c r="E37" s="43">
        <f>'2111 Cont, DB'!Q482</f>
        <v>50773.177377049178</v>
      </c>
      <c r="F37" s="43">
        <f>'2111 Cont, DB'!S482</f>
        <v>14178.008571428571</v>
      </c>
      <c r="G37" s="43">
        <f>'2111 Cont, DB'!T482</f>
        <v>64951.185948477752</v>
      </c>
      <c r="H37" s="43">
        <f>'2111 Cont, DB'!U482</f>
        <v>310980.57274004683</v>
      </c>
      <c r="K37" s="17">
        <f>E37*U37</f>
        <v>33758.659978962241</v>
      </c>
      <c r="L37" s="17">
        <f>H37*U37</f>
        <v>206768.37569633132</v>
      </c>
      <c r="M37" s="31"/>
      <c r="N37" s="19"/>
      <c r="O37" s="19"/>
      <c r="P37" s="18"/>
      <c r="Q37" s="19">
        <f>E37*V37</f>
        <v>17014.517398086937</v>
      </c>
      <c r="R37" s="19">
        <f>H37*V37</f>
        <v>104212.1970437155</v>
      </c>
      <c r="S37" s="20"/>
      <c r="T37" s="137" t="s">
        <v>899</v>
      </c>
      <c r="U37" s="21">
        <f>'[1]Revenue+Cust'!AA27</f>
        <v>0.66489161645853678</v>
      </c>
      <c r="V37" s="21">
        <f>'[1]Revenue+Cust'!AB27</f>
        <v>0.33510838354146316</v>
      </c>
      <c r="W37" s="20"/>
      <c r="X37" s="22"/>
      <c r="Y37" s="42"/>
      <c r="Z37" s="223" t="s">
        <v>1000</v>
      </c>
      <c r="AA37" s="224">
        <f>K33</f>
        <v>161030.37134865116</v>
      </c>
      <c r="AB37" s="224">
        <f>L33</f>
        <v>1327680.7571886557</v>
      </c>
      <c r="AI37" s="13"/>
    </row>
    <row r="38" spans="1:36" ht="13.5" customHeight="1">
      <c r="B38" s="43"/>
      <c r="C38" s="43">
        <f>B38-D38</f>
        <v>0</v>
      </c>
      <c r="D38" s="43"/>
      <c r="E38" s="43"/>
      <c r="F38" s="43"/>
      <c r="G38" s="43"/>
      <c r="H38" s="43"/>
      <c r="K38" s="12"/>
      <c r="L38" s="43"/>
      <c r="M38" s="12"/>
      <c r="N38" s="12"/>
      <c r="O38" s="12"/>
      <c r="P38" s="4"/>
      <c r="Q38" s="12"/>
      <c r="R38" s="43"/>
      <c r="T38" s="137"/>
      <c r="U38" s="44"/>
      <c r="V38" s="44"/>
      <c r="X38" s="42"/>
      <c r="Y38" s="42"/>
      <c r="Z38" s="15"/>
      <c r="AI38" s="13"/>
    </row>
    <row r="39" spans="1:36" ht="13.5" customHeight="1">
      <c r="A39" s="3" t="s">
        <v>132</v>
      </c>
      <c r="B39" s="43">
        <f>'2111 Cont, DB'!M388</f>
        <v>73196.34</v>
      </c>
      <c r="C39" s="43">
        <f>B39-D39</f>
        <v>0</v>
      </c>
      <c r="D39" s="43">
        <f>'2111 Cont, DB'!N388</f>
        <v>73196.34</v>
      </c>
      <c r="E39" s="43">
        <f>+'2111 Cont, DB'!Q388</f>
        <v>6796.4825000000001</v>
      </c>
      <c r="F39" s="43">
        <f>+'2111 Cont, DB'!S388</f>
        <v>25084.350000000002</v>
      </c>
      <c r="G39" s="43">
        <f>+'2111 Cont, DB'!T388</f>
        <v>31880.832500000004</v>
      </c>
      <c r="H39" s="43">
        <f>+'2111 Cont, DB'!U388</f>
        <v>44713.748749999999</v>
      </c>
      <c r="K39" s="17">
        <f>E39*U39</f>
        <v>6719.9960337887178</v>
      </c>
      <c r="L39" s="17">
        <f>H39*U39</f>
        <v>44210.547773179031</v>
      </c>
      <c r="M39" s="31"/>
      <c r="N39" s="19"/>
      <c r="O39" s="19"/>
      <c r="P39" s="18"/>
      <c r="Q39" s="19">
        <f>E39*V39</f>
        <v>76.486466211281368</v>
      </c>
      <c r="R39" s="19">
        <f>H39*V39</f>
        <v>503.20097682096571</v>
      </c>
      <c r="S39" s="20"/>
      <c r="T39" s="137" t="s">
        <v>899</v>
      </c>
      <c r="U39" s="21">
        <f>'[1]Revenue+Cust'!AA29</f>
        <v>0.988746168887909</v>
      </c>
      <c r="V39" s="21">
        <f>'[1]Revenue+Cust'!AB29</f>
        <v>1.1253831112090903E-2</v>
      </c>
      <c r="W39" s="20">
        <f>E39-K39-Q39</f>
        <v>9.0949470177292824E-13</v>
      </c>
      <c r="X39" s="22">
        <f>H39-L39-R39</f>
        <v>2.5011104298755527E-12</v>
      </c>
      <c r="Y39" s="27"/>
      <c r="Z39" s="15" t="s">
        <v>1033</v>
      </c>
      <c r="AA39" s="12">
        <f>K35</f>
        <v>43891.365999999995</v>
      </c>
      <c r="AB39" s="12">
        <f>L35</f>
        <v>192819.93300000002</v>
      </c>
      <c r="AI39" s="13"/>
    </row>
    <row r="40" spans="1:36" ht="13.5" customHeight="1">
      <c r="B40" s="43"/>
      <c r="C40" s="43"/>
      <c r="D40" s="43"/>
      <c r="E40" s="43"/>
      <c r="F40" s="43"/>
      <c r="G40" s="43"/>
      <c r="H40" s="43"/>
      <c r="K40" s="12"/>
      <c r="L40" s="43"/>
      <c r="M40" s="12"/>
      <c r="N40" s="12"/>
      <c r="O40" s="12"/>
      <c r="P40" s="4"/>
      <c r="Q40" s="12"/>
      <c r="R40" s="43"/>
      <c r="T40" s="137"/>
      <c r="U40" s="44"/>
      <c r="V40" s="44"/>
      <c r="X40" s="42"/>
      <c r="Y40" s="27"/>
      <c r="Z40" s="15" t="s">
        <v>1032</v>
      </c>
      <c r="AA40" s="12">
        <f>K37</f>
        <v>33758.659978962241</v>
      </c>
      <c r="AB40" s="12">
        <f>L37</f>
        <v>206768.37569633132</v>
      </c>
      <c r="AC40" s="144"/>
      <c r="AI40" s="13"/>
    </row>
    <row r="41" spans="1:36" ht="13.5" customHeight="1">
      <c r="A41" s="3" t="s">
        <v>129</v>
      </c>
      <c r="B41" s="43">
        <f>'2111 YW'!M97</f>
        <v>2461420.2999999993</v>
      </c>
      <c r="C41" s="43">
        <f>B41-D41</f>
        <v>0</v>
      </c>
      <c r="D41" s="43">
        <f>'2111 YW'!N97</f>
        <v>2461420.2999999993</v>
      </c>
      <c r="E41" s="12">
        <f>+'2111 YW'!Q97</f>
        <v>143511.96428571426</v>
      </c>
      <c r="F41" s="43">
        <f>+'2111 Cont, DB'!S388</f>
        <v>25084.350000000002</v>
      </c>
      <c r="G41" s="43">
        <f>+'2111 Cont, DB'!T388</f>
        <v>31880.832500000004</v>
      </c>
      <c r="H41" s="43">
        <f>+'2111 Cont, DB'!U388</f>
        <v>44713.748749999999</v>
      </c>
      <c r="K41" s="17">
        <f>E41*U41</f>
        <v>92435.172772816295</v>
      </c>
      <c r="L41" s="17">
        <f>H41*U41</f>
        <v>28799.850323266572</v>
      </c>
      <c r="M41" s="31"/>
      <c r="N41" s="19"/>
      <c r="O41" s="19"/>
      <c r="P41" s="18"/>
      <c r="Q41" s="19">
        <f>E41*V41</f>
        <v>51076.791512897958</v>
      </c>
      <c r="R41" s="19">
        <f>H41*V41</f>
        <v>15913.898426733424</v>
      </c>
      <c r="S41" s="20"/>
      <c r="T41" s="137" t="s">
        <v>899</v>
      </c>
      <c r="U41" s="21">
        <f>'[1]Revenue+Cust'!AA31</f>
        <v>0.64409384425112803</v>
      </c>
      <c r="V41" s="21">
        <f>'[1]Revenue+Cust'!AB31</f>
        <v>0.35590615574887186</v>
      </c>
      <c r="W41" s="20">
        <f>E41-K41-Q41</f>
        <v>0</v>
      </c>
      <c r="X41" s="22">
        <f>H41-L41-R41</f>
        <v>0</v>
      </c>
      <c r="Y41" s="47"/>
      <c r="Z41" s="15" t="s">
        <v>392</v>
      </c>
      <c r="AA41" s="12">
        <f>K41</f>
        <v>92435.172772816295</v>
      </c>
      <c r="AB41" s="12">
        <f>L41</f>
        <v>28799.850323266572</v>
      </c>
      <c r="AC41" s="144" t="s">
        <v>1056</v>
      </c>
      <c r="AD41" s="218">
        <f>'[1]Revenue+Cust'!$F$27</f>
        <v>7.9972694601259092E-4</v>
      </c>
      <c r="AE41" s="218">
        <f>'[1]Revenue+Cust'!$F$24+'[1]Revenue+Cust'!$F$28</f>
        <v>0.37019573763939201</v>
      </c>
      <c r="AF41" s="218">
        <f>'[1]Revenue+Cust'!$F$25+'[1]Revenue+Cust'!$F$30+'[1]Revenue+Cust'!$F$31</f>
        <v>0.41699349318984841</v>
      </c>
      <c r="AG41" s="218">
        <f>'[1]Revenue+Cust'!$F$26</f>
        <v>0.21028172077893018</v>
      </c>
      <c r="AH41" s="218">
        <f>'[1]Revenue+Cust'!$F$32</f>
        <v>1.7293214458168318E-3</v>
      </c>
      <c r="AI41" s="13"/>
    </row>
    <row r="42" spans="1:36" ht="13.5" customHeight="1">
      <c r="B42" s="43"/>
      <c r="C42" s="43"/>
      <c r="D42" s="43"/>
      <c r="E42" s="12"/>
      <c r="F42" s="43"/>
      <c r="G42" s="43"/>
      <c r="H42" s="43"/>
      <c r="K42" s="12"/>
      <c r="L42" s="43"/>
      <c r="M42" s="12"/>
      <c r="N42" s="12"/>
      <c r="O42" s="12"/>
      <c r="P42" s="4"/>
      <c r="Q42" s="12"/>
      <c r="R42" s="43"/>
      <c r="T42" s="137"/>
      <c r="U42" s="44"/>
      <c r="V42" s="44"/>
      <c r="X42" s="4"/>
      <c r="Y42" s="4"/>
      <c r="Z42" s="15" t="s">
        <v>1001</v>
      </c>
      <c r="AA42" s="12">
        <f>K39</f>
        <v>6719.9960337887178</v>
      </c>
      <c r="AB42" s="12">
        <f>L39</f>
        <v>44210.547773179031</v>
      </c>
      <c r="AC42" s="144" t="s">
        <v>1055</v>
      </c>
      <c r="AD42" s="218">
        <f>'[1]Hours+Tons'!$D$31</f>
        <v>1.5331197013057766E-3</v>
      </c>
      <c r="AE42" s="218">
        <f>'[1]Hours+Tons'!$D$32</f>
        <v>0.62988351543325505</v>
      </c>
      <c r="AF42" s="218">
        <f>'[1]Hours+Tons'!$D$33</f>
        <v>0.22510999035417509</v>
      </c>
      <c r="AG42" s="218">
        <f>'[1]Hours+Tons'!$D$34</f>
        <v>2.4862896519915283E-2</v>
      </c>
      <c r="AH42" s="218">
        <f>'[1]Hours+Tons'!$D$35</f>
        <v>0.11861047799134868</v>
      </c>
      <c r="AI42" s="13"/>
    </row>
    <row r="43" spans="1:36" ht="13.5" customHeight="1" thickBot="1">
      <c r="A43" s="3" t="s">
        <v>1028</v>
      </c>
      <c r="B43" s="12">
        <f>'2111 Cont, DB'!M434</f>
        <v>2389472.34</v>
      </c>
      <c r="C43" s="12">
        <f>B43-D43</f>
        <v>0</v>
      </c>
      <c r="D43" s="12">
        <f>'2111 Cont, DB'!N434</f>
        <v>2389472.34</v>
      </c>
      <c r="E43" s="12">
        <f>'2111 Cont, DB'!Q434</f>
        <v>341353.19142857142</v>
      </c>
      <c r="F43" s="12">
        <f>'2111 Cont, DB'!S434</f>
        <v>0</v>
      </c>
      <c r="G43" s="12">
        <f>'2111 Cont, DB'!T434</f>
        <v>341353.19142857142</v>
      </c>
      <c r="H43" s="12">
        <f>'2111 Cont, DB'!U434</f>
        <v>2218795.7442857143</v>
      </c>
      <c r="K43" s="17">
        <f>E43*U43</f>
        <v>341353.19142857142</v>
      </c>
      <c r="L43" s="17">
        <f>H43*U43</f>
        <v>2218795.7442857143</v>
      </c>
      <c r="M43" s="31"/>
      <c r="N43" s="19"/>
      <c r="O43" s="19"/>
      <c r="P43" s="18"/>
      <c r="Q43" s="19">
        <f>E43*V43</f>
        <v>0</v>
      </c>
      <c r="R43" s="19">
        <f>H43*V43</f>
        <v>0</v>
      </c>
      <c r="S43" s="20"/>
      <c r="T43" s="137" t="s">
        <v>1031</v>
      </c>
      <c r="U43" s="21">
        <v>1</v>
      </c>
      <c r="V43" s="21">
        <v>0</v>
      </c>
      <c r="W43" s="20">
        <f>E43-K43-Q43</f>
        <v>0</v>
      </c>
      <c r="X43" s="22">
        <f>H43-L43-R43</f>
        <v>0</v>
      </c>
      <c r="Y43" s="4"/>
      <c r="Z43" s="220" t="s">
        <v>1049</v>
      </c>
      <c r="AA43" s="222">
        <f>SUM(AA39:AA42)</f>
        <v>176805.19478556723</v>
      </c>
      <c r="AB43" s="222">
        <f>SUM(AB39:AB42)</f>
        <v>472598.70679277694</v>
      </c>
      <c r="AC43" s="144" t="s">
        <v>1044</v>
      </c>
      <c r="AD43" s="199"/>
      <c r="AE43" s="218">
        <f>AE44/SUM($AE$44:$AG$44)</f>
        <v>0.55476322661148481</v>
      </c>
      <c r="AF43" s="218">
        <f>AF44/SUM($AE$44:$AG$44)</f>
        <v>0.33316355179166779</v>
      </c>
      <c r="AG43" s="218">
        <f>AG44/SUM($AE$44:$AG$44)</f>
        <v>0.11207322159684732</v>
      </c>
    </row>
    <row r="44" spans="1:36" ht="13.5" customHeight="1">
      <c r="B44" s="43"/>
      <c r="C44" s="43"/>
      <c r="D44" s="43"/>
      <c r="E44" s="43"/>
      <c r="F44" s="43"/>
      <c r="G44" s="43"/>
      <c r="H44" s="43"/>
      <c r="K44" s="12"/>
      <c r="L44" s="12"/>
      <c r="M44" s="12"/>
      <c r="N44" s="12"/>
      <c r="O44" s="12"/>
      <c r="P44" s="4"/>
      <c r="Q44" s="12"/>
      <c r="R44" s="12"/>
      <c r="S44" s="4"/>
      <c r="T44" s="48"/>
      <c r="U44" s="24"/>
      <c r="V44" s="24"/>
      <c r="W44" s="4"/>
      <c r="X44" s="4"/>
      <c r="AC44" s="144" t="s">
        <v>1023</v>
      </c>
      <c r="AD44" s="214">
        <f>'[1]Hours+Tons'!$D$61</f>
        <v>6.8141200010778417E-3</v>
      </c>
      <c r="AE44" s="214">
        <f>'[1]Hours+Tons'!$D$43+'[1]Hours+Tons'!$D$49</f>
        <v>0.48724407310007228</v>
      </c>
      <c r="AF44" s="214">
        <f>SUM('[1]Hours+Tons'!$D$50,'[1]Hours+Tons'!$D$53:$D$57)</f>
        <v>0.29261486377709101</v>
      </c>
      <c r="AG44" s="214">
        <f>'[1]Hours+Tons'!$D$59</f>
        <v>9.8433007735275857E-2</v>
      </c>
      <c r="AH44" s="214">
        <f>'[1]Hours+Tons'!$D$45</f>
        <v>0.11489393538648313</v>
      </c>
    </row>
    <row r="45" spans="1:36" ht="13.5" customHeight="1" thickBot="1">
      <c r="A45" s="39" t="s">
        <v>133</v>
      </c>
      <c r="B45" s="40">
        <f>SUM(B29:B44)</f>
        <v>12305895.149999997</v>
      </c>
      <c r="C45" s="40">
        <f>SUM(C29:C43)</f>
        <v>0</v>
      </c>
      <c r="D45" s="40">
        <f>SUM(D29:D44)</f>
        <v>12305895.149999997</v>
      </c>
      <c r="E45" s="40">
        <f>SUM(E29:E44)</f>
        <v>1000136.6334393201</v>
      </c>
      <c r="F45" s="40">
        <f>SUM(F29:F44)</f>
        <v>3587906.9874047618</v>
      </c>
      <c r="G45" s="40">
        <f>SUM(G29:G44)</f>
        <v>4320547.0172250345</v>
      </c>
      <c r="H45" s="40">
        <f>SUM(H29:H44)</f>
        <v>5843259.6156851007</v>
      </c>
      <c r="I45" s="13">
        <f>+B45-'2111 Cont, DB'!M484-'2111 YW'!M100</f>
        <v>0</v>
      </c>
      <c r="J45" s="13"/>
      <c r="K45" s="40">
        <f>SUM(K29:K44)</f>
        <v>824132.32287507411</v>
      </c>
      <c r="L45" s="40">
        <f>SUM(L29:L44)</f>
        <v>4955448.9375352021</v>
      </c>
      <c r="M45" s="38"/>
      <c r="N45" s="40">
        <f>SUM(N29:N44)</f>
        <v>0</v>
      </c>
      <c r="O45" s="40">
        <f>SUM(O29:O44)</f>
        <v>0</v>
      </c>
      <c r="P45" s="23"/>
      <c r="Q45" s="40">
        <f>SUM(Q29:Q44)</f>
        <v>176004.31056424612</v>
      </c>
      <c r="R45" s="40">
        <f>SUM(R29:R44)</f>
        <v>887810.67814989889</v>
      </c>
      <c r="S45" s="13"/>
      <c r="T45" s="49"/>
      <c r="U45" s="24"/>
      <c r="V45" s="24"/>
      <c r="W45" s="13"/>
      <c r="Z45" s="34" t="s">
        <v>105</v>
      </c>
      <c r="AA45" s="35">
        <f>AA35+AA37+AA43</f>
        <v>824132.32287507411</v>
      </c>
      <c r="AB45" s="35">
        <f>AB35+AB37+AB43</f>
        <v>4955448.9375352021</v>
      </c>
      <c r="AC45" s="144" t="s">
        <v>1051</v>
      </c>
      <c r="AE45" s="228">
        <f>'[1]Hours+Tons'!$F$77+'[1]Hours+Tons'!$F$78</f>
        <v>0.80066474729342341</v>
      </c>
      <c r="AF45" s="228">
        <f>'[1]Hours+Tons'!$F$79</f>
        <v>0.19933525270657662</v>
      </c>
    </row>
    <row r="46" spans="1:36" ht="13.5" customHeight="1" thickBot="1">
      <c r="B46" s="43">
        <f>B45-'2111 Cont, DB'!M484-'2111 YW'!M97</f>
        <v>0</v>
      </c>
      <c r="C46" s="43"/>
      <c r="D46" s="43"/>
      <c r="E46" s="51">
        <f>E45-'2111 YW'!Q100-'2111 Cont, DB'!Q484</f>
        <v>0</v>
      </c>
      <c r="F46" s="51"/>
      <c r="G46" s="51"/>
      <c r="H46" s="51"/>
      <c r="I46" s="13"/>
      <c r="J46" s="13"/>
      <c r="K46" s="52"/>
      <c r="L46" s="51"/>
      <c r="M46" s="52"/>
      <c r="N46" s="52"/>
      <c r="O46" s="52"/>
      <c r="P46" s="23"/>
      <c r="Q46" s="52"/>
      <c r="R46" s="51"/>
      <c r="S46" s="13"/>
      <c r="T46" s="49"/>
      <c r="U46" s="24"/>
      <c r="V46" s="24"/>
      <c r="W46" s="13"/>
      <c r="X46" s="13"/>
      <c r="Z46" s="4"/>
      <c r="AA46" s="12">
        <f>AA45-K45</f>
        <v>0</v>
      </c>
      <c r="AB46" s="12">
        <f>AB45-L45</f>
        <v>0</v>
      </c>
      <c r="AC46" s="145" t="s">
        <v>1053</v>
      </c>
      <c r="AD46" s="145" t="s">
        <v>161</v>
      </c>
      <c r="AE46" s="145" t="s">
        <v>1020</v>
      </c>
      <c r="AF46" s="145" t="s">
        <v>1021</v>
      </c>
      <c r="AG46" s="145" t="s">
        <v>99</v>
      </c>
      <c r="AH46" s="145" t="s">
        <v>1022</v>
      </c>
    </row>
    <row r="47" spans="1:36" ht="13.5" customHeight="1">
      <c r="A47" s="3" t="s">
        <v>134</v>
      </c>
      <c r="B47" s="43">
        <f>'2111 Other'!M54</f>
        <v>162530.55000000002</v>
      </c>
      <c r="C47" s="43">
        <f>B47-D47</f>
        <v>0</v>
      </c>
      <c r="D47" s="43">
        <f>'2111 Other'!N54</f>
        <v>162530.55000000002</v>
      </c>
      <c r="E47" s="43">
        <f>+'2111 Other'!Q54</f>
        <v>19297.947095238094</v>
      </c>
      <c r="F47" s="43">
        <f>+'2111 Other'!S54</f>
        <v>104636.70871428571</v>
      </c>
      <c r="G47" s="43">
        <f>+'2111 Other'!T54</f>
        <v>123934.6558095238</v>
      </c>
      <c r="H47" s="43">
        <f>+'2111 Other'!U54</f>
        <v>48244.867738095236</v>
      </c>
      <c r="I47" s="13"/>
      <c r="J47" s="13"/>
      <c r="K47" s="194">
        <f>E47*U47</f>
        <v>9281.4983513647912</v>
      </c>
      <c r="L47" s="191">
        <f>H47*U47</f>
        <v>23203.745878411977</v>
      </c>
      <c r="M47" s="192"/>
      <c r="N47" s="191"/>
      <c r="O47" s="191"/>
      <c r="P47" s="193"/>
      <c r="Q47" s="191">
        <f>E47*V47</f>
        <v>10016.448743873303</v>
      </c>
      <c r="R47" s="191">
        <f>H47*V47</f>
        <v>25041.121859683259</v>
      </c>
      <c r="S47" s="20"/>
      <c r="T47" s="16" t="s">
        <v>898</v>
      </c>
      <c r="U47" s="21">
        <f>'[1]Hours+Tons'!$C$73</f>
        <v>0.48095780890885886</v>
      </c>
      <c r="V47" s="21">
        <f>'[1]Hours+Tons'!$D$73</f>
        <v>0.51904219109114114</v>
      </c>
      <c r="W47" s="20">
        <f>E47-K47-Q47</f>
        <v>0</v>
      </c>
      <c r="X47" s="22">
        <f>H47-L47-R47</f>
        <v>0</v>
      </c>
      <c r="Z47" s="37" t="s">
        <v>1002</v>
      </c>
      <c r="AA47" s="12"/>
      <c r="AB47" s="12"/>
    </row>
    <row r="48" spans="1:36" ht="13.5" customHeight="1">
      <c r="B48" s="43"/>
      <c r="C48" s="43"/>
      <c r="D48" s="43"/>
      <c r="E48" s="43"/>
      <c r="F48" s="43"/>
      <c r="G48" s="43"/>
      <c r="H48" s="43"/>
      <c r="I48" s="13"/>
      <c r="J48" s="13"/>
      <c r="K48" s="192"/>
      <c r="L48" s="192"/>
      <c r="M48" s="192"/>
      <c r="N48" s="192"/>
      <c r="O48" s="192"/>
      <c r="P48" s="192"/>
      <c r="Q48" s="192"/>
      <c r="R48" s="192"/>
      <c r="S48" s="13"/>
      <c r="T48" s="16"/>
      <c r="U48" s="24"/>
      <c r="V48" s="24"/>
      <c r="W48" s="13"/>
      <c r="X48" s="13"/>
      <c r="Z48" s="4" t="s">
        <v>1003</v>
      </c>
      <c r="AA48" s="12">
        <f>K47</f>
        <v>9281.4983513647912</v>
      </c>
      <c r="AB48" s="12">
        <f>L47</f>
        <v>23203.745878411977</v>
      </c>
      <c r="AC48" s="4" t="s">
        <v>1003</v>
      </c>
      <c r="AD48" s="43">
        <f>$AA48*AD$44</f>
        <v>63.245243556005839</v>
      </c>
      <c r="AE48" s="43">
        <f t="shared" ref="AE48:AH48" si="1">$AA48*AE$44</f>
        <v>4522.3550611905866</v>
      </c>
      <c r="AF48" s="43">
        <f t="shared" si="1"/>
        <v>2715.9043757319032</v>
      </c>
      <c r="AG48" s="43">
        <f t="shared" si="1"/>
        <v>913.60579901484061</v>
      </c>
      <c r="AH48" s="43">
        <f t="shared" si="1"/>
        <v>1066.3878718714559</v>
      </c>
      <c r="AI48" s="16" t="s">
        <v>898</v>
      </c>
      <c r="AJ48" s="13">
        <f>AA48-SUM(AD48:AH48)</f>
        <v>0</v>
      </c>
    </row>
    <row r="49" spans="1:36" ht="13.5" customHeight="1">
      <c r="A49" s="3" t="s">
        <v>135</v>
      </c>
      <c r="B49" s="43">
        <f>'2111 Other'!M96</f>
        <v>625464.07999999984</v>
      </c>
      <c r="C49" s="43">
        <f>B49-D49</f>
        <v>0</v>
      </c>
      <c r="D49" s="43">
        <f>'2111 Other'!N96</f>
        <v>625464.07999999984</v>
      </c>
      <c r="E49" s="12">
        <f>+'2111 Other'!Q96</f>
        <v>69219.018700556146</v>
      </c>
      <c r="F49" s="12">
        <f>+'2111 Other'!S96</f>
        <v>349974.94878571428</v>
      </c>
      <c r="G49" s="12">
        <f>+'2111 Other'!T96</f>
        <v>419193.96748627035</v>
      </c>
      <c r="H49" s="12">
        <f>+'2111 Other'!U96</f>
        <v>240879.62186400767</v>
      </c>
      <c r="I49" s="13"/>
      <c r="J49" s="13"/>
      <c r="K49" s="191">
        <f>E49*U49</f>
        <v>33291.42756904081</v>
      </c>
      <c r="L49" s="191">
        <f>H49*U49</f>
        <v>115852.93514250759</v>
      </c>
      <c r="M49" s="192"/>
      <c r="N49" s="191"/>
      <c r="O49" s="191"/>
      <c r="P49" s="193"/>
      <c r="Q49" s="191">
        <f>E49*V49</f>
        <v>35927.591131515335</v>
      </c>
      <c r="R49" s="191">
        <f>H49*V49</f>
        <v>125026.68672150008</v>
      </c>
      <c r="S49" s="20"/>
      <c r="T49" s="16" t="s">
        <v>898</v>
      </c>
      <c r="U49" s="21">
        <f>'[1]Hours+Tons'!$C$73</f>
        <v>0.48095780890885886</v>
      </c>
      <c r="V49" s="21">
        <f>'[1]Hours+Tons'!$D$73</f>
        <v>0.51904219109114114</v>
      </c>
      <c r="W49" s="20">
        <f>E49-K49-Q49</f>
        <v>0</v>
      </c>
      <c r="X49" s="22">
        <f>H49-L49-R49</f>
        <v>0</v>
      </c>
      <c r="Z49" s="4" t="s">
        <v>304</v>
      </c>
      <c r="AA49" s="12">
        <f>K49</f>
        <v>33291.42756904081</v>
      </c>
      <c r="AB49" s="12">
        <f>L49</f>
        <v>115852.93514250759</v>
      </c>
      <c r="AC49" s="4" t="s">
        <v>304</v>
      </c>
      <c r="AD49" s="213">
        <f>$AA49*AD$42</f>
        <v>51.039743490690739</v>
      </c>
      <c r="AE49" s="213">
        <f t="shared" ref="AE49:AH49" si="2">$AA49*AE$42</f>
        <v>20969.721430979011</v>
      </c>
      <c r="AF49" s="213">
        <f t="shared" si="2"/>
        <v>7494.2329389434954</v>
      </c>
      <c r="AG49" s="213">
        <f t="shared" si="2"/>
        <v>827.72131864931646</v>
      </c>
      <c r="AH49" s="213">
        <f t="shared" si="2"/>
        <v>3948.7121369782935</v>
      </c>
      <c r="AI49" s="16" t="s">
        <v>386</v>
      </c>
      <c r="AJ49" s="13">
        <f t="shared" ref="AJ49:AJ58" si="3">AA49-SUM(AD49:AH49)</f>
        <v>0</v>
      </c>
    </row>
    <row r="50" spans="1:36" ht="13.5" customHeight="1">
      <c r="B50" s="43"/>
      <c r="C50" s="43"/>
      <c r="D50" s="43"/>
      <c r="E50" s="43"/>
      <c r="F50" s="43"/>
      <c r="G50" s="43"/>
      <c r="H50" s="43"/>
      <c r="I50" s="20"/>
      <c r="J50" s="20"/>
      <c r="K50" s="192"/>
      <c r="L50" s="190"/>
      <c r="M50" s="192"/>
      <c r="N50" s="192"/>
      <c r="O50" s="192"/>
      <c r="P50" s="193"/>
      <c r="Q50" s="192"/>
      <c r="R50" s="190"/>
      <c r="S50" s="20"/>
      <c r="T50" s="16"/>
      <c r="U50" s="24"/>
      <c r="V50" s="24"/>
      <c r="W50" s="20"/>
      <c r="X50" s="13"/>
      <c r="Z50" s="3" t="s">
        <v>1052</v>
      </c>
      <c r="AA50" s="12">
        <f>K51</f>
        <v>6033.2197681160005</v>
      </c>
      <c r="AB50" s="12">
        <f>L51</f>
        <v>11126.441234995616</v>
      </c>
      <c r="AC50" s="197" t="s">
        <v>1052</v>
      </c>
      <c r="AD50" s="213">
        <f>$AA50*AD$41</f>
        <v>4.8249284197782014</v>
      </c>
      <c r="AE50" s="213">
        <f t="shared" ref="AE50:AH51" si="4">$AA50*AE$41</f>
        <v>2233.4722423982644</v>
      </c>
      <c r="AF50" s="213">
        <f t="shared" si="4"/>
        <v>2515.8133862887385</v>
      </c>
      <c r="AG50" s="213">
        <f t="shared" si="4"/>
        <v>1268.6758346768906</v>
      </c>
      <c r="AH50" s="213">
        <f t="shared" si="4"/>
        <v>10.433376332329052</v>
      </c>
      <c r="AI50" s="16" t="s">
        <v>383</v>
      </c>
      <c r="AJ50" s="13">
        <f t="shared" si="3"/>
        <v>0</v>
      </c>
    </row>
    <row r="51" spans="1:36" ht="13.5" customHeight="1">
      <c r="A51" s="3" t="s">
        <v>136</v>
      </c>
      <c r="B51" s="43">
        <f>'2111 Other'!M130</f>
        <v>151598.75000000003</v>
      </c>
      <c r="C51" s="43">
        <f>B51-D51</f>
        <v>0</v>
      </c>
      <c r="D51" s="43">
        <f>'2111 Other'!N130</f>
        <v>151598.75000000003</v>
      </c>
      <c r="E51" s="43">
        <f>+'2111 Other'!Q130</f>
        <v>8876.8719999999994</v>
      </c>
      <c r="F51" s="43">
        <f>+'2111 Other'!S130</f>
        <v>130789.62000000002</v>
      </c>
      <c r="G51" s="43">
        <f>+'2111 Other'!T130</f>
        <v>139666.49200000006</v>
      </c>
      <c r="H51" s="43">
        <f>+'2111 Other'!U130</f>
        <v>16370.694000000001</v>
      </c>
      <c r="I51" s="20"/>
      <c r="J51" s="20"/>
      <c r="K51" s="19">
        <f>E51*U51</f>
        <v>6033.2197681160005</v>
      </c>
      <c r="L51" s="19">
        <f>H51*U51</f>
        <v>11126.441234995616</v>
      </c>
      <c r="M51" s="31"/>
      <c r="N51" s="19"/>
      <c r="O51" s="19"/>
      <c r="P51" s="18"/>
      <c r="Q51" s="19">
        <f>E51*V51</f>
        <v>2843.6522318839998</v>
      </c>
      <c r="R51" s="19">
        <f>H51*V51</f>
        <v>5244.2527650043858</v>
      </c>
      <c r="S51" s="20"/>
      <c r="T51" s="16" t="s">
        <v>899</v>
      </c>
      <c r="U51" s="21">
        <f>'[1]Revenue+Cust'!$AA$23</f>
        <v>0.67965605092830006</v>
      </c>
      <c r="V51" s="21">
        <f>'[1]Revenue+Cust'!$AB$23</f>
        <v>0.32034394907170005</v>
      </c>
      <c r="W51" s="20">
        <f>E51-K51-Q51</f>
        <v>0</v>
      </c>
      <c r="X51" s="22">
        <f>H51-L51-R51</f>
        <v>0</v>
      </c>
      <c r="Z51" s="3" t="s">
        <v>1004</v>
      </c>
      <c r="AA51" s="43">
        <f>K72</f>
        <v>74104.918267957357</v>
      </c>
      <c r="AB51" s="43">
        <f>L72</f>
        <v>2141533.6276065563</v>
      </c>
      <c r="AC51" s="197" t="s">
        <v>1004</v>
      </c>
      <c r="AD51" s="213">
        <f>$AA51*AD$41</f>
        <v>59.263699970946199</v>
      </c>
      <c r="AE51" s="213">
        <f t="shared" si="4"/>
        <v>27433.324880913329</v>
      </c>
      <c r="AF51" s="213">
        <f t="shared" si="4"/>
        <v>30901.268731103748</v>
      </c>
      <c r="AG51" s="213">
        <f t="shared" si="4"/>
        <v>15582.90973156805</v>
      </c>
      <c r="AH51" s="213">
        <f t="shared" si="4"/>
        <v>128.15122440128218</v>
      </c>
      <c r="AI51" s="16" t="s">
        <v>383</v>
      </c>
      <c r="AJ51" s="13">
        <f t="shared" si="3"/>
        <v>0</v>
      </c>
    </row>
    <row r="52" spans="1:36" ht="13.5" customHeight="1">
      <c r="B52" s="43"/>
      <c r="C52" s="43"/>
      <c r="D52" s="43"/>
      <c r="E52" s="12"/>
      <c r="F52" s="12"/>
      <c r="G52" s="12"/>
      <c r="H52" s="12"/>
      <c r="I52" s="13"/>
      <c r="J52" s="13"/>
      <c r="K52" s="12"/>
      <c r="L52" s="12"/>
      <c r="M52" s="12"/>
      <c r="N52" s="12"/>
      <c r="O52" s="12"/>
      <c r="P52" s="23"/>
      <c r="Q52" s="12"/>
      <c r="R52" s="12"/>
      <c r="S52" s="13"/>
      <c r="T52" s="53"/>
      <c r="U52" s="24"/>
      <c r="V52" s="24"/>
      <c r="W52" s="13"/>
      <c r="X52" s="13"/>
      <c r="Y52" s="54"/>
      <c r="Z52" s="3" t="s">
        <v>1005</v>
      </c>
      <c r="AA52" s="43">
        <f>K73</f>
        <v>80953.601635325045</v>
      </c>
      <c r="AB52" s="43">
        <f>L73</f>
        <v>2339451.4727219651</v>
      </c>
      <c r="AC52" s="197" t="s">
        <v>1005</v>
      </c>
      <c r="AD52" s="213">
        <f>$AA52*AD$42</f>
        <v>124.11156155877636</v>
      </c>
      <c r="AE52" s="213">
        <f t="shared" ref="AE52:AH52" si="5">$AA52*AE$42</f>
        <v>50991.339185041841</v>
      </c>
      <c r="AF52" s="213">
        <f t="shared" si="5"/>
        <v>18223.464483263753</v>
      </c>
      <c r="AG52" s="213">
        <f t="shared" si="5"/>
        <v>2012.7410203735312</v>
      </c>
      <c r="AH52" s="213">
        <f t="shared" si="5"/>
        <v>9601.9453850871287</v>
      </c>
      <c r="AI52" s="16" t="s">
        <v>386</v>
      </c>
      <c r="AJ52" s="13">
        <f t="shared" si="3"/>
        <v>0</v>
      </c>
    </row>
    <row r="53" spans="1:36" s="4" customFormat="1" ht="13.5" customHeight="1">
      <c r="A53" s="4" t="s">
        <v>137</v>
      </c>
      <c r="B53" s="12">
        <f>'2111 Other'!M18</f>
        <v>8529078.0199999996</v>
      </c>
      <c r="C53" s="12">
        <f>B53-D53</f>
        <v>0</v>
      </c>
      <c r="D53" s="12">
        <f>'2111 Other'!N18</f>
        <v>8529078.0199999996</v>
      </c>
      <c r="E53" s="12">
        <f>+'2111 Other'!Q18</f>
        <v>265449.19941666664</v>
      </c>
      <c r="F53" s="12">
        <f>+'2111 Other'!S18</f>
        <v>725224.42833333323</v>
      </c>
      <c r="G53" s="12">
        <f>+'2111 Other'!T18</f>
        <v>990673.62774999999</v>
      </c>
      <c r="H53" s="12">
        <f>+'2111 Other'!U18</f>
        <v>7671128.9919583313</v>
      </c>
      <c r="I53" s="18"/>
      <c r="J53" s="18"/>
      <c r="K53" s="55">
        <f>SUM(K72:K73)</f>
        <v>155058.5199032824</v>
      </c>
      <c r="L53" s="55">
        <f>SUM(L72:L73)</f>
        <v>4480985.1003285218</v>
      </c>
      <c r="M53" s="12"/>
      <c r="N53" s="55">
        <f>SUM(N72:N73)</f>
        <v>2003.9200363467521</v>
      </c>
      <c r="O53" s="55">
        <f>SUM(O72:O73)</f>
        <v>57910.62516732754</v>
      </c>
      <c r="P53" s="56"/>
      <c r="Q53" s="55">
        <f>SUM(Q72:Q73)</f>
        <v>108386.7594770375</v>
      </c>
      <c r="R53" s="55">
        <f>SUM(R72:R73)</f>
        <v>3132233.2664624825</v>
      </c>
      <c r="S53" s="20"/>
      <c r="T53" s="16" t="s">
        <v>939</v>
      </c>
      <c r="U53" s="21"/>
      <c r="V53" s="21"/>
      <c r="W53" s="20">
        <f>E53-K53-Q53-N53</f>
        <v>-1.3187673175707459E-11</v>
      </c>
      <c r="X53" s="22">
        <f>H53-L53-R53-O53</f>
        <v>-5.3842086344957352E-10</v>
      </c>
      <c r="Y53" s="26"/>
      <c r="Z53" s="3" t="s">
        <v>1006</v>
      </c>
      <c r="AA53" s="43">
        <f>K55</f>
        <v>95458.920129025646</v>
      </c>
      <c r="AB53" s="43">
        <f>L55</f>
        <v>777667.63788618764</v>
      </c>
      <c r="AC53" s="197" t="s">
        <v>1006</v>
      </c>
      <c r="AD53" s="93">
        <f>$AA53*AD$45</f>
        <v>0</v>
      </c>
      <c r="AE53" s="93">
        <f t="shared" ref="AE53:AH53" si="6">$AA53*AE$45</f>
        <v>76430.592162009401</v>
      </c>
      <c r="AF53" s="93">
        <f t="shared" si="6"/>
        <v>19028.327967016241</v>
      </c>
      <c r="AG53" s="93">
        <f t="shared" si="6"/>
        <v>0</v>
      </c>
      <c r="AH53" s="93">
        <f t="shared" si="6"/>
        <v>0</v>
      </c>
      <c r="AI53" s="16" t="s">
        <v>901</v>
      </c>
      <c r="AJ53" s="13">
        <f t="shared" si="3"/>
        <v>0</v>
      </c>
    </row>
    <row r="54" spans="1:36" ht="13.5" customHeight="1">
      <c r="B54" s="43"/>
      <c r="C54" s="43"/>
      <c r="D54" s="43"/>
      <c r="E54" s="12"/>
      <c r="F54" s="12"/>
      <c r="G54" s="12"/>
      <c r="H54" s="12"/>
      <c r="I54" s="13"/>
      <c r="J54" s="13"/>
      <c r="K54" s="12"/>
      <c r="L54" s="12"/>
      <c r="M54" s="12"/>
      <c r="N54" s="12"/>
      <c r="O54" s="12"/>
      <c r="P54" s="23"/>
      <c r="Q54" s="12"/>
      <c r="R54" s="12"/>
      <c r="S54" s="13"/>
      <c r="T54" s="49"/>
      <c r="U54" s="24"/>
      <c r="V54" s="24"/>
      <c r="W54" s="20"/>
      <c r="X54" s="22"/>
      <c r="Y54" s="54"/>
      <c r="Z54" s="197" t="s">
        <v>1050</v>
      </c>
      <c r="AA54" s="13">
        <f>K56</f>
        <v>18414.683413273851</v>
      </c>
      <c r="AB54" s="13">
        <f>L56</f>
        <v>359086.32655884011</v>
      </c>
      <c r="AC54" s="197" t="s">
        <v>1050</v>
      </c>
      <c r="AD54" s="227">
        <v>0</v>
      </c>
      <c r="AE54" s="227">
        <v>0</v>
      </c>
      <c r="AF54" s="227">
        <f>AA54</f>
        <v>18414.683413273851</v>
      </c>
      <c r="AG54" s="227">
        <v>0</v>
      </c>
      <c r="AH54" s="227">
        <v>0</v>
      </c>
      <c r="AI54" s="16" t="s">
        <v>934</v>
      </c>
      <c r="AJ54" s="13">
        <f t="shared" si="3"/>
        <v>0</v>
      </c>
    </row>
    <row r="55" spans="1:36" ht="13.5" customHeight="1">
      <c r="A55" s="4" t="s">
        <v>251</v>
      </c>
      <c r="B55" s="12">
        <f>'2111 Other'!M39-B56</f>
        <v>3129672.0485714292</v>
      </c>
      <c r="C55" s="12">
        <f>B55-D55</f>
        <v>0</v>
      </c>
      <c r="D55" s="12">
        <f>'2111 Other'!N39-D56</f>
        <v>3129672.0485714292</v>
      </c>
      <c r="E55" s="12">
        <f>'2111 Other'!Q39-E56</f>
        <v>168303.83199999999</v>
      </c>
      <c r="F55" s="12">
        <f>'2111 Other'!S39-F56</f>
        <v>1674412.6100714286</v>
      </c>
      <c r="G55" s="12">
        <f>'2111 Other'!T39-G56</f>
        <v>1842716.4420714285</v>
      </c>
      <c r="H55" s="12">
        <f>'2111 Other'!U39-H56</f>
        <v>1371107.5225000002</v>
      </c>
      <c r="I55" s="20"/>
      <c r="J55" s="20"/>
      <c r="K55" s="19">
        <f>E55*U55</f>
        <v>95458.920129025646</v>
      </c>
      <c r="L55" s="19">
        <f>H55*U55</f>
        <v>777667.63788618764</v>
      </c>
      <c r="M55" s="31"/>
      <c r="N55" s="19"/>
      <c r="O55" s="19"/>
      <c r="P55" s="18"/>
      <c r="Q55" s="19">
        <f>E55*V55</f>
        <v>72844.911870974349</v>
      </c>
      <c r="R55" s="19">
        <f>H55*V55</f>
        <v>593439.88461381267</v>
      </c>
      <c r="S55" s="20"/>
      <c r="T55" s="48" t="s">
        <v>900</v>
      </c>
      <c r="U55" s="21">
        <f>SUM('[1]Hours+Tons'!$D$77:$D$79)</f>
        <v>0.56718209558666288</v>
      </c>
      <c r="V55" s="21">
        <f>SUM('[1]Hours+Tons'!$D$80:$D$81)</f>
        <v>0.43281790441333717</v>
      </c>
      <c r="W55" s="20">
        <f>E55-K55-Q55-N55</f>
        <v>0</v>
      </c>
      <c r="X55" s="22">
        <f>H55-L55-R55-O55</f>
        <v>-1.1641532182693481E-10</v>
      </c>
      <c r="Y55" s="54"/>
      <c r="Z55" s="59" t="s">
        <v>376</v>
      </c>
      <c r="AA55" s="13">
        <f>K76</f>
        <v>0</v>
      </c>
      <c r="AB55" s="13">
        <f>L76</f>
        <v>214089.45949249217</v>
      </c>
      <c r="AC55" s="59" t="s">
        <v>376</v>
      </c>
      <c r="AD55" s="227">
        <v>0</v>
      </c>
      <c r="AE55" s="227">
        <v>0</v>
      </c>
      <c r="AF55" s="227">
        <v>0</v>
      </c>
      <c r="AG55" s="227">
        <v>0</v>
      </c>
      <c r="AH55" s="227">
        <v>0</v>
      </c>
      <c r="AJ55" s="13">
        <f t="shared" si="3"/>
        <v>0</v>
      </c>
    </row>
    <row r="56" spans="1:36" ht="13.5" customHeight="1">
      <c r="A56" s="3" t="s">
        <v>1050</v>
      </c>
      <c r="B56" s="43">
        <f>'2111 Other'!M37</f>
        <v>710636.12999999989</v>
      </c>
      <c r="C56" s="43">
        <v>0</v>
      </c>
      <c r="D56" s="43">
        <f>'2111 Other'!N37</f>
        <v>710636.12999999989</v>
      </c>
      <c r="E56" s="12">
        <f>'2111 Other'!Q37</f>
        <v>35531.806499999992</v>
      </c>
      <c r="F56" s="12">
        <f>'2111 Other'!S37</f>
        <v>0</v>
      </c>
      <c r="G56" s="12">
        <f>'2111 Other'!T37</f>
        <v>35531.806499999992</v>
      </c>
      <c r="H56" s="12">
        <f>'2111 Other'!U37</f>
        <v>692870.22674999991</v>
      </c>
      <c r="I56" s="13"/>
      <c r="J56" s="13"/>
      <c r="K56" s="19">
        <f>E56*U56</f>
        <v>18414.683413273851</v>
      </c>
      <c r="L56" s="19">
        <f>H56*U56</f>
        <v>359086.32655884011</v>
      </c>
      <c r="M56" s="12"/>
      <c r="N56" s="19"/>
      <c r="O56" s="19"/>
      <c r="P56" s="23"/>
      <c r="Q56" s="19">
        <f>E56*V56</f>
        <v>17117.12308672614</v>
      </c>
      <c r="R56" s="19">
        <f>H56*V56</f>
        <v>333783.90019115974</v>
      </c>
      <c r="S56" s="13"/>
      <c r="T56" s="48" t="s">
        <v>1057</v>
      </c>
      <c r="U56" s="21">
        <f>'[1]Hours+Tons'!$E$79</f>
        <v>0.51825913814074875</v>
      </c>
      <c r="V56" s="21">
        <f>'[1]Hours+Tons'!$E$81</f>
        <v>0.48174086185925119</v>
      </c>
      <c r="W56" s="20">
        <f>E56-K56-Q56-N56</f>
        <v>0</v>
      </c>
      <c r="X56" s="57">
        <f>H56-L56-R56-O56</f>
        <v>5.8207660913467407E-11</v>
      </c>
      <c r="Y56" s="54"/>
      <c r="Z56" s="59" t="s">
        <v>377</v>
      </c>
      <c r="AA56" s="13">
        <f>K77</f>
        <v>0</v>
      </c>
      <c r="AB56" s="13">
        <f t="shared" ref="AB56:AB58" si="7">L77</f>
        <v>104991.55893741408</v>
      </c>
      <c r="AC56" s="59" t="s">
        <v>377</v>
      </c>
      <c r="AD56" s="227">
        <v>0</v>
      </c>
      <c r="AE56" s="227">
        <v>0</v>
      </c>
      <c r="AF56" s="227">
        <v>0</v>
      </c>
      <c r="AG56" s="227">
        <v>0</v>
      </c>
      <c r="AH56" s="227">
        <v>0</v>
      </c>
      <c r="AJ56" s="13">
        <f t="shared" si="3"/>
        <v>0</v>
      </c>
    </row>
    <row r="57" spans="1:36" ht="13.5" customHeight="1">
      <c r="A57" s="3" t="s">
        <v>372</v>
      </c>
      <c r="B57" s="12">
        <f>Land!B17</f>
        <v>724910</v>
      </c>
      <c r="C57" s="43"/>
      <c r="D57" s="43">
        <f>B57</f>
        <v>724910</v>
      </c>
      <c r="E57" s="12">
        <v>0</v>
      </c>
      <c r="F57" s="12">
        <v>0</v>
      </c>
      <c r="G57" s="12">
        <v>0</v>
      </c>
      <c r="H57" s="12">
        <f>B57</f>
        <v>724910</v>
      </c>
      <c r="K57" s="55">
        <f>SUM(K77:K79)</f>
        <v>0</v>
      </c>
      <c r="L57" s="55">
        <f>SUM(L77:L79)</f>
        <v>751859.67487850366</v>
      </c>
      <c r="M57" s="12"/>
      <c r="N57" s="55">
        <f>SUM(N77:N79)</f>
        <v>0</v>
      </c>
      <c r="O57" s="55">
        <f>SUM(O77:O79)</f>
        <v>979.25529243774167</v>
      </c>
      <c r="P57" s="56"/>
      <c r="Q57" s="55">
        <f>SUM(Q77:Q79)</f>
        <v>0</v>
      </c>
      <c r="R57" s="55">
        <f>SUM(R77:R79)</f>
        <v>533195.24947845901</v>
      </c>
      <c r="S57" s="20"/>
      <c r="T57" s="16" t="s">
        <v>939</v>
      </c>
      <c r="U57" s="21">
        <f>SUM('[1]Hours+Tons'!$D$77:$D$79)</f>
        <v>0.56718209558666288</v>
      </c>
      <c r="V57" s="21">
        <f>'[1]Hours+Tons'!$D$80</f>
        <v>0.32772506144090635</v>
      </c>
      <c r="W57" s="20">
        <f>E57-K57-Q57-N57</f>
        <v>0</v>
      </c>
      <c r="X57" s="57">
        <f>H57-L57-R57-O57</f>
        <v>-561124.17964940041</v>
      </c>
      <c r="Y57" s="54"/>
      <c r="Z57" s="59" t="s">
        <v>378</v>
      </c>
      <c r="AA57" s="13">
        <f>K78</f>
        <v>0</v>
      </c>
      <c r="AB57" s="13">
        <f t="shared" si="7"/>
        <v>567622.3214584128</v>
      </c>
      <c r="AC57" s="59" t="s">
        <v>378</v>
      </c>
      <c r="AD57" s="227">
        <v>0</v>
      </c>
      <c r="AE57" s="227">
        <v>0</v>
      </c>
      <c r="AF57" s="227">
        <v>0</v>
      </c>
      <c r="AG57" s="227">
        <v>0</v>
      </c>
      <c r="AH57" s="227">
        <v>0</v>
      </c>
      <c r="AJ57" s="13">
        <f t="shared" si="3"/>
        <v>0</v>
      </c>
    </row>
    <row r="58" spans="1:36" ht="13.5" customHeight="1">
      <c r="A58" s="3" t="s">
        <v>373</v>
      </c>
      <c r="B58" s="12">
        <f>Land!B18</f>
        <v>924900</v>
      </c>
      <c r="C58" s="43"/>
      <c r="D58" s="43">
        <f>B58</f>
        <v>924900</v>
      </c>
      <c r="E58" s="43">
        <v>0</v>
      </c>
      <c r="F58" s="43">
        <v>0</v>
      </c>
      <c r="G58" s="43">
        <v>0</v>
      </c>
      <c r="H58" s="43">
        <f>B58</f>
        <v>924900</v>
      </c>
      <c r="K58" s="55">
        <f>K76</f>
        <v>0</v>
      </c>
      <c r="L58" s="55">
        <f>L76</f>
        <v>214089.45949249217</v>
      </c>
      <c r="M58" s="12"/>
      <c r="N58" s="55">
        <f>N76</f>
        <v>0</v>
      </c>
      <c r="O58" s="55">
        <f>O76</f>
        <v>3607.9813654300438</v>
      </c>
      <c r="P58" s="56"/>
      <c r="Q58" s="55">
        <f>Q76</f>
        <v>0</v>
      </c>
      <c r="R58" s="55">
        <f>R76</f>
        <v>146078.37949267749</v>
      </c>
      <c r="S58" s="20"/>
      <c r="T58" s="16" t="s">
        <v>939</v>
      </c>
      <c r="U58" s="21">
        <f>'[1]Revenue+Cust'!AA35</f>
        <v>0.6783091436662454</v>
      </c>
      <c r="V58" s="21">
        <f>'[1]Revenue+Cust'!AB35</f>
        <v>0.3216908563337546</v>
      </c>
      <c r="W58" s="20">
        <f>E58-K58-Q58-N58</f>
        <v>0</v>
      </c>
      <c r="X58" s="57">
        <f>H58-L58-R58-O58</f>
        <v>561124.17964940029</v>
      </c>
      <c r="Y58" s="54"/>
      <c r="Z58" s="59" t="s">
        <v>379</v>
      </c>
      <c r="AA58" s="13">
        <f>K79</f>
        <v>0</v>
      </c>
      <c r="AB58" s="13">
        <f t="shared" si="7"/>
        <v>79245.794482676763</v>
      </c>
      <c r="AC58" s="59" t="s">
        <v>379</v>
      </c>
      <c r="AD58" s="227">
        <v>0</v>
      </c>
      <c r="AE58" s="227">
        <v>0</v>
      </c>
      <c r="AF58" s="227">
        <v>0</v>
      </c>
      <c r="AG58" s="227">
        <v>0</v>
      </c>
      <c r="AH58" s="227">
        <v>0</v>
      </c>
      <c r="AJ58" s="13">
        <f t="shared" si="3"/>
        <v>0</v>
      </c>
    </row>
    <row r="59" spans="1:36" ht="13.5" customHeight="1">
      <c r="A59" s="32"/>
      <c r="B59" s="12"/>
      <c r="C59" s="43"/>
      <c r="D59" s="43"/>
      <c r="E59" s="43"/>
      <c r="F59" s="43"/>
      <c r="G59" s="43"/>
      <c r="H59" s="43"/>
      <c r="K59" s="12"/>
      <c r="L59" s="43"/>
      <c r="M59" s="12"/>
      <c r="N59" s="43"/>
      <c r="O59" s="43"/>
      <c r="P59" s="4"/>
      <c r="Q59" s="12"/>
      <c r="R59" s="43"/>
      <c r="U59" s="24"/>
      <c r="V59" s="24"/>
      <c r="X59" s="22"/>
      <c r="AC59" s="229"/>
      <c r="AD59" s="229"/>
      <c r="AE59" s="229"/>
      <c r="AF59" s="229"/>
      <c r="AG59" s="229"/>
      <c r="AH59" s="229"/>
    </row>
    <row r="60" spans="1:36" ht="13.5" customHeight="1" thickBot="1">
      <c r="A60" s="39" t="s">
        <v>902</v>
      </c>
      <c r="B60" s="40">
        <f t="shared" ref="B60:H60" si="8">SUM(B47:B58)</f>
        <v>14958789.578571428</v>
      </c>
      <c r="C60" s="40">
        <f t="shared" si="8"/>
        <v>0</v>
      </c>
      <c r="D60" s="40">
        <f t="shared" si="8"/>
        <v>14958789.578571428</v>
      </c>
      <c r="E60" s="40">
        <f t="shared" si="8"/>
        <v>566678.67571246088</v>
      </c>
      <c r="F60" s="40">
        <f t="shared" si="8"/>
        <v>2985038.3159047617</v>
      </c>
      <c r="G60" s="40">
        <f t="shared" si="8"/>
        <v>3551716.9916172228</v>
      </c>
      <c r="H60" s="40">
        <f t="shared" si="8"/>
        <v>11690411.924810434</v>
      </c>
      <c r="I60" s="13"/>
      <c r="J60" s="13"/>
      <c r="K60" s="41">
        <f>SUM(K47:K58)</f>
        <v>317538.2691341035</v>
      </c>
      <c r="L60" s="40">
        <f>SUM(L47:L58)</f>
        <v>6733871.3214004608</v>
      </c>
      <c r="M60" s="38"/>
      <c r="N60" s="40">
        <f>SUM(N47:N58)</f>
        <v>2003.9200363467521</v>
      </c>
      <c r="O60" s="40">
        <f>SUM(O47:O58)</f>
        <v>62497.86182519533</v>
      </c>
      <c r="P60" s="13"/>
      <c r="Q60" s="41">
        <f>SUM(Q47:Q58)</f>
        <v>247136.48654201065</v>
      </c>
      <c r="R60" s="40">
        <f>SUM(R47:R58)</f>
        <v>4894042.7415847797</v>
      </c>
      <c r="S60" s="13"/>
      <c r="T60" s="13"/>
      <c r="U60" s="58"/>
      <c r="V60" s="58"/>
      <c r="W60" s="13"/>
      <c r="X60" s="13"/>
      <c r="Y60" s="13"/>
      <c r="Z60" s="34" t="s">
        <v>1011</v>
      </c>
      <c r="AA60" s="35">
        <f>SUM(AA47:AA58)</f>
        <v>317538.2691341035</v>
      </c>
      <c r="AB60" s="35">
        <f>SUM(AB47:AB58)</f>
        <v>6733871.3214004599</v>
      </c>
      <c r="AD60" s="20">
        <f>SUM(AD48:AD59)</f>
        <v>302.48517699619737</v>
      </c>
      <c r="AE60" s="20">
        <f t="shared" ref="AE60:AH60" si="9">SUM(AE48:AE59)</f>
        <v>182580.80496253242</v>
      </c>
      <c r="AF60" s="20">
        <f t="shared" si="9"/>
        <v>99293.695295621728</v>
      </c>
      <c r="AG60" s="20">
        <f t="shared" si="9"/>
        <v>20605.653704282628</v>
      </c>
      <c r="AH60" s="20">
        <f t="shared" si="9"/>
        <v>14755.629994670489</v>
      </c>
      <c r="AI60" s="13">
        <f>SUM(AD60:AH60)-AA60</f>
        <v>0</v>
      </c>
    </row>
    <row r="61" spans="1:36" ht="13.5" customHeight="1">
      <c r="B61" s="43">
        <f>B60-'2111 Other'!M140-B57-B58</f>
        <v>0</v>
      </c>
      <c r="C61" s="43"/>
      <c r="D61" s="43"/>
      <c r="E61" s="43">
        <f>E60-'2111 Other'!Q140</f>
        <v>0</v>
      </c>
      <c r="F61" s="43">
        <f>F60-'2111 Other'!S140</f>
        <v>0</v>
      </c>
      <c r="G61" s="43">
        <f>G60-'2111 Other'!T140</f>
        <v>0</v>
      </c>
      <c r="H61" s="43">
        <f>H60-'2111 Other'!U140-H58-H57</f>
        <v>0</v>
      </c>
      <c r="I61" s="13"/>
      <c r="J61" s="13"/>
      <c r="K61" s="12"/>
      <c r="L61" s="43"/>
      <c r="M61" s="12"/>
      <c r="N61" s="43"/>
      <c r="O61" s="43"/>
      <c r="P61" s="13"/>
      <c r="Q61" s="12"/>
      <c r="R61" s="43"/>
      <c r="S61" s="13"/>
      <c r="T61" s="13"/>
      <c r="U61" s="13"/>
      <c r="V61" s="13"/>
      <c r="W61" s="13"/>
      <c r="X61" s="13"/>
      <c r="Y61" s="13"/>
      <c r="AA61" s="43">
        <f>AA60-K60</f>
        <v>0</v>
      </c>
      <c r="AB61" s="43">
        <f>AB60-L60</f>
        <v>0</v>
      </c>
    </row>
    <row r="62" spans="1:36" ht="13.5" customHeight="1" thickBot="1">
      <c r="A62" s="39" t="s">
        <v>115</v>
      </c>
      <c r="B62" s="40">
        <f t="shared" ref="B62:G62" si="10">SUM(B60,B45,B25)</f>
        <v>48526400.823344149</v>
      </c>
      <c r="C62" s="40">
        <f t="shared" si="10"/>
        <v>2436.9247999999425</v>
      </c>
      <c r="D62" s="40">
        <f t="shared" si="10"/>
        <v>48523963.898544148</v>
      </c>
      <c r="E62" s="40">
        <f t="shared" si="10"/>
        <v>3816760.373933455</v>
      </c>
      <c r="F62" s="40">
        <f t="shared" si="10"/>
        <v>14261784.707341991</v>
      </c>
      <c r="G62" s="40">
        <f t="shared" si="10"/>
        <v>17713555.24418021</v>
      </c>
      <c r="H62" s="40">
        <f>SUM(H60,H45,H25)</f>
        <v>29551116.228130672</v>
      </c>
      <c r="I62" s="13"/>
      <c r="J62" s="13"/>
      <c r="K62" s="41">
        <f>SUM(K60,K45,K25)</f>
        <v>3224953.5440228637</v>
      </c>
      <c r="L62" s="40">
        <f>SUM(L60,L45,L25)</f>
        <v>23177488.778872132</v>
      </c>
      <c r="M62" s="38"/>
      <c r="N62" s="40">
        <f>SUM(N60,N45,N25)</f>
        <v>2003.9200363467521</v>
      </c>
      <c r="O62" s="40">
        <f>SUM(O60,O45,O25)</f>
        <v>62497.86182519533</v>
      </c>
      <c r="P62" s="13"/>
      <c r="Q62" s="41">
        <f>SUM(Q60,Q45,Q25)</f>
        <v>589802.90987424389</v>
      </c>
      <c r="R62" s="40">
        <f>SUM(R60,R45,R25)</f>
        <v>6311129.5874333484</v>
      </c>
      <c r="S62" s="13"/>
      <c r="T62" s="13"/>
      <c r="U62" s="13"/>
      <c r="V62" s="13"/>
      <c r="W62" s="13"/>
      <c r="X62" s="13"/>
      <c r="Y62" s="13"/>
      <c r="Z62" s="50" t="s">
        <v>1007</v>
      </c>
      <c r="AA62" s="35">
        <f>SUM(AA29,AA45,AA60)</f>
        <v>3224953.5440228637</v>
      </c>
      <c r="AB62" s="35">
        <f>SUM(AB29,AB45,AB60)</f>
        <v>23177488.778872125</v>
      </c>
    </row>
    <row r="63" spans="1:36" ht="13.5" customHeight="1" thickBot="1">
      <c r="B63" s="13"/>
      <c r="C63" s="13"/>
      <c r="D63" s="13"/>
      <c r="E63" s="13"/>
      <c r="F63" s="13"/>
      <c r="G63" s="13"/>
      <c r="H63" s="13"/>
      <c r="K63" s="23"/>
      <c r="L63" s="23"/>
      <c r="M63" s="23"/>
      <c r="N63" s="23"/>
      <c r="O63" s="23"/>
      <c r="P63" s="4"/>
      <c r="Q63" s="23"/>
      <c r="R63" s="23"/>
      <c r="X63" s="13"/>
      <c r="Y63" s="13"/>
      <c r="AC63" s="145" t="s">
        <v>1054</v>
      </c>
      <c r="AD63" s="145" t="s">
        <v>161</v>
      </c>
      <c r="AE63" s="145" t="s">
        <v>1020</v>
      </c>
      <c r="AF63" s="145" t="s">
        <v>1021</v>
      </c>
      <c r="AG63" s="145" t="s">
        <v>99</v>
      </c>
      <c r="AH63" s="145" t="s">
        <v>1022</v>
      </c>
    </row>
    <row r="64" spans="1:36" ht="13.5" customHeight="1">
      <c r="B64" s="13"/>
      <c r="C64" s="13"/>
      <c r="D64" s="13"/>
      <c r="E64" s="13"/>
      <c r="F64" s="13"/>
      <c r="G64" s="13"/>
      <c r="H64" s="13"/>
      <c r="K64" s="23"/>
      <c r="L64" s="23"/>
      <c r="M64" s="23"/>
      <c r="N64" s="23"/>
      <c r="O64" s="23"/>
      <c r="P64" s="4"/>
      <c r="Q64" s="23"/>
      <c r="R64" s="23"/>
      <c r="X64" s="13"/>
      <c r="Y64" s="13"/>
      <c r="AC64" s="197"/>
      <c r="AD64" s="197"/>
      <c r="AE64" s="197"/>
      <c r="AF64" s="197"/>
      <c r="AG64" s="197"/>
      <c r="AH64" s="197"/>
    </row>
    <row r="65" spans="1:36" ht="13.5" customHeight="1">
      <c r="B65" s="13"/>
      <c r="C65" s="13"/>
      <c r="D65" s="13"/>
      <c r="E65" s="13"/>
      <c r="F65" s="13"/>
      <c r="G65" s="13"/>
      <c r="H65" s="13"/>
      <c r="K65" s="23"/>
      <c r="L65" s="23"/>
      <c r="M65" s="23"/>
      <c r="N65" s="23"/>
      <c r="O65" s="23"/>
      <c r="P65" s="4"/>
      <c r="Q65" s="23"/>
      <c r="R65" s="23"/>
      <c r="X65" s="13"/>
      <c r="Y65" s="13"/>
      <c r="AC65" s="4"/>
      <c r="AD65" s="43">
        <f>$AB59*AD$44</f>
        <v>0</v>
      </c>
      <c r="AE65" s="213">
        <f>$AB59*AE$44</f>
        <v>0</v>
      </c>
      <c r="AF65" s="43">
        <f>$AB59*AF$44</f>
        <v>0</v>
      </c>
      <c r="AG65" s="43">
        <f>$AB59*AG$44</f>
        <v>0</v>
      </c>
      <c r="AH65" s="43">
        <f>$AB59*AH$44</f>
        <v>0</v>
      </c>
    </row>
    <row r="66" spans="1:36" ht="13.5" customHeight="1">
      <c r="A66" s="59"/>
      <c r="B66" s="59"/>
      <c r="C66" s="59"/>
      <c r="D66" s="59"/>
      <c r="E66" s="59"/>
      <c r="F66" s="59"/>
      <c r="G66" s="59"/>
      <c r="H66" s="59"/>
      <c r="I66" s="59"/>
      <c r="J66" s="60"/>
      <c r="K66" s="3"/>
      <c r="Q66" s="23"/>
      <c r="R66" s="23"/>
      <c r="X66" s="13"/>
      <c r="Y66" s="13"/>
      <c r="AC66" s="4" t="s">
        <v>1003</v>
      </c>
      <c r="AD66" s="43">
        <f>$AB48*AD$44</f>
        <v>158.11310889001459</v>
      </c>
      <c r="AE66" s="43">
        <f t="shared" ref="AE66:AH66" si="11">$AB48*AE$44</f>
        <v>11305.887652976466</v>
      </c>
      <c r="AF66" s="43">
        <f t="shared" si="11"/>
        <v>6789.760939329758</v>
      </c>
      <c r="AG66" s="43">
        <f t="shared" si="11"/>
        <v>2284.0144975371013</v>
      </c>
      <c r="AH66" s="43">
        <f t="shared" si="11"/>
        <v>2665.9696796786397</v>
      </c>
      <c r="AI66" s="16" t="s">
        <v>898</v>
      </c>
      <c r="AJ66" s="13">
        <f t="shared" ref="AJ66:AJ71" si="12">AB48-SUM(AD66:AH66)</f>
        <v>0</v>
      </c>
    </row>
    <row r="67" spans="1:36" ht="13.5" customHeight="1">
      <c r="A67" s="59"/>
      <c r="B67" s="59"/>
      <c r="C67" s="59"/>
      <c r="D67" s="59"/>
      <c r="E67" s="59"/>
      <c r="F67" s="59"/>
      <c r="G67" s="59"/>
      <c r="H67" s="59"/>
      <c r="I67" s="59"/>
      <c r="J67" s="60"/>
      <c r="K67" s="3"/>
      <c r="Q67" s="23"/>
      <c r="R67" s="23"/>
      <c r="X67" s="13"/>
      <c r="Y67" s="13"/>
      <c r="AC67" s="4" t="s">
        <v>304</v>
      </c>
      <c r="AD67" s="213">
        <f>$AB49*AD$42</f>
        <v>177.61641732107873</v>
      </c>
      <c r="AE67" s="213">
        <f t="shared" ref="AE67:AH67" si="13">$AB49*AE$42</f>
        <v>72973.854060823578</v>
      </c>
      <c r="AF67" s="213">
        <f t="shared" si="13"/>
        <v>26079.653112432756</v>
      </c>
      <c r="AG67" s="213">
        <f t="shared" si="13"/>
        <v>2880.4395379766229</v>
      </c>
      <c r="AH67" s="213">
        <f t="shared" si="13"/>
        <v>13741.372013953542</v>
      </c>
      <c r="AI67" s="16" t="s">
        <v>386</v>
      </c>
      <c r="AJ67" s="13">
        <f t="shared" si="12"/>
        <v>0</v>
      </c>
    </row>
    <row r="68" spans="1:36" ht="13.5" customHeight="1">
      <c r="A68" s="61" t="s">
        <v>385</v>
      </c>
      <c r="B68" s="62"/>
      <c r="C68" s="62"/>
      <c r="D68" s="62"/>
      <c r="E68" s="62"/>
      <c r="F68" s="59"/>
      <c r="G68" s="59"/>
      <c r="H68" s="59"/>
      <c r="I68" s="59"/>
      <c r="J68" s="60"/>
      <c r="K68" s="3"/>
      <c r="Q68" s="23"/>
      <c r="R68" s="23"/>
      <c r="X68" s="13"/>
      <c r="Y68" s="13"/>
      <c r="AC68" s="197" t="s">
        <v>1052</v>
      </c>
      <c r="AD68" s="213">
        <f>$AB50*AD$41</f>
        <v>8.8981148688516054</v>
      </c>
      <c r="AE68" s="213">
        <f t="shared" ref="AE68:AH68" si="14">$AB50*AE$41</f>
        <v>4118.9611202905498</v>
      </c>
      <c r="AF68" s="213">
        <f t="shared" si="14"/>
        <v>4639.6535973523933</v>
      </c>
      <c r="AG68" s="213">
        <f t="shared" si="14"/>
        <v>2339.6872090405232</v>
      </c>
      <c r="AH68" s="213">
        <f t="shared" si="14"/>
        <v>19.241193443298634</v>
      </c>
      <c r="AI68" s="16" t="s">
        <v>383</v>
      </c>
      <c r="AJ68" s="13">
        <f t="shared" si="12"/>
        <v>0</v>
      </c>
    </row>
    <row r="69" spans="1:36" ht="13.5" customHeight="1">
      <c r="A69" s="59"/>
      <c r="B69" s="59"/>
      <c r="C69" s="59"/>
      <c r="D69" s="59"/>
      <c r="E69" s="59"/>
      <c r="F69" s="59"/>
      <c r="G69" s="59"/>
      <c r="H69" s="59"/>
      <c r="I69" s="59"/>
      <c r="J69" s="60"/>
      <c r="K69" s="3"/>
      <c r="Q69" s="23"/>
      <c r="R69" s="23"/>
      <c r="X69" s="13"/>
      <c r="Y69" s="13"/>
      <c r="AC69" s="197" t="s">
        <v>1004</v>
      </c>
      <c r="AD69" s="213">
        <f>$AB51*AD$41</f>
        <v>1712.6421477890565</v>
      </c>
      <c r="AE69" s="213">
        <f t="shared" ref="AE69:AH69" si="15">$AB51*AE$41</f>
        <v>792786.62095137208</v>
      </c>
      <c r="AF69" s="213">
        <f t="shared" si="15"/>
        <v>893005.58815918583</v>
      </c>
      <c r="AG69" s="213">
        <f t="shared" si="15"/>
        <v>450325.37631905131</v>
      </c>
      <c r="AH69" s="213">
        <f t="shared" si="15"/>
        <v>3703.4000291579346</v>
      </c>
      <c r="AI69" s="16" t="s">
        <v>383</v>
      </c>
      <c r="AJ69" s="13">
        <f t="shared" si="12"/>
        <v>0</v>
      </c>
    </row>
    <row r="70" spans="1:36" ht="13.5" customHeight="1">
      <c r="A70" s="59"/>
      <c r="B70" s="63"/>
      <c r="C70" s="63"/>
      <c r="D70" s="63"/>
      <c r="E70" s="63" t="s">
        <v>122</v>
      </c>
      <c r="F70" s="63" t="s">
        <v>18</v>
      </c>
      <c r="G70" s="63" t="s">
        <v>118</v>
      </c>
      <c r="H70" s="63" t="s">
        <v>38</v>
      </c>
      <c r="I70" s="59"/>
      <c r="J70" s="60"/>
      <c r="K70" s="3"/>
      <c r="Q70" s="23"/>
      <c r="R70" s="23"/>
      <c r="X70" s="13"/>
      <c r="Y70" s="13"/>
      <c r="AC70" s="197" t="s">
        <v>1005</v>
      </c>
      <c r="AD70" s="213">
        <f>$AB52*AD$42</f>
        <v>3586.6591430788581</v>
      </c>
      <c r="AE70" s="213">
        <f t="shared" ref="AE70:AH70" si="16">$AB52*AE$42</f>
        <v>1473581.9178236171</v>
      </c>
      <c r="AF70" s="213">
        <f t="shared" si="16"/>
        <v>526633.89845850226</v>
      </c>
      <c r="AG70" s="213">
        <f t="shared" si="16"/>
        <v>58165.53987964963</v>
      </c>
      <c r="AH70" s="213">
        <f t="shared" si="16"/>
        <v>277483.45741711691</v>
      </c>
      <c r="AI70" s="16" t="s">
        <v>386</v>
      </c>
      <c r="AJ70" s="13">
        <f t="shared" si="12"/>
        <v>0</v>
      </c>
    </row>
    <row r="71" spans="1:36" ht="13.5" customHeight="1">
      <c r="A71" s="59"/>
      <c r="B71" s="64" t="s">
        <v>42</v>
      </c>
      <c r="C71" s="64" t="s">
        <v>23</v>
      </c>
      <c r="D71" s="64" t="s">
        <v>67</v>
      </c>
      <c r="E71" s="64" t="s">
        <v>67</v>
      </c>
      <c r="F71" s="64" t="s">
        <v>123</v>
      </c>
      <c r="G71" s="64" t="s">
        <v>123</v>
      </c>
      <c r="H71" s="64" t="s">
        <v>45</v>
      </c>
      <c r="I71" s="59"/>
      <c r="J71" s="60"/>
      <c r="K71" s="3"/>
      <c r="Q71" s="23"/>
      <c r="R71" s="23"/>
      <c r="X71" s="13"/>
      <c r="Y71" s="13"/>
      <c r="AC71" s="197" t="s">
        <v>1006</v>
      </c>
      <c r="AD71" s="93">
        <f>$AB53*AD$45</f>
        <v>0</v>
      </c>
      <c r="AE71" s="93">
        <f t="shared" ref="AE71:AH71" si="17">$AB53*AE$45</f>
        <v>622651.06276641798</v>
      </c>
      <c r="AF71" s="93">
        <f t="shared" si="17"/>
        <v>155016.57511976972</v>
      </c>
      <c r="AG71" s="93">
        <f t="shared" si="17"/>
        <v>0</v>
      </c>
      <c r="AH71" s="93">
        <f t="shared" si="17"/>
        <v>0</v>
      </c>
      <c r="AI71" s="16" t="s">
        <v>901</v>
      </c>
      <c r="AJ71" s="13">
        <f t="shared" si="12"/>
        <v>0</v>
      </c>
    </row>
    <row r="72" spans="1:36" ht="13.5" customHeight="1">
      <c r="A72" s="59" t="s">
        <v>389</v>
      </c>
      <c r="B72" s="65">
        <f>B53*$C$87</f>
        <v>4045817.074924204</v>
      </c>
      <c r="C72" s="59"/>
      <c r="D72" s="65">
        <f>D53*$C$87</f>
        <v>4045817.074924204</v>
      </c>
      <c r="E72" s="65">
        <f>E53*$C$87</f>
        <v>125917.35015280233</v>
      </c>
      <c r="F72" s="65">
        <f>F53*$C$87</f>
        <v>344014.36690142326</v>
      </c>
      <c r="G72" s="65">
        <f>G53*$C$87</f>
        <v>469931.71705422562</v>
      </c>
      <c r="H72" s="65">
        <f>H53*$C$87</f>
        <v>3638844.0329463789</v>
      </c>
      <c r="I72" s="66"/>
      <c r="J72" s="60"/>
      <c r="K72" s="225">
        <f>$E72*$C$129</f>
        <v>74104.918267957357</v>
      </c>
      <c r="L72" s="14">
        <f>$H72*$C$129</f>
        <v>2141533.6276065563</v>
      </c>
      <c r="M72" s="12"/>
      <c r="N72" s="14">
        <f>$E72*$E$128</f>
        <v>1248.8665478035027</v>
      </c>
      <c r="O72" s="14">
        <f>$H72*$E$128</f>
        <v>36090.583068230029</v>
      </c>
      <c r="P72" s="43"/>
      <c r="Q72" s="14">
        <f>$E72*$F$128</f>
        <v>50563.56533704148</v>
      </c>
      <c r="R72" s="14">
        <f>$H72*$F$128</f>
        <v>1461219.8222715927</v>
      </c>
      <c r="T72" s="1" t="s">
        <v>954</v>
      </c>
      <c r="U72" s="13">
        <f>E72-K72-N72-Q72</f>
        <v>0</v>
      </c>
      <c r="X72" s="13"/>
      <c r="Y72" s="13"/>
      <c r="AC72" s="197" t="s">
        <v>1050</v>
      </c>
      <c r="AF72" s="13">
        <f>AB54</f>
        <v>359086.32655884011</v>
      </c>
      <c r="AI72" s="16" t="s">
        <v>934</v>
      </c>
      <c r="AJ72" s="13">
        <f>AB54-SUM(AD72:AH72)</f>
        <v>0</v>
      </c>
    </row>
    <row r="73" spans="1:36" ht="13.5" customHeight="1">
      <c r="A73" s="59" t="s">
        <v>390</v>
      </c>
      <c r="B73" s="67">
        <f>B53*$C$88</f>
        <v>4483260.9450757951</v>
      </c>
      <c r="C73" s="68"/>
      <c r="D73" s="67">
        <f>D53*$C$88</f>
        <v>4483260.9450757951</v>
      </c>
      <c r="E73" s="67">
        <f>E53*$C$88</f>
        <v>139531.84926386431</v>
      </c>
      <c r="F73" s="67">
        <f>F53*$C$88</f>
        <v>381210.06143190997</v>
      </c>
      <c r="G73" s="67">
        <f>G53*$C$88</f>
        <v>520741.91069577436</v>
      </c>
      <c r="H73" s="67">
        <f>H53*$C$88</f>
        <v>4032284.9590119524</v>
      </c>
      <c r="I73" s="69"/>
      <c r="J73" s="60"/>
      <c r="K73" s="14">
        <f>$E73*$C$124</f>
        <v>80953.601635325045</v>
      </c>
      <c r="L73" s="14">
        <f>$H73*$C$124</f>
        <v>2339451.4727219651</v>
      </c>
      <c r="M73" s="12"/>
      <c r="N73" s="14">
        <f>$E73*$E$124</f>
        <v>755.05348854324927</v>
      </c>
      <c r="O73" s="14">
        <f>$H73*$E$124</f>
        <v>21820.042099097514</v>
      </c>
      <c r="P73" s="43"/>
      <c r="Q73" s="14">
        <f>$E73*$F$124</f>
        <v>57823.194139996012</v>
      </c>
      <c r="R73" s="14">
        <f>$H73*$F$124</f>
        <v>1671013.4441908901</v>
      </c>
      <c r="T73" s="1" t="s">
        <v>386</v>
      </c>
      <c r="U73" s="13">
        <f t="shared" ref="U73:U79" si="18">E73-K73-N73-Q73</f>
        <v>0</v>
      </c>
      <c r="X73" s="13"/>
      <c r="Y73" s="13"/>
      <c r="AC73" s="59" t="s">
        <v>376</v>
      </c>
      <c r="AD73" s="213">
        <f>$AB55*AD$41</f>
        <v>171.21310961341706</v>
      </c>
      <c r="AE73" s="213">
        <f t="shared" ref="AE73:AH73" si="19">$AB55*AE$41</f>
        <v>79255.005377641879</v>
      </c>
      <c r="AF73" s="213">
        <f t="shared" si="19"/>
        <v>89273.911568900861</v>
      </c>
      <c r="AG73" s="213">
        <f t="shared" si="19"/>
        <v>45019.099942712324</v>
      </c>
      <c r="AH73" s="213">
        <f t="shared" si="19"/>
        <v>370.22949362370059</v>
      </c>
      <c r="AI73" s="16" t="s">
        <v>383</v>
      </c>
      <c r="AJ73" s="13">
        <f>AB55-SUM(AD73:AH73)</f>
        <v>0</v>
      </c>
    </row>
    <row r="74" spans="1:36" ht="13.5" customHeight="1">
      <c r="A74" s="59"/>
      <c r="B74" s="70">
        <f>SUM(B72:B73)</f>
        <v>8529078.0199999996</v>
      </c>
      <c r="C74" s="71"/>
      <c r="D74" s="70">
        <f>SUM(D72:D73)</f>
        <v>8529078.0199999996</v>
      </c>
      <c r="E74" s="70">
        <f>SUM(E72:E73)</f>
        <v>265449.19941666664</v>
      </c>
      <c r="F74" s="70">
        <f>SUM(F72:F73)</f>
        <v>725224.42833333323</v>
      </c>
      <c r="G74" s="70">
        <f>SUM(G72:G73)</f>
        <v>990673.62774999999</v>
      </c>
      <c r="H74" s="70">
        <f>SUM(H72:H73)</f>
        <v>7671128.9919583313</v>
      </c>
      <c r="I74" s="66"/>
      <c r="J74" s="60"/>
      <c r="K74" s="43"/>
      <c r="L74" s="43"/>
      <c r="M74" s="12"/>
      <c r="N74" s="43"/>
      <c r="O74" s="43"/>
      <c r="P74" s="43"/>
      <c r="Q74" s="12"/>
      <c r="R74" s="12"/>
      <c r="U74" s="13"/>
      <c r="X74" s="13"/>
      <c r="Y74" s="13"/>
      <c r="AC74" s="59" t="s">
        <v>377</v>
      </c>
      <c r="AD74" s="213">
        <f>$AB56*AD$42</f>
        <v>160.96462747775612</v>
      </c>
      <c r="AE74" s="213">
        <f t="shared" ref="AE74:AH74" si="20">$AB56*AE$42</f>
        <v>66132.452234316166</v>
      </c>
      <c r="AF74" s="213">
        <f t="shared" si="20"/>
        <v>23634.648819671089</v>
      </c>
      <c r="AG74" s="213">
        <f t="shared" si="20"/>
        <v>2610.3942653255131</v>
      </c>
      <c r="AH74" s="213">
        <f t="shared" si="20"/>
        <v>12453.098990623541</v>
      </c>
      <c r="AI74" s="16" t="s">
        <v>386</v>
      </c>
      <c r="AJ74" s="13">
        <f>AB56-SUM(AD74:AH74)</f>
        <v>0</v>
      </c>
    </row>
    <row r="75" spans="1:36" ht="13.5" customHeight="1">
      <c r="A75" s="59"/>
      <c r="B75" s="65">
        <f>B74-B53</f>
        <v>0</v>
      </c>
      <c r="C75" s="65"/>
      <c r="D75" s="59"/>
      <c r="E75" s="59"/>
      <c r="F75" s="59"/>
      <c r="G75" s="59"/>
      <c r="H75" s="59"/>
      <c r="I75" s="69"/>
      <c r="J75" s="60"/>
      <c r="K75" s="43"/>
      <c r="L75" s="43"/>
      <c r="M75" s="12"/>
      <c r="N75" s="43"/>
      <c r="O75" s="43"/>
      <c r="P75" s="43"/>
      <c r="Q75" s="12"/>
      <c r="R75" s="12"/>
      <c r="U75" s="13"/>
      <c r="X75" s="13"/>
      <c r="Y75" s="13"/>
      <c r="AC75" s="59" t="s">
        <v>378</v>
      </c>
      <c r="AD75" s="43">
        <f>$AB57*AD$44</f>
        <v>3867.8466137080068</v>
      </c>
      <c r="AE75" s="43">
        <f t="shared" ref="AE75:AH75" si="21">$AB57*AE$44</f>
        <v>276570.6118899156</v>
      </c>
      <c r="AF75" s="43">
        <f t="shared" si="21"/>
        <v>166094.72827038963</v>
      </c>
      <c r="AG75" s="43">
        <f t="shared" si="21"/>
        <v>55872.772358831186</v>
      </c>
      <c r="AH75" s="43">
        <f t="shared" si="21"/>
        <v>65216.362325568436</v>
      </c>
      <c r="AI75" s="16" t="s">
        <v>898</v>
      </c>
      <c r="AJ75" s="13">
        <f>AB57-SUM(AD75:AH75)</f>
        <v>0</v>
      </c>
    </row>
    <row r="76" spans="1:36" ht="13.5" customHeight="1">
      <c r="A76" s="59" t="s">
        <v>376</v>
      </c>
      <c r="B76" s="65">
        <f>(B$57+B$58)*$C$95</f>
        <v>363775.82035059971</v>
      </c>
      <c r="C76" s="59"/>
      <c r="D76" s="65">
        <f>(D$57+D$58)*$C$95</f>
        <v>363775.82035059971</v>
      </c>
      <c r="E76" s="65">
        <f>(E$57+E$58)*$C$95</f>
        <v>0</v>
      </c>
      <c r="F76" s="65">
        <f>(F$57+F$58)*$C$95</f>
        <v>0</v>
      </c>
      <c r="G76" s="65">
        <f>(G$57+G$58)*$C$95</f>
        <v>0</v>
      </c>
      <c r="H76" s="65">
        <f>(H$57+H$58)*$C$95</f>
        <v>363775.82035059971</v>
      </c>
      <c r="I76" s="69"/>
      <c r="J76" s="60"/>
      <c r="K76" s="14">
        <f>$E76*$C$129</f>
        <v>0</v>
      </c>
      <c r="L76" s="14">
        <f>$H76*$C$129</f>
        <v>214089.45949249217</v>
      </c>
      <c r="M76" s="12"/>
      <c r="N76" s="14">
        <f>$E76*$E$128</f>
        <v>0</v>
      </c>
      <c r="O76" s="14">
        <f>$H76*$E$128</f>
        <v>3607.9813654300438</v>
      </c>
      <c r="P76" s="43"/>
      <c r="Q76" s="14">
        <f>$E76*$F$128</f>
        <v>0</v>
      </c>
      <c r="R76" s="14">
        <f>$H76*$F$128</f>
        <v>146078.37949267749</v>
      </c>
      <c r="T76" s="1" t="s">
        <v>954</v>
      </c>
      <c r="U76" s="13">
        <f t="shared" si="18"/>
        <v>0</v>
      </c>
      <c r="X76" s="13"/>
      <c r="Y76" s="13"/>
      <c r="AC76" s="59" t="s">
        <v>379</v>
      </c>
      <c r="AD76" s="93">
        <f>$AB58*AD$45</f>
        <v>0</v>
      </c>
      <c r="AE76" s="93">
        <f t="shared" ref="AE76:AH76" si="22">$AB58*AE$45</f>
        <v>63449.314013538955</v>
      </c>
      <c r="AF76" s="93">
        <f t="shared" si="22"/>
        <v>15796.480469137809</v>
      </c>
      <c r="AG76" s="93">
        <f t="shared" si="22"/>
        <v>0</v>
      </c>
      <c r="AH76" s="93">
        <f t="shared" si="22"/>
        <v>0</v>
      </c>
      <c r="AI76" s="16" t="s">
        <v>901</v>
      </c>
      <c r="AJ76" s="13">
        <f>AB58-SUM(AD76:AH76)</f>
        <v>0</v>
      </c>
    </row>
    <row r="77" spans="1:36" ht="13.5" customHeight="1">
      <c r="A77" s="59" t="s">
        <v>377</v>
      </c>
      <c r="B77" s="65">
        <f>(B$57+B$58)*$C$97</f>
        <v>180963.73823645711</v>
      </c>
      <c r="C77" s="59"/>
      <c r="D77" s="65">
        <f>(D$57+D$58)*$C$97</f>
        <v>180963.73823645711</v>
      </c>
      <c r="E77" s="65">
        <f>(E$57+E$58)*$C$97</f>
        <v>0</v>
      </c>
      <c r="F77" s="65">
        <f>(F$57+F$58)*$C$97</f>
        <v>0</v>
      </c>
      <c r="G77" s="65">
        <f>(G$57+G$58)*$C$97</f>
        <v>0</v>
      </c>
      <c r="H77" s="65">
        <f>(H$57+H$58)*$C$97</f>
        <v>180963.73823645711</v>
      </c>
      <c r="I77" s="59"/>
      <c r="J77" s="60"/>
      <c r="K77" s="14">
        <f>$E77*$C$124</f>
        <v>0</v>
      </c>
      <c r="L77" s="14">
        <f>$H77*$C$124</f>
        <v>104991.55893741408</v>
      </c>
      <c r="M77" s="12"/>
      <c r="N77" s="14">
        <f>$E77*$E$124</f>
        <v>0</v>
      </c>
      <c r="O77" s="14">
        <f>$H77*$E$124</f>
        <v>979.25529243774167</v>
      </c>
      <c r="P77" s="43"/>
      <c r="Q77" s="14">
        <f>$E77*$F$124</f>
        <v>0</v>
      </c>
      <c r="R77" s="14">
        <f>$H77*$F$124</f>
        <v>74992.924006605288</v>
      </c>
      <c r="T77" s="1" t="s">
        <v>386</v>
      </c>
      <c r="U77" s="13">
        <f t="shared" si="18"/>
        <v>0</v>
      </c>
      <c r="X77" s="13"/>
      <c r="Y77" s="13"/>
      <c r="AC77" s="229"/>
      <c r="AD77" s="229"/>
      <c r="AE77" s="229"/>
      <c r="AF77" s="229"/>
      <c r="AG77" s="229"/>
      <c r="AH77" s="229"/>
    </row>
    <row r="78" spans="1:36" ht="13.5" customHeight="1">
      <c r="A78" s="59" t="s">
        <v>378</v>
      </c>
      <c r="B78" s="65">
        <f>(B$57+B$58)*$C$99</f>
        <v>980035.41439304082</v>
      </c>
      <c r="C78" s="59"/>
      <c r="D78" s="65">
        <f>(D$57+D$58)*$C$99</f>
        <v>980035.41439304082</v>
      </c>
      <c r="E78" s="65">
        <f>(E$57+E$58)*$C$99</f>
        <v>0</v>
      </c>
      <c r="F78" s="65">
        <f>(F$57+F$58)*$C$99</f>
        <v>0</v>
      </c>
      <c r="G78" s="65">
        <f>(G$57+G$58)*$C$99</f>
        <v>0</v>
      </c>
      <c r="H78" s="65">
        <f>(H$57+H$58)*$C$99</f>
        <v>980035.41439304082</v>
      </c>
      <c r="I78" s="59"/>
      <c r="J78" s="60"/>
      <c r="K78" s="72">
        <f>E78*G87</f>
        <v>0</v>
      </c>
      <c r="L78" s="14">
        <f>H78*G87</f>
        <v>567622.3214584128</v>
      </c>
      <c r="N78" s="73"/>
      <c r="O78" s="73"/>
      <c r="Q78" s="72">
        <f>E78*G89</f>
        <v>0</v>
      </c>
      <c r="R78" s="14">
        <f>H78*G89</f>
        <v>412413.09293462802</v>
      </c>
      <c r="T78" s="1" t="s">
        <v>387</v>
      </c>
      <c r="U78" s="13">
        <f t="shared" si="18"/>
        <v>0</v>
      </c>
      <c r="X78" s="13"/>
      <c r="Y78" s="13"/>
      <c r="AC78" s="197"/>
      <c r="AD78" s="20">
        <f>SUM(AD66:AD77)</f>
        <v>9843.9532827470393</v>
      </c>
      <c r="AE78" s="20">
        <f t="shared" ref="AE78" si="23">SUM(AE66:AE77)</f>
        <v>3462825.6878909101</v>
      </c>
      <c r="AF78" s="20">
        <f t="shared" ref="AF78" si="24">SUM(AF66:AF77)</f>
        <v>2266051.2250735122</v>
      </c>
      <c r="AG78" s="20">
        <f t="shared" ref="AG78" si="25">SUM(AG66:AG77)</f>
        <v>619497.3240101242</v>
      </c>
      <c r="AH78" s="20">
        <f t="shared" ref="AH78" si="26">SUM(AH66:AH77)</f>
        <v>375653.13114316604</v>
      </c>
      <c r="AI78" s="13">
        <f>SUM(AD78:AH78)-AB60</f>
        <v>0</v>
      </c>
    </row>
    <row r="79" spans="1:36" ht="13.5" customHeight="1">
      <c r="A79" s="59" t="s">
        <v>379</v>
      </c>
      <c r="B79" s="67">
        <f>(B$57+B$58)*$C$101</f>
        <v>125035.02701990247</v>
      </c>
      <c r="C79" s="68"/>
      <c r="D79" s="67">
        <f>(D$57+D$58)*$C$101</f>
        <v>125035.02701990247</v>
      </c>
      <c r="E79" s="67">
        <f>(E$57+E$58)*$C$101</f>
        <v>0</v>
      </c>
      <c r="F79" s="67">
        <f>(F$57+F$58)*$C$101</f>
        <v>0</v>
      </c>
      <c r="G79" s="67">
        <f>(G$57+G$58)*$C$101</f>
        <v>0</v>
      </c>
      <c r="H79" s="67">
        <f>(H$57+H$58)*$C$101</f>
        <v>125035.02701990247</v>
      </c>
      <c r="I79" s="59"/>
      <c r="J79" s="60"/>
      <c r="K79" s="14">
        <f>$E79*$C$115</f>
        <v>0</v>
      </c>
      <c r="L79" s="14">
        <f>$H79*$C$115</f>
        <v>79245.794482676763</v>
      </c>
      <c r="M79" s="12"/>
      <c r="N79" s="14">
        <f>$E79*$E$115</f>
        <v>0</v>
      </c>
      <c r="O79" s="14">
        <f>$H79*$E$115</f>
        <v>0</v>
      </c>
      <c r="P79" s="43"/>
      <c r="Q79" s="14">
        <f>$E79*$F$115</f>
        <v>0</v>
      </c>
      <c r="R79" s="14">
        <f>$H79*$F$115</f>
        <v>45789.232537225704</v>
      </c>
      <c r="T79" s="48" t="s">
        <v>900</v>
      </c>
      <c r="U79" s="13">
        <f t="shared" si="18"/>
        <v>0</v>
      </c>
      <c r="X79" s="13"/>
      <c r="Y79" s="13"/>
    </row>
    <row r="80" spans="1:36" ht="13.5" customHeight="1">
      <c r="A80" s="59"/>
      <c r="B80" s="70">
        <f t="shared" ref="B80:H80" si="27">SUM(B76:B79)</f>
        <v>1649810</v>
      </c>
      <c r="C80" s="70">
        <f t="shared" si="27"/>
        <v>0</v>
      </c>
      <c r="D80" s="70">
        <f t="shared" si="27"/>
        <v>1649810</v>
      </c>
      <c r="E80" s="70">
        <f t="shared" si="27"/>
        <v>0</v>
      </c>
      <c r="F80" s="70">
        <f t="shared" si="27"/>
        <v>0</v>
      </c>
      <c r="G80" s="70">
        <f t="shared" si="27"/>
        <v>0</v>
      </c>
      <c r="H80" s="70">
        <f t="shared" si="27"/>
        <v>1649810</v>
      </c>
      <c r="I80" s="59"/>
      <c r="J80" s="60"/>
      <c r="K80" s="3"/>
      <c r="Q80" s="23"/>
      <c r="R80" s="23"/>
      <c r="X80" s="13"/>
      <c r="Y80" s="13"/>
    </row>
    <row r="81" spans="1:25" ht="13.5" customHeight="1">
      <c r="A81" s="59"/>
      <c r="B81" s="65">
        <f>B80-B57-B58</f>
        <v>0</v>
      </c>
      <c r="C81" s="59"/>
      <c r="D81" s="59"/>
      <c r="E81" s="59"/>
      <c r="F81" s="59"/>
      <c r="G81" s="59"/>
      <c r="H81" s="59"/>
      <c r="I81" s="59"/>
      <c r="J81" s="60"/>
      <c r="K81" s="3"/>
      <c r="Q81" s="23"/>
      <c r="R81" s="23"/>
      <c r="X81" s="13"/>
      <c r="Y81" s="13"/>
    </row>
    <row r="82" spans="1:25" ht="21.75" customHeight="1" thickBot="1">
      <c r="A82" s="74" t="s">
        <v>120</v>
      </c>
      <c r="B82" s="75">
        <f>B74+B80</f>
        <v>10178888.02</v>
      </c>
      <c r="C82" s="74"/>
      <c r="D82" s="75">
        <f>D74+D80</f>
        <v>10178888.02</v>
      </c>
      <c r="E82" s="75">
        <f>E74+E80</f>
        <v>265449.19941666664</v>
      </c>
      <c r="F82" s="75">
        <f>F74+F80</f>
        <v>725224.42833333323</v>
      </c>
      <c r="G82" s="75">
        <f>G74+G80</f>
        <v>990673.62774999999</v>
      </c>
      <c r="H82" s="75">
        <f>H74+H80</f>
        <v>9320938.9919583313</v>
      </c>
      <c r="I82" s="59"/>
      <c r="J82" s="60"/>
      <c r="K82" s="3"/>
      <c r="Q82" s="23"/>
      <c r="R82" s="23"/>
      <c r="X82" s="13"/>
      <c r="Y82" s="13"/>
    </row>
    <row r="83" spans="1:25" ht="13.5" customHeight="1" thickBot="1">
      <c r="A83" s="59"/>
      <c r="B83" s="65">
        <f>B82-B58-B57-B53</f>
        <v>0</v>
      </c>
      <c r="C83" s="59"/>
      <c r="D83" s="65">
        <f>D82-D58-D57-D53</f>
        <v>0</v>
      </c>
      <c r="E83" s="65">
        <f>E82-E58-E57-E53</f>
        <v>0</v>
      </c>
      <c r="F83" s="65">
        <f>F82-F58-F57-F53</f>
        <v>0</v>
      </c>
      <c r="G83" s="65">
        <f>G82-G58-G57-G53</f>
        <v>0</v>
      </c>
      <c r="H83" s="65">
        <f>H82-H58-H57-H53</f>
        <v>0</v>
      </c>
      <c r="I83" s="59"/>
      <c r="J83" s="60"/>
      <c r="K83" s="3"/>
      <c r="Q83" s="23"/>
      <c r="R83" s="23"/>
      <c r="X83" s="13"/>
      <c r="Y83" s="13"/>
    </row>
    <row r="84" spans="1:25" ht="13.5" customHeight="1">
      <c r="A84" s="76" t="s">
        <v>938</v>
      </c>
      <c r="B84" s="77"/>
      <c r="C84" s="78"/>
      <c r="D84" s="79"/>
      <c r="E84" s="80"/>
      <c r="F84" s="80"/>
      <c r="G84" s="81"/>
      <c r="H84" s="59"/>
      <c r="I84" s="59"/>
      <c r="J84" s="60"/>
      <c r="K84" s="3"/>
      <c r="Q84" s="23"/>
      <c r="R84" s="23"/>
      <c r="X84" s="13"/>
      <c r="Y84" s="13"/>
    </row>
    <row r="85" spans="1:25" ht="13.5" customHeight="1">
      <c r="A85" s="82"/>
      <c r="B85" s="60"/>
      <c r="C85" s="83"/>
      <c r="D85" s="84"/>
      <c r="E85" s="85"/>
      <c r="F85" s="85"/>
      <c r="G85" s="83"/>
      <c r="H85" s="59"/>
      <c r="I85" s="59"/>
      <c r="J85" s="60"/>
      <c r="K85" s="3"/>
      <c r="Q85" s="23"/>
      <c r="R85" s="23"/>
      <c r="X85" s="13"/>
      <c r="Y85" s="13"/>
    </row>
    <row r="86" spans="1:25" ht="13.5" customHeight="1">
      <c r="A86" s="86" t="s">
        <v>375</v>
      </c>
      <c r="B86" s="87"/>
      <c r="C86" s="226"/>
      <c r="D86" s="88"/>
      <c r="E86" s="89" t="s">
        <v>995</v>
      </c>
      <c r="F86" s="90"/>
      <c r="G86" s="91"/>
      <c r="H86" s="13"/>
      <c r="K86" s="23"/>
      <c r="L86" s="23"/>
      <c r="M86" s="23"/>
      <c r="N86" s="23"/>
      <c r="O86" s="23"/>
      <c r="P86" s="4"/>
      <c r="Q86" s="23"/>
      <c r="R86" s="23"/>
      <c r="X86" s="13"/>
      <c r="Y86" s="13"/>
    </row>
    <row r="87" spans="1:25" ht="13.5" customHeight="1">
      <c r="A87" s="92" t="s">
        <v>374</v>
      </c>
      <c r="B87" s="93">
        <v>15020</v>
      </c>
      <c r="C87" s="226">
        <f>B87/$B$89</f>
        <v>0.47435573521980801</v>
      </c>
      <c r="D87" s="88"/>
      <c r="E87" s="28" t="s">
        <v>996</v>
      </c>
      <c r="F87" s="22">
        <f>[2]ALL!$S2</f>
        <v>128</v>
      </c>
      <c r="G87" s="94">
        <f>F87/$F$90</f>
        <v>0.579185520361991</v>
      </c>
      <c r="H87" s="13"/>
      <c r="K87" s="23"/>
      <c r="L87" s="23"/>
      <c r="M87" s="23"/>
      <c r="N87" s="23"/>
      <c r="O87" s="23"/>
      <c r="P87" s="4"/>
      <c r="Q87" s="23"/>
      <c r="R87" s="23"/>
      <c r="X87" s="13"/>
      <c r="Y87" s="13"/>
    </row>
    <row r="88" spans="1:25" ht="13.5" customHeight="1">
      <c r="A88" s="92" t="s">
        <v>304</v>
      </c>
      <c r="B88" s="93">
        <v>16644</v>
      </c>
      <c r="C88" s="226">
        <f>B88/$B$89</f>
        <v>0.52564426478019199</v>
      </c>
      <c r="D88" s="95"/>
      <c r="E88" s="96"/>
      <c r="F88" s="22"/>
      <c r="G88" s="94"/>
      <c r="H88" s="13"/>
      <c r="K88" s="23"/>
      <c r="L88" s="23"/>
      <c r="M88" s="23"/>
      <c r="N88" s="23"/>
      <c r="O88" s="23"/>
      <c r="P88" s="4"/>
      <c r="Q88" s="23"/>
      <c r="R88" s="23"/>
      <c r="X88" s="13"/>
      <c r="Y88" s="13"/>
    </row>
    <row r="89" spans="1:25" ht="13.5" customHeight="1">
      <c r="A89" s="82"/>
      <c r="B89" s="97">
        <f>SUM(B87:B88)</f>
        <v>31664</v>
      </c>
      <c r="C89" s="226"/>
      <c r="D89" s="95"/>
      <c r="E89" s="96" t="s">
        <v>262</v>
      </c>
      <c r="F89" s="98">
        <f>SUM([2]ALL!$S$4:$S$6)</f>
        <v>93</v>
      </c>
      <c r="G89" s="94">
        <f>F89/$F$90</f>
        <v>0.42081447963800905</v>
      </c>
      <c r="H89" s="13"/>
      <c r="K89" s="23"/>
      <c r="L89" s="23"/>
      <c r="M89" s="23"/>
      <c r="N89" s="23"/>
      <c r="O89" s="23"/>
      <c r="P89" s="4"/>
      <c r="Q89" s="23"/>
      <c r="R89" s="23"/>
      <c r="X89" s="13"/>
      <c r="Y89" s="13"/>
    </row>
    <row r="90" spans="1:25" ht="13.5" customHeight="1">
      <c r="A90" s="82"/>
      <c r="B90" s="60"/>
      <c r="C90" s="226"/>
      <c r="D90" s="95"/>
      <c r="E90" s="98"/>
      <c r="F90" s="99">
        <f>SUM(F87:F89)</f>
        <v>221</v>
      </c>
      <c r="G90" s="100">
        <f>F90/$F$90</f>
        <v>1</v>
      </c>
      <c r="H90" s="13"/>
      <c r="K90" s="23"/>
      <c r="L90" s="23"/>
      <c r="M90" s="23"/>
      <c r="N90" s="23"/>
      <c r="O90" s="23"/>
      <c r="P90" s="4"/>
      <c r="Q90" s="23"/>
      <c r="R90" s="23"/>
      <c r="X90" s="13"/>
      <c r="Y90" s="13"/>
    </row>
    <row r="91" spans="1:25" ht="13.5" customHeight="1" thickBot="1">
      <c r="A91" s="82"/>
      <c r="B91" s="60"/>
      <c r="C91" s="226"/>
      <c r="D91" s="101"/>
      <c r="E91" s="102"/>
      <c r="F91" s="102"/>
      <c r="G91" s="103"/>
      <c r="H91" s="13"/>
      <c r="K91" s="23"/>
      <c r="L91" s="23"/>
      <c r="M91" s="23"/>
      <c r="N91" s="23"/>
      <c r="O91" s="23"/>
      <c r="P91" s="4"/>
      <c r="Q91" s="23"/>
      <c r="R91" s="23"/>
      <c r="X91" s="13"/>
      <c r="Y91" s="13"/>
    </row>
    <row r="92" spans="1:25" ht="13.5" customHeight="1">
      <c r="A92" s="86" t="s">
        <v>380</v>
      </c>
      <c r="B92" s="60"/>
      <c r="C92" s="226"/>
      <c r="D92" s="13"/>
      <c r="E92" s="13"/>
      <c r="F92" s="13"/>
      <c r="G92" s="13"/>
      <c r="H92" s="13"/>
      <c r="K92" s="23"/>
      <c r="L92" s="23"/>
      <c r="M92" s="23"/>
      <c r="N92" s="23"/>
      <c r="O92" s="23"/>
      <c r="P92" s="4"/>
      <c r="Q92" s="23"/>
      <c r="R92" s="23"/>
      <c r="X92" s="13"/>
      <c r="Y92" s="13"/>
    </row>
    <row r="93" spans="1:25" ht="13.5" customHeight="1">
      <c r="A93" s="92" t="s">
        <v>374</v>
      </c>
      <c r="B93" s="93">
        <f>B87</f>
        <v>15020</v>
      </c>
      <c r="C93" s="226"/>
      <c r="D93" s="13"/>
      <c r="E93" s="13"/>
      <c r="F93" s="13"/>
      <c r="G93" s="13"/>
      <c r="H93" s="13"/>
      <c r="K93" s="23"/>
      <c r="L93" s="23"/>
      <c r="M93" s="23"/>
      <c r="N93" s="23"/>
      <c r="O93" s="23"/>
      <c r="P93" s="4"/>
      <c r="Q93" s="23"/>
      <c r="R93" s="23"/>
      <c r="X93" s="13"/>
      <c r="Y93" s="13"/>
    </row>
    <row r="94" spans="1:25" ht="13.5" customHeight="1">
      <c r="A94" s="92" t="s">
        <v>381</v>
      </c>
      <c r="B94" s="104">
        <v>18438</v>
      </c>
      <c r="C94" s="226"/>
      <c r="D94" s="13"/>
      <c r="E94" s="13"/>
      <c r="F94" s="13"/>
      <c r="G94" s="13"/>
      <c r="H94" s="13"/>
      <c r="K94" s="23"/>
      <c r="L94" s="23"/>
      <c r="M94" s="23"/>
      <c r="N94" s="23"/>
      <c r="O94" s="23"/>
      <c r="P94" s="4"/>
      <c r="Q94" s="23"/>
      <c r="R94" s="23"/>
      <c r="X94" s="13"/>
      <c r="Y94" s="13"/>
    </row>
    <row r="95" spans="1:25" ht="13.5" customHeight="1">
      <c r="A95" s="82"/>
      <c r="B95" s="97">
        <f>SUM(B93:B94)</f>
        <v>33458</v>
      </c>
      <c r="C95" s="226">
        <f>B95/$B$103</f>
        <v>0.22049558455252405</v>
      </c>
      <c r="D95" s="13"/>
      <c r="E95" s="13"/>
      <c r="F95" s="13"/>
      <c r="G95" s="13"/>
      <c r="H95" s="13"/>
      <c r="K95" s="23"/>
      <c r="L95" s="23"/>
      <c r="M95" s="23"/>
      <c r="N95" s="23"/>
      <c r="O95" s="23"/>
      <c r="P95" s="4"/>
      <c r="Q95" s="23"/>
      <c r="R95" s="23"/>
      <c r="X95" s="13"/>
      <c r="Y95" s="13"/>
    </row>
    <row r="96" spans="1:25" ht="13.5" customHeight="1">
      <c r="A96" s="82"/>
      <c r="B96" s="60"/>
      <c r="C96" s="226"/>
      <c r="D96" s="13"/>
      <c r="E96" s="13"/>
      <c r="F96" s="13"/>
      <c r="G96" s="13"/>
      <c r="H96" s="13"/>
      <c r="K96" s="23"/>
      <c r="L96" s="23"/>
      <c r="M96" s="23"/>
      <c r="N96" s="23"/>
      <c r="O96" s="23"/>
      <c r="P96" s="4"/>
      <c r="Q96" s="23"/>
      <c r="R96" s="23"/>
      <c r="X96" s="13"/>
      <c r="Y96" s="13"/>
    </row>
    <row r="97" spans="1:25" ht="13.5" customHeight="1">
      <c r="A97" s="92" t="s">
        <v>304</v>
      </c>
      <c r="B97" s="93">
        <f>B88</f>
        <v>16644</v>
      </c>
      <c r="C97" s="226">
        <f>B97/$B$103</f>
        <v>0.10968762356662713</v>
      </c>
      <c r="D97" s="13"/>
      <c r="E97" s="13"/>
      <c r="F97" s="13"/>
      <c r="G97" s="13"/>
      <c r="H97" s="13"/>
      <c r="K97" s="23"/>
      <c r="L97" s="23"/>
      <c r="M97" s="23"/>
      <c r="N97" s="23"/>
      <c r="O97" s="23"/>
      <c r="P97" s="4"/>
      <c r="Q97" s="23"/>
      <c r="R97" s="23"/>
      <c r="X97" s="13"/>
      <c r="Y97" s="13"/>
    </row>
    <row r="98" spans="1:25" ht="13.5" customHeight="1">
      <c r="A98" s="82"/>
      <c r="B98" s="60"/>
      <c r="C98" s="226"/>
      <c r="D98" s="13"/>
      <c r="E98" s="13"/>
      <c r="F98" s="13"/>
      <c r="G98" s="13"/>
      <c r="H98" s="13"/>
      <c r="K98" s="23"/>
      <c r="L98" s="23"/>
      <c r="M98" s="23"/>
      <c r="N98" s="23"/>
      <c r="O98" s="23"/>
      <c r="P98" s="4"/>
      <c r="Q98" s="23"/>
      <c r="R98" s="23"/>
      <c r="X98" s="13"/>
      <c r="Y98" s="13"/>
    </row>
    <row r="99" spans="1:25" ht="13.5" customHeight="1">
      <c r="A99" s="92" t="s">
        <v>382</v>
      </c>
      <c r="B99" s="93">
        <f>5175+73700+11263</f>
        <v>90138</v>
      </c>
      <c r="C99" s="226">
        <f>B99/$B$103</f>
        <v>0.59402926057730332</v>
      </c>
      <c r="D99" s="13"/>
      <c r="E99" s="13"/>
      <c r="F99" s="13"/>
      <c r="G99" s="13"/>
      <c r="H99" s="13"/>
      <c r="K99" s="23"/>
      <c r="L99" s="23"/>
      <c r="M99" s="23"/>
      <c r="N99" s="23"/>
      <c r="O99" s="23"/>
      <c r="P99" s="4"/>
      <c r="Q99" s="23"/>
      <c r="R99" s="23"/>
      <c r="X99" s="13"/>
      <c r="Y99" s="13"/>
    </row>
    <row r="100" spans="1:25" ht="13.5" customHeight="1">
      <c r="A100" s="82"/>
      <c r="B100" s="60"/>
      <c r="C100" s="226"/>
      <c r="D100" s="13"/>
      <c r="E100" s="13"/>
      <c r="F100" s="13"/>
      <c r="G100" s="13"/>
      <c r="H100" s="13"/>
      <c r="K100" s="23"/>
      <c r="L100" s="23"/>
      <c r="M100" s="23"/>
      <c r="N100" s="23"/>
      <c r="O100" s="23"/>
      <c r="P100" s="4"/>
      <c r="Q100" s="23"/>
      <c r="R100" s="23"/>
      <c r="X100" s="13"/>
      <c r="Y100" s="13"/>
    </row>
    <row r="101" spans="1:25" ht="13.5" customHeight="1">
      <c r="A101" s="92" t="s">
        <v>263</v>
      </c>
      <c r="B101" s="93">
        <v>11500</v>
      </c>
      <c r="C101" s="226">
        <f>B101/$B$103</f>
        <v>7.5787531303545541E-2</v>
      </c>
      <c r="D101" s="13"/>
      <c r="E101" s="13"/>
      <c r="F101" s="13"/>
      <c r="G101" s="13"/>
      <c r="H101" s="13"/>
      <c r="K101" s="23"/>
      <c r="L101" s="23"/>
      <c r="M101" s="23"/>
      <c r="N101" s="23"/>
      <c r="O101" s="23"/>
      <c r="P101" s="4"/>
      <c r="Q101" s="23"/>
      <c r="R101" s="23"/>
      <c r="X101" s="13"/>
      <c r="Y101" s="13"/>
    </row>
    <row r="102" spans="1:25" ht="13.5" customHeight="1">
      <c r="A102" s="82"/>
      <c r="B102" s="60"/>
      <c r="C102" s="83"/>
      <c r="D102" s="13"/>
      <c r="E102" s="13"/>
      <c r="F102" s="13"/>
      <c r="G102" s="13"/>
      <c r="H102" s="13"/>
      <c r="K102" s="23"/>
      <c r="L102" s="23"/>
      <c r="M102" s="23"/>
      <c r="N102" s="23"/>
      <c r="O102" s="23"/>
      <c r="P102" s="4"/>
      <c r="Q102" s="23"/>
      <c r="R102" s="23"/>
      <c r="X102" s="13"/>
      <c r="Y102" s="13"/>
    </row>
    <row r="103" spans="1:25" ht="13.5" customHeight="1" thickBot="1">
      <c r="A103" s="105" t="s">
        <v>17</v>
      </c>
      <c r="B103" s="75">
        <f>B95+B97+B99+B101</f>
        <v>151740</v>
      </c>
      <c r="C103" s="106"/>
      <c r="D103" s="13"/>
      <c r="E103" s="13"/>
      <c r="F103" s="13"/>
      <c r="G103" s="13"/>
      <c r="H103" s="13"/>
      <c r="K103" s="23"/>
      <c r="L103" s="23"/>
      <c r="M103" s="23"/>
      <c r="N103" s="23"/>
      <c r="O103" s="23"/>
      <c r="P103" s="4"/>
      <c r="Q103" s="23"/>
      <c r="R103" s="23"/>
      <c r="X103" s="13"/>
      <c r="Y103" s="13"/>
    </row>
    <row r="104" spans="1:25" ht="13.5" customHeight="1">
      <c r="B104" s="13"/>
      <c r="C104" s="13"/>
      <c r="D104" s="13"/>
      <c r="E104" s="13"/>
      <c r="F104" s="13"/>
      <c r="G104" s="13"/>
      <c r="H104" s="13"/>
      <c r="K104" s="23"/>
      <c r="L104" s="23"/>
      <c r="M104" s="23"/>
      <c r="N104" s="23"/>
      <c r="O104" s="23"/>
      <c r="P104" s="4"/>
      <c r="Q104" s="23"/>
      <c r="R104" s="23"/>
      <c r="X104" s="13"/>
      <c r="Y104" s="13"/>
    </row>
    <row r="105" spans="1:25" ht="13.5" customHeight="1" thickBot="1">
      <c r="B105" s="13"/>
      <c r="C105" s="13"/>
      <c r="D105" s="13"/>
      <c r="E105" s="13"/>
      <c r="F105" s="13"/>
      <c r="G105" s="13"/>
      <c r="H105" s="13"/>
      <c r="K105" s="23"/>
      <c r="L105" s="23"/>
      <c r="M105" s="23"/>
      <c r="N105" s="23"/>
      <c r="O105" s="23"/>
      <c r="P105" s="4"/>
      <c r="Q105" s="23"/>
      <c r="R105" s="23"/>
      <c r="X105" s="13"/>
      <c r="Y105" s="13"/>
    </row>
    <row r="106" spans="1:25" ht="13.5" customHeight="1">
      <c r="A106" s="249" t="s">
        <v>244</v>
      </c>
      <c r="B106" s="250"/>
      <c r="C106" s="250"/>
      <c r="D106" s="250"/>
      <c r="E106" s="250"/>
      <c r="F106" s="250"/>
      <c r="G106" s="107"/>
      <c r="H106" s="13"/>
      <c r="K106" s="23"/>
      <c r="L106" s="23"/>
      <c r="M106" s="23"/>
      <c r="N106" s="23"/>
      <c r="O106" s="23"/>
      <c r="P106" s="4"/>
      <c r="Q106" s="23"/>
      <c r="R106" s="23"/>
      <c r="X106" s="13"/>
      <c r="Y106" s="13"/>
    </row>
    <row r="107" spans="1:25" ht="13.5" customHeight="1">
      <c r="A107" s="251" t="s">
        <v>952</v>
      </c>
      <c r="B107" s="252"/>
      <c r="C107" s="252"/>
      <c r="D107" s="252"/>
      <c r="E107" s="252"/>
      <c r="F107" s="252"/>
      <c r="G107" s="108"/>
      <c r="H107" s="13"/>
      <c r="K107" s="23"/>
      <c r="L107" s="23"/>
      <c r="M107" s="23"/>
      <c r="N107" s="23"/>
      <c r="O107" s="23"/>
      <c r="P107" s="4"/>
      <c r="Q107" s="23"/>
      <c r="R107" s="23"/>
      <c r="X107" s="13"/>
      <c r="Y107" s="13"/>
    </row>
    <row r="108" spans="1:25" ht="13.5" customHeight="1">
      <c r="A108" s="253" t="s">
        <v>940</v>
      </c>
      <c r="B108" s="254"/>
      <c r="C108" s="254"/>
      <c r="D108" s="254"/>
      <c r="E108" s="254"/>
      <c r="F108" s="254"/>
      <c r="G108" s="108"/>
      <c r="H108" s="13"/>
      <c r="K108" s="23"/>
      <c r="L108" s="23"/>
      <c r="M108" s="23"/>
      <c r="N108" s="23"/>
      <c r="O108" s="23"/>
      <c r="P108" s="4"/>
      <c r="Q108" s="23"/>
      <c r="R108" s="23"/>
      <c r="X108" s="13"/>
      <c r="Y108" s="13"/>
    </row>
    <row r="109" spans="1:25" ht="13.5" customHeight="1">
      <c r="A109" s="247" t="s">
        <v>953</v>
      </c>
      <c r="B109" s="248"/>
      <c r="C109" s="248"/>
      <c r="D109" s="248"/>
      <c r="E109" s="248"/>
      <c r="F109" s="248"/>
      <c r="G109" s="109"/>
    </row>
    <row r="110" spans="1:25" ht="13.5" customHeight="1">
      <c r="A110" s="110"/>
      <c r="B110" s="111" t="s">
        <v>342</v>
      </c>
      <c r="C110" s="111" t="s">
        <v>260</v>
      </c>
      <c r="D110" s="111" t="s">
        <v>261</v>
      </c>
      <c r="E110" s="111" t="s">
        <v>391</v>
      </c>
      <c r="F110" s="111" t="s">
        <v>262</v>
      </c>
      <c r="G110" s="112" t="s">
        <v>17</v>
      </c>
      <c r="H110" s="15" t="s">
        <v>264</v>
      </c>
    </row>
    <row r="111" spans="1:25" ht="13.5" customHeight="1">
      <c r="A111" s="113"/>
      <c r="B111" s="114" t="s">
        <v>415</v>
      </c>
      <c r="C111" s="114" t="s">
        <v>46</v>
      </c>
      <c r="D111" s="114" t="s">
        <v>12</v>
      </c>
      <c r="E111" s="114" t="s">
        <v>12</v>
      </c>
      <c r="F111" s="114" t="s">
        <v>679</v>
      </c>
      <c r="G111" s="115" t="s">
        <v>941</v>
      </c>
      <c r="H111" s="15"/>
    </row>
    <row r="112" spans="1:25" ht="13.5" customHeight="1">
      <c r="A112" s="146"/>
      <c r="B112" s="147" t="s">
        <v>942</v>
      </c>
      <c r="C112" s="147"/>
      <c r="D112" s="147"/>
      <c r="E112" s="147"/>
      <c r="F112" s="147"/>
      <c r="G112" s="148"/>
      <c r="H112" s="15"/>
    </row>
    <row r="113" spans="1:9" s="3" customFormat="1" ht="13.5" customHeight="1">
      <c r="A113" s="146"/>
      <c r="B113" s="149"/>
      <c r="C113" s="149"/>
      <c r="D113" s="149"/>
      <c r="E113" s="149"/>
      <c r="F113" s="149"/>
      <c r="G113" s="150"/>
      <c r="H113" s="15"/>
    </row>
    <row r="114" spans="1:9" s="3" customFormat="1">
      <c r="A114" s="146"/>
      <c r="B114" s="116" t="s">
        <v>388</v>
      </c>
      <c r="C114" s="151">
        <f>'[1]Hours+Tons'!$C$79+'[1]Hours+Tons'!$C$77+'[1]Hours+Tons'!$C$78</f>
        <v>62180.020000000091</v>
      </c>
      <c r="D114" s="151"/>
      <c r="E114" s="151">
        <v>0</v>
      </c>
      <c r="F114" s="151">
        <f>'[1]Hours+Tons'!$C$80</f>
        <v>35928.410000000003</v>
      </c>
      <c r="G114" s="152">
        <f>SUM(C114:F114)</f>
        <v>98108.430000000095</v>
      </c>
      <c r="H114" s="117">
        <f>G114-SUM(C114:F114)</f>
        <v>0</v>
      </c>
    </row>
    <row r="115" spans="1:9" s="3" customFormat="1" ht="15.75" thickBot="1">
      <c r="A115" s="146"/>
      <c r="B115" s="153" t="s">
        <v>943</v>
      </c>
      <c r="C115" s="154">
        <f>C114/$G$114</f>
        <v>0.63378875800988799</v>
      </c>
      <c r="D115" s="155"/>
      <c r="E115" s="154">
        <f>E114/$G$114</f>
        <v>0</v>
      </c>
      <c r="F115" s="154">
        <f>F114/$G$114</f>
        <v>0.36621124199011207</v>
      </c>
      <c r="G115" s="156">
        <f>G114/$G$114</f>
        <v>1</v>
      </c>
      <c r="H115" s="118">
        <f>G115-SUM(C115:F115)</f>
        <v>0</v>
      </c>
    </row>
    <row r="116" spans="1:9" s="3" customFormat="1" ht="15.75" thickTop="1">
      <c r="A116" s="146"/>
      <c r="B116" s="153"/>
      <c r="C116" s="157"/>
      <c r="D116" s="157"/>
      <c r="E116" s="157"/>
      <c r="F116" s="157"/>
      <c r="G116" s="158"/>
      <c r="H116" s="15"/>
    </row>
    <row r="117" spans="1:9" s="3" customFormat="1">
      <c r="A117" s="146"/>
      <c r="B117" s="119" t="s">
        <v>944</v>
      </c>
      <c r="C117" s="159">
        <f>'[1]Revenue+Cust'!$D$34+'[1]Revenue+Cust'!$E$34</f>
        <v>155052.92227335772</v>
      </c>
      <c r="D117" s="159">
        <f>[3]Ratios!D160</f>
        <v>0</v>
      </c>
      <c r="E117" s="159">
        <f>'[1]Revenue+Cust'!$G$34</f>
        <v>3142.5611805079875</v>
      </c>
      <c r="F117" s="159">
        <f>'[1]Revenue+Cust'!$L$34</f>
        <v>73534.475849126989</v>
      </c>
      <c r="G117" s="160">
        <f>SUM(C117:F117)</f>
        <v>231729.95930299271</v>
      </c>
      <c r="H117" s="117">
        <f>G117-SUM(C117:F117)</f>
        <v>0</v>
      </c>
    </row>
    <row r="118" spans="1:9" s="3" customFormat="1" ht="15.75" thickBot="1">
      <c r="A118" s="146"/>
      <c r="B118" s="119" t="s">
        <v>945</v>
      </c>
      <c r="C118" s="155">
        <f>C117/$G$117</f>
        <v>0.66911038494863817</v>
      </c>
      <c r="D118" s="155"/>
      <c r="E118" s="155">
        <f>E117/$G$117</f>
        <v>1.3561307264543253E-2</v>
      </c>
      <c r="F118" s="155">
        <f>F117/$G$117</f>
        <v>0.31732830778681848</v>
      </c>
      <c r="G118" s="161">
        <f>G117/$G$117</f>
        <v>1</v>
      </c>
      <c r="H118" s="118">
        <f>G118-SUM(C118:F118)</f>
        <v>0</v>
      </c>
    </row>
    <row r="119" spans="1:9" s="3" customFormat="1" ht="15.75" thickTop="1">
      <c r="A119" s="146"/>
      <c r="B119" s="153"/>
      <c r="C119" s="162"/>
      <c r="D119" s="162"/>
      <c r="E119" s="162"/>
      <c r="F119" s="162"/>
      <c r="G119" s="163"/>
      <c r="H119" s="15"/>
    </row>
    <row r="120" spans="1:9" s="3" customFormat="1">
      <c r="A120" s="146"/>
      <c r="B120" s="116" t="s">
        <v>946</v>
      </c>
      <c r="C120" s="120">
        <f>'[1]Hours+Tons'!$C$72</f>
        <v>2769.2497339370584</v>
      </c>
      <c r="D120" s="120"/>
      <c r="E120" s="120">
        <f>'[1]Hours+Tons'!$E$62</f>
        <v>121.705</v>
      </c>
      <c r="F120" s="120">
        <f>'[1]Hours+Tons'!$D$72</f>
        <v>2988.5312660629415</v>
      </c>
      <c r="G120" s="121">
        <f>SUM(C120:F120)</f>
        <v>5879.4859999999999</v>
      </c>
      <c r="H120" s="117">
        <f>G120-SUM(C120:F120)</f>
        <v>0</v>
      </c>
    </row>
    <row r="121" spans="1:9" s="3" customFormat="1" ht="15.75" thickBot="1">
      <c r="A121" s="146"/>
      <c r="B121" s="153" t="s">
        <v>947</v>
      </c>
      <c r="C121" s="155">
        <f>C120/$G$120</f>
        <v>0.47100201172977679</v>
      </c>
      <c r="D121" s="155"/>
      <c r="E121" s="155">
        <f>E120/$G$120</f>
        <v>2.0699938736141222E-2</v>
      </c>
      <c r="F121" s="155">
        <f>F120/$G$120</f>
        <v>0.50829804953408197</v>
      </c>
      <c r="G121" s="161">
        <f>G120/$G$120</f>
        <v>1</v>
      </c>
      <c r="H121" s="118">
        <f>G121-SUM(C121:F121)</f>
        <v>0</v>
      </c>
    </row>
    <row r="122" spans="1:9" s="3" customFormat="1" ht="15.75" thickTop="1">
      <c r="A122" s="146"/>
      <c r="B122" s="153"/>
      <c r="C122" s="157"/>
      <c r="D122" s="157"/>
      <c r="E122" s="157"/>
      <c r="F122" s="157"/>
      <c r="G122" s="158"/>
      <c r="H122" s="15"/>
    </row>
    <row r="123" spans="1:9" s="3" customFormat="1">
      <c r="A123" s="146"/>
      <c r="B123" s="153" t="s">
        <v>386</v>
      </c>
      <c r="C123" s="164">
        <f>'[1]Hours+Tons'!$C$6</f>
        <v>22764.041170611297</v>
      </c>
      <c r="D123" s="164"/>
      <c r="E123" s="164">
        <f>'[1]Hours+Tons'!$C$10</f>
        <v>212.32</v>
      </c>
      <c r="F123" s="164">
        <f>'[1]Hours+Tons'!$C$8</f>
        <v>16259.802472392297</v>
      </c>
      <c r="G123" s="165">
        <f>SUM(C123:F123)</f>
        <v>39236.163643003594</v>
      </c>
      <c r="H123" s="117">
        <f>G123-SUM(C123:F123)</f>
        <v>0</v>
      </c>
      <c r="I123" s="3" t="s">
        <v>955</v>
      </c>
    </row>
    <row r="124" spans="1:9" s="3" customFormat="1" ht="15.75" thickBot="1">
      <c r="A124" s="146"/>
      <c r="B124" s="153" t="s">
        <v>948</v>
      </c>
      <c r="C124" s="215">
        <f>C123/$G$123</f>
        <v>0.58018009552956062</v>
      </c>
      <c r="D124" s="215">
        <f>D123/$G$47</f>
        <v>0</v>
      </c>
      <c r="E124" s="215">
        <f>E123/$G$123</f>
        <v>5.411334347869147E-3</v>
      </c>
      <c r="F124" s="215">
        <f>F123/$G$123</f>
        <v>0.41440857012257026</v>
      </c>
      <c r="G124" s="216">
        <f>G123/$G123</f>
        <v>1</v>
      </c>
      <c r="H124" s="118">
        <f>G124-SUM(C124:F124)</f>
        <v>0</v>
      </c>
    </row>
    <row r="125" spans="1:9" s="3" customFormat="1" ht="15.75" thickTop="1">
      <c r="A125" s="146"/>
      <c r="B125" s="162"/>
      <c r="C125" s="157"/>
      <c r="D125" s="157"/>
      <c r="E125" s="157"/>
      <c r="F125" s="157"/>
      <c r="G125" s="158"/>
    </row>
    <row r="126" spans="1:9" s="3" customFormat="1">
      <c r="A126" s="146"/>
      <c r="B126" s="162"/>
      <c r="C126" s="162"/>
      <c r="D126" s="162"/>
      <c r="E126" s="162"/>
      <c r="F126" s="162"/>
      <c r="G126" s="163"/>
    </row>
    <row r="127" spans="1:9" s="3" customFormat="1">
      <c r="A127" s="146"/>
      <c r="B127" s="162" t="s">
        <v>949</v>
      </c>
      <c r="C127" s="166">
        <f>C115+C118+C121+C124</f>
        <v>2.3540812502178636</v>
      </c>
      <c r="D127" s="166">
        <f>D115+D118+D121+D124</f>
        <v>0</v>
      </c>
      <c r="E127" s="166">
        <f>E115+E118+E121+E124</f>
        <v>3.9672580348553622E-2</v>
      </c>
      <c r="F127" s="166">
        <f>F115+F118+F121+F124</f>
        <v>1.6062461694335828</v>
      </c>
      <c r="G127" s="167">
        <f>G115+G118+G121+G124</f>
        <v>4</v>
      </c>
    </row>
    <row r="128" spans="1:9" s="3" customFormat="1" ht="15.75" thickBot="1">
      <c r="A128" s="146"/>
      <c r="B128" s="122" t="s">
        <v>950</v>
      </c>
      <c r="C128" s="123">
        <f>C127/4</f>
        <v>0.58852031255446591</v>
      </c>
      <c r="D128" s="123">
        <f>D127/4</f>
        <v>0</v>
      </c>
      <c r="E128" s="123">
        <f>E127/4</f>
        <v>9.9181450871384056E-3</v>
      </c>
      <c r="F128" s="123">
        <f>F127/4</f>
        <v>0.4015615423583957</v>
      </c>
      <c r="G128" s="124">
        <f>G127/4</f>
        <v>1</v>
      </c>
    </row>
    <row r="129" spans="1:7" s="3" customFormat="1" ht="16.5" thickTop="1" thickBot="1">
      <c r="A129" s="146"/>
      <c r="B129" s="125" t="s">
        <v>951</v>
      </c>
      <c r="C129" s="126">
        <f>C128+D128</f>
        <v>0.58852031255446591</v>
      </c>
      <c r="D129" s="162"/>
      <c r="E129" s="162"/>
      <c r="F129" s="162"/>
      <c r="G129" s="163"/>
    </row>
    <row r="130" spans="1:7" s="3" customFormat="1" ht="16.5" thickTop="1" thickBot="1">
      <c r="A130" s="127"/>
      <c r="B130" s="128"/>
      <c r="C130" s="128"/>
      <c r="D130" s="128"/>
      <c r="E130" s="128"/>
      <c r="F130" s="128"/>
      <c r="G130" s="129"/>
    </row>
  </sheetData>
  <mergeCells count="24">
    <mergeCell ref="A109:F109"/>
    <mergeCell ref="N2:O2"/>
    <mergeCell ref="N3:N5"/>
    <mergeCell ref="O3:O5"/>
    <mergeCell ref="A106:F106"/>
    <mergeCell ref="A107:F107"/>
    <mergeCell ref="A108:F108"/>
    <mergeCell ref="K2:L2"/>
    <mergeCell ref="K3:K5"/>
    <mergeCell ref="L3:L5"/>
    <mergeCell ref="Q3:Q5"/>
    <mergeCell ref="U2:V2"/>
    <mergeCell ref="W2:X2"/>
    <mergeCell ref="AA3:AA5"/>
    <mergeCell ref="AB3:AB5"/>
    <mergeCell ref="Z3:Z5"/>
    <mergeCell ref="Z2:AB2"/>
    <mergeCell ref="R3:R5"/>
    <mergeCell ref="T3:T5"/>
    <mergeCell ref="U3:U5"/>
    <mergeCell ref="V3:V5"/>
    <mergeCell ref="W3:W5"/>
    <mergeCell ref="X3:X5"/>
    <mergeCell ref="Q2:R2"/>
  </mergeCells>
  <phoneticPr fontId="0" type="noConversion"/>
  <pageMargins left="0.75" right="0.75" top="1" bottom="1" header="0.5" footer="0.5"/>
  <pageSetup scale="80" orientation="portrait" horizontalDpi="300" verticalDpi="300" r:id="rId1"/>
  <headerFooter alignWithMargins="0"/>
  <colBreaks count="1" manualBreakCount="1">
    <brk id="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33"/>
  <sheetViews>
    <sheetView showGridLines="0" zoomScaleNormal="100" workbookViewId="0">
      <pane xSplit="4" ySplit="11" topLeftCell="E12" activePane="bottomRight" state="frozen"/>
      <selection pane="topRight" activeCell="E1" sqref="E1"/>
      <selection pane="bottomLeft" activeCell="A12" sqref="A12"/>
      <selection pane="bottomRight" activeCell="L17" sqref="L17"/>
    </sheetView>
  </sheetViews>
  <sheetFormatPr defaultRowHeight="12.75"/>
  <cols>
    <col min="1" max="1" width="6.88671875" style="237" bestFit="1" customWidth="1"/>
    <col min="2" max="2" width="1.33203125" style="237" customWidth="1"/>
    <col min="3" max="3" width="3.109375" style="237" customWidth="1"/>
    <col min="4" max="4" width="23.77734375" style="237" customWidth="1"/>
    <col min="5" max="5" width="5.88671875" style="237" bestFit="1" customWidth="1"/>
    <col min="6" max="6" width="2.6640625" style="237" bestFit="1" customWidth="1"/>
    <col min="7" max="7" width="5.77734375" style="237" bestFit="1" customWidth="1"/>
    <col min="8" max="8" width="1.77734375" style="237" customWidth="1"/>
    <col min="9" max="9" width="5.44140625" style="237" bestFit="1" customWidth="1"/>
    <col min="10" max="10" width="4.44140625" style="237" bestFit="1" customWidth="1"/>
    <col min="11" max="11" width="4.21875" style="237" bestFit="1" customWidth="1"/>
    <col min="12" max="12" width="4.44140625" style="237" customWidth="1"/>
    <col min="13" max="13" width="3.109375" style="237" customWidth="1"/>
    <col min="14" max="14" width="8.5546875" style="238" customWidth="1"/>
    <col min="15" max="15" width="5.21875" style="238" customWidth="1"/>
    <col min="16" max="16" width="7.77734375" style="238" bestFit="1" customWidth="1"/>
    <col min="17" max="17" width="6.44140625" style="238" customWidth="1"/>
    <col min="18" max="18" width="6.109375" style="238" customWidth="1"/>
    <col min="19" max="19" width="5.21875" style="238" customWidth="1"/>
    <col min="20" max="20" width="7" style="238" bestFit="1" customWidth="1"/>
    <col min="21" max="21" width="4.5546875" style="238" customWidth="1"/>
    <col min="22" max="22" width="7" style="238" bestFit="1" customWidth="1"/>
    <col min="23" max="23" width="1.5546875" style="238" customWidth="1"/>
    <col min="24" max="24" width="7.88671875" style="238" bestFit="1" customWidth="1"/>
    <col min="25" max="25" width="8.109375" style="238" bestFit="1" customWidth="1"/>
    <col min="26" max="26" width="4.5546875" style="238" customWidth="1"/>
    <col min="27" max="27" width="7.88671875" style="238" bestFit="1" customWidth="1"/>
    <col min="28" max="29" width="8.109375" style="238" bestFit="1" customWidth="1"/>
    <col min="30" max="30" width="7" style="238" bestFit="1" customWidth="1"/>
    <col min="31" max="31" width="7.77734375" style="238" bestFit="1" customWidth="1"/>
    <col min="32" max="32" width="7.5546875" style="238" customWidth="1"/>
    <col min="33" max="33" width="7" style="238" bestFit="1" customWidth="1"/>
    <col min="34" max="34" width="4.77734375" style="238" bestFit="1" customWidth="1"/>
    <col min="35" max="36" width="8.88671875" style="238"/>
    <col min="37" max="16384" width="8.88671875" style="237"/>
  </cols>
  <sheetData>
    <row r="1" spans="1:34">
      <c r="D1" s="237" t="s">
        <v>612</v>
      </c>
      <c r="N1" s="238" t="s">
        <v>256</v>
      </c>
      <c r="AE1" s="238">
        <f>[6]Summary!F5</f>
        <v>42370</v>
      </c>
    </row>
    <row r="2" spans="1:34">
      <c r="D2" s="237" t="s">
        <v>0</v>
      </c>
      <c r="N2" s="238" t="s">
        <v>253</v>
      </c>
      <c r="P2" s="238">
        <f>+'2131 Trks - Orig'!P2</f>
        <v>12</v>
      </c>
      <c r="Q2" s="238" t="s">
        <v>1</v>
      </c>
    </row>
    <row r="3" spans="1:34">
      <c r="D3" s="240">
        <f>[6]Summary!H5</f>
        <v>42735</v>
      </c>
      <c r="N3" s="238" t="s">
        <v>254</v>
      </c>
      <c r="P3" s="238">
        <f>+'2131 Trks - Orig'!P3</f>
        <v>0</v>
      </c>
      <c r="Q3" s="238" t="s">
        <v>3</v>
      </c>
      <c r="AE3" s="238" t="s">
        <v>4</v>
      </c>
      <c r="AF3" s="238" t="s">
        <v>5</v>
      </c>
    </row>
    <row r="4" spans="1:34">
      <c r="N4" s="238" t="s">
        <v>255</v>
      </c>
      <c r="P4" s="238">
        <f>+'2131 Trks - Orig'!P4</f>
        <v>2016</v>
      </c>
      <c r="Q4" s="238" t="s">
        <v>6</v>
      </c>
      <c r="AE4" s="238" t="s">
        <v>7</v>
      </c>
      <c r="AF4" s="238" t="s">
        <v>8</v>
      </c>
    </row>
    <row r="5" spans="1:34">
      <c r="P5" s="238">
        <f>+'2131 Trks - Orig'!P5</f>
        <v>2017</v>
      </c>
      <c r="Q5" s="238" t="s">
        <v>11</v>
      </c>
      <c r="AE5" s="238" t="s">
        <v>12</v>
      </c>
      <c r="AF5" s="238" t="s">
        <v>13</v>
      </c>
    </row>
    <row r="6" spans="1:34">
      <c r="AE6" s="238" t="s">
        <v>15</v>
      </c>
      <c r="AF6" s="238" t="s">
        <v>16</v>
      </c>
    </row>
    <row r="7" spans="1:34">
      <c r="AE7" s="238" t="s">
        <v>20</v>
      </c>
      <c r="AF7" s="238" t="s">
        <v>21</v>
      </c>
    </row>
    <row r="8" spans="1:34">
      <c r="S8" s="238" t="s">
        <v>25</v>
      </c>
      <c r="V8" s="238" t="s">
        <v>17</v>
      </c>
      <c r="X8" s="238" t="s">
        <v>18</v>
      </c>
      <c r="Y8" s="238" t="s">
        <v>118</v>
      </c>
      <c r="AA8" s="238" t="s">
        <v>19</v>
      </c>
      <c r="AB8" s="238" t="s">
        <v>19</v>
      </c>
    </row>
    <row r="9" spans="1:34">
      <c r="C9" s="237" t="s">
        <v>57</v>
      </c>
      <c r="E9" s="237" t="s">
        <v>59</v>
      </c>
      <c r="G9" s="237" t="s">
        <v>23</v>
      </c>
      <c r="I9" s="237" t="s">
        <v>57</v>
      </c>
      <c r="K9" s="237" t="s">
        <v>24</v>
      </c>
      <c r="L9" s="237" t="s">
        <v>57</v>
      </c>
      <c r="N9" s="238" t="s">
        <v>57</v>
      </c>
      <c r="O9" s="238" t="s">
        <v>31</v>
      </c>
      <c r="P9" s="238" t="s">
        <v>57</v>
      </c>
      <c r="R9" s="238" t="s">
        <v>68</v>
      </c>
      <c r="S9" s="238" t="s">
        <v>24</v>
      </c>
      <c r="T9" s="238" t="s">
        <v>17</v>
      </c>
      <c r="U9" s="238" t="s">
        <v>34</v>
      </c>
      <c r="V9" s="238" t="s">
        <v>19</v>
      </c>
      <c r="X9" s="238" t="s">
        <v>117</v>
      </c>
      <c r="Y9" s="238" t="s">
        <v>117</v>
      </c>
      <c r="Z9" s="238" t="s">
        <v>27</v>
      </c>
      <c r="AA9" s="238" t="s">
        <v>28</v>
      </c>
      <c r="AB9" s="238" t="s">
        <v>28</v>
      </c>
      <c r="AC9" s="238" t="s">
        <v>38</v>
      </c>
    </row>
    <row r="10" spans="1:34">
      <c r="E10" s="237" t="s">
        <v>61</v>
      </c>
      <c r="G10" s="237" t="s">
        <v>29</v>
      </c>
      <c r="I10" s="237" t="s">
        <v>30</v>
      </c>
      <c r="J10" s="237" t="s">
        <v>64</v>
      </c>
      <c r="K10" s="237" t="s">
        <v>65</v>
      </c>
      <c r="L10" s="237" t="s">
        <v>31</v>
      </c>
      <c r="M10" s="237" t="s">
        <v>41</v>
      </c>
      <c r="N10" s="238" t="s">
        <v>31</v>
      </c>
      <c r="O10" s="238" t="s">
        <v>25</v>
      </c>
      <c r="P10" s="238" t="s">
        <v>67</v>
      </c>
      <c r="Q10" s="238" t="s">
        <v>69</v>
      </c>
      <c r="R10" s="238" t="s">
        <v>24</v>
      </c>
      <c r="S10" s="238" t="s">
        <v>43</v>
      </c>
      <c r="T10" s="238" t="s">
        <v>33</v>
      </c>
      <c r="U10" s="238" t="s">
        <v>36</v>
      </c>
      <c r="V10" s="238" t="s">
        <v>32</v>
      </c>
      <c r="X10" s="238" t="s">
        <v>67</v>
      </c>
      <c r="Y10" s="238" t="s">
        <v>67</v>
      </c>
      <c r="Z10" s="238" t="s">
        <v>36</v>
      </c>
      <c r="AA10" s="238" t="s">
        <v>37</v>
      </c>
      <c r="AB10" s="238" t="s">
        <v>37</v>
      </c>
      <c r="AC10" s="238" t="s">
        <v>45</v>
      </c>
      <c r="AD10" s="238" t="s">
        <v>4</v>
      </c>
      <c r="AE10" s="238" t="s">
        <v>46</v>
      </c>
      <c r="AF10" s="238" t="s">
        <v>47</v>
      </c>
      <c r="AG10" s="238" t="s">
        <v>15</v>
      </c>
      <c r="AH10" s="238" t="s">
        <v>20</v>
      </c>
    </row>
    <row r="11" spans="1:34">
      <c r="A11" s="237" t="s">
        <v>53</v>
      </c>
      <c r="C11" s="237" t="s">
        <v>62</v>
      </c>
      <c r="D11" s="237" t="s">
        <v>63</v>
      </c>
      <c r="E11" s="237" t="s">
        <v>24</v>
      </c>
      <c r="F11" s="237" t="s">
        <v>39</v>
      </c>
      <c r="G11" s="237" t="s">
        <v>34</v>
      </c>
      <c r="H11" s="237" t="s">
        <v>49</v>
      </c>
      <c r="I11" s="237" t="s">
        <v>40</v>
      </c>
      <c r="J11" s="237" t="s">
        <v>66</v>
      </c>
      <c r="K11" s="237" t="s">
        <v>67</v>
      </c>
      <c r="L11" s="237" t="s">
        <v>42</v>
      </c>
      <c r="M11" s="237" t="s">
        <v>49</v>
      </c>
      <c r="N11" s="238" t="s">
        <v>42</v>
      </c>
      <c r="O11" s="238" t="s">
        <v>49</v>
      </c>
      <c r="P11" s="238" t="s">
        <v>42</v>
      </c>
      <c r="Q11" s="238" t="s">
        <v>67</v>
      </c>
      <c r="R11" s="238" t="s">
        <v>67</v>
      </c>
      <c r="S11" s="238" t="s">
        <v>49</v>
      </c>
      <c r="T11" s="238" t="s">
        <v>44</v>
      </c>
      <c r="U11" s="238" t="s">
        <v>49</v>
      </c>
      <c r="V11" s="238" t="s">
        <v>37</v>
      </c>
      <c r="X11" s="239">
        <f>AE1</f>
        <v>42370</v>
      </c>
      <c r="Y11" s="239">
        <f>+D3</f>
        <v>42735</v>
      </c>
      <c r="Z11" s="239" t="s">
        <v>34</v>
      </c>
      <c r="AA11" s="239">
        <f>+X11</f>
        <v>42370</v>
      </c>
      <c r="AB11" s="239">
        <f>+D3</f>
        <v>42735</v>
      </c>
      <c r="AC11" s="239">
        <f>AB11</f>
        <v>42735</v>
      </c>
    </row>
    <row r="13" spans="1:34">
      <c r="D13" s="237" t="s">
        <v>619</v>
      </c>
    </row>
    <row r="14" spans="1:34">
      <c r="A14" s="237">
        <v>102216</v>
      </c>
      <c r="C14" s="237">
        <v>12</v>
      </c>
      <c r="D14" s="237" t="s">
        <v>482</v>
      </c>
      <c r="E14" s="237">
        <v>2011</v>
      </c>
      <c r="F14" s="237">
        <v>12</v>
      </c>
      <c r="G14" s="237">
        <v>0.33</v>
      </c>
      <c r="I14" s="237" t="s">
        <v>52</v>
      </c>
      <c r="J14" s="237">
        <v>5</v>
      </c>
      <c r="K14" s="237">
        <f>E14+J14</f>
        <v>2016</v>
      </c>
      <c r="N14" s="238">
        <f>19878.1*[7]May!$B$121</f>
        <v>5387.5224299065412</v>
      </c>
      <c r="P14" s="238">
        <f>N14-N14*G14</f>
        <v>3609.6400280373828</v>
      </c>
      <c r="Q14" s="238">
        <f>P14/J14/12</f>
        <v>60.160667133956373</v>
      </c>
      <c r="R14" s="238">
        <f>IF(O14&gt;0,0,IF(OR(AD14&gt;AE14,AF14&lt;AG14),0,IF(AND(AF14&gt;=AG14,AF14&lt;=AE14),Q14*((AF14-AG14)*12),IF(AND(AG14&lt;=AD14,AE14&gt;=AD14),((AE14-AD14)*12)*Q14,IF(AF14&gt;AE14,12*Q14,0)))))</f>
        <v>721.92800560747651</v>
      </c>
      <c r="T14" s="238">
        <f>IF(S14&gt;0,S14,R14)</f>
        <v>721.92800560747651</v>
      </c>
      <c r="U14" s="238">
        <v>1</v>
      </c>
      <c r="V14" s="238">
        <f>U14*SUM(R14:S14)</f>
        <v>721.92800560747651</v>
      </c>
      <c r="X14" s="238">
        <f>IF(AD14&gt;AE14,0,IF(AF14&lt;AG14,P14,IF(AND(AF14&gt;=AG14,AF14&lt;=AE14),(P14-T14),IF(AND(AG14&lt;=AD14,AE14&gt;=AD14),0,IF(AF14&gt;AE14,((AG14-AD14)*12)*Q14,0)))))</f>
        <v>60.160667133901654</v>
      </c>
      <c r="Y14" s="238">
        <f>X14*U14</f>
        <v>60.160667133901654</v>
      </c>
      <c r="Z14" s="238">
        <v>1</v>
      </c>
      <c r="AA14" s="238">
        <f>Y14*Z14</f>
        <v>60.160667133901654</v>
      </c>
      <c r="AB14" s="238">
        <f>IF(O14&gt;0,0,AA14+V14*Z14)*Z14</f>
        <v>782.0886727413781</v>
      </c>
      <c r="AC14" s="238">
        <f>IF(O14&gt;0,(N14-AA14)/2,IF(AD14&gt;=AG14,(((N14*U14)*Z14)-AB14)/2,((((N14*U14)*Z14)-AA14)+(((N14*U14)*Z14)-AB14))/2))</f>
        <v>4966.3977599689015</v>
      </c>
      <c r="AD14" s="238">
        <f>$E14+(($F14-1)/12)</f>
        <v>2011.9166666666667</v>
      </c>
      <c r="AE14" s="238">
        <v>2013</v>
      </c>
      <c r="AF14" s="238">
        <f>$K14+(($F14-1)/12)</f>
        <v>2016.9166666666667</v>
      </c>
      <c r="AG14" s="238">
        <v>2012</v>
      </c>
      <c r="AH14" s="238">
        <f>$L14+(($M14-1)/12)</f>
        <v>-8.3333333333333329E-2</v>
      </c>
    </row>
    <row r="15" spans="1:34">
      <c r="A15" s="237">
        <v>126584</v>
      </c>
      <c r="C15" s="237">
        <v>2</v>
      </c>
      <c r="D15" s="237" t="s">
        <v>483</v>
      </c>
      <c r="E15" s="237">
        <v>2015</v>
      </c>
      <c r="F15" s="237">
        <v>10</v>
      </c>
      <c r="G15" s="237">
        <v>0.33</v>
      </c>
      <c r="I15" s="237" t="s">
        <v>52</v>
      </c>
      <c r="J15" s="237">
        <v>5</v>
      </c>
      <c r="K15" s="237">
        <f>E15+J15</f>
        <v>2020</v>
      </c>
      <c r="N15" s="238">
        <v>29424</v>
      </c>
      <c r="P15" s="238">
        <f>N15-N15*G15</f>
        <v>19714.080000000002</v>
      </c>
      <c r="Q15" s="238">
        <f>P15/J15/12</f>
        <v>328.56800000000004</v>
      </c>
      <c r="R15" s="238">
        <f>IF(O15&gt;0,0,IF(OR(AD15&gt;AE15,AF15&lt;AG15),0,IF(AND(AF15&gt;=AG15,AF15&lt;=AE15),Q15*((AF15-AG15)*12),IF(AND(AG15&lt;=AD15,AE15&gt;=AD15),((AE15-AD15)*12)*Q15,IF(AF15&gt;AE15,12*Q15,0)))))</f>
        <v>0</v>
      </c>
      <c r="T15" s="238">
        <f>IF(S15&gt;0,S15,R15)</f>
        <v>0</v>
      </c>
      <c r="U15" s="238">
        <v>1</v>
      </c>
      <c r="V15" s="238">
        <f>U15*SUM(R15:S15)</f>
        <v>0</v>
      </c>
      <c r="X15" s="238">
        <f>IF(AD15&gt;AE15,0,IF(AF15&lt;AG15,P15,IF(AND(AF15&gt;=AG15,AF15&lt;=AE15),(P15-T15),IF(AND(AG15&lt;=AD15,AE15&gt;=AD15),0,IF(AF15&gt;AE15,((AG15-AD15)*12)*Q15,0)))))</f>
        <v>0</v>
      </c>
      <c r="Y15" s="238">
        <f>X15*U15</f>
        <v>0</v>
      </c>
      <c r="Z15" s="238">
        <v>1</v>
      </c>
      <c r="AA15" s="238">
        <f>Y15*Z15</f>
        <v>0</v>
      </c>
      <c r="AB15" s="238">
        <f>IF(O15&gt;0,0,AA15+V15*Z15)*Z15</f>
        <v>0</v>
      </c>
      <c r="AC15" s="238">
        <f>IF(O15&gt;0,(N15-AA15)/2,IF(AD15&gt;=AG15,(((N15*U15)*Z15)-AB15)/2,((((N15*U15)*Z15)-AA15)+(((N15*U15)*Z15)-AB15))/2))</f>
        <v>14712</v>
      </c>
      <c r="AD15" s="238">
        <f>$E15+(($F15-1)/12)</f>
        <v>2015.75</v>
      </c>
      <c r="AE15" s="238">
        <v>2013</v>
      </c>
      <c r="AF15" s="238">
        <f>$K15+(($F15-1)/12)</f>
        <v>2020.75</v>
      </c>
      <c r="AG15" s="238">
        <v>2012</v>
      </c>
      <c r="AH15" s="238">
        <f>$L15+(($M15-1)/12)</f>
        <v>-8.3333333333333329E-2</v>
      </c>
    </row>
    <row r="17" spans="1:34" ht="13.5" thickBot="1">
      <c r="D17" s="237" t="s">
        <v>620</v>
      </c>
      <c r="N17" s="238">
        <f>SUM(N14:N16)</f>
        <v>34811.522429906545</v>
      </c>
      <c r="P17" s="238">
        <f>SUM(P14:P16)</f>
        <v>23323.720028037384</v>
      </c>
      <c r="Q17" s="238">
        <f>SUM(Q14:Q16)</f>
        <v>388.72866713395644</v>
      </c>
      <c r="R17" s="238">
        <f>SUM(R14:R16)</f>
        <v>721.92800560747651</v>
      </c>
      <c r="T17" s="238">
        <f>SUM(T14:T16)</f>
        <v>721.92800560747651</v>
      </c>
      <c r="V17" s="238">
        <f>SUM(V14:V16)</f>
        <v>721.92800560747651</v>
      </c>
      <c r="X17" s="238">
        <f>SUM(X14:X16)</f>
        <v>60.160667133901654</v>
      </c>
      <c r="Y17" s="238">
        <f>SUM(Y14:Y16)</f>
        <v>60.160667133901654</v>
      </c>
      <c r="AA17" s="238">
        <f>SUM(AA14:AA16)</f>
        <v>60.160667133901654</v>
      </c>
      <c r="AB17" s="238">
        <f>SUM(AB14:AB16)</f>
        <v>782.0886727413781</v>
      </c>
      <c r="AC17" s="238">
        <f>SUM(AC14:AC16)</f>
        <v>19678.397759968902</v>
      </c>
    </row>
    <row r="19" spans="1:34">
      <c r="D19" s="237" t="s">
        <v>621</v>
      </c>
    </row>
    <row r="20" spans="1:34">
      <c r="A20" s="237" t="s">
        <v>484</v>
      </c>
      <c r="D20" s="237" t="s">
        <v>485</v>
      </c>
      <c r="E20" s="237">
        <v>1997</v>
      </c>
      <c r="F20" s="237">
        <v>8</v>
      </c>
      <c r="G20" s="237">
        <v>0</v>
      </c>
      <c r="I20" s="237" t="s">
        <v>52</v>
      </c>
      <c r="J20" s="237">
        <v>7</v>
      </c>
      <c r="K20" s="237">
        <f>E20+J20</f>
        <v>2004</v>
      </c>
      <c r="N20" s="238">
        <v>4119.2</v>
      </c>
      <c r="P20" s="238">
        <f>N20-N20*G20</f>
        <v>4119.2</v>
      </c>
      <c r="Q20" s="238">
        <f>P20/J20/12</f>
        <v>49.038095238095231</v>
      </c>
      <c r="R20" s="238">
        <f>IF(O20&gt;0,0,IF(OR(AD20&gt;AE20,AF20&lt;AG20),0,IF(AND(AF20&gt;=AG20,AF20&lt;=AE20),Q20*((AF20-AG20)*12),IF(AND(AG20&lt;=AD20,AE20&gt;=AD20),((AE20-AD20)*12)*Q20,IF(AF20&gt;AE20,12*Q20,0)))))</f>
        <v>0</v>
      </c>
      <c r="T20" s="238">
        <f>IF(S20&gt;0,S20,R20)</f>
        <v>0</v>
      </c>
      <c r="U20" s="238">
        <v>1</v>
      </c>
      <c r="V20" s="238">
        <f>U20*SUM(R20:S20)</f>
        <v>0</v>
      </c>
      <c r="X20" s="238">
        <f>IF(AD20&gt;AE20,0,IF(AF20&lt;AG20,P20,IF(AND(AF20&gt;=AG20,AF20&lt;=AE20),(P20-T20),IF(AND(AG20&lt;=AD20,AE20&gt;=AD20),0,IF(AF20&gt;AE20,((AG20-AD20)*12)*Q20,0)))))</f>
        <v>4119.2</v>
      </c>
      <c r="Y20" s="238">
        <f>X20*U20</f>
        <v>4119.2</v>
      </c>
      <c r="Z20" s="238">
        <v>1</v>
      </c>
      <c r="AA20" s="238">
        <f>Y20*Z20</f>
        <v>4119.2</v>
      </c>
      <c r="AB20" s="238">
        <f>IF(O20&gt;0,0,AA20+V20*Z20)*Z20</f>
        <v>4119.2</v>
      </c>
      <c r="AC20" s="238">
        <f>IF(O20&gt;0,(N20-AA20)/2,IF(AD20&gt;=AG20,(((N20*U20)*Z20)-AB20)/2,((((N20*U20)*Z20)-AA20)+(((N20*U20)*Z20)-AB20))/2))</f>
        <v>0</v>
      </c>
      <c r="AD20" s="238">
        <f>$E20+(($F20-1)/12)</f>
        <v>1997.5833333333333</v>
      </c>
      <c r="AE20" s="238">
        <f>($P$5+1)-($P$2/12)</f>
        <v>2017</v>
      </c>
      <c r="AF20" s="238">
        <f>$K20+(($F20-1)/12)</f>
        <v>2004.5833333333333</v>
      </c>
      <c r="AG20" s="238">
        <f>$P$4+($P$3/12)</f>
        <v>2016</v>
      </c>
      <c r="AH20" s="238">
        <f>$L20+(($M20-1)/12)</f>
        <v>-8.3333333333333329E-2</v>
      </c>
    </row>
    <row r="21" spans="1:34">
      <c r="A21" s="237">
        <v>102174</v>
      </c>
      <c r="C21" s="237">
        <v>48</v>
      </c>
      <c r="D21" s="237" t="s">
        <v>486</v>
      </c>
      <c r="E21" s="237">
        <v>2010</v>
      </c>
      <c r="F21" s="237">
        <v>7</v>
      </c>
      <c r="G21" s="237">
        <v>0.2</v>
      </c>
      <c r="I21" s="237" t="s">
        <v>52</v>
      </c>
      <c r="J21" s="237">
        <v>7</v>
      </c>
      <c r="K21" s="237">
        <f>E21+J21</f>
        <v>2017</v>
      </c>
      <c r="N21" s="238">
        <f>33819</f>
        <v>33819</v>
      </c>
      <c r="P21" s="238">
        <f>N21-N21*G21</f>
        <v>27055.200000000001</v>
      </c>
      <c r="Q21" s="238">
        <f>P21/J21/12</f>
        <v>322.08571428571429</v>
      </c>
      <c r="R21" s="238">
        <f>IF(O21&gt;0,0,IF(OR(AD21&gt;AE21,AF21&lt;AG21),0,IF(AND(AF21&gt;=AG21,AF21&lt;=AE21),Q21*((AF21-AG21)*12),IF(AND(AG21&lt;=AD21,AE21&gt;=AD21),((AE21-AD21)*12)*Q21,IF(AF21&gt;AE21,12*Q21,0)))))</f>
        <v>3865.0285714285715</v>
      </c>
      <c r="T21" s="238">
        <f>IF(S21&gt;0,S21,R21)</f>
        <v>3865.0285714285715</v>
      </c>
      <c r="U21" s="238">
        <v>1</v>
      </c>
      <c r="V21" s="238">
        <f>U21*SUM(R21:S21)</f>
        <v>3865.0285714285715</v>
      </c>
      <c r="X21" s="238">
        <f>IF(AD21&gt;AE21,0,IF(AF21&lt;AG21,P21,IF(AND(AF21&gt;=AG21,AF21&lt;=AE21),(P21-T21),IF(AND(AG21&lt;=AD21,AE21&gt;=AD21),0,IF(AF21&gt;AE21,((AG21-AD21)*12)*Q21,0)))))</f>
        <v>5797.5428571428574</v>
      </c>
      <c r="Y21" s="238">
        <f>X21*U21</f>
        <v>5797.5428571428574</v>
      </c>
      <c r="Z21" s="238">
        <v>1</v>
      </c>
      <c r="AA21" s="238">
        <f>Y21*Z21</f>
        <v>5797.5428571428574</v>
      </c>
      <c r="AB21" s="238">
        <f>IF(O21&gt;0,0,AA21+V21*Z21)*Z21</f>
        <v>9662.5714285714294</v>
      </c>
      <c r="AC21" s="238">
        <f>IF(O21&gt;0,(N21-AA21)/2,IF(AD21&gt;=AG21,(((N21*U21)*Z21)-AB21)/2,((((N21*U21)*Z21)-AA21)+(((N21*U21)*Z21)-AB21))/2))</f>
        <v>26088.942857142858</v>
      </c>
      <c r="AD21" s="238">
        <f>$E21+(($F21-1)/12)</f>
        <v>2010.5</v>
      </c>
      <c r="AE21" s="238">
        <v>2013</v>
      </c>
      <c r="AF21" s="238">
        <f>$K21+(($F21-1)/12)</f>
        <v>2017.5</v>
      </c>
      <c r="AG21" s="238">
        <v>2012</v>
      </c>
      <c r="AH21" s="238">
        <f>$L21+(($M21-1)/12)</f>
        <v>-8.3333333333333329E-2</v>
      </c>
    </row>
    <row r="22" spans="1:34">
      <c r="A22" s="237">
        <v>93780</v>
      </c>
      <c r="C22" s="237" t="s">
        <v>487</v>
      </c>
      <c r="D22" s="237" t="s">
        <v>488</v>
      </c>
      <c r="E22" s="237">
        <v>2012</v>
      </c>
      <c r="F22" s="237">
        <v>5</v>
      </c>
      <c r="G22" s="237">
        <v>0</v>
      </c>
      <c r="I22" s="237" t="s">
        <v>52</v>
      </c>
      <c r="J22" s="237">
        <v>7</v>
      </c>
      <c r="K22" s="237">
        <f>E22+J22</f>
        <v>2019</v>
      </c>
      <c r="N22" s="238">
        <f>26700</f>
        <v>26700</v>
      </c>
      <c r="P22" s="238">
        <f>N22-N22*G22</f>
        <v>26700</v>
      </c>
      <c r="Q22" s="238">
        <f>P22/J22/12</f>
        <v>317.85714285714283</v>
      </c>
      <c r="R22" s="238">
        <f>IF(O22&gt;0,0,IF(OR(AD22&gt;AE22,AF22&lt;AG22),0,IF(AND(AF22&gt;=AG22,AF22&lt;=AE22),Q22*((AF22-AG22)*12),IF(AND(AG22&lt;=AD22,AE22&gt;=AD22),((AE22-AD22)*12)*Q22,IF(AF22&gt;AE22,12*Q22,0)))))</f>
        <v>3814.2857142857138</v>
      </c>
      <c r="T22" s="238">
        <f>IF(S22&gt;0,S22,R22)</f>
        <v>3814.2857142857138</v>
      </c>
      <c r="U22" s="238">
        <v>1</v>
      </c>
      <c r="V22" s="238">
        <f>U22*SUM(R22:S22)</f>
        <v>3814.2857142857138</v>
      </c>
      <c r="X22" s="238">
        <f>IF(AD22&gt;AE22,0,IF(AF22&lt;AG22,P22,IF(AND(AF22&gt;=AG22,AF22&lt;=AE22),(P22-T22),IF(AND(AG22&lt;=AD22,AE22&gt;=AD22),0,IF(AF22&gt;AE22,((AG22-AD22)*12)*Q22,0)))))</f>
        <v>13985.714285714574</v>
      </c>
      <c r="Y22" s="238">
        <f>X22*U22</f>
        <v>13985.714285714574</v>
      </c>
      <c r="Z22" s="238">
        <v>1</v>
      </c>
      <c r="AA22" s="238">
        <f>Y22*Z22</f>
        <v>13985.714285714574</v>
      </c>
      <c r="AB22" s="238">
        <f>IF(O22&gt;0,0,AA22+V22*Z22)*Z22</f>
        <v>17800.000000000287</v>
      </c>
      <c r="AC22" s="238">
        <f>IF(O22&gt;0,(N22-AA22)/2,IF(AD22&gt;=AG22,(((N22*U22)*Z22)-AB22)/2,((((N22*U22)*Z22)-AA22)+(((N22*U22)*Z22)-AB22))/2))</f>
        <v>10807.142857142569</v>
      </c>
      <c r="AD22" s="238">
        <f>$E22+(($F22-1)/12)</f>
        <v>2012.3333333333333</v>
      </c>
      <c r="AE22" s="238">
        <f>($P$5+1)-($P$2/12)</f>
        <v>2017</v>
      </c>
      <c r="AF22" s="238">
        <f>$K22+(($F22-1)/12)</f>
        <v>2019.3333333333333</v>
      </c>
      <c r="AG22" s="238">
        <f>$P$4+($P$3/12)</f>
        <v>2016</v>
      </c>
      <c r="AH22" s="238">
        <f>$L22+(($M22-1)/12)</f>
        <v>-8.3333333333333329E-2</v>
      </c>
    </row>
    <row r="24" spans="1:34" ht="13.5" thickBot="1">
      <c r="D24" s="237" t="s">
        <v>622</v>
      </c>
      <c r="N24" s="238">
        <f>SUM(N20:N23)</f>
        <v>64638.2</v>
      </c>
      <c r="P24" s="238">
        <f>SUM(P20:P23)</f>
        <v>57874.400000000001</v>
      </c>
      <c r="Q24" s="238">
        <f>SUM(Q20:Q23)</f>
        <v>688.98095238095243</v>
      </c>
      <c r="R24" s="238">
        <f>SUM(R20:R23)</f>
        <v>7679.3142857142848</v>
      </c>
      <c r="T24" s="238">
        <f>SUM(T20:T23)</f>
        <v>7679.3142857142848</v>
      </c>
      <c r="V24" s="238">
        <f>SUM(V20:V23)</f>
        <v>7679.3142857142848</v>
      </c>
      <c r="AA24" s="238">
        <f>SUM(AA20:AA23)</f>
        <v>23902.457142857431</v>
      </c>
      <c r="AB24" s="238">
        <f>SUM(AB20:AB23)</f>
        <v>31581.771428571716</v>
      </c>
      <c r="AC24" s="238">
        <f>SUM(AC20:AC23)</f>
        <v>36896.085714285429</v>
      </c>
    </row>
    <row r="26" spans="1:34">
      <c r="D26" s="237" t="s">
        <v>623</v>
      </c>
    </row>
    <row r="27" spans="1:34">
      <c r="D27" s="237" t="s">
        <v>57</v>
      </c>
      <c r="E27" s="237" t="s">
        <v>57</v>
      </c>
    </row>
    <row r="28" spans="1:34">
      <c r="D28" s="237" t="s">
        <v>489</v>
      </c>
      <c r="E28" s="237">
        <v>2010</v>
      </c>
      <c r="F28" s="237">
        <v>12</v>
      </c>
      <c r="I28" s="237" t="s">
        <v>52</v>
      </c>
      <c r="J28" s="237">
        <v>5</v>
      </c>
      <c r="K28" s="237">
        <f>E28+J28</f>
        <v>2015</v>
      </c>
      <c r="N28" s="238">
        <v>875</v>
      </c>
      <c r="P28" s="238">
        <f>N28-N28*G28</f>
        <v>875</v>
      </c>
      <c r="Q28" s="238">
        <f>P28/J28/12</f>
        <v>14.583333333333334</v>
      </c>
      <c r="R28" s="238">
        <f>IF(O28&gt;0,0,IF(OR(AD28&gt;AE28,AF28&lt;AG28),0,IF(AND(AF28&gt;=AG28,AF28&lt;=AE28),Q28*((AF28-AG28)*12),IF(AND(AG28&lt;=AD28,AE28&gt;=AD28),((AE28-AD28)*12)*Q28,IF(AF28&gt;AE28,12*Q28,0)))))</f>
        <v>0</v>
      </c>
      <c r="T28" s="238">
        <f>IF(S28&gt;0,S28,R28)</f>
        <v>0</v>
      </c>
      <c r="U28" s="238">
        <v>1</v>
      </c>
      <c r="V28" s="238">
        <f>U28*SUM(R28:S28)</f>
        <v>0</v>
      </c>
      <c r="X28" s="238">
        <f>IF(AD28&gt;AE28,0,IF(AF28&lt;AG28,P28,IF(AND(AF28&gt;=AG28,AF28&lt;=AE28),(P28-T28),IF(AND(AG28&lt;=AD28,AE28&gt;=AD28),0,IF(AF28&gt;AE28,((AG28-AD28)*12)*Q28,0)))))</f>
        <v>875</v>
      </c>
      <c r="Y28" s="238">
        <f>X28*U28</f>
        <v>875</v>
      </c>
      <c r="Z28" s="238">
        <v>1</v>
      </c>
      <c r="AA28" s="238">
        <f>Y28*Z28</f>
        <v>875</v>
      </c>
      <c r="AB28" s="238">
        <f>IF(O28&gt;0,0,AA28+V28*Z28)*Z28</f>
        <v>875</v>
      </c>
      <c r="AC28" s="238">
        <f>IF(O28&gt;0,(N28-AA28)/2,IF(AD28&gt;=AG28,(((N28*U28)*Z28)-AB28)/2,((((N28*U28)*Z28)-AA28)+(((N28*U28)*Z28)-AB28))/2))</f>
        <v>0</v>
      </c>
      <c r="AD28" s="238">
        <f>$E28+(($F28-1)/12)</f>
        <v>2010.9166666666667</v>
      </c>
      <c r="AE28" s="238">
        <f>($P$5+1)-($P$2/12)</f>
        <v>2017</v>
      </c>
      <c r="AF28" s="238">
        <f>$K28+(($F28-1)/12)</f>
        <v>2015.9166666666667</v>
      </c>
      <c r="AG28" s="238">
        <f>$P$4+($P$3/12)</f>
        <v>2016</v>
      </c>
      <c r="AH28" s="238">
        <f>$L28+(($M28-1)/12)</f>
        <v>-8.3333333333333329E-2</v>
      </c>
    </row>
    <row r="30" spans="1:34" ht="13.5" thickBot="1">
      <c r="D30" s="237" t="s">
        <v>624</v>
      </c>
      <c r="N30" s="238">
        <f>SUM(N28:N29)</f>
        <v>875</v>
      </c>
      <c r="P30" s="238">
        <f>SUM(P28:P29)</f>
        <v>875</v>
      </c>
      <c r="Q30" s="238">
        <f>SUM(Q28:Q29)</f>
        <v>14.583333333333334</v>
      </c>
      <c r="R30" s="238">
        <f>SUM(R28:R29)</f>
        <v>0</v>
      </c>
      <c r="T30" s="238">
        <f>SUM(T28:T29)</f>
        <v>0</v>
      </c>
      <c r="V30" s="238">
        <f>SUM(V28:V29)</f>
        <v>0</v>
      </c>
      <c r="X30" s="238">
        <f>SUM(X28:X29)</f>
        <v>875</v>
      </c>
      <c r="Y30" s="238">
        <f>SUM(Y28:Y29)</f>
        <v>875</v>
      </c>
      <c r="AA30" s="238">
        <f>SUM(AA28:AA29)</f>
        <v>875</v>
      </c>
      <c r="AB30" s="238">
        <f>SUM(AB28:AB29)</f>
        <v>875</v>
      </c>
      <c r="AC30" s="238">
        <f>SUM(AC28:AC29)</f>
        <v>0</v>
      </c>
    </row>
    <row r="32" spans="1:34" ht="13.5" thickBot="1">
      <c r="D32" s="237" t="s">
        <v>247</v>
      </c>
      <c r="N32" s="238">
        <f>N30+N24+N17</f>
        <v>100324.72242990654</v>
      </c>
      <c r="P32" s="238">
        <f>P30+P24+P17</f>
        <v>82073.120028037389</v>
      </c>
      <c r="Q32" s="238">
        <f>Q30+Q24+Q17</f>
        <v>1092.2929528482423</v>
      </c>
      <c r="R32" s="238">
        <f>R30+R24+R17</f>
        <v>8401.2422913217615</v>
      </c>
      <c r="T32" s="238">
        <f>T30+T24+T17</f>
        <v>8401.2422913217615</v>
      </c>
      <c r="V32" s="238">
        <f>V30+V24+V17</f>
        <v>8401.2422913217615</v>
      </c>
      <c r="X32" s="238">
        <f>X30+X24+X17</f>
        <v>935.1606671339016</v>
      </c>
      <c r="Y32" s="238">
        <f>Y30+Y24+Y17</f>
        <v>935.1606671339016</v>
      </c>
      <c r="AA32" s="238">
        <f>AA30+AA24+AA17</f>
        <v>24837.617809991334</v>
      </c>
      <c r="AB32" s="238">
        <f>AB30+AB24+AB17</f>
        <v>33238.860101313097</v>
      </c>
      <c r="AC32" s="238">
        <f>AC30+AC24+AC17</f>
        <v>56574.483474254332</v>
      </c>
    </row>
    <row r="33" ht="13.5" thickTop="1"/>
  </sheetData>
  <pageMargins left="0.75" right="0.75" top="1" bottom="1" header="0.5" footer="0.5"/>
  <pageSetup scale="50" fitToHeight="3" orientation="landscape" horizontalDpi="300" verticalDpi="300" r:id="rId1"/>
  <headerFooter alignWithMargins="0"/>
  <colBreaks count="1" manualBreakCount="1">
    <brk id="29"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
    <tabColor theme="9" tint="-0.249977111117893"/>
    <pageSetUpPr fitToPage="1"/>
  </sheetPr>
  <dimension ref="A1:BA353"/>
  <sheetViews>
    <sheetView showGridLines="0" view="pageBreakPreview" zoomScale="85" zoomScaleNormal="85" zoomScaleSheetLayoutView="85" workbookViewId="0">
      <pane xSplit="5" ySplit="11" topLeftCell="F162" activePane="bottomRight" state="frozen"/>
      <selection pane="topRight"/>
      <selection pane="bottomLeft"/>
      <selection pane="bottomRight"/>
    </sheetView>
  </sheetViews>
  <sheetFormatPr defaultColWidth="9.77734375" defaultRowHeight="15"/>
  <cols>
    <col min="1" max="1" width="6.77734375" style="3" customWidth="1"/>
    <col min="2" max="2" width="6.88671875" style="3" customWidth="1"/>
    <col min="3" max="3" width="6.77734375" style="3" customWidth="1"/>
    <col min="4" max="4" width="5" style="3" customWidth="1"/>
    <col min="5" max="5" width="22.88671875" style="3" customWidth="1"/>
    <col min="6" max="6" width="5.6640625" style="3" customWidth="1"/>
    <col min="7" max="7" width="5" style="3" customWidth="1"/>
    <col min="8" max="8" width="5.44140625" style="3" customWidth="1"/>
    <col min="9" max="11" width="5.77734375" style="3" customWidth="1"/>
    <col min="12" max="17" width="9.44140625" style="3" customWidth="1"/>
    <col min="18" max="18" width="2.21875" style="3" customWidth="1"/>
    <col min="19" max="20" width="11.21875" style="3" customWidth="1"/>
    <col min="21" max="21" width="9.6640625" style="3" customWidth="1"/>
    <col min="22" max="22" width="11.21875" style="3" customWidth="1"/>
    <col min="23" max="47" width="9.77734375" style="3"/>
    <col min="48" max="49" width="9.88671875" style="3" bestFit="1" customWidth="1"/>
    <col min="50" max="51" width="9.77734375" style="3"/>
    <col min="52" max="52" width="9.88671875" style="3" bestFit="1" customWidth="1"/>
    <col min="53" max="16384" width="9.77734375" style="3"/>
  </cols>
  <sheetData>
    <row r="1" spans="1:53" s="1" customFormat="1">
      <c r="E1" s="1" t="s">
        <v>101</v>
      </c>
      <c r="H1" s="212" t="s">
        <v>608</v>
      </c>
    </row>
    <row r="2" spans="1:53" s="1" customFormat="1">
      <c r="E2" s="1" t="s">
        <v>0</v>
      </c>
      <c r="N2" s="189">
        <v>1</v>
      </c>
      <c r="O2" s="1" t="s">
        <v>894</v>
      </c>
      <c r="AW2" s="1" t="s">
        <v>2</v>
      </c>
    </row>
    <row r="3" spans="1:53" s="1" customFormat="1">
      <c r="E3" s="185">
        <f>Summary!H5</f>
        <v>43373</v>
      </c>
      <c r="N3" s="189">
        <v>2017</v>
      </c>
      <c r="O3" s="1" t="s">
        <v>895</v>
      </c>
    </row>
    <row r="4" spans="1:53" s="1" customFormat="1">
      <c r="N4" s="189">
        <v>2018</v>
      </c>
      <c r="O4" s="1" t="s">
        <v>896</v>
      </c>
      <c r="AV4" s="1">
        <v>1</v>
      </c>
      <c r="AW4" s="1" t="s">
        <v>9</v>
      </c>
      <c r="AZ4" s="1">
        <v>12</v>
      </c>
      <c r="BA4" s="1" t="s">
        <v>10</v>
      </c>
    </row>
    <row r="5" spans="1:53" s="1" customFormat="1">
      <c r="N5" s="189">
        <v>2019</v>
      </c>
      <c r="O5" s="1" t="s">
        <v>897</v>
      </c>
      <c r="AW5" s="1">
        <v>1993</v>
      </c>
      <c r="AZ5" s="1">
        <v>0</v>
      </c>
      <c r="BA5" s="1" t="s">
        <v>14</v>
      </c>
    </row>
    <row r="6" spans="1:53" s="1" customFormat="1">
      <c r="AZ6" s="1">
        <v>93</v>
      </c>
      <c r="BA6" s="1" t="s">
        <v>6</v>
      </c>
    </row>
    <row r="7" spans="1:53" s="1" customFormat="1">
      <c r="AZ7" s="1">
        <v>94</v>
      </c>
      <c r="BA7" s="1" t="s">
        <v>22</v>
      </c>
    </row>
    <row r="8" spans="1:53" s="1" customFormat="1">
      <c r="S8" s="7" t="s">
        <v>18</v>
      </c>
      <c r="T8" s="7" t="s">
        <v>19</v>
      </c>
      <c r="U8" s="7"/>
    </row>
    <row r="9" spans="1:53" s="1" customFormat="1">
      <c r="D9" s="1" t="s">
        <v>57</v>
      </c>
      <c r="E9" s="1" t="s">
        <v>58</v>
      </c>
      <c r="F9" s="255" t="s">
        <v>603</v>
      </c>
      <c r="G9" s="255"/>
      <c r="H9" s="1" t="s">
        <v>23</v>
      </c>
      <c r="I9" s="1" t="s">
        <v>57</v>
      </c>
      <c r="K9" s="7" t="s">
        <v>24</v>
      </c>
      <c r="L9" s="7"/>
      <c r="M9" s="7" t="s">
        <v>57</v>
      </c>
      <c r="N9" s="7" t="s">
        <v>57</v>
      </c>
      <c r="O9" s="7"/>
      <c r="P9" s="7"/>
      <c r="Q9" s="7"/>
      <c r="S9" s="7" t="s">
        <v>26</v>
      </c>
      <c r="T9" s="7" t="s">
        <v>26</v>
      </c>
      <c r="U9" s="7" t="s">
        <v>38</v>
      </c>
    </row>
    <row r="10" spans="1:53" s="1" customFormat="1">
      <c r="D10" s="1" t="s">
        <v>60</v>
      </c>
      <c r="H10" s="1" t="s">
        <v>29</v>
      </c>
      <c r="J10" s="1" t="s">
        <v>66</v>
      </c>
      <c r="K10" s="7" t="s">
        <v>65</v>
      </c>
      <c r="L10" s="7" t="s">
        <v>605</v>
      </c>
      <c r="M10" s="7" t="s">
        <v>31</v>
      </c>
      <c r="N10" s="7" t="s">
        <v>67</v>
      </c>
      <c r="O10" s="7" t="s">
        <v>69</v>
      </c>
      <c r="P10" s="7" t="s">
        <v>604</v>
      </c>
      <c r="Q10" s="7" t="s">
        <v>33</v>
      </c>
      <c r="S10" s="7" t="s">
        <v>35</v>
      </c>
      <c r="T10" s="7" t="s">
        <v>35</v>
      </c>
      <c r="U10" s="7" t="s">
        <v>45</v>
      </c>
      <c r="AV10" s="1">
        <v>2</v>
      </c>
      <c r="AW10" s="1" t="s">
        <v>48</v>
      </c>
    </row>
    <row r="11" spans="1:53" s="1" customFormat="1">
      <c r="A11" s="1" t="s">
        <v>490</v>
      </c>
      <c r="B11" s="7" t="s">
        <v>226</v>
      </c>
      <c r="C11" s="236" t="s">
        <v>957</v>
      </c>
      <c r="D11" s="1" t="s">
        <v>62</v>
      </c>
      <c r="E11" s="1" t="s">
        <v>63</v>
      </c>
      <c r="F11" s="1" t="s">
        <v>24</v>
      </c>
      <c r="G11" s="1" t="s">
        <v>39</v>
      </c>
      <c r="H11" s="1" t="s">
        <v>34</v>
      </c>
      <c r="I11" s="1" t="s">
        <v>30</v>
      </c>
      <c r="J11" s="1" t="s">
        <v>607</v>
      </c>
      <c r="K11" s="7" t="s">
        <v>67</v>
      </c>
      <c r="L11" s="7" t="s">
        <v>606</v>
      </c>
      <c r="M11" s="7" t="s">
        <v>42</v>
      </c>
      <c r="N11" s="7" t="s">
        <v>42</v>
      </c>
      <c r="O11" s="7" t="s">
        <v>67</v>
      </c>
      <c r="P11" s="7" t="s">
        <v>67</v>
      </c>
      <c r="Q11" s="7" t="s">
        <v>44</v>
      </c>
      <c r="S11" s="185">
        <v>43009</v>
      </c>
      <c r="T11" s="185">
        <f>+E3</f>
        <v>43373</v>
      </c>
      <c r="U11" s="185">
        <f>T11</f>
        <v>43373</v>
      </c>
    </row>
    <row r="12" spans="1:53">
      <c r="A12" s="3" t="s">
        <v>40</v>
      </c>
      <c r="B12" s="3">
        <v>128794</v>
      </c>
      <c r="C12" s="3" t="s">
        <v>54</v>
      </c>
      <c r="D12" s="3">
        <v>143</v>
      </c>
      <c r="E12" s="3" t="s">
        <v>233</v>
      </c>
      <c r="F12" s="3">
        <v>1995</v>
      </c>
      <c r="G12" s="3">
        <v>9</v>
      </c>
      <c r="H12" s="3">
        <v>0</v>
      </c>
      <c r="I12" s="3" t="s">
        <v>52</v>
      </c>
      <c r="J12" s="3">
        <v>7</v>
      </c>
      <c r="K12" s="3">
        <f t="shared" ref="K12:K48" si="0">F12+J12</f>
        <v>2002</v>
      </c>
      <c r="L12" s="172">
        <f>+K12+(G12/12)</f>
        <v>2002.75</v>
      </c>
      <c r="M12" s="230">
        <f>+'2111 Trks - Orig'!P12</f>
        <v>85855.648000000001</v>
      </c>
      <c r="N12" s="230">
        <f>M12-M12*H12</f>
        <v>85855.648000000001</v>
      </c>
      <c r="O12" s="230">
        <f>N12/J12/12</f>
        <v>1022.0910476190476</v>
      </c>
      <c r="P12" s="230">
        <f>+O12*12</f>
        <v>12265.092571428571</v>
      </c>
      <c r="Q12" s="230">
        <f>+IF(L12&lt;=$N$5,0,IF(K12&gt;$N$4,P12,(O12*G12)))</f>
        <v>0</v>
      </c>
      <c r="R12" s="230"/>
      <c r="S12" s="230">
        <f>+IF(Q12=0,M12,IF($N$3-F12&lt;1,0,(($N$3-F12)*P12)))</f>
        <v>85855.648000000001</v>
      </c>
      <c r="T12" s="230">
        <f>+IF(Q12=0,S12,S12+Q12)</f>
        <v>85855.648000000001</v>
      </c>
      <c r="U12" s="230">
        <f>+IF(Q12=0,0,((M12-S12)+(M12-T12))/2)</f>
        <v>0</v>
      </c>
    </row>
    <row r="13" spans="1:53" s="199" customFormat="1">
      <c r="A13" s="200"/>
      <c r="B13" s="200"/>
      <c r="C13" s="200"/>
      <c r="D13" s="200">
        <v>143</v>
      </c>
      <c r="E13" s="200" t="s">
        <v>610</v>
      </c>
      <c r="F13" s="200">
        <v>2017</v>
      </c>
      <c r="G13" s="200">
        <v>10</v>
      </c>
      <c r="H13" s="200">
        <v>0</v>
      </c>
      <c r="I13" s="200" t="s">
        <v>52</v>
      </c>
      <c r="J13" s="200">
        <f>+IF(K12-$N$3&gt;=3,K12-$N$3,3)</f>
        <v>3</v>
      </c>
      <c r="K13" s="200">
        <f t="shared" si="0"/>
        <v>2020</v>
      </c>
      <c r="L13" s="202">
        <f>+K13+(G13/12)</f>
        <v>2020.8333333333333</v>
      </c>
      <c r="M13" s="201">
        <f>+'2111 Trks - Orig'!N12-'2111 Trks'!M12</f>
        <v>21463.911999999997</v>
      </c>
      <c r="N13" s="201">
        <f>M13-M13*H13</f>
        <v>21463.911999999997</v>
      </c>
      <c r="O13" s="201">
        <f>N13/J13/12</f>
        <v>596.21977777777772</v>
      </c>
      <c r="P13" s="201">
        <f>+O13*12</f>
        <v>7154.6373333333322</v>
      </c>
      <c r="Q13" s="201">
        <f>+IF(L13&lt;=$N$5,0,IF(K13&gt;$N$4,P13,(O13*G13)))</f>
        <v>7154.6373333333322</v>
      </c>
      <c r="R13" s="201"/>
      <c r="S13" s="201">
        <f>+IF(Q13=0,M13,IF($N$3-F13&lt;1,0,(($N$3-F13)*P13)))</f>
        <v>0</v>
      </c>
      <c r="T13" s="201">
        <f>+IF(Q13=0,S13,S13+Q13)</f>
        <v>7154.6373333333322</v>
      </c>
      <c r="U13" s="201">
        <f>+IF(Q13=0,0,((M13-S13)+(M13-T13))/2)</f>
        <v>17886.593333333331</v>
      </c>
    </row>
    <row r="14" spans="1:53" s="197" customFormat="1">
      <c r="A14" s="197" t="s">
        <v>415</v>
      </c>
      <c r="B14" s="197">
        <v>173078</v>
      </c>
      <c r="C14" s="197" t="s">
        <v>157</v>
      </c>
      <c r="D14" s="197">
        <v>152</v>
      </c>
      <c r="E14" s="197" t="s">
        <v>431</v>
      </c>
      <c r="F14" s="197">
        <v>1997</v>
      </c>
      <c r="G14" s="197">
        <v>8</v>
      </c>
      <c r="H14" s="197">
        <v>0</v>
      </c>
      <c r="I14" s="197" t="s">
        <v>52</v>
      </c>
      <c r="J14" s="197">
        <v>7</v>
      </c>
      <c r="K14" s="197">
        <f t="shared" si="0"/>
        <v>2004</v>
      </c>
      <c r="L14" s="172">
        <f t="shared" ref="L14:L82" si="1">+K14+(G14/12)</f>
        <v>2004.6666666666667</v>
      </c>
      <c r="M14" s="230">
        <f>+'2131 Trks - Orig'!P12</f>
        <v>95846.031999999992</v>
      </c>
      <c r="N14" s="230">
        <f t="shared" ref="N14:N48" si="2">M14-M14*H14</f>
        <v>95846.031999999992</v>
      </c>
      <c r="O14" s="230">
        <f t="shared" ref="O14:O82" si="3">N14/J14/12</f>
        <v>1141.0241904761904</v>
      </c>
      <c r="P14" s="230">
        <f t="shared" ref="P14:P82" si="4">+O14*12</f>
        <v>13692.290285714284</v>
      </c>
      <c r="Q14" s="230">
        <f t="shared" ref="Q14:Q82" si="5">+IF(L14&lt;=$N$5,0,IF(K14&gt;$N$4,P14,(O14*G14)))</f>
        <v>0</v>
      </c>
      <c r="R14" s="230"/>
      <c r="S14" s="230">
        <f t="shared" ref="S14:S82" si="6">+IF(Q14=0,M14,IF($N$3-F14&lt;1,0,(($N$3-F14)*P14)))</f>
        <v>95846.031999999992</v>
      </c>
      <c r="T14" s="230">
        <f t="shared" ref="T14:T82" si="7">+IF(Q14=0,S14,S14+Q14)</f>
        <v>95846.031999999992</v>
      </c>
      <c r="U14" s="230">
        <f>+IF(Q14=0,0,((M14-S14)+(M14-T14))/2)</f>
        <v>0</v>
      </c>
    </row>
    <row r="15" spans="1:53" s="199" customFormat="1">
      <c r="A15" s="200"/>
      <c r="B15" s="200"/>
      <c r="C15" s="200"/>
      <c r="D15" s="200">
        <v>152</v>
      </c>
      <c r="E15" s="200" t="s">
        <v>611</v>
      </c>
      <c r="F15" s="200">
        <v>2017</v>
      </c>
      <c r="G15" s="200">
        <v>10</v>
      </c>
      <c r="H15" s="200">
        <v>0</v>
      </c>
      <c r="I15" s="200" t="s">
        <v>52</v>
      </c>
      <c r="J15" s="200">
        <f>+IF(K14-$N$3&gt;=3,K14-$N$3,3)</f>
        <v>3</v>
      </c>
      <c r="K15" s="200">
        <f>F15+J15</f>
        <v>2020</v>
      </c>
      <c r="L15" s="202">
        <f>+K15+(G15/12)</f>
        <v>2020.8333333333333</v>
      </c>
      <c r="M15" s="201">
        <f>+'2131 Trks - Orig'!N12-'2111 Trks'!M14</f>
        <v>23961.508000000002</v>
      </c>
      <c r="N15" s="201">
        <f t="shared" si="2"/>
        <v>23961.508000000002</v>
      </c>
      <c r="O15" s="201">
        <f>N15/J15/12</f>
        <v>665.59744444444448</v>
      </c>
      <c r="P15" s="201">
        <f>+O15*12</f>
        <v>7987.1693333333333</v>
      </c>
      <c r="Q15" s="201">
        <f>+IF(L15&lt;=$N$5,0,IF(K15&gt;$N$4,P15,(O15*G15)))</f>
        <v>7987.1693333333333</v>
      </c>
      <c r="R15" s="201"/>
      <c r="S15" s="201">
        <f>+IF(Q15=0,M15,IF($N$3-F15&lt;1,0,(($N$3-F15)*P15)))</f>
        <v>0</v>
      </c>
      <c r="T15" s="201">
        <f>+IF(Q15=0,S15,S15+Q15)</f>
        <v>7987.1693333333333</v>
      </c>
      <c r="U15" s="201">
        <f>+IF(Q15=0,0,((M15-S15)+(M15-T15))/2)</f>
        <v>19967.923333333336</v>
      </c>
    </row>
    <row r="16" spans="1:53" s="197" customFormat="1">
      <c r="A16" s="197" t="s">
        <v>415</v>
      </c>
      <c r="B16" s="197">
        <v>173079</v>
      </c>
      <c r="C16" s="197" t="s">
        <v>54</v>
      </c>
      <c r="D16" s="197">
        <v>153</v>
      </c>
      <c r="E16" s="197" t="s">
        <v>432</v>
      </c>
      <c r="F16" s="197">
        <v>1997</v>
      </c>
      <c r="G16" s="197">
        <v>7</v>
      </c>
      <c r="H16" s="197">
        <v>0</v>
      </c>
      <c r="I16" s="197" t="s">
        <v>52</v>
      </c>
      <c r="J16" s="197">
        <v>7</v>
      </c>
      <c r="K16" s="197">
        <f t="shared" si="0"/>
        <v>2004</v>
      </c>
      <c r="L16" s="172">
        <f t="shared" si="1"/>
        <v>2004.5833333333333</v>
      </c>
      <c r="M16" s="230">
        <f>+'2131 Trks - Orig'!P13</f>
        <v>95846.031999999992</v>
      </c>
      <c r="N16" s="230">
        <f t="shared" si="2"/>
        <v>95846.031999999992</v>
      </c>
      <c r="O16" s="230">
        <f t="shared" si="3"/>
        <v>1141.0241904761904</v>
      </c>
      <c r="P16" s="230">
        <f t="shared" si="4"/>
        <v>13692.290285714284</v>
      </c>
      <c r="Q16" s="230">
        <f t="shared" si="5"/>
        <v>0</v>
      </c>
      <c r="R16" s="230"/>
      <c r="S16" s="230">
        <f t="shared" si="6"/>
        <v>95846.031999999992</v>
      </c>
      <c r="T16" s="230">
        <f t="shared" si="7"/>
        <v>95846.031999999992</v>
      </c>
      <c r="U16" s="230">
        <f t="shared" ref="U16:U82" si="8">+IF(Q16=0,0,((M16-S16)+(M16-T16))/2)</f>
        <v>0</v>
      </c>
    </row>
    <row r="17" spans="1:21" s="199" customFormat="1">
      <c r="A17" s="200"/>
      <c r="B17" s="200"/>
      <c r="C17" s="200"/>
      <c r="D17" s="200">
        <v>153</v>
      </c>
      <c r="E17" s="200" t="s">
        <v>625</v>
      </c>
      <c r="F17" s="200">
        <v>2017</v>
      </c>
      <c r="G17" s="200">
        <v>10</v>
      </c>
      <c r="H17" s="200">
        <v>0</v>
      </c>
      <c r="I17" s="200" t="s">
        <v>52</v>
      </c>
      <c r="J17" s="200">
        <f>+IF(K16-$N$3&gt;=3,K16-$N$3,3)</f>
        <v>3</v>
      </c>
      <c r="K17" s="200">
        <f t="shared" si="0"/>
        <v>2020</v>
      </c>
      <c r="L17" s="202">
        <f>+K17+(G17/12)</f>
        <v>2020.8333333333333</v>
      </c>
      <c r="M17" s="201">
        <f>+'2131 Trks - Orig'!N13-'2111 Trks'!M16</f>
        <v>23961.508000000002</v>
      </c>
      <c r="N17" s="201">
        <f>M17-M17*H17</f>
        <v>23961.508000000002</v>
      </c>
      <c r="O17" s="201">
        <f>N17/J17/12</f>
        <v>665.59744444444448</v>
      </c>
      <c r="P17" s="201">
        <f>+O17*12</f>
        <v>7987.1693333333333</v>
      </c>
      <c r="Q17" s="201">
        <f>+IF(L17&lt;=$N$5,0,IF(K17&gt;$N$4,P17,(O17*G17)))</f>
        <v>7987.1693333333333</v>
      </c>
      <c r="R17" s="201"/>
      <c r="S17" s="201">
        <f>+IF(Q17=0,M17,IF($N$3-F17&lt;1,0,(($N$3-F17)*P17)))</f>
        <v>0</v>
      </c>
      <c r="T17" s="201">
        <f>+IF(Q17=0,S17,S17+Q17)</f>
        <v>7987.1693333333333</v>
      </c>
      <c r="U17" s="201">
        <f>+IF(Q17=0,0,((M17-S17)+(M17-T17))/2)</f>
        <v>19967.923333333336</v>
      </c>
    </row>
    <row r="18" spans="1:21" s="197" customFormat="1">
      <c r="A18" s="197" t="s">
        <v>415</v>
      </c>
      <c r="B18" s="197">
        <v>173155</v>
      </c>
      <c r="E18" s="197" t="s">
        <v>434</v>
      </c>
      <c r="F18" s="197">
        <v>2001</v>
      </c>
      <c r="G18" s="197">
        <v>11</v>
      </c>
      <c r="H18" s="197">
        <v>0</v>
      </c>
      <c r="I18" s="197" t="s">
        <v>52</v>
      </c>
      <c r="J18" s="197">
        <v>5</v>
      </c>
      <c r="K18" s="197">
        <f t="shared" si="0"/>
        <v>2006</v>
      </c>
      <c r="L18" s="172">
        <f t="shared" si="1"/>
        <v>2006.9166666666667</v>
      </c>
      <c r="M18" s="230">
        <v>18734.91</v>
      </c>
      <c r="N18" s="230">
        <f t="shared" si="2"/>
        <v>18734.91</v>
      </c>
      <c r="O18" s="230">
        <f t="shared" si="3"/>
        <v>312.24849999999998</v>
      </c>
      <c r="P18" s="230">
        <f t="shared" si="4"/>
        <v>3746.982</v>
      </c>
      <c r="Q18" s="230">
        <f t="shared" si="5"/>
        <v>0</v>
      </c>
      <c r="R18" s="230"/>
      <c r="S18" s="230">
        <f t="shared" si="6"/>
        <v>18734.91</v>
      </c>
      <c r="T18" s="230">
        <f t="shared" si="7"/>
        <v>18734.91</v>
      </c>
      <c r="U18" s="230">
        <f t="shared" si="8"/>
        <v>0</v>
      </c>
    </row>
    <row r="19" spans="1:21" s="197" customFormat="1">
      <c r="A19" s="197" t="s">
        <v>40</v>
      </c>
      <c r="B19" s="197">
        <v>19647</v>
      </c>
      <c r="C19" s="197" t="s">
        <v>54</v>
      </c>
      <c r="D19" s="197">
        <v>606</v>
      </c>
      <c r="E19" s="197" t="s">
        <v>74</v>
      </c>
      <c r="F19" s="197">
        <v>2003</v>
      </c>
      <c r="G19" s="197">
        <v>1</v>
      </c>
      <c r="H19" s="197">
        <v>0</v>
      </c>
      <c r="I19" s="197" t="s">
        <v>52</v>
      </c>
      <c r="J19" s="197">
        <v>7</v>
      </c>
      <c r="K19" s="197">
        <f t="shared" si="0"/>
        <v>2010</v>
      </c>
      <c r="L19" s="172">
        <f t="shared" si="1"/>
        <v>2010.0833333333333</v>
      </c>
      <c r="M19" s="230">
        <f>+'2111 Trks - Orig'!P16</f>
        <v>98761.616000000009</v>
      </c>
      <c r="N19" s="230">
        <f t="shared" si="2"/>
        <v>98761.616000000009</v>
      </c>
      <c r="O19" s="230">
        <f t="shared" si="3"/>
        <v>1175.7335238095241</v>
      </c>
      <c r="P19" s="230">
        <f t="shared" si="4"/>
        <v>14108.80228571429</v>
      </c>
      <c r="Q19" s="230">
        <f t="shared" si="5"/>
        <v>0</v>
      </c>
      <c r="R19" s="230"/>
      <c r="S19" s="230">
        <f t="shared" si="6"/>
        <v>98761.616000000009</v>
      </c>
      <c r="T19" s="230">
        <f t="shared" si="7"/>
        <v>98761.616000000009</v>
      </c>
      <c r="U19" s="230">
        <f t="shared" si="8"/>
        <v>0</v>
      </c>
    </row>
    <row r="20" spans="1:21" s="199" customFormat="1">
      <c r="A20" s="200"/>
      <c r="B20" s="200"/>
      <c r="C20" s="200"/>
      <c r="D20" s="200">
        <v>606</v>
      </c>
      <c r="E20" s="200" t="s">
        <v>627</v>
      </c>
      <c r="F20" s="200">
        <v>2017</v>
      </c>
      <c r="G20" s="200">
        <v>10</v>
      </c>
      <c r="H20" s="200">
        <v>0</v>
      </c>
      <c r="I20" s="200" t="s">
        <v>52</v>
      </c>
      <c r="J20" s="200">
        <f>+IF(K19-$N$3&gt;=3,K19-$N$3,3)</f>
        <v>3</v>
      </c>
      <c r="K20" s="200">
        <f>F20+J20</f>
        <v>2020</v>
      </c>
      <c r="L20" s="202">
        <f>+K20+(G20/12)</f>
        <v>2020.8333333333333</v>
      </c>
      <c r="M20" s="201">
        <f>+'2111 Trks - Orig'!N16-'2111 Trks'!M19</f>
        <v>24690.403999999995</v>
      </c>
      <c r="N20" s="201">
        <f t="shared" si="2"/>
        <v>24690.403999999995</v>
      </c>
      <c r="O20" s="201">
        <f>N20/J20/12</f>
        <v>685.84455555555542</v>
      </c>
      <c r="P20" s="201">
        <f>+O20*12</f>
        <v>8230.134666666665</v>
      </c>
      <c r="Q20" s="201">
        <f>+IF(L20&lt;=$N$5,0,IF(K20&gt;$N$4,P20,(O20*G20)))</f>
        <v>8230.134666666665</v>
      </c>
      <c r="R20" s="201"/>
      <c r="S20" s="201">
        <f>+IF(Q20=0,M20,IF($N$3-F20&lt;1,0,(($N$3-F20)*P20)))</f>
        <v>0</v>
      </c>
      <c r="T20" s="201">
        <f>+IF(Q20=0,S20,S20+Q20)</f>
        <v>8230.134666666665</v>
      </c>
      <c r="U20" s="201">
        <f>+IF(Q20=0,0,((M20-S20)+(M20-T20))/2)</f>
        <v>20575.336666666662</v>
      </c>
    </row>
    <row r="21" spans="1:21" s="197" customFormat="1">
      <c r="A21" s="197" t="s">
        <v>415</v>
      </c>
      <c r="B21" s="197">
        <v>173166</v>
      </c>
      <c r="C21" s="197" t="s">
        <v>54</v>
      </c>
      <c r="D21" s="197">
        <v>609</v>
      </c>
      <c r="E21" s="197" t="s">
        <v>437</v>
      </c>
      <c r="F21" s="197">
        <v>2003</v>
      </c>
      <c r="G21" s="197">
        <v>1</v>
      </c>
      <c r="H21" s="197">
        <v>0</v>
      </c>
      <c r="I21" s="197" t="s">
        <v>52</v>
      </c>
      <c r="J21" s="197">
        <v>7</v>
      </c>
      <c r="K21" s="197">
        <f t="shared" si="0"/>
        <v>2010</v>
      </c>
      <c r="L21" s="172">
        <f t="shared" si="1"/>
        <v>2010.0833333333333</v>
      </c>
      <c r="M21" s="230">
        <f>+'2131 Trks - Orig'!P18</f>
        <v>98761.616000000009</v>
      </c>
      <c r="N21" s="230">
        <f t="shared" si="2"/>
        <v>98761.616000000009</v>
      </c>
      <c r="O21" s="230">
        <f t="shared" si="3"/>
        <v>1175.7335238095241</v>
      </c>
      <c r="P21" s="230">
        <f t="shared" si="4"/>
        <v>14108.80228571429</v>
      </c>
      <c r="Q21" s="230">
        <f t="shared" si="5"/>
        <v>0</v>
      </c>
      <c r="R21" s="230"/>
      <c r="S21" s="230">
        <f t="shared" si="6"/>
        <v>98761.616000000009</v>
      </c>
      <c r="T21" s="230">
        <f t="shared" si="7"/>
        <v>98761.616000000009</v>
      </c>
      <c r="U21" s="230">
        <f t="shared" si="8"/>
        <v>0</v>
      </c>
    </row>
    <row r="22" spans="1:21" s="199" customFormat="1">
      <c r="A22" s="200"/>
      <c r="B22" s="200"/>
      <c r="C22" s="200"/>
      <c r="D22" s="200">
        <v>609</v>
      </c>
      <c r="E22" s="200" t="s">
        <v>628</v>
      </c>
      <c r="F22" s="200">
        <v>2017</v>
      </c>
      <c r="G22" s="200">
        <v>10</v>
      </c>
      <c r="H22" s="200">
        <v>0</v>
      </c>
      <c r="I22" s="200" t="s">
        <v>52</v>
      </c>
      <c r="J22" s="200">
        <f>+IF(K21-$N$3&gt;=3,K21-$N$3,3)</f>
        <v>3</v>
      </c>
      <c r="K22" s="200">
        <f>F22+J22</f>
        <v>2020</v>
      </c>
      <c r="L22" s="202">
        <f>+K22+(G22/12)</f>
        <v>2020.8333333333333</v>
      </c>
      <c r="M22" s="201">
        <f>+'2131 Trks - Orig'!N18-'2111 Trks'!M21</f>
        <v>24690.403999999995</v>
      </c>
      <c r="N22" s="201">
        <f t="shared" si="2"/>
        <v>24690.403999999995</v>
      </c>
      <c r="O22" s="201">
        <f>N22/J22/12</f>
        <v>685.84455555555542</v>
      </c>
      <c r="P22" s="201">
        <f>+O22*12</f>
        <v>8230.134666666665</v>
      </c>
      <c r="Q22" s="201">
        <f>+IF(L22&lt;=$N$5,0,IF(K22&gt;$N$4,P22,(O22*G22)))</f>
        <v>8230.134666666665</v>
      </c>
      <c r="R22" s="201"/>
      <c r="S22" s="201">
        <f>+IF(Q22=0,M22,IF($N$3-F22&lt;1,0,(($N$3-F22)*P22)))</f>
        <v>0</v>
      </c>
      <c r="T22" s="201">
        <f>+IF(Q22=0,S22,S22+Q22)</f>
        <v>8230.134666666665</v>
      </c>
      <c r="U22" s="201">
        <f>+IF(Q22=0,0,((M22-S22)+(M22-T22))/2)</f>
        <v>20575.336666666662</v>
      </c>
    </row>
    <row r="23" spans="1:21">
      <c r="A23" s="3" t="s">
        <v>40</v>
      </c>
      <c r="B23" s="3">
        <v>128796</v>
      </c>
      <c r="C23" s="3" t="s">
        <v>54</v>
      </c>
      <c r="D23" s="3">
        <v>143</v>
      </c>
      <c r="E23" s="3" t="s">
        <v>75</v>
      </c>
      <c r="F23" s="3">
        <v>2005</v>
      </c>
      <c r="G23" s="3">
        <v>12</v>
      </c>
      <c r="H23" s="3">
        <v>0</v>
      </c>
      <c r="I23" s="3" t="s">
        <v>52</v>
      </c>
      <c r="J23" s="3">
        <v>3</v>
      </c>
      <c r="K23" s="3">
        <f t="shared" si="0"/>
        <v>2008</v>
      </c>
      <c r="L23" s="172">
        <f t="shared" si="1"/>
        <v>2009</v>
      </c>
      <c r="M23" s="230">
        <v>6214.66</v>
      </c>
      <c r="N23" s="230">
        <f t="shared" si="2"/>
        <v>6214.66</v>
      </c>
      <c r="O23" s="230">
        <f t="shared" si="3"/>
        <v>172.62944444444443</v>
      </c>
      <c r="P23" s="230">
        <f t="shared" si="4"/>
        <v>2071.5533333333333</v>
      </c>
      <c r="Q23" s="230">
        <f t="shared" si="5"/>
        <v>0</v>
      </c>
      <c r="R23" s="230"/>
      <c r="S23" s="230">
        <f t="shared" si="6"/>
        <v>6214.66</v>
      </c>
      <c r="T23" s="230">
        <f t="shared" si="7"/>
        <v>6214.66</v>
      </c>
      <c r="U23" s="230">
        <f t="shared" si="8"/>
        <v>0</v>
      </c>
    </row>
    <row r="24" spans="1:21">
      <c r="A24" s="3" t="s">
        <v>415</v>
      </c>
      <c r="B24" s="3">
        <v>173207</v>
      </c>
      <c r="E24" s="3" t="s">
        <v>438</v>
      </c>
      <c r="F24" s="3">
        <v>2005</v>
      </c>
      <c r="G24" s="3">
        <v>8</v>
      </c>
      <c r="I24" s="3" t="s">
        <v>52</v>
      </c>
      <c r="J24" s="3">
        <v>7</v>
      </c>
      <c r="K24" s="3">
        <f t="shared" si="0"/>
        <v>2012</v>
      </c>
      <c r="L24" s="172">
        <f t="shared" si="1"/>
        <v>2012.6666666666667</v>
      </c>
      <c r="M24" s="230">
        <v>9411.5499999999993</v>
      </c>
      <c r="N24" s="230">
        <f t="shared" si="2"/>
        <v>9411.5499999999993</v>
      </c>
      <c r="O24" s="230">
        <f t="shared" si="3"/>
        <v>112.0422619047619</v>
      </c>
      <c r="P24" s="230">
        <f t="shared" si="4"/>
        <v>1344.5071428571428</v>
      </c>
      <c r="Q24" s="230">
        <f t="shared" si="5"/>
        <v>0</v>
      </c>
      <c r="R24" s="230"/>
      <c r="S24" s="230">
        <f t="shared" si="6"/>
        <v>9411.5499999999993</v>
      </c>
      <c r="T24" s="230">
        <f t="shared" si="7"/>
        <v>9411.5499999999993</v>
      </c>
      <c r="U24" s="230">
        <f t="shared" si="8"/>
        <v>0</v>
      </c>
    </row>
    <row r="25" spans="1:21">
      <c r="A25" s="3" t="s">
        <v>40</v>
      </c>
      <c r="C25" s="3" t="s">
        <v>54</v>
      </c>
      <c r="E25" s="3" t="s">
        <v>75</v>
      </c>
      <c r="F25" s="3">
        <v>2006</v>
      </c>
      <c r="G25" s="3">
        <v>8</v>
      </c>
      <c r="H25" s="3">
        <v>0</v>
      </c>
      <c r="I25" s="3" t="s">
        <v>52</v>
      </c>
      <c r="J25" s="3">
        <v>3</v>
      </c>
      <c r="K25" s="3">
        <f t="shared" si="0"/>
        <v>2009</v>
      </c>
      <c r="L25" s="172">
        <f t="shared" si="1"/>
        <v>2009.6666666666667</v>
      </c>
      <c r="M25" s="230">
        <v>5325.77</v>
      </c>
      <c r="N25" s="230">
        <f t="shared" si="2"/>
        <v>5325.77</v>
      </c>
      <c r="O25" s="230">
        <f t="shared" si="3"/>
        <v>147.93805555555556</v>
      </c>
      <c r="P25" s="230">
        <f t="shared" si="4"/>
        <v>1775.2566666666667</v>
      </c>
      <c r="Q25" s="230">
        <f t="shared" si="5"/>
        <v>0</v>
      </c>
      <c r="R25" s="230"/>
      <c r="S25" s="230">
        <f t="shared" si="6"/>
        <v>5325.77</v>
      </c>
      <c r="T25" s="230">
        <f t="shared" si="7"/>
        <v>5325.77</v>
      </c>
      <c r="U25" s="230">
        <f t="shared" si="8"/>
        <v>0</v>
      </c>
    </row>
    <row r="26" spans="1:21" s="197" customFormat="1">
      <c r="A26" s="197" t="s">
        <v>40</v>
      </c>
      <c r="B26" s="197">
        <v>102158</v>
      </c>
      <c r="C26" s="197" t="s">
        <v>54</v>
      </c>
      <c r="D26" s="197">
        <v>613</v>
      </c>
      <c r="E26" s="197" t="s">
        <v>152</v>
      </c>
      <c r="F26" s="197">
        <v>2006</v>
      </c>
      <c r="G26" s="197">
        <v>10</v>
      </c>
      <c r="H26" s="197">
        <v>0</v>
      </c>
      <c r="I26" s="197" t="s">
        <v>52</v>
      </c>
      <c r="J26" s="197">
        <v>7</v>
      </c>
      <c r="K26" s="197">
        <f t="shared" si="0"/>
        <v>2013</v>
      </c>
      <c r="L26" s="172">
        <f t="shared" si="1"/>
        <v>2013.8333333333333</v>
      </c>
      <c r="M26" s="230">
        <f>+'2111 Trks - Orig'!P20</f>
        <v>142034.89600000001</v>
      </c>
      <c r="N26" s="230">
        <f t="shared" si="2"/>
        <v>142034.89600000001</v>
      </c>
      <c r="O26" s="230">
        <f t="shared" si="3"/>
        <v>1690.8916190476191</v>
      </c>
      <c r="P26" s="230">
        <f t="shared" si="4"/>
        <v>20290.699428571428</v>
      </c>
      <c r="Q26" s="230">
        <f t="shared" si="5"/>
        <v>0</v>
      </c>
      <c r="R26" s="230"/>
      <c r="S26" s="230">
        <f t="shared" si="6"/>
        <v>142034.89600000001</v>
      </c>
      <c r="T26" s="230">
        <f t="shared" si="7"/>
        <v>142034.89600000001</v>
      </c>
      <c r="U26" s="230">
        <f t="shared" si="8"/>
        <v>0</v>
      </c>
    </row>
    <row r="27" spans="1:21" s="199" customFormat="1">
      <c r="A27" s="200"/>
      <c r="B27" s="200"/>
      <c r="C27" s="200"/>
      <c r="D27" s="200">
        <v>613</v>
      </c>
      <c r="E27" s="200" t="s">
        <v>629</v>
      </c>
      <c r="F27" s="200">
        <v>2017</v>
      </c>
      <c r="G27" s="200">
        <v>10</v>
      </c>
      <c r="H27" s="200">
        <v>0</v>
      </c>
      <c r="I27" s="200" t="s">
        <v>52</v>
      </c>
      <c r="J27" s="200">
        <f>+IF(K26-$N$3&gt;=3,K26-$N$3,3)</f>
        <v>3</v>
      </c>
      <c r="K27" s="200">
        <f t="shared" si="0"/>
        <v>2020</v>
      </c>
      <c r="L27" s="202">
        <f>+K27+(G27/12)</f>
        <v>2020.8333333333333</v>
      </c>
      <c r="M27" s="201">
        <f>+'2111 Trks - Orig'!N20-'2111 Trks'!M26</f>
        <v>35508.723999999987</v>
      </c>
      <c r="N27" s="201">
        <f>M27-M27*H27</f>
        <v>35508.723999999987</v>
      </c>
      <c r="O27" s="201">
        <f>N27/J27/12</f>
        <v>986.35344444444411</v>
      </c>
      <c r="P27" s="201">
        <f>+O27*12</f>
        <v>11836.24133333333</v>
      </c>
      <c r="Q27" s="201">
        <f>+IF(L27&lt;=$N$5,0,IF(K27&gt;$N$4,P27,(O27*G27)))</f>
        <v>11836.24133333333</v>
      </c>
      <c r="R27" s="201"/>
      <c r="S27" s="201">
        <f>+IF(Q27=0,M27,IF($N$3-F27&lt;1,0,(($N$3-F27)*P27)))</f>
        <v>0</v>
      </c>
      <c r="T27" s="201">
        <f>+IF(Q27=0,S27,S27+Q27)</f>
        <v>11836.24133333333</v>
      </c>
      <c r="U27" s="201">
        <f>+IF(Q27=0,0,((M27-S27)+(M27-T27))/2)</f>
        <v>29590.603333333322</v>
      </c>
    </row>
    <row r="28" spans="1:21" s="197" customFormat="1">
      <c r="A28" s="197" t="s">
        <v>415</v>
      </c>
      <c r="B28" s="197" t="s">
        <v>491</v>
      </c>
      <c r="C28" s="197" t="s">
        <v>54</v>
      </c>
      <c r="D28" s="197">
        <v>612</v>
      </c>
      <c r="E28" s="197" t="s">
        <v>439</v>
      </c>
      <c r="F28" s="197">
        <v>2006</v>
      </c>
      <c r="G28" s="197">
        <v>10</v>
      </c>
      <c r="H28" s="197">
        <v>0</v>
      </c>
      <c r="I28" s="197" t="s">
        <v>52</v>
      </c>
      <c r="J28" s="197">
        <v>7</v>
      </c>
      <c r="K28" s="197">
        <f t="shared" si="0"/>
        <v>2013</v>
      </c>
      <c r="L28" s="172">
        <f t="shared" si="1"/>
        <v>2013.8333333333333</v>
      </c>
      <c r="M28" s="230">
        <f>+'2131 Trks - Orig'!P20</f>
        <v>148402.74400000001</v>
      </c>
      <c r="N28" s="230">
        <f t="shared" si="2"/>
        <v>148402.74400000001</v>
      </c>
      <c r="O28" s="230">
        <f t="shared" si="3"/>
        <v>1766.6993333333332</v>
      </c>
      <c r="P28" s="230">
        <f t="shared" si="4"/>
        <v>21200.392</v>
      </c>
      <c r="Q28" s="230">
        <f t="shared" si="5"/>
        <v>0</v>
      </c>
      <c r="R28" s="230"/>
      <c r="S28" s="230">
        <f t="shared" si="6"/>
        <v>148402.74400000001</v>
      </c>
      <c r="T28" s="230">
        <f t="shared" si="7"/>
        <v>148402.74400000001</v>
      </c>
      <c r="U28" s="230">
        <f t="shared" si="8"/>
        <v>0</v>
      </c>
    </row>
    <row r="29" spans="1:21" s="199" customFormat="1">
      <c r="A29" s="200"/>
      <c r="B29" s="200"/>
      <c r="C29" s="200"/>
      <c r="D29" s="200">
        <v>612</v>
      </c>
      <c r="E29" s="200" t="s">
        <v>630</v>
      </c>
      <c r="F29" s="200">
        <v>2017</v>
      </c>
      <c r="G29" s="200">
        <v>10</v>
      </c>
      <c r="H29" s="200">
        <v>0</v>
      </c>
      <c r="I29" s="200" t="s">
        <v>52</v>
      </c>
      <c r="J29" s="200">
        <f>+IF(K28-$N$3&gt;=3,K28-$N$3,3)</f>
        <v>3</v>
      </c>
      <c r="K29" s="200">
        <f>F29+J29</f>
        <v>2020</v>
      </c>
      <c r="L29" s="202">
        <f>+K29+(G29/12)</f>
        <v>2020.8333333333333</v>
      </c>
      <c r="M29" s="201">
        <f>+'2131 Trks - Orig'!N20-'2111 Trks'!M28</f>
        <v>37100.685999999987</v>
      </c>
      <c r="N29" s="201">
        <f>M29-M29*H29</f>
        <v>37100.685999999987</v>
      </c>
      <c r="O29" s="201">
        <f>N29/J29/12</f>
        <v>1030.5746111111107</v>
      </c>
      <c r="P29" s="201">
        <f>+O29*12</f>
        <v>12366.895333333328</v>
      </c>
      <c r="Q29" s="201">
        <f>+IF(L29&lt;=$N$5,0,IF(K29&gt;$N$4,P29,(O29*G29)))</f>
        <v>12366.895333333328</v>
      </c>
      <c r="R29" s="201"/>
      <c r="S29" s="201">
        <f>+IF(Q29=0,M29,IF($N$3-F29&lt;1,0,(($N$3-F29)*P29)))</f>
        <v>0</v>
      </c>
      <c r="T29" s="201">
        <f>+IF(Q29=0,S29,S29+Q29)</f>
        <v>12366.895333333328</v>
      </c>
      <c r="U29" s="201">
        <f>+IF(Q29=0,0,((M29-S29)+(M29-T29))/2)</f>
        <v>30917.238333333324</v>
      </c>
    </row>
    <row r="30" spans="1:21" s="197" customFormat="1">
      <c r="A30" s="197" t="s">
        <v>40</v>
      </c>
      <c r="B30" s="197">
        <v>50277</v>
      </c>
      <c r="C30" s="197" t="s">
        <v>55</v>
      </c>
      <c r="D30" s="197">
        <v>905</v>
      </c>
      <c r="E30" s="197" t="s">
        <v>158</v>
      </c>
      <c r="F30" s="197">
        <v>2007</v>
      </c>
      <c r="G30" s="197">
        <v>3</v>
      </c>
      <c r="H30" s="197">
        <v>0</v>
      </c>
      <c r="I30" s="197" t="s">
        <v>52</v>
      </c>
      <c r="J30" s="197">
        <v>7</v>
      </c>
      <c r="K30" s="197">
        <f t="shared" si="0"/>
        <v>2014</v>
      </c>
      <c r="L30" s="172">
        <f t="shared" si="1"/>
        <v>2014.25</v>
      </c>
      <c r="M30" s="230">
        <f>+'2111 Trks - Orig'!P21</f>
        <v>185479.75200000001</v>
      </c>
      <c r="N30" s="230">
        <f t="shared" si="2"/>
        <v>185479.75200000001</v>
      </c>
      <c r="O30" s="230">
        <f t="shared" si="3"/>
        <v>2208.0922857142859</v>
      </c>
      <c r="P30" s="230">
        <f t="shared" si="4"/>
        <v>26497.107428571431</v>
      </c>
      <c r="Q30" s="230">
        <f t="shared" si="5"/>
        <v>0</v>
      </c>
      <c r="R30" s="230"/>
      <c r="S30" s="230">
        <f t="shared" si="6"/>
        <v>185479.75200000001</v>
      </c>
      <c r="T30" s="230">
        <f t="shared" si="7"/>
        <v>185479.75200000001</v>
      </c>
      <c r="U30" s="230">
        <f t="shared" si="8"/>
        <v>0</v>
      </c>
    </row>
    <row r="31" spans="1:21" s="199" customFormat="1">
      <c r="A31" s="200"/>
      <c r="B31" s="200"/>
      <c r="C31" s="200"/>
      <c r="D31" s="200">
        <v>905</v>
      </c>
      <c r="E31" s="200" t="s">
        <v>631</v>
      </c>
      <c r="F31" s="200">
        <v>2017</v>
      </c>
      <c r="G31" s="200">
        <v>10</v>
      </c>
      <c r="H31" s="200">
        <v>0</v>
      </c>
      <c r="I31" s="200" t="s">
        <v>52</v>
      </c>
      <c r="J31" s="200">
        <f>+IF(K30-$N$3&gt;=3,K30-$N$3,3)</f>
        <v>3</v>
      </c>
      <c r="K31" s="200">
        <f>F31+J31</f>
        <v>2020</v>
      </c>
      <c r="L31" s="202">
        <f>+K31+(G31/12)</f>
        <v>2020.8333333333333</v>
      </c>
      <c r="M31" s="201">
        <f>+'2111 Trks - Orig'!N21-'2111 Trks'!M30</f>
        <v>46369.937999999995</v>
      </c>
      <c r="N31" s="201">
        <f>M31-M31*H31</f>
        <v>46369.937999999995</v>
      </c>
      <c r="O31" s="201">
        <f>N31/J31/12</f>
        <v>1288.0538333333332</v>
      </c>
      <c r="P31" s="201">
        <f>+O31*12</f>
        <v>15456.645999999997</v>
      </c>
      <c r="Q31" s="201">
        <f>+IF(L31&lt;=$N$5,0,IF(K31&gt;$N$4,P31,(O31*G31)))</f>
        <v>15456.645999999997</v>
      </c>
      <c r="R31" s="201"/>
      <c r="S31" s="201">
        <f>+IF(Q31=0,M31,IF($N$3-F31&lt;1,0,(($N$3-F31)*P31)))</f>
        <v>0</v>
      </c>
      <c r="T31" s="201">
        <f>+IF(Q31=0,S31,S31+Q31)</f>
        <v>15456.645999999997</v>
      </c>
      <c r="U31" s="201">
        <f>+IF(Q31=0,0,((M31-S31)+(M31-T31))/2)</f>
        <v>38641.614999999998</v>
      </c>
    </row>
    <row r="32" spans="1:21" s="197" customFormat="1">
      <c r="A32" s="197" t="s">
        <v>415</v>
      </c>
      <c r="B32" s="197" t="s">
        <v>563</v>
      </c>
      <c r="C32" s="197" t="s">
        <v>54</v>
      </c>
      <c r="D32" s="197">
        <v>616</v>
      </c>
      <c r="E32" s="197" t="s">
        <v>440</v>
      </c>
      <c r="F32" s="197">
        <v>2007</v>
      </c>
      <c r="G32" s="197">
        <v>12</v>
      </c>
      <c r="H32" s="197">
        <v>0</v>
      </c>
      <c r="I32" s="197" t="s">
        <v>52</v>
      </c>
      <c r="J32" s="197">
        <v>7</v>
      </c>
      <c r="K32" s="197">
        <f t="shared" si="0"/>
        <v>2014</v>
      </c>
      <c r="L32" s="172">
        <f t="shared" si="1"/>
        <v>2015</v>
      </c>
      <c r="M32" s="230">
        <v>157795</v>
      </c>
      <c r="N32" s="230">
        <f t="shared" si="2"/>
        <v>157795</v>
      </c>
      <c r="O32" s="230">
        <f t="shared" si="3"/>
        <v>1878.5119047619048</v>
      </c>
      <c r="P32" s="230">
        <f t="shared" si="4"/>
        <v>22542.142857142859</v>
      </c>
      <c r="Q32" s="230">
        <f t="shared" si="5"/>
        <v>0</v>
      </c>
      <c r="R32" s="230"/>
      <c r="S32" s="230">
        <f t="shared" si="6"/>
        <v>157795</v>
      </c>
      <c r="T32" s="230">
        <f t="shared" si="7"/>
        <v>157795</v>
      </c>
      <c r="U32" s="230">
        <f t="shared" si="8"/>
        <v>0</v>
      </c>
    </row>
    <row r="33" spans="1:21" s="199" customFormat="1">
      <c r="A33" s="200"/>
      <c r="B33" s="200"/>
      <c r="C33" s="200"/>
      <c r="D33" s="200">
        <v>616</v>
      </c>
      <c r="E33" s="200" t="s">
        <v>632</v>
      </c>
      <c r="F33" s="200">
        <v>2017</v>
      </c>
      <c r="G33" s="200">
        <v>10</v>
      </c>
      <c r="H33" s="200">
        <v>0</v>
      </c>
      <c r="I33" s="200" t="s">
        <v>52</v>
      </c>
      <c r="J33" s="200">
        <f>+IF(K32-$N$3&gt;=3,K32-$N$3,3)</f>
        <v>3</v>
      </c>
      <c r="K33" s="200">
        <f>F33+J33</f>
        <v>2020</v>
      </c>
      <c r="L33" s="202">
        <f>+K33+(G33/12)</f>
        <v>2020.8333333333333</v>
      </c>
      <c r="M33" s="201">
        <f>138814.73+58428.6-M32</f>
        <v>39448.330000000016</v>
      </c>
      <c r="N33" s="201">
        <f>M33-M33*H33</f>
        <v>39448.330000000016</v>
      </c>
      <c r="O33" s="201">
        <f>N33/J33/12</f>
        <v>1095.7869444444448</v>
      </c>
      <c r="P33" s="201">
        <f>+O33*12</f>
        <v>13149.443333333336</v>
      </c>
      <c r="Q33" s="201">
        <f>+IF(L33&lt;=$N$5,0,IF(K33&gt;$N$4,P33,(O33*G33)))</f>
        <v>13149.443333333336</v>
      </c>
      <c r="R33" s="201"/>
      <c r="S33" s="201">
        <f>+IF(Q33=0,M33,IF($N$3-F33&lt;1,0,(($N$3-F33)*P33)))</f>
        <v>0</v>
      </c>
      <c r="T33" s="201">
        <f>+IF(Q33=0,S33,S33+Q33)</f>
        <v>13149.443333333336</v>
      </c>
      <c r="U33" s="201">
        <f>+IF(Q33=0,0,((M33-S33)+(M33-T33))/2)</f>
        <v>32873.608333333352</v>
      </c>
    </row>
    <row r="34" spans="1:21" s="197" customFormat="1">
      <c r="A34" s="197" t="s">
        <v>40</v>
      </c>
      <c r="B34" s="197">
        <v>54079</v>
      </c>
      <c r="C34" s="197" t="s">
        <v>54</v>
      </c>
      <c r="D34" s="197">
        <v>614</v>
      </c>
      <c r="E34" s="197" t="s">
        <v>173</v>
      </c>
      <c r="F34" s="197">
        <v>2008</v>
      </c>
      <c r="G34" s="197">
        <v>1</v>
      </c>
      <c r="H34" s="197">
        <v>0</v>
      </c>
      <c r="I34" s="197" t="s">
        <v>52</v>
      </c>
      <c r="J34" s="197">
        <v>7</v>
      </c>
      <c r="K34" s="197">
        <f t="shared" si="0"/>
        <v>2015</v>
      </c>
      <c r="L34" s="172">
        <f t="shared" si="1"/>
        <v>2015.0833333333333</v>
      </c>
      <c r="M34" s="230">
        <f>+'2111 Trks - Orig'!P22</f>
        <v>66736.368000000002</v>
      </c>
      <c r="N34" s="230">
        <f t="shared" si="2"/>
        <v>66736.368000000002</v>
      </c>
      <c r="O34" s="230">
        <f t="shared" si="3"/>
        <v>794.48057142857135</v>
      </c>
      <c r="P34" s="230">
        <f t="shared" si="4"/>
        <v>9533.7668571428567</v>
      </c>
      <c r="Q34" s="230">
        <f t="shared" si="5"/>
        <v>0</v>
      </c>
      <c r="R34" s="230"/>
      <c r="S34" s="230">
        <f t="shared" si="6"/>
        <v>66736.368000000002</v>
      </c>
      <c r="T34" s="230">
        <f t="shared" si="7"/>
        <v>66736.368000000002</v>
      </c>
      <c r="U34" s="230">
        <f t="shared" si="8"/>
        <v>0</v>
      </c>
    </row>
    <row r="35" spans="1:21" s="199" customFormat="1">
      <c r="A35" s="200"/>
      <c r="B35" s="200"/>
      <c r="C35" s="200"/>
      <c r="D35" s="200">
        <v>614</v>
      </c>
      <c r="E35" s="200" t="s">
        <v>633</v>
      </c>
      <c r="F35" s="200">
        <v>2017</v>
      </c>
      <c r="G35" s="200">
        <v>10</v>
      </c>
      <c r="H35" s="200">
        <v>0</v>
      </c>
      <c r="I35" s="200" t="s">
        <v>52</v>
      </c>
      <c r="J35" s="200">
        <f>+IF(K34-$N$3&gt;=3,K34-$N$3,3)</f>
        <v>3</v>
      </c>
      <c r="K35" s="200">
        <f>F35+J35</f>
        <v>2020</v>
      </c>
      <c r="L35" s="202">
        <f>+K35+(G35/12)</f>
        <v>2020.8333333333333</v>
      </c>
      <c r="M35" s="201">
        <f>+'2111 Trks - Orig'!N22-'2111 Trks'!M34</f>
        <v>16684.092000000004</v>
      </c>
      <c r="N35" s="201">
        <f>M35-M35*H35</f>
        <v>16684.092000000004</v>
      </c>
      <c r="O35" s="201">
        <f>N35/J35/12</f>
        <v>463.44700000000012</v>
      </c>
      <c r="P35" s="201">
        <f>+O35*12</f>
        <v>5561.3640000000014</v>
      </c>
      <c r="Q35" s="201">
        <f>+IF(L35&lt;=$N$5,0,IF(K35&gt;$N$4,P35,(O35*G35)))</f>
        <v>5561.3640000000014</v>
      </c>
      <c r="R35" s="201"/>
      <c r="S35" s="201">
        <f>+IF(Q35=0,M35,IF($N$3-F35&lt;1,0,(($N$3-F35)*P35)))</f>
        <v>0</v>
      </c>
      <c r="T35" s="201">
        <f>+IF(Q35=0,S35,S35+Q35)</f>
        <v>5561.3640000000014</v>
      </c>
      <c r="U35" s="201">
        <f>+IF(Q35=0,0,((M35-S35)+(M35-T35))/2)</f>
        <v>13903.410000000003</v>
      </c>
    </row>
    <row r="36" spans="1:21">
      <c r="A36" s="3" t="s">
        <v>40</v>
      </c>
      <c r="C36" s="3" t="s">
        <v>169</v>
      </c>
      <c r="E36" s="3" t="s">
        <v>170</v>
      </c>
      <c r="F36" s="3">
        <v>2008</v>
      </c>
      <c r="G36" s="3">
        <v>4</v>
      </c>
      <c r="H36" s="3">
        <v>0</v>
      </c>
      <c r="I36" s="3" t="s">
        <v>52</v>
      </c>
      <c r="J36" s="3">
        <v>7</v>
      </c>
      <c r="K36" s="3">
        <f t="shared" si="0"/>
        <v>2015</v>
      </c>
      <c r="L36" s="172">
        <f t="shared" si="1"/>
        <v>2015.3333333333333</v>
      </c>
      <c r="M36" s="230">
        <f>+'2111 Trks - Orig'!P23</f>
        <v>7621.2959999999994</v>
      </c>
      <c r="N36" s="230">
        <f t="shared" si="2"/>
        <v>7621.2959999999994</v>
      </c>
      <c r="O36" s="230">
        <f t="shared" si="3"/>
        <v>90.72971428571428</v>
      </c>
      <c r="P36" s="230">
        <f t="shared" si="4"/>
        <v>1088.7565714285713</v>
      </c>
      <c r="Q36" s="230">
        <f t="shared" si="5"/>
        <v>0</v>
      </c>
      <c r="R36" s="230"/>
      <c r="S36" s="230">
        <f t="shared" si="6"/>
        <v>7621.2959999999994</v>
      </c>
      <c r="T36" s="230">
        <f t="shared" si="7"/>
        <v>7621.2959999999994</v>
      </c>
      <c r="U36" s="230">
        <f t="shared" si="8"/>
        <v>0</v>
      </c>
    </row>
    <row r="37" spans="1:21" s="199" customFormat="1">
      <c r="A37" s="200"/>
      <c r="B37" s="200"/>
      <c r="C37" s="200"/>
      <c r="D37" s="200"/>
      <c r="E37" s="200" t="s">
        <v>634</v>
      </c>
      <c r="F37" s="200">
        <v>2017</v>
      </c>
      <c r="G37" s="200">
        <v>10</v>
      </c>
      <c r="H37" s="200">
        <v>0</v>
      </c>
      <c r="I37" s="200" t="s">
        <v>52</v>
      </c>
      <c r="J37" s="200">
        <f>+IF(K36-$N$3&gt;=3,K36-$N$3,3)</f>
        <v>3</v>
      </c>
      <c r="K37" s="200">
        <f>F37+J37</f>
        <v>2020</v>
      </c>
      <c r="L37" s="202">
        <f>+K37+(G37/12)</f>
        <v>2020.8333333333333</v>
      </c>
      <c r="M37" s="201">
        <f>+'2111 Trks - Orig'!N23-'2111 Trks'!M36</f>
        <v>1905.3239999999996</v>
      </c>
      <c r="N37" s="201">
        <f>M37-M37*H37</f>
        <v>1905.3239999999996</v>
      </c>
      <c r="O37" s="201">
        <f>N37/J37/12</f>
        <v>52.92566666666665</v>
      </c>
      <c r="P37" s="201">
        <f>+O37*12</f>
        <v>635.10799999999983</v>
      </c>
      <c r="Q37" s="201">
        <f>+IF(L37&lt;=$N$5,0,IF(K37&gt;$N$4,P37,(O37*G37)))</f>
        <v>635.10799999999983</v>
      </c>
      <c r="R37" s="201"/>
      <c r="S37" s="201">
        <f>+IF(Q37=0,M37,IF($N$3-F37&lt;1,0,(($N$3-F37)*P37)))</f>
        <v>0</v>
      </c>
      <c r="T37" s="201">
        <f>+IF(Q37=0,S37,S37+Q37)</f>
        <v>635.10799999999983</v>
      </c>
      <c r="U37" s="201">
        <f>+IF(Q37=0,0,((M37-S37)+(M37-T37))/2)</f>
        <v>1587.7699999999998</v>
      </c>
    </row>
    <row r="38" spans="1:21">
      <c r="A38" s="3" t="s">
        <v>40</v>
      </c>
      <c r="B38" s="3">
        <v>62296</v>
      </c>
      <c r="C38" s="3" t="s">
        <v>55</v>
      </c>
      <c r="D38" s="3">
        <v>907</v>
      </c>
      <c r="E38" s="3" t="s">
        <v>180</v>
      </c>
      <c r="F38" s="3">
        <v>2008</v>
      </c>
      <c r="G38" s="3">
        <v>11</v>
      </c>
      <c r="H38" s="3">
        <v>0</v>
      </c>
      <c r="I38" s="3" t="s">
        <v>52</v>
      </c>
      <c r="J38" s="3">
        <v>7</v>
      </c>
      <c r="K38" s="3">
        <f t="shared" si="0"/>
        <v>2015</v>
      </c>
      <c r="L38" s="172">
        <f t="shared" si="1"/>
        <v>2015.9166666666667</v>
      </c>
      <c r="M38" s="230">
        <f>+'2111 Trks - Orig'!P25</f>
        <v>199792.136</v>
      </c>
      <c r="N38" s="230">
        <f t="shared" si="2"/>
        <v>199792.136</v>
      </c>
      <c r="O38" s="230">
        <f t="shared" si="3"/>
        <v>2378.4778095238094</v>
      </c>
      <c r="P38" s="230">
        <f t="shared" si="4"/>
        <v>28541.733714285714</v>
      </c>
      <c r="Q38" s="230">
        <f t="shared" si="5"/>
        <v>0</v>
      </c>
      <c r="R38" s="230"/>
      <c r="S38" s="230">
        <f t="shared" si="6"/>
        <v>199792.136</v>
      </c>
      <c r="T38" s="230">
        <f t="shared" si="7"/>
        <v>199792.136</v>
      </c>
      <c r="U38" s="230">
        <f t="shared" si="8"/>
        <v>0</v>
      </c>
    </row>
    <row r="39" spans="1:21" s="199" customFormat="1">
      <c r="A39" s="200"/>
      <c r="B39" s="200"/>
      <c r="C39" s="200"/>
      <c r="D39" s="200">
        <v>907</v>
      </c>
      <c r="E39" s="200" t="s">
        <v>635</v>
      </c>
      <c r="F39" s="200">
        <v>2017</v>
      </c>
      <c r="G39" s="200">
        <v>10</v>
      </c>
      <c r="H39" s="200">
        <v>0</v>
      </c>
      <c r="I39" s="200" t="s">
        <v>52</v>
      </c>
      <c r="J39" s="200">
        <f>+IF(K38-$N$3&gt;=3,K38-$N$3,3)</f>
        <v>3</v>
      </c>
      <c r="K39" s="200">
        <f>F39+J39</f>
        <v>2020</v>
      </c>
      <c r="L39" s="202">
        <f>+K39+(G39/12)</f>
        <v>2020.8333333333333</v>
      </c>
      <c r="M39" s="201">
        <f>+'2111 Trks - Orig'!N25-'2111 Trks'!M38</f>
        <v>49948.033999999985</v>
      </c>
      <c r="N39" s="201">
        <f>M39-M39*H39</f>
        <v>49948.033999999985</v>
      </c>
      <c r="O39" s="201">
        <f>N39/J39/12</f>
        <v>1387.4453888888884</v>
      </c>
      <c r="P39" s="201">
        <f>+O39*12</f>
        <v>16649.34466666666</v>
      </c>
      <c r="Q39" s="201">
        <f>+IF(L39&lt;=$N$5,0,IF(K39&gt;$N$4,P39,(O39*G39)))</f>
        <v>16649.34466666666</v>
      </c>
      <c r="R39" s="201"/>
      <c r="S39" s="201">
        <f>+IF(Q39=0,M39,IF($N$3-F39&lt;1,0,(($N$3-F39)*P39)))</f>
        <v>0</v>
      </c>
      <c r="T39" s="201">
        <f>+IF(Q39=0,S39,S39+Q39)</f>
        <v>16649.34466666666</v>
      </c>
      <c r="U39" s="201">
        <f>+IF(Q39=0,0,((M39-S39)+(M39-T39))/2)</f>
        <v>41623.361666666657</v>
      </c>
    </row>
    <row r="40" spans="1:21">
      <c r="A40" s="3" t="s">
        <v>415</v>
      </c>
      <c r="B40" s="3" t="s">
        <v>505</v>
      </c>
      <c r="C40" s="3" t="s">
        <v>57</v>
      </c>
      <c r="E40" s="3" t="s">
        <v>441</v>
      </c>
      <c r="F40" s="3">
        <v>2008</v>
      </c>
      <c r="G40" s="3">
        <v>4</v>
      </c>
      <c r="H40" s="3">
        <v>0</v>
      </c>
      <c r="I40" s="3" t="s">
        <v>52</v>
      </c>
      <c r="J40" s="3">
        <v>5</v>
      </c>
      <c r="K40" s="3">
        <f t="shared" si="0"/>
        <v>2013</v>
      </c>
      <c r="L40" s="172">
        <f t="shared" si="1"/>
        <v>2013.3333333333333</v>
      </c>
      <c r="M40" s="230">
        <f>+'2131 Trks - Orig'!P22</f>
        <v>6108.8159999999998</v>
      </c>
      <c r="N40" s="230">
        <f t="shared" si="2"/>
        <v>6108.8159999999998</v>
      </c>
      <c r="O40" s="230">
        <f t="shared" si="3"/>
        <v>101.81359999999999</v>
      </c>
      <c r="P40" s="230">
        <f t="shared" si="4"/>
        <v>1221.7631999999999</v>
      </c>
      <c r="Q40" s="230">
        <f t="shared" si="5"/>
        <v>0</v>
      </c>
      <c r="R40" s="230"/>
      <c r="S40" s="230">
        <f t="shared" si="6"/>
        <v>6108.8159999999998</v>
      </c>
      <c r="T40" s="230">
        <f t="shared" si="7"/>
        <v>6108.8159999999998</v>
      </c>
      <c r="U40" s="230">
        <f t="shared" si="8"/>
        <v>0</v>
      </c>
    </row>
    <row r="41" spans="1:21" s="199" customFormat="1">
      <c r="A41" s="200"/>
      <c r="B41" s="200"/>
      <c r="C41" s="200"/>
      <c r="D41" s="200"/>
      <c r="E41" s="200" t="s">
        <v>636</v>
      </c>
      <c r="F41" s="200">
        <v>2017</v>
      </c>
      <c r="G41" s="200">
        <v>10</v>
      </c>
      <c r="H41" s="200">
        <v>0</v>
      </c>
      <c r="I41" s="200" t="s">
        <v>52</v>
      </c>
      <c r="J41" s="200">
        <f>+IF(K40-$N$3&gt;=3,K40-$N$3,3)</f>
        <v>3</v>
      </c>
      <c r="K41" s="200">
        <f>F41+J41</f>
        <v>2020</v>
      </c>
      <c r="L41" s="202">
        <f>+K41+(G41/12)</f>
        <v>2020.8333333333333</v>
      </c>
      <c r="M41" s="201">
        <f>+'2131 Trks - Orig'!N22-'2111 Trks'!M40</f>
        <v>1527.2039999999997</v>
      </c>
      <c r="N41" s="201">
        <f>M41-M41*H41</f>
        <v>1527.2039999999997</v>
      </c>
      <c r="O41" s="201">
        <f>N41/J41/12</f>
        <v>42.422333333333327</v>
      </c>
      <c r="P41" s="201">
        <f>+O41*12</f>
        <v>509.06799999999993</v>
      </c>
      <c r="Q41" s="201">
        <f>+IF(L41&lt;=$N$5,0,IF(K41&gt;$N$4,P41,(O41*G41)))</f>
        <v>509.06799999999993</v>
      </c>
      <c r="R41" s="201"/>
      <c r="S41" s="201">
        <f>+IF(Q41=0,M41,IF($N$3-F41&lt;1,0,(($N$3-F41)*P41)))</f>
        <v>0</v>
      </c>
      <c r="T41" s="201">
        <f>+IF(Q41=0,S41,S41+Q41)</f>
        <v>509.06799999999993</v>
      </c>
      <c r="U41" s="201">
        <f>+IF(Q41=0,0,((M41-S41)+(M41-T41))/2)</f>
        <v>1272.6699999999996</v>
      </c>
    </row>
    <row r="42" spans="1:21">
      <c r="A42" s="3" t="s">
        <v>415</v>
      </c>
      <c r="B42" s="3" t="s">
        <v>492</v>
      </c>
      <c r="C42" s="3" t="s">
        <v>55</v>
      </c>
      <c r="D42" s="3">
        <v>906</v>
      </c>
      <c r="E42" s="3" t="s">
        <v>442</v>
      </c>
      <c r="F42" s="3">
        <v>2008</v>
      </c>
      <c r="G42" s="3">
        <v>10</v>
      </c>
      <c r="H42" s="3">
        <v>0</v>
      </c>
      <c r="I42" s="3" t="s">
        <v>52</v>
      </c>
      <c r="J42" s="3">
        <v>7</v>
      </c>
      <c r="K42" s="3">
        <f t="shared" si="0"/>
        <v>2015</v>
      </c>
      <c r="L42" s="172">
        <f t="shared" si="1"/>
        <v>2015.8333333333333</v>
      </c>
      <c r="M42" s="230">
        <f>+'2131 Trks - Orig'!P23</f>
        <v>199436.17600000001</v>
      </c>
      <c r="N42" s="230">
        <f t="shared" si="2"/>
        <v>199436.17600000001</v>
      </c>
      <c r="O42" s="230">
        <f t="shared" si="3"/>
        <v>2374.2401904761905</v>
      </c>
      <c r="P42" s="230">
        <f t="shared" si="4"/>
        <v>28490.882285714288</v>
      </c>
      <c r="Q42" s="230">
        <f t="shared" si="5"/>
        <v>0</v>
      </c>
      <c r="R42" s="230"/>
      <c r="S42" s="230">
        <f t="shared" si="6"/>
        <v>199436.17600000001</v>
      </c>
      <c r="T42" s="230">
        <f t="shared" si="7"/>
        <v>199436.17600000001</v>
      </c>
      <c r="U42" s="230">
        <f t="shared" si="8"/>
        <v>0</v>
      </c>
    </row>
    <row r="43" spans="1:21" s="199" customFormat="1">
      <c r="A43" s="200"/>
      <c r="B43" s="200"/>
      <c r="C43" s="200"/>
      <c r="D43" s="200">
        <v>906</v>
      </c>
      <c r="E43" s="200" t="s">
        <v>637</v>
      </c>
      <c r="F43" s="200">
        <v>2017</v>
      </c>
      <c r="G43" s="200">
        <v>10</v>
      </c>
      <c r="H43" s="200">
        <v>0</v>
      </c>
      <c r="I43" s="200" t="s">
        <v>52</v>
      </c>
      <c r="J43" s="200">
        <f>+IF(K42-$N$3&gt;=3,K42-$N$3,3)</f>
        <v>3</v>
      </c>
      <c r="K43" s="200">
        <f>F43+J43</f>
        <v>2020</v>
      </c>
      <c r="L43" s="202">
        <f>+K43+(G43/12)</f>
        <v>2020.8333333333333</v>
      </c>
      <c r="M43" s="201">
        <f>+'2131 Trks - Orig'!N23-'2111 Trks'!M42</f>
        <v>49859.043999999994</v>
      </c>
      <c r="N43" s="201">
        <f>M43-M43*H43</f>
        <v>49859.043999999994</v>
      </c>
      <c r="O43" s="201">
        <f>N43/J43/12</f>
        <v>1384.9734444444441</v>
      </c>
      <c r="P43" s="201">
        <f>+O43*12</f>
        <v>16619.68133333333</v>
      </c>
      <c r="Q43" s="201">
        <f>+IF(L43&lt;=$N$5,0,IF(K43&gt;$N$4,P43,(O43*G43)))</f>
        <v>16619.68133333333</v>
      </c>
      <c r="R43" s="201"/>
      <c r="S43" s="201">
        <f>+IF(Q43=0,M43,IF($N$3-F43&lt;1,0,(($N$3-F43)*P43)))</f>
        <v>0</v>
      </c>
      <c r="T43" s="201">
        <f>+IF(Q43=0,S43,S43+Q43)</f>
        <v>16619.68133333333</v>
      </c>
      <c r="U43" s="201">
        <f>+IF(Q43=0,0,((M43-S43)+(M43-T43))/2)</f>
        <v>41549.203333333331</v>
      </c>
    </row>
    <row r="44" spans="1:21" s="197" customFormat="1">
      <c r="A44" s="197" t="s">
        <v>40</v>
      </c>
      <c r="E44" s="197" t="s">
        <v>213</v>
      </c>
      <c r="F44" s="197">
        <v>2010</v>
      </c>
      <c r="G44" s="197">
        <v>7</v>
      </c>
      <c r="H44" s="197">
        <v>0</v>
      </c>
      <c r="I44" s="197" t="s">
        <v>52</v>
      </c>
      <c r="J44" s="197">
        <v>7</v>
      </c>
      <c r="K44" s="197">
        <f t="shared" si="0"/>
        <v>2017</v>
      </c>
      <c r="L44" s="172">
        <f t="shared" si="1"/>
        <v>2017.5833333333333</v>
      </c>
      <c r="M44" s="230">
        <f>+'2111 Trks - Orig'!P30</f>
        <v>131550.39999999999</v>
      </c>
      <c r="N44" s="230">
        <f t="shared" si="2"/>
        <v>131550.39999999999</v>
      </c>
      <c r="O44" s="230">
        <f t="shared" si="3"/>
        <v>1566.0761904761903</v>
      </c>
      <c r="P44" s="230">
        <f t="shared" si="4"/>
        <v>18792.914285714283</v>
      </c>
      <c r="Q44" s="230">
        <f t="shared" si="5"/>
        <v>0</v>
      </c>
      <c r="R44" s="230"/>
      <c r="S44" s="230">
        <f t="shared" si="6"/>
        <v>131550.39999999999</v>
      </c>
      <c r="T44" s="230">
        <f t="shared" si="7"/>
        <v>131550.39999999999</v>
      </c>
      <c r="U44" s="230">
        <f t="shared" si="8"/>
        <v>0</v>
      </c>
    </row>
    <row r="45" spans="1:21" s="199" customFormat="1">
      <c r="A45" s="200"/>
      <c r="B45" s="200"/>
      <c r="C45" s="200"/>
      <c r="D45" s="200"/>
      <c r="E45" s="200" t="s">
        <v>638</v>
      </c>
      <c r="F45" s="200">
        <v>2017</v>
      </c>
      <c r="G45" s="200">
        <v>10</v>
      </c>
      <c r="H45" s="200">
        <v>0</v>
      </c>
      <c r="I45" s="200" t="s">
        <v>52</v>
      </c>
      <c r="J45" s="200">
        <f>+IF(K44-$N$3&gt;=3,K44-$N$3,3)</f>
        <v>3</v>
      </c>
      <c r="K45" s="200">
        <f>F45+J45</f>
        <v>2020</v>
      </c>
      <c r="L45" s="202">
        <f>+K45+(G45/12)</f>
        <v>2020.8333333333333</v>
      </c>
      <c r="M45" s="201">
        <f>+'2111 Trks - Orig'!N30-'2111 Trks'!M44</f>
        <v>32887.600000000006</v>
      </c>
      <c r="N45" s="201">
        <f>M45-M45*H45</f>
        <v>32887.600000000006</v>
      </c>
      <c r="O45" s="201">
        <f>N45/J45/12</f>
        <v>913.54444444444459</v>
      </c>
      <c r="P45" s="201">
        <f>+O45*12</f>
        <v>10962.533333333335</v>
      </c>
      <c r="Q45" s="201">
        <f>+IF(L45&lt;=$N$5,0,IF(K45&gt;$N$4,P45,(O45*G45)))</f>
        <v>10962.533333333335</v>
      </c>
      <c r="R45" s="201"/>
      <c r="S45" s="201">
        <f>+IF(Q45=0,M45,IF($N$3-F45&lt;1,0,(($N$3-F45)*P45)))</f>
        <v>0</v>
      </c>
      <c r="T45" s="201">
        <f>+IF(Q45=0,S45,S45+Q45)</f>
        <v>10962.533333333335</v>
      </c>
      <c r="U45" s="201">
        <f>+IF(Q45=0,0,((M45-S45)+(M45-T45))/2)</f>
        <v>27406.333333333339</v>
      </c>
    </row>
    <row r="46" spans="1:21" s="197" customFormat="1">
      <c r="A46" s="197" t="s">
        <v>40</v>
      </c>
      <c r="D46" s="197">
        <v>6</v>
      </c>
      <c r="E46" s="197" t="s">
        <v>214</v>
      </c>
      <c r="F46" s="197">
        <v>2010</v>
      </c>
      <c r="G46" s="197">
        <v>8</v>
      </c>
      <c r="H46" s="197">
        <v>0</v>
      </c>
      <c r="I46" s="197" t="s">
        <v>52</v>
      </c>
      <c r="J46" s="197">
        <v>7</v>
      </c>
      <c r="K46" s="197">
        <f t="shared" si="0"/>
        <v>2017</v>
      </c>
      <c r="L46" s="172">
        <f t="shared" si="1"/>
        <v>2017.6666666666667</v>
      </c>
      <c r="M46" s="230">
        <f>+'2111 Trks - Orig'!P31</f>
        <v>2687.5680000000002</v>
      </c>
      <c r="N46" s="230">
        <f t="shared" si="2"/>
        <v>2687.5680000000002</v>
      </c>
      <c r="O46" s="230">
        <f t="shared" si="3"/>
        <v>31.994857142857146</v>
      </c>
      <c r="P46" s="230">
        <f t="shared" si="4"/>
        <v>383.93828571428577</v>
      </c>
      <c r="Q46" s="230">
        <f t="shared" si="5"/>
        <v>0</v>
      </c>
      <c r="R46" s="230"/>
      <c r="S46" s="230">
        <f t="shared" si="6"/>
        <v>2687.5680000000002</v>
      </c>
      <c r="T46" s="230">
        <f t="shared" si="7"/>
        <v>2687.5680000000002</v>
      </c>
      <c r="U46" s="230">
        <f t="shared" si="8"/>
        <v>0</v>
      </c>
    </row>
    <row r="47" spans="1:21" s="199" customFormat="1">
      <c r="A47" s="200"/>
      <c r="B47" s="200"/>
      <c r="C47" s="200"/>
      <c r="D47" s="200">
        <v>6</v>
      </c>
      <c r="E47" s="200" t="s">
        <v>639</v>
      </c>
      <c r="F47" s="200">
        <v>2017</v>
      </c>
      <c r="G47" s="200">
        <v>10</v>
      </c>
      <c r="H47" s="200">
        <v>0</v>
      </c>
      <c r="I47" s="200" t="s">
        <v>52</v>
      </c>
      <c r="J47" s="200">
        <f>+IF(K46-$N$3&gt;=3,K46-$N$3,3)</f>
        <v>3</v>
      </c>
      <c r="K47" s="200">
        <f>F47+J47</f>
        <v>2020</v>
      </c>
      <c r="L47" s="202">
        <f>+K47+(G47/12)</f>
        <v>2020.8333333333333</v>
      </c>
      <c r="M47" s="201">
        <f>+'2111 Trks - Orig'!N31-'2111 Trks'!M46</f>
        <v>671.89199999999983</v>
      </c>
      <c r="N47" s="201">
        <f>M47-M47*H47</f>
        <v>671.89199999999983</v>
      </c>
      <c r="O47" s="201">
        <f>N47/J47/12</f>
        <v>18.663666666666661</v>
      </c>
      <c r="P47" s="201">
        <f>+O47*12</f>
        <v>223.96399999999994</v>
      </c>
      <c r="Q47" s="201">
        <f>+IF(L47&lt;=$N$5,0,IF(K47&gt;$N$4,P47,(O47*G47)))</f>
        <v>223.96399999999994</v>
      </c>
      <c r="R47" s="201"/>
      <c r="S47" s="201">
        <f>+IF(Q47=0,M47,IF($N$3-F47&lt;1,0,(($N$3-F47)*P47)))</f>
        <v>0</v>
      </c>
      <c r="T47" s="201">
        <f>+IF(Q47=0,S47,S47+Q47)</f>
        <v>223.96399999999994</v>
      </c>
      <c r="U47" s="201">
        <f>+IF(Q47=0,0,((M47-S47)+(M47-T47))/2)</f>
        <v>559.90999999999985</v>
      </c>
    </row>
    <row r="48" spans="1:21" s="197" customFormat="1">
      <c r="A48" s="197" t="s">
        <v>40</v>
      </c>
      <c r="D48" s="197">
        <v>6</v>
      </c>
      <c r="E48" s="197" t="s">
        <v>214</v>
      </c>
      <c r="F48" s="197">
        <v>2011</v>
      </c>
      <c r="G48" s="197">
        <v>1</v>
      </c>
      <c r="H48" s="197">
        <v>0</v>
      </c>
      <c r="I48" s="197" t="s">
        <v>52</v>
      </c>
      <c r="J48" s="197">
        <v>7</v>
      </c>
      <c r="K48" s="197">
        <f t="shared" si="0"/>
        <v>2018</v>
      </c>
      <c r="L48" s="172">
        <f t="shared" si="1"/>
        <v>2018.0833333333333</v>
      </c>
      <c r="M48" s="230">
        <f>+'2111 Trks - Orig'!P33</f>
        <v>2731.848</v>
      </c>
      <c r="N48" s="230">
        <f t="shared" si="2"/>
        <v>2731.848</v>
      </c>
      <c r="O48" s="230">
        <f t="shared" si="3"/>
        <v>32.521999999999998</v>
      </c>
      <c r="P48" s="230">
        <f t="shared" si="4"/>
        <v>390.26400000000001</v>
      </c>
      <c r="Q48" s="230">
        <f t="shared" si="5"/>
        <v>0</v>
      </c>
      <c r="R48" s="230"/>
      <c r="S48" s="230">
        <f t="shared" si="6"/>
        <v>2731.848</v>
      </c>
      <c r="T48" s="230">
        <f t="shared" si="7"/>
        <v>2731.848</v>
      </c>
      <c r="U48" s="230">
        <f t="shared" si="8"/>
        <v>0</v>
      </c>
    </row>
    <row r="49" spans="1:21" s="199" customFormat="1">
      <c r="A49" s="200"/>
      <c r="B49" s="200"/>
      <c r="C49" s="200"/>
      <c r="D49" s="200">
        <v>6</v>
      </c>
      <c r="E49" s="200" t="s">
        <v>639</v>
      </c>
      <c r="F49" s="200">
        <v>2017</v>
      </c>
      <c r="G49" s="200">
        <v>10</v>
      </c>
      <c r="H49" s="200">
        <v>0</v>
      </c>
      <c r="I49" s="200" t="s">
        <v>52</v>
      </c>
      <c r="J49" s="200">
        <f>+IF(K48-$N$3&gt;=3,K48-$N$3,3)</f>
        <v>3</v>
      </c>
      <c r="K49" s="200">
        <f>F49+J49</f>
        <v>2020</v>
      </c>
      <c r="L49" s="202">
        <f>+K49+(G49/12)</f>
        <v>2020.8333333333333</v>
      </c>
      <c r="M49" s="201">
        <f>+'2111 Trks - Orig'!N33-'2111 Trks'!M48</f>
        <v>682.96199999999999</v>
      </c>
      <c r="N49" s="201">
        <f>M49-M49*H49</f>
        <v>682.96199999999999</v>
      </c>
      <c r="O49" s="201">
        <f>N49/J49/12</f>
        <v>18.971166666666665</v>
      </c>
      <c r="P49" s="201">
        <f>+O49*12</f>
        <v>227.654</v>
      </c>
      <c r="Q49" s="201">
        <f>+IF(L49&lt;=$N$5,0,IF(K49&gt;$N$4,P49,(O49*G49)))</f>
        <v>227.654</v>
      </c>
      <c r="R49" s="201"/>
      <c r="S49" s="201">
        <f>+IF(Q49=0,M49,IF($N$3-F49&lt;1,0,(($N$3-F49)*P49)))</f>
        <v>0</v>
      </c>
      <c r="T49" s="201">
        <f>+IF(Q49=0,S49,S49+Q49)</f>
        <v>227.654</v>
      </c>
      <c r="U49" s="201">
        <f>+IF(Q49=0,0,((M49-S49)+(M49-T49))/2)</f>
        <v>569.13499999999999</v>
      </c>
    </row>
    <row r="50" spans="1:21" s="197" customFormat="1">
      <c r="A50" s="197" t="s">
        <v>40</v>
      </c>
      <c r="B50" s="197">
        <v>88717</v>
      </c>
      <c r="C50" s="197" t="s">
        <v>54</v>
      </c>
      <c r="D50" s="197">
        <v>151</v>
      </c>
      <c r="E50" s="197" t="s">
        <v>221</v>
      </c>
      <c r="F50" s="197">
        <v>2011</v>
      </c>
      <c r="G50" s="197">
        <v>12</v>
      </c>
      <c r="H50" s="197">
        <v>0</v>
      </c>
      <c r="I50" s="197" t="s">
        <v>52</v>
      </c>
      <c r="J50" s="197">
        <v>7</v>
      </c>
      <c r="K50" s="197">
        <f t="shared" ref="K50:K81" si="9">F50+J50</f>
        <v>2018</v>
      </c>
      <c r="L50" s="172">
        <f t="shared" si="1"/>
        <v>2019</v>
      </c>
      <c r="M50" s="230">
        <f>+'2111 Trks - Orig'!P35</f>
        <v>84586.551999999996</v>
      </c>
      <c r="N50" s="230">
        <f t="shared" ref="N50:N81" si="10">M50-M50*H50</f>
        <v>84586.551999999996</v>
      </c>
      <c r="O50" s="230">
        <f t="shared" si="3"/>
        <v>1006.9827619047619</v>
      </c>
      <c r="P50" s="230">
        <f t="shared" si="4"/>
        <v>12083.793142857143</v>
      </c>
      <c r="Q50" s="230">
        <f t="shared" si="5"/>
        <v>0</v>
      </c>
      <c r="R50" s="230"/>
      <c r="S50" s="230">
        <f t="shared" si="6"/>
        <v>84586.551999999996</v>
      </c>
      <c r="T50" s="230">
        <f t="shared" si="7"/>
        <v>84586.551999999996</v>
      </c>
      <c r="U50" s="230">
        <f t="shared" si="8"/>
        <v>0</v>
      </c>
    </row>
    <row r="51" spans="1:21" s="199" customFormat="1">
      <c r="A51" s="200"/>
      <c r="B51" s="200"/>
      <c r="C51" s="200"/>
      <c r="D51" s="200">
        <v>151</v>
      </c>
      <c r="E51" s="200" t="s">
        <v>641</v>
      </c>
      <c r="F51" s="200">
        <v>2017</v>
      </c>
      <c r="G51" s="200">
        <v>10</v>
      </c>
      <c r="H51" s="200">
        <v>0</v>
      </c>
      <c r="I51" s="200" t="s">
        <v>52</v>
      </c>
      <c r="J51" s="200">
        <f>+IF(K50-$N$3&gt;=3,K50-$N$3,3)</f>
        <v>3</v>
      </c>
      <c r="K51" s="200">
        <f>F51+J51</f>
        <v>2020</v>
      </c>
      <c r="L51" s="202">
        <f>+K51+(G51/12)</f>
        <v>2020.8333333333333</v>
      </c>
      <c r="M51" s="201">
        <f>+'2111 Trks - Orig'!N35-'2111 Trks'!M50</f>
        <v>21146.638000000006</v>
      </c>
      <c r="N51" s="201">
        <f>M51-M51*H51</f>
        <v>21146.638000000006</v>
      </c>
      <c r="O51" s="201">
        <f>N51/J51/12</f>
        <v>587.40661111111126</v>
      </c>
      <c r="P51" s="201">
        <f>+O51*12</f>
        <v>7048.8793333333351</v>
      </c>
      <c r="Q51" s="201">
        <f>+IF(L51&lt;=$N$5,0,IF(K51&gt;$N$4,P51,(O51*G51)))</f>
        <v>7048.8793333333351</v>
      </c>
      <c r="R51" s="201"/>
      <c r="S51" s="201">
        <f>+IF(Q51=0,M51,IF($N$3-F51&lt;1,0,(($N$3-F51)*P51)))</f>
        <v>0</v>
      </c>
      <c r="T51" s="201">
        <f>+IF(Q51=0,S51,S51+Q51)</f>
        <v>7048.8793333333351</v>
      </c>
      <c r="U51" s="201">
        <f>+IF(Q51=0,0,((M51-S51)+(M51-T51))/2)</f>
        <v>17622.198333333341</v>
      </c>
    </row>
    <row r="52" spans="1:21" s="197" customFormat="1">
      <c r="A52" s="197" t="s">
        <v>40</v>
      </c>
      <c r="B52" s="197">
        <v>89625</v>
      </c>
      <c r="C52" s="197" t="s">
        <v>55</v>
      </c>
      <c r="D52" s="197">
        <v>908</v>
      </c>
      <c r="E52" s="197" t="s">
        <v>208</v>
      </c>
      <c r="F52" s="197">
        <v>2011</v>
      </c>
      <c r="G52" s="197">
        <v>12</v>
      </c>
      <c r="H52" s="197">
        <v>0</v>
      </c>
      <c r="I52" s="197" t="s">
        <v>52</v>
      </c>
      <c r="J52" s="197">
        <v>7</v>
      </c>
      <c r="K52" s="197">
        <f t="shared" si="9"/>
        <v>2018</v>
      </c>
      <c r="L52" s="172">
        <f t="shared" si="1"/>
        <v>2019</v>
      </c>
      <c r="M52" s="230">
        <f>+'2111 Trks - Orig'!P36</f>
        <v>227720.2</v>
      </c>
      <c r="N52" s="230">
        <f t="shared" si="10"/>
        <v>227720.2</v>
      </c>
      <c r="O52" s="230">
        <f t="shared" si="3"/>
        <v>2710.9547619047621</v>
      </c>
      <c r="P52" s="230">
        <f t="shared" si="4"/>
        <v>32531.457142857143</v>
      </c>
      <c r="Q52" s="230">
        <f t="shared" si="5"/>
        <v>0</v>
      </c>
      <c r="R52" s="230"/>
      <c r="S52" s="230">
        <f t="shared" si="6"/>
        <v>227720.2</v>
      </c>
      <c r="T52" s="230">
        <f t="shared" si="7"/>
        <v>227720.2</v>
      </c>
      <c r="U52" s="230">
        <f t="shared" si="8"/>
        <v>0</v>
      </c>
    </row>
    <row r="53" spans="1:21" s="199" customFormat="1">
      <c r="A53" s="200"/>
      <c r="B53" s="200"/>
      <c r="C53" s="200"/>
      <c r="D53" s="200">
        <v>908</v>
      </c>
      <c r="E53" s="200" t="s">
        <v>642</v>
      </c>
      <c r="F53" s="200">
        <v>2017</v>
      </c>
      <c r="G53" s="200">
        <v>10</v>
      </c>
      <c r="H53" s="200">
        <v>0</v>
      </c>
      <c r="I53" s="200" t="s">
        <v>52</v>
      </c>
      <c r="J53" s="200">
        <f>+IF(K52-$N$3&gt;=3,K52-$N$3,3)</f>
        <v>3</v>
      </c>
      <c r="K53" s="200">
        <f>F53+J53</f>
        <v>2020</v>
      </c>
      <c r="L53" s="202">
        <f>+K53+(G53/12)</f>
        <v>2020.8333333333333</v>
      </c>
      <c r="M53" s="201">
        <f>+'2111 Trks - Orig'!N36-'2111 Trks'!M52</f>
        <v>56930.049999999988</v>
      </c>
      <c r="N53" s="201">
        <f>M53-M53*H53</f>
        <v>56930.049999999988</v>
      </c>
      <c r="O53" s="201">
        <f>N53/J53/12</f>
        <v>1581.3902777777776</v>
      </c>
      <c r="P53" s="201">
        <f>+O53*12</f>
        <v>18976.683333333331</v>
      </c>
      <c r="Q53" s="201">
        <f>+IF(L53&lt;=$N$5,0,IF(K53&gt;$N$4,P53,(O53*G53)))</f>
        <v>18976.683333333331</v>
      </c>
      <c r="R53" s="201"/>
      <c r="S53" s="201">
        <f>+IF(Q53=0,M53,IF($N$3-F53&lt;1,0,(($N$3-F53)*P53)))</f>
        <v>0</v>
      </c>
      <c r="T53" s="201">
        <f>+IF(Q53=0,S53,S53+Q53)</f>
        <v>18976.683333333331</v>
      </c>
      <c r="U53" s="201">
        <f>+IF(Q53=0,0,((M53-S53)+(M53-T53))/2)</f>
        <v>47441.708333333321</v>
      </c>
    </row>
    <row r="54" spans="1:21" s="197" customFormat="1">
      <c r="A54" s="197" t="s">
        <v>40</v>
      </c>
      <c r="B54" s="197">
        <v>88795</v>
      </c>
      <c r="E54" s="197" t="s">
        <v>225</v>
      </c>
      <c r="F54" s="197">
        <v>2011</v>
      </c>
      <c r="G54" s="197">
        <v>12</v>
      </c>
      <c r="H54" s="197">
        <v>0</v>
      </c>
      <c r="I54" s="197" t="s">
        <v>52</v>
      </c>
      <c r="J54" s="197">
        <v>7</v>
      </c>
      <c r="K54" s="197">
        <f t="shared" si="9"/>
        <v>2018</v>
      </c>
      <c r="L54" s="172">
        <f t="shared" si="1"/>
        <v>2019</v>
      </c>
      <c r="M54" s="230">
        <f>+'2111 Trks - Orig'!P38</f>
        <v>3064.576</v>
      </c>
      <c r="N54" s="230">
        <f t="shared" si="10"/>
        <v>3064.576</v>
      </c>
      <c r="O54" s="230">
        <f t="shared" si="3"/>
        <v>36.483047619047618</v>
      </c>
      <c r="P54" s="230">
        <f t="shared" si="4"/>
        <v>437.79657142857138</v>
      </c>
      <c r="Q54" s="230">
        <f t="shared" si="5"/>
        <v>0</v>
      </c>
      <c r="R54" s="230"/>
      <c r="S54" s="230">
        <f t="shared" si="6"/>
        <v>3064.576</v>
      </c>
      <c r="T54" s="230">
        <f t="shared" si="7"/>
        <v>3064.576</v>
      </c>
      <c r="U54" s="230">
        <f t="shared" si="8"/>
        <v>0</v>
      </c>
    </row>
    <row r="55" spans="1:21" s="199" customFormat="1">
      <c r="A55" s="200"/>
      <c r="B55" s="200"/>
      <c r="C55" s="200"/>
      <c r="D55" s="200"/>
      <c r="E55" s="200" t="s">
        <v>643</v>
      </c>
      <c r="F55" s="200">
        <v>2017</v>
      </c>
      <c r="G55" s="200">
        <v>10</v>
      </c>
      <c r="H55" s="200">
        <v>0</v>
      </c>
      <c r="I55" s="200" t="s">
        <v>52</v>
      </c>
      <c r="J55" s="200">
        <f>+IF(K54-$N$3&gt;=3,K54-$N$3,3)</f>
        <v>3</v>
      </c>
      <c r="K55" s="200">
        <f>F55+J55</f>
        <v>2020</v>
      </c>
      <c r="L55" s="202">
        <f>+K55+(G55/12)</f>
        <v>2020.8333333333333</v>
      </c>
      <c r="M55" s="201">
        <f>+'2111 Trks - Orig'!N38-'2111 Trks'!M54</f>
        <v>766.14399999999978</v>
      </c>
      <c r="N55" s="201">
        <f>M55-M55*H55</f>
        <v>766.14399999999978</v>
      </c>
      <c r="O55" s="201">
        <f>N55/J55/12</f>
        <v>21.281777777777773</v>
      </c>
      <c r="P55" s="201">
        <f>+O55*12</f>
        <v>255.38133333333326</v>
      </c>
      <c r="Q55" s="201">
        <f>+IF(L55&lt;=$N$5,0,IF(K55&gt;$N$4,P55,(O55*G55)))</f>
        <v>255.38133333333326</v>
      </c>
      <c r="R55" s="201"/>
      <c r="S55" s="201">
        <f>+IF(Q55=0,M55,IF($N$3-F55&lt;1,0,(($N$3-F55)*P55)))</f>
        <v>0</v>
      </c>
      <c r="T55" s="201">
        <f>+IF(Q55=0,S55,S55+Q55)</f>
        <v>255.38133333333326</v>
      </c>
      <c r="U55" s="201">
        <f>+IF(Q55=0,0,((M55-S55)+(M55-T55))/2)</f>
        <v>638.45333333333315</v>
      </c>
    </row>
    <row r="56" spans="1:21" s="197" customFormat="1">
      <c r="A56" s="197" t="s">
        <v>415</v>
      </c>
      <c r="B56" s="197">
        <v>173290</v>
      </c>
      <c r="C56" s="197" t="s">
        <v>54</v>
      </c>
      <c r="D56" s="197">
        <v>628</v>
      </c>
      <c r="E56" s="197" t="s">
        <v>444</v>
      </c>
      <c r="F56" s="197">
        <v>2012</v>
      </c>
      <c r="G56" s="197">
        <v>9</v>
      </c>
      <c r="H56" s="197">
        <v>0</v>
      </c>
      <c r="I56" s="197" t="s">
        <v>52</v>
      </c>
      <c r="J56" s="197">
        <v>7</v>
      </c>
      <c r="K56" s="197">
        <f t="shared" si="9"/>
        <v>2019</v>
      </c>
      <c r="L56" s="172">
        <f t="shared" si="1"/>
        <v>2019.75</v>
      </c>
      <c r="M56" s="230">
        <f>+'2131 Trks - Orig'!P25</f>
        <v>199801.60000000001</v>
      </c>
      <c r="N56" s="230">
        <f t="shared" si="10"/>
        <v>199801.60000000001</v>
      </c>
      <c r="O56" s="230">
        <f t="shared" si="3"/>
        <v>2378.5904761904762</v>
      </c>
      <c r="P56" s="230">
        <f t="shared" si="4"/>
        <v>28543.085714285713</v>
      </c>
      <c r="Q56" s="230">
        <f t="shared" si="5"/>
        <v>28543.085714285713</v>
      </c>
      <c r="R56" s="230"/>
      <c r="S56" s="230">
        <f t="shared" si="6"/>
        <v>142715.42857142858</v>
      </c>
      <c r="T56" s="230">
        <f t="shared" si="7"/>
        <v>171258.51428571431</v>
      </c>
      <c r="U56" s="230">
        <f>+IF(Q56=0,0,((M56-S56)+(M56-T56))/2)</f>
        <v>42814.628571428562</v>
      </c>
    </row>
    <row r="57" spans="1:21" s="199" customFormat="1">
      <c r="A57" s="200"/>
      <c r="B57" s="200"/>
      <c r="C57" s="200"/>
      <c r="D57" s="200">
        <v>628</v>
      </c>
      <c r="E57" s="200" t="s">
        <v>644</v>
      </c>
      <c r="F57" s="200">
        <v>2017</v>
      </c>
      <c r="G57" s="200">
        <v>10</v>
      </c>
      <c r="H57" s="200">
        <v>0</v>
      </c>
      <c r="I57" s="200" t="s">
        <v>52</v>
      </c>
      <c r="J57" s="200">
        <f>+IF(K56-$N$3&gt;=3,K56-$N$3,3)</f>
        <v>3</v>
      </c>
      <c r="K57" s="200">
        <f>F57+J57</f>
        <v>2020</v>
      </c>
      <c r="L57" s="202">
        <f>+K57+(G57/12)</f>
        <v>2020.8333333333333</v>
      </c>
      <c r="M57" s="201">
        <f>+'2131 Trks - Orig'!N25-'2111 Trks'!M56</f>
        <v>49950.399999999994</v>
      </c>
      <c r="N57" s="201">
        <f>M57-M57*H57</f>
        <v>49950.399999999994</v>
      </c>
      <c r="O57" s="201">
        <f>N57/J57/12</f>
        <v>1387.5111111111109</v>
      </c>
      <c r="P57" s="201">
        <f>+O57*12</f>
        <v>16650.133333333331</v>
      </c>
      <c r="Q57" s="201">
        <f>+IF(L57&lt;=$N$5,0,IF(K57&gt;$N$4,P57,(O57*G57)))</f>
        <v>16650.133333333331</v>
      </c>
      <c r="R57" s="201"/>
      <c r="S57" s="201">
        <f>+IF(Q57=0,M57,IF($N$3-F57&lt;1,0,(($N$3-F57)*P57)))</f>
        <v>0</v>
      </c>
      <c r="T57" s="201">
        <f>+IF(Q57=0,S57,S57+Q57)</f>
        <v>16650.133333333331</v>
      </c>
      <c r="U57" s="201">
        <f>+IF(Q57=0,0,((M57-S57)+(M57-T57))/2)</f>
        <v>41625.333333333328</v>
      </c>
    </row>
    <row r="58" spans="1:21" s="197" customFormat="1">
      <c r="A58" s="197" t="s">
        <v>415</v>
      </c>
      <c r="B58" s="197">
        <v>173296</v>
      </c>
      <c r="C58" s="197" t="s">
        <v>54</v>
      </c>
      <c r="D58" s="197">
        <v>629</v>
      </c>
      <c r="E58" s="197" t="s">
        <v>444</v>
      </c>
      <c r="F58" s="197">
        <v>2012</v>
      </c>
      <c r="G58" s="197">
        <v>12</v>
      </c>
      <c r="H58" s="197">
        <v>0</v>
      </c>
      <c r="I58" s="197" t="s">
        <v>52</v>
      </c>
      <c r="J58" s="197">
        <v>7</v>
      </c>
      <c r="K58" s="197">
        <f t="shared" si="9"/>
        <v>2019</v>
      </c>
      <c r="L58" s="172">
        <f t="shared" si="1"/>
        <v>2020</v>
      </c>
      <c r="M58" s="230">
        <f>+'2131 Trks - Orig'!P26</f>
        <v>199962.4</v>
      </c>
      <c r="N58" s="230">
        <f t="shared" si="10"/>
        <v>199962.4</v>
      </c>
      <c r="O58" s="230">
        <f t="shared" si="3"/>
        <v>2380.5047619047618</v>
      </c>
      <c r="P58" s="230">
        <f t="shared" si="4"/>
        <v>28566.057142857142</v>
      </c>
      <c r="Q58" s="230">
        <f t="shared" si="5"/>
        <v>28566.057142857142</v>
      </c>
      <c r="R58" s="230"/>
      <c r="S58" s="230">
        <f t="shared" si="6"/>
        <v>142830.28571428571</v>
      </c>
      <c r="T58" s="230">
        <f t="shared" si="7"/>
        <v>171396.34285714285</v>
      </c>
      <c r="U58" s="230">
        <f t="shared" si="8"/>
        <v>42849.085714285713</v>
      </c>
    </row>
    <row r="59" spans="1:21" s="199" customFormat="1">
      <c r="A59" s="200"/>
      <c r="B59" s="200"/>
      <c r="C59" s="200"/>
      <c r="D59" s="200">
        <v>629</v>
      </c>
      <c r="E59" s="200" t="s">
        <v>645</v>
      </c>
      <c r="F59" s="200">
        <v>2017</v>
      </c>
      <c r="G59" s="200">
        <v>10</v>
      </c>
      <c r="H59" s="200">
        <v>0</v>
      </c>
      <c r="I59" s="200" t="s">
        <v>52</v>
      </c>
      <c r="J59" s="200">
        <f>+IF(K58-$N$3&gt;=3,K58-$N$3,3)</f>
        <v>3</v>
      </c>
      <c r="K59" s="200">
        <f>F59+J59</f>
        <v>2020</v>
      </c>
      <c r="L59" s="202">
        <f>+K59+(G59/12)</f>
        <v>2020.8333333333333</v>
      </c>
      <c r="M59" s="201">
        <f>+'2131 Trks - Orig'!N26-'2111 Trks'!M58</f>
        <v>49990.600000000006</v>
      </c>
      <c r="N59" s="201">
        <f>M59-M59*H59</f>
        <v>49990.600000000006</v>
      </c>
      <c r="O59" s="201">
        <f>N59/J59/12</f>
        <v>1388.627777777778</v>
      </c>
      <c r="P59" s="201">
        <f>+O59*12</f>
        <v>16663.533333333336</v>
      </c>
      <c r="Q59" s="201">
        <f>+IF(L59&lt;=$N$5,0,IF(K59&gt;$N$4,P59,(O59*G59)))</f>
        <v>16663.533333333336</v>
      </c>
      <c r="R59" s="201"/>
      <c r="S59" s="201">
        <f>+IF(Q59=0,M59,IF($N$3-F59&lt;1,0,(($N$3-F59)*P59)))</f>
        <v>0</v>
      </c>
      <c r="T59" s="201">
        <f>+IF(Q59=0,S59,S59+Q59)</f>
        <v>16663.533333333336</v>
      </c>
      <c r="U59" s="201">
        <f>+IF(Q59=0,0,((M59-S59)+(M59-T59))/2)</f>
        <v>41658.833333333336</v>
      </c>
    </row>
    <row r="60" spans="1:21" s="197" customFormat="1">
      <c r="A60" s="197" t="s">
        <v>40</v>
      </c>
      <c r="B60" s="197">
        <v>120152</v>
      </c>
      <c r="C60" s="197" t="s">
        <v>88</v>
      </c>
      <c r="D60" s="197">
        <v>910</v>
      </c>
      <c r="E60" s="197" t="s">
        <v>369</v>
      </c>
      <c r="F60" s="197">
        <v>2013</v>
      </c>
      <c r="G60" s="197">
        <v>1</v>
      </c>
      <c r="H60" s="197">
        <v>0</v>
      </c>
      <c r="I60" s="197" t="s">
        <v>52</v>
      </c>
      <c r="J60" s="197">
        <v>7</v>
      </c>
      <c r="K60" s="197">
        <f t="shared" si="9"/>
        <v>2020</v>
      </c>
      <c r="L60" s="172">
        <f t="shared" si="1"/>
        <v>2020.0833333333333</v>
      </c>
      <c r="M60" s="230">
        <f>+'2111 Trks - Orig'!P39</f>
        <v>244279.77599999998</v>
      </c>
      <c r="N60" s="230">
        <f t="shared" si="10"/>
        <v>244279.77599999998</v>
      </c>
      <c r="O60" s="230">
        <f t="shared" si="3"/>
        <v>2908.0925714285713</v>
      </c>
      <c r="P60" s="230">
        <f t="shared" si="4"/>
        <v>34897.110857142856</v>
      </c>
      <c r="Q60" s="230">
        <f t="shared" si="5"/>
        <v>34897.110857142856</v>
      </c>
      <c r="R60" s="230"/>
      <c r="S60" s="230">
        <f t="shared" si="6"/>
        <v>139588.44342857142</v>
      </c>
      <c r="T60" s="230">
        <f t="shared" si="7"/>
        <v>174485.55428571429</v>
      </c>
      <c r="U60" s="230">
        <f t="shared" si="8"/>
        <v>87242.777142857129</v>
      </c>
    </row>
    <row r="61" spans="1:21" s="199" customFormat="1">
      <c r="A61" s="200"/>
      <c r="B61" s="200"/>
      <c r="C61" s="200"/>
      <c r="D61" s="200">
        <v>910</v>
      </c>
      <c r="E61" s="200" t="s">
        <v>903</v>
      </c>
      <c r="F61" s="200">
        <v>2017</v>
      </c>
      <c r="G61" s="200">
        <v>10</v>
      </c>
      <c r="H61" s="200">
        <v>0</v>
      </c>
      <c r="I61" s="200" t="s">
        <v>52</v>
      </c>
      <c r="J61" s="200">
        <f>+IF(K60-$N$3&gt;=3,K60-$N$3,3)</f>
        <v>3</v>
      </c>
      <c r="K61" s="200">
        <f>F61+J61</f>
        <v>2020</v>
      </c>
      <c r="L61" s="202">
        <f>+K61+(G61/12)</f>
        <v>2020.8333333333333</v>
      </c>
      <c r="M61" s="201">
        <f>+'2111 Trks - Orig'!N39-'2111 Trks'!M60</f>
        <v>61069.943999999989</v>
      </c>
      <c r="N61" s="201">
        <f>M61-M61*H61</f>
        <v>61069.943999999989</v>
      </c>
      <c r="O61" s="201">
        <f>N61/J61/12</f>
        <v>1696.3873333333331</v>
      </c>
      <c r="P61" s="201">
        <f>+O61*12</f>
        <v>20356.647999999997</v>
      </c>
      <c r="Q61" s="201">
        <f>+IF(L61&lt;=$N$5,0,IF(K61&gt;$N$4,P61,(O61*G61)))</f>
        <v>20356.647999999997</v>
      </c>
      <c r="R61" s="201"/>
      <c r="S61" s="201">
        <f>+IF(Q61=0,M61,IF($N$3-F61&lt;1,0,(($N$3-F61)*P61)))</f>
        <v>0</v>
      </c>
      <c r="T61" s="201">
        <f>+IF(Q61=0,S61,S61+Q61)</f>
        <v>20356.647999999997</v>
      </c>
      <c r="U61" s="201">
        <f>+IF(Q61=0,0,((M61-S61)+(M61-T61))/2)</f>
        <v>50891.619999999988</v>
      </c>
    </row>
    <row r="62" spans="1:21" s="197" customFormat="1">
      <c r="A62" s="197" t="s">
        <v>415</v>
      </c>
      <c r="B62" s="197">
        <v>173299</v>
      </c>
      <c r="C62" s="197" t="s">
        <v>55</v>
      </c>
      <c r="D62" s="197">
        <v>909</v>
      </c>
      <c r="E62" s="197" t="s">
        <v>445</v>
      </c>
      <c r="F62" s="197">
        <v>2013</v>
      </c>
      <c r="G62" s="197">
        <v>12</v>
      </c>
      <c r="H62" s="197">
        <v>0</v>
      </c>
      <c r="I62" s="197" t="s">
        <v>52</v>
      </c>
      <c r="J62" s="197">
        <v>7</v>
      </c>
      <c r="K62" s="197">
        <f t="shared" si="9"/>
        <v>2020</v>
      </c>
      <c r="L62" s="172">
        <f t="shared" si="1"/>
        <v>2021</v>
      </c>
      <c r="M62" s="230">
        <f>+'2131 Trks - Orig'!P27</f>
        <v>236861.008</v>
      </c>
      <c r="N62" s="230">
        <f t="shared" si="10"/>
        <v>236861.008</v>
      </c>
      <c r="O62" s="230">
        <f t="shared" si="3"/>
        <v>2819.7739047619048</v>
      </c>
      <c r="P62" s="230">
        <f t="shared" si="4"/>
        <v>33837.286857142855</v>
      </c>
      <c r="Q62" s="230">
        <f t="shared" si="5"/>
        <v>33837.286857142855</v>
      </c>
      <c r="R62" s="230"/>
      <c r="S62" s="230">
        <f t="shared" si="6"/>
        <v>135349.14742857142</v>
      </c>
      <c r="T62" s="230">
        <f t="shared" si="7"/>
        <v>169186.43428571429</v>
      </c>
      <c r="U62" s="230">
        <f t="shared" si="8"/>
        <v>84593.217142857146</v>
      </c>
    </row>
    <row r="63" spans="1:21" s="199" customFormat="1">
      <c r="A63" s="200"/>
      <c r="B63" s="200"/>
      <c r="C63" s="200"/>
      <c r="D63" s="200">
        <v>909</v>
      </c>
      <c r="E63" s="200" t="s">
        <v>646</v>
      </c>
      <c r="F63" s="200">
        <v>2017</v>
      </c>
      <c r="G63" s="200">
        <v>10</v>
      </c>
      <c r="H63" s="200">
        <v>0</v>
      </c>
      <c r="I63" s="200" t="s">
        <v>52</v>
      </c>
      <c r="J63" s="200">
        <f>+IF(K62-$N$3&gt;=3,K62-$N$3,3)</f>
        <v>3</v>
      </c>
      <c r="K63" s="200">
        <f>F63+J63</f>
        <v>2020</v>
      </c>
      <c r="L63" s="202">
        <f>+K63+(G63/12)</f>
        <v>2020.8333333333333</v>
      </c>
      <c r="M63" s="201">
        <f>+'2131 Trks - Orig'!N27-'2111 Trks'!M62</f>
        <v>59215.252000000008</v>
      </c>
      <c r="N63" s="201">
        <f>M63-M63*H63</f>
        <v>59215.252000000008</v>
      </c>
      <c r="O63" s="201">
        <f>N63/J63/12</f>
        <v>1644.8681111111111</v>
      </c>
      <c r="P63" s="201">
        <f>+O63*12</f>
        <v>19738.417333333335</v>
      </c>
      <c r="Q63" s="201">
        <f>+IF(L63&lt;=$N$5,0,IF(K63&gt;$N$4,P63,(O63*G63)))</f>
        <v>19738.417333333335</v>
      </c>
      <c r="R63" s="201"/>
      <c r="S63" s="201">
        <f>+IF(Q63=0,M63,IF($N$3-F63&lt;1,0,(($N$3-F63)*P63)))</f>
        <v>0</v>
      </c>
      <c r="T63" s="201">
        <f>+IF(Q63=0,S63,S63+Q63)</f>
        <v>19738.417333333335</v>
      </c>
      <c r="U63" s="201">
        <f>+IF(Q63=0,0,((M63-S63)+(M63-T63))/2)</f>
        <v>49346.043333333342</v>
      </c>
    </row>
    <row r="64" spans="1:21">
      <c r="A64" s="3" t="s">
        <v>40</v>
      </c>
      <c r="B64" s="3">
        <v>115352</v>
      </c>
      <c r="D64" s="3">
        <v>606</v>
      </c>
      <c r="E64" s="3" t="s">
        <v>316</v>
      </c>
      <c r="F64" s="3">
        <v>2014</v>
      </c>
      <c r="G64" s="3">
        <v>7</v>
      </c>
      <c r="H64" s="3">
        <v>0</v>
      </c>
      <c r="I64" s="3" t="s">
        <v>52</v>
      </c>
      <c r="J64" s="3">
        <v>3</v>
      </c>
      <c r="K64" s="3">
        <f t="shared" si="9"/>
        <v>2017</v>
      </c>
      <c r="L64" s="172">
        <f t="shared" si="1"/>
        <v>2017.5833333333333</v>
      </c>
      <c r="M64" s="230">
        <v>8754.92</v>
      </c>
      <c r="N64" s="230">
        <f t="shared" si="10"/>
        <v>8754.92</v>
      </c>
      <c r="O64" s="230">
        <f t="shared" si="3"/>
        <v>243.19222222222223</v>
      </c>
      <c r="P64" s="230">
        <f t="shared" si="4"/>
        <v>2918.3066666666668</v>
      </c>
      <c r="Q64" s="230">
        <f t="shared" si="5"/>
        <v>0</v>
      </c>
      <c r="R64" s="230"/>
      <c r="S64" s="230">
        <f t="shared" si="6"/>
        <v>8754.92</v>
      </c>
      <c r="T64" s="230">
        <f t="shared" si="7"/>
        <v>8754.92</v>
      </c>
      <c r="U64" s="230">
        <f t="shared" si="8"/>
        <v>0</v>
      </c>
    </row>
    <row r="65" spans="1:21">
      <c r="A65" s="3" t="s">
        <v>415</v>
      </c>
      <c r="B65" s="3">
        <v>173306</v>
      </c>
      <c r="D65" s="3">
        <v>609</v>
      </c>
      <c r="E65" s="3" t="s">
        <v>446</v>
      </c>
      <c r="F65" s="3">
        <v>2014</v>
      </c>
      <c r="G65" s="3">
        <v>8</v>
      </c>
      <c r="H65" s="3">
        <v>0</v>
      </c>
      <c r="I65" s="3" t="s">
        <v>52</v>
      </c>
      <c r="J65" s="3">
        <v>3</v>
      </c>
      <c r="K65" s="3">
        <f t="shared" si="9"/>
        <v>2017</v>
      </c>
      <c r="L65" s="172">
        <f t="shared" si="1"/>
        <v>2017.6666666666667</v>
      </c>
      <c r="M65" s="230">
        <v>5046.9399999999996</v>
      </c>
      <c r="N65" s="230">
        <f t="shared" si="10"/>
        <v>5046.9399999999996</v>
      </c>
      <c r="O65" s="230">
        <f t="shared" si="3"/>
        <v>140.19277777777776</v>
      </c>
      <c r="P65" s="230">
        <f t="shared" si="4"/>
        <v>1682.313333333333</v>
      </c>
      <c r="Q65" s="230">
        <f t="shared" si="5"/>
        <v>0</v>
      </c>
      <c r="R65" s="230"/>
      <c r="S65" s="230">
        <f t="shared" si="6"/>
        <v>5046.9399999999996</v>
      </c>
      <c r="T65" s="230">
        <f t="shared" si="7"/>
        <v>5046.9399999999996</v>
      </c>
      <c r="U65" s="230">
        <f t="shared" si="8"/>
        <v>0</v>
      </c>
    </row>
    <row r="66" spans="1:21">
      <c r="A66" s="3" t="s">
        <v>415</v>
      </c>
      <c r="B66" s="3">
        <v>173305</v>
      </c>
      <c r="D66" s="3">
        <v>612</v>
      </c>
      <c r="E66" s="3" t="s">
        <v>447</v>
      </c>
      <c r="F66" s="3">
        <v>2014</v>
      </c>
      <c r="G66" s="3">
        <v>7</v>
      </c>
      <c r="H66" s="3">
        <v>0</v>
      </c>
      <c r="I66" s="3" t="s">
        <v>52</v>
      </c>
      <c r="J66" s="3">
        <v>3</v>
      </c>
      <c r="K66" s="3">
        <f t="shared" si="9"/>
        <v>2017</v>
      </c>
      <c r="L66" s="172">
        <f t="shared" si="1"/>
        <v>2017.5833333333333</v>
      </c>
      <c r="M66" s="230">
        <v>18555.36</v>
      </c>
      <c r="N66" s="230">
        <f t="shared" si="10"/>
        <v>18555.36</v>
      </c>
      <c r="O66" s="230">
        <f t="shared" si="3"/>
        <v>515.42666666666662</v>
      </c>
      <c r="P66" s="230">
        <f t="shared" si="4"/>
        <v>6185.119999999999</v>
      </c>
      <c r="Q66" s="230">
        <f t="shared" si="5"/>
        <v>0</v>
      </c>
      <c r="R66" s="230"/>
      <c r="S66" s="230">
        <f t="shared" si="6"/>
        <v>18555.36</v>
      </c>
      <c r="T66" s="230">
        <f t="shared" si="7"/>
        <v>18555.36</v>
      </c>
      <c r="U66" s="230">
        <f t="shared" si="8"/>
        <v>0</v>
      </c>
    </row>
    <row r="67" spans="1:21">
      <c r="A67" s="3" t="s">
        <v>40</v>
      </c>
      <c r="B67" s="3">
        <v>128795</v>
      </c>
      <c r="D67" s="3">
        <v>143</v>
      </c>
      <c r="E67" s="3" t="s">
        <v>333</v>
      </c>
      <c r="F67" s="3">
        <v>2015</v>
      </c>
      <c r="G67" s="3">
        <v>4</v>
      </c>
      <c r="H67" s="3">
        <v>0</v>
      </c>
      <c r="I67" s="3" t="s">
        <v>52</v>
      </c>
      <c r="J67" s="3">
        <v>3</v>
      </c>
      <c r="K67" s="3">
        <f t="shared" si="9"/>
        <v>2018</v>
      </c>
      <c r="L67" s="172">
        <f t="shared" si="1"/>
        <v>2018.3333333333333</v>
      </c>
      <c r="M67" s="230">
        <v>7050.84</v>
      </c>
      <c r="N67" s="230">
        <f t="shared" si="10"/>
        <v>7050.84</v>
      </c>
      <c r="O67" s="230">
        <f t="shared" si="3"/>
        <v>195.85666666666668</v>
      </c>
      <c r="P67" s="230">
        <f t="shared" si="4"/>
        <v>2350.2800000000002</v>
      </c>
      <c r="Q67" s="230">
        <f t="shared" si="5"/>
        <v>0</v>
      </c>
      <c r="R67" s="230"/>
      <c r="S67" s="230">
        <f t="shared" si="6"/>
        <v>7050.84</v>
      </c>
      <c r="T67" s="230">
        <f t="shared" si="7"/>
        <v>7050.84</v>
      </c>
      <c r="U67" s="230">
        <f t="shared" si="8"/>
        <v>0</v>
      </c>
    </row>
    <row r="68" spans="1:21">
      <c r="A68" s="3" t="s">
        <v>415</v>
      </c>
      <c r="B68" s="3">
        <v>173313</v>
      </c>
      <c r="D68" s="3">
        <v>153</v>
      </c>
      <c r="E68" s="3" t="s">
        <v>448</v>
      </c>
      <c r="F68" s="3">
        <v>2015</v>
      </c>
      <c r="G68" s="3">
        <v>10</v>
      </c>
      <c r="H68" s="3">
        <v>0</v>
      </c>
      <c r="I68" s="3" t="s">
        <v>52</v>
      </c>
      <c r="J68" s="3">
        <v>3</v>
      </c>
      <c r="K68" s="3">
        <f t="shared" si="9"/>
        <v>2018</v>
      </c>
      <c r="L68" s="172">
        <f t="shared" si="1"/>
        <v>2018.8333333333333</v>
      </c>
      <c r="M68" s="230">
        <v>7490.62</v>
      </c>
      <c r="N68" s="230">
        <f t="shared" si="10"/>
        <v>7490.62</v>
      </c>
      <c r="O68" s="230">
        <f t="shared" si="3"/>
        <v>208.07277777777779</v>
      </c>
      <c r="P68" s="230">
        <f t="shared" si="4"/>
        <v>2496.8733333333334</v>
      </c>
      <c r="Q68" s="230">
        <f t="shared" si="5"/>
        <v>0</v>
      </c>
      <c r="R68" s="230"/>
      <c r="S68" s="230">
        <f t="shared" si="6"/>
        <v>7490.62</v>
      </c>
      <c r="T68" s="230">
        <f t="shared" si="7"/>
        <v>7490.62</v>
      </c>
      <c r="U68" s="230">
        <f t="shared" si="8"/>
        <v>0</v>
      </c>
    </row>
    <row r="69" spans="1:21">
      <c r="A69" s="3" t="s">
        <v>40</v>
      </c>
      <c r="B69" s="3" t="s">
        <v>424</v>
      </c>
      <c r="E69" s="3" t="s">
        <v>425</v>
      </c>
      <c r="F69" s="3">
        <v>2016</v>
      </c>
      <c r="G69" s="3">
        <v>3</v>
      </c>
      <c r="H69" s="3">
        <v>0</v>
      </c>
      <c r="I69" s="3" t="s">
        <v>52</v>
      </c>
      <c r="J69" s="3">
        <v>1</v>
      </c>
      <c r="K69" s="3">
        <f t="shared" si="9"/>
        <v>2017</v>
      </c>
      <c r="L69" s="172">
        <f t="shared" si="1"/>
        <v>2017.25</v>
      </c>
      <c r="M69" s="230">
        <f>(25892.28+23056.62)/104*22</f>
        <v>10354.574999999999</v>
      </c>
      <c r="N69" s="230">
        <f t="shared" si="10"/>
        <v>10354.574999999999</v>
      </c>
      <c r="O69" s="230">
        <f t="shared" si="3"/>
        <v>862.88124999999991</v>
      </c>
      <c r="P69" s="230">
        <f t="shared" si="4"/>
        <v>10354.574999999999</v>
      </c>
      <c r="Q69" s="230">
        <f t="shared" si="5"/>
        <v>0</v>
      </c>
      <c r="R69" s="230"/>
      <c r="S69" s="230">
        <f t="shared" si="6"/>
        <v>10354.574999999999</v>
      </c>
      <c r="T69" s="230">
        <f t="shared" si="7"/>
        <v>10354.574999999999</v>
      </c>
      <c r="U69" s="230">
        <f t="shared" si="8"/>
        <v>0</v>
      </c>
    </row>
    <row r="70" spans="1:21">
      <c r="A70" s="3" t="s">
        <v>40</v>
      </c>
      <c r="B70" s="3">
        <v>131500</v>
      </c>
      <c r="D70" s="3">
        <v>606</v>
      </c>
      <c r="E70" s="3" t="s">
        <v>394</v>
      </c>
      <c r="F70" s="3">
        <v>2016</v>
      </c>
      <c r="G70" s="3">
        <v>3</v>
      </c>
      <c r="H70" s="3">
        <v>0</v>
      </c>
      <c r="I70" s="3" t="s">
        <v>52</v>
      </c>
      <c r="J70" s="3">
        <v>3</v>
      </c>
      <c r="K70" s="3">
        <f t="shared" si="9"/>
        <v>2019</v>
      </c>
      <c r="L70" s="172">
        <f t="shared" si="1"/>
        <v>2019.25</v>
      </c>
      <c r="M70" s="230">
        <v>20361.07</v>
      </c>
      <c r="N70" s="230">
        <f t="shared" si="10"/>
        <v>20361.07</v>
      </c>
      <c r="O70" s="230">
        <f t="shared" si="3"/>
        <v>565.58527777777783</v>
      </c>
      <c r="P70" s="230">
        <f t="shared" si="4"/>
        <v>6787.0233333333344</v>
      </c>
      <c r="Q70" s="230">
        <f t="shared" si="5"/>
        <v>6787.0233333333344</v>
      </c>
      <c r="R70" s="230"/>
      <c r="S70" s="230">
        <f t="shared" si="6"/>
        <v>6787.0233333333344</v>
      </c>
      <c r="T70" s="230">
        <f t="shared" si="7"/>
        <v>13574.046666666669</v>
      </c>
      <c r="U70" s="230">
        <f t="shared" si="8"/>
        <v>10180.534999999998</v>
      </c>
    </row>
    <row r="71" spans="1:21">
      <c r="A71" s="3" t="s">
        <v>40</v>
      </c>
      <c r="B71" s="3">
        <v>132075</v>
      </c>
      <c r="D71" s="3">
        <v>630</v>
      </c>
      <c r="E71" s="3" t="s">
        <v>396</v>
      </c>
      <c r="F71" s="3">
        <v>2016</v>
      </c>
      <c r="G71" s="3">
        <v>3</v>
      </c>
      <c r="H71" s="3">
        <v>0</v>
      </c>
      <c r="I71" s="3" t="s">
        <v>52</v>
      </c>
      <c r="J71" s="3">
        <v>10</v>
      </c>
      <c r="K71" s="3">
        <f t="shared" si="9"/>
        <v>2026</v>
      </c>
      <c r="L71" s="172">
        <f t="shared" si="1"/>
        <v>2026.25</v>
      </c>
      <c r="M71" s="230">
        <v>287706.76</v>
      </c>
      <c r="N71" s="230">
        <f t="shared" si="10"/>
        <v>287706.76</v>
      </c>
      <c r="O71" s="230">
        <f t="shared" si="3"/>
        <v>2397.5563333333334</v>
      </c>
      <c r="P71" s="230">
        <f t="shared" si="4"/>
        <v>28770.675999999999</v>
      </c>
      <c r="Q71" s="230">
        <f t="shared" si="5"/>
        <v>28770.675999999999</v>
      </c>
      <c r="R71" s="230"/>
      <c r="S71" s="230">
        <f t="shared" si="6"/>
        <v>28770.675999999999</v>
      </c>
      <c r="T71" s="230">
        <f t="shared" si="7"/>
        <v>57541.351999999999</v>
      </c>
      <c r="U71" s="230">
        <f t="shared" si="8"/>
        <v>244550.74599999998</v>
      </c>
    </row>
    <row r="72" spans="1:21">
      <c r="B72" s="3" t="s">
        <v>512</v>
      </c>
      <c r="D72" s="3">
        <v>609</v>
      </c>
      <c r="E72" s="3" t="s">
        <v>513</v>
      </c>
      <c r="F72" s="3">
        <v>2017</v>
      </c>
      <c r="G72" s="3">
        <v>3</v>
      </c>
      <c r="H72" s="3">
        <v>0</v>
      </c>
      <c r="I72" s="3" t="s">
        <v>52</v>
      </c>
      <c r="J72" s="3">
        <v>3</v>
      </c>
      <c r="K72" s="3">
        <f t="shared" si="9"/>
        <v>2020</v>
      </c>
      <c r="L72" s="172">
        <f t="shared" si="1"/>
        <v>2020.25</v>
      </c>
      <c r="M72" s="230">
        <v>15283.31</v>
      </c>
      <c r="N72" s="230">
        <f t="shared" si="10"/>
        <v>15283.31</v>
      </c>
      <c r="O72" s="230">
        <f t="shared" si="3"/>
        <v>424.53638888888889</v>
      </c>
      <c r="P72" s="230">
        <f t="shared" si="4"/>
        <v>5094.4366666666665</v>
      </c>
      <c r="Q72" s="230">
        <f t="shared" si="5"/>
        <v>5094.4366666666665</v>
      </c>
      <c r="R72" s="230"/>
      <c r="S72" s="230">
        <f t="shared" si="6"/>
        <v>0</v>
      </c>
      <c r="T72" s="230">
        <f t="shared" si="7"/>
        <v>5094.4366666666665</v>
      </c>
      <c r="U72" s="230">
        <f t="shared" si="8"/>
        <v>12736.091666666667</v>
      </c>
    </row>
    <row r="73" spans="1:21">
      <c r="B73" s="3">
        <v>178938</v>
      </c>
      <c r="D73" s="3">
        <v>839</v>
      </c>
      <c r="E73" s="3" t="s">
        <v>516</v>
      </c>
      <c r="F73" s="3">
        <v>2017</v>
      </c>
      <c r="G73" s="3">
        <v>3</v>
      </c>
      <c r="H73" s="3">
        <v>0</v>
      </c>
      <c r="I73" s="3" t="s">
        <v>52</v>
      </c>
      <c r="J73" s="3">
        <v>10</v>
      </c>
      <c r="K73" s="3">
        <f t="shared" si="9"/>
        <v>2027</v>
      </c>
      <c r="L73" s="172">
        <f t="shared" si="1"/>
        <v>2027.25</v>
      </c>
      <c r="M73" s="230">
        <v>329412.94</v>
      </c>
      <c r="N73" s="230">
        <f t="shared" si="10"/>
        <v>329412.94</v>
      </c>
      <c r="O73" s="230">
        <f t="shared" si="3"/>
        <v>2745.1078333333335</v>
      </c>
      <c r="P73" s="230">
        <f t="shared" si="4"/>
        <v>32941.294000000002</v>
      </c>
      <c r="Q73" s="230">
        <f t="shared" si="5"/>
        <v>32941.294000000002</v>
      </c>
      <c r="R73" s="230"/>
      <c r="S73" s="230">
        <f t="shared" si="6"/>
        <v>0</v>
      </c>
      <c r="T73" s="230">
        <f t="shared" si="7"/>
        <v>32941.294000000002</v>
      </c>
      <c r="U73" s="230">
        <f t="shared" si="8"/>
        <v>312942.29300000001</v>
      </c>
    </row>
    <row r="74" spans="1:21">
      <c r="B74" s="3">
        <v>179937</v>
      </c>
      <c r="D74" s="3">
        <v>849</v>
      </c>
      <c r="E74" s="3" t="s">
        <v>516</v>
      </c>
      <c r="F74" s="3">
        <v>2017</v>
      </c>
      <c r="G74" s="3">
        <v>3</v>
      </c>
      <c r="H74" s="3">
        <v>0</v>
      </c>
      <c r="I74" s="3" t="s">
        <v>52</v>
      </c>
      <c r="J74" s="3">
        <v>10</v>
      </c>
      <c r="K74" s="3">
        <f t="shared" si="9"/>
        <v>2027</v>
      </c>
      <c r="L74" s="172">
        <f t="shared" si="1"/>
        <v>2027.25</v>
      </c>
      <c r="M74" s="230">
        <v>330469.13</v>
      </c>
      <c r="N74" s="230">
        <f t="shared" si="10"/>
        <v>330469.13</v>
      </c>
      <c r="O74" s="230">
        <f t="shared" si="3"/>
        <v>2753.9094166666669</v>
      </c>
      <c r="P74" s="230">
        <f t="shared" si="4"/>
        <v>33046.913</v>
      </c>
      <c r="Q74" s="230">
        <f t="shared" si="5"/>
        <v>33046.913</v>
      </c>
      <c r="R74" s="230"/>
      <c r="S74" s="230">
        <f t="shared" si="6"/>
        <v>0</v>
      </c>
      <c r="T74" s="230">
        <f t="shared" si="7"/>
        <v>33046.913</v>
      </c>
      <c r="U74" s="230">
        <f t="shared" si="8"/>
        <v>313945.67350000003</v>
      </c>
    </row>
    <row r="75" spans="1:21">
      <c r="B75" s="3">
        <v>178936</v>
      </c>
      <c r="D75" s="3">
        <v>842</v>
      </c>
      <c r="E75" s="3" t="s">
        <v>516</v>
      </c>
      <c r="F75" s="3">
        <v>2017</v>
      </c>
      <c r="G75" s="3">
        <v>3</v>
      </c>
      <c r="H75" s="3">
        <v>0</v>
      </c>
      <c r="I75" s="3" t="s">
        <v>52</v>
      </c>
      <c r="J75" s="3">
        <v>10</v>
      </c>
      <c r="K75" s="3">
        <f t="shared" si="9"/>
        <v>2027</v>
      </c>
      <c r="L75" s="172">
        <f t="shared" si="1"/>
        <v>2027.25</v>
      </c>
      <c r="M75" s="230">
        <v>329574.24</v>
      </c>
      <c r="N75" s="230">
        <f t="shared" si="10"/>
        <v>329574.24</v>
      </c>
      <c r="O75" s="230">
        <f t="shared" si="3"/>
        <v>2746.4519999999998</v>
      </c>
      <c r="P75" s="230">
        <f t="shared" si="4"/>
        <v>32957.423999999999</v>
      </c>
      <c r="Q75" s="230">
        <f t="shared" si="5"/>
        <v>32957.423999999999</v>
      </c>
      <c r="R75" s="230"/>
      <c r="S75" s="230">
        <f t="shared" si="6"/>
        <v>0</v>
      </c>
      <c r="T75" s="230">
        <f t="shared" si="7"/>
        <v>32957.423999999999</v>
      </c>
      <c r="U75" s="230">
        <f t="shared" si="8"/>
        <v>313095.52799999999</v>
      </c>
    </row>
    <row r="76" spans="1:21">
      <c r="B76" s="3">
        <v>178935</v>
      </c>
      <c r="D76" s="3">
        <v>840</v>
      </c>
      <c r="E76" s="3" t="s">
        <v>516</v>
      </c>
      <c r="F76" s="3">
        <v>2017</v>
      </c>
      <c r="G76" s="3">
        <v>3</v>
      </c>
      <c r="H76" s="3">
        <v>0</v>
      </c>
      <c r="I76" s="3" t="s">
        <v>52</v>
      </c>
      <c r="J76" s="3">
        <v>10</v>
      </c>
      <c r="K76" s="3">
        <f t="shared" si="9"/>
        <v>2027</v>
      </c>
      <c r="L76" s="172">
        <f t="shared" si="1"/>
        <v>2027.25</v>
      </c>
      <c r="M76" s="230">
        <v>327597.21000000002</v>
      </c>
      <c r="N76" s="230">
        <f t="shared" si="10"/>
        <v>327597.21000000002</v>
      </c>
      <c r="O76" s="230">
        <f t="shared" si="3"/>
        <v>2729.9767500000003</v>
      </c>
      <c r="P76" s="230">
        <f t="shared" si="4"/>
        <v>32759.721000000005</v>
      </c>
      <c r="Q76" s="230">
        <f t="shared" si="5"/>
        <v>32759.721000000005</v>
      </c>
      <c r="R76" s="230"/>
      <c r="S76" s="230">
        <f t="shared" si="6"/>
        <v>0</v>
      </c>
      <c r="T76" s="230">
        <f t="shared" si="7"/>
        <v>32759.721000000005</v>
      </c>
      <c r="U76" s="230">
        <f t="shared" si="8"/>
        <v>311217.34950000001</v>
      </c>
    </row>
    <row r="77" spans="1:21">
      <c r="B77" s="3">
        <v>178934</v>
      </c>
      <c r="D77" s="3">
        <v>844</v>
      </c>
      <c r="E77" s="3" t="s">
        <v>516</v>
      </c>
      <c r="F77" s="3">
        <v>2017</v>
      </c>
      <c r="G77" s="3">
        <v>3</v>
      </c>
      <c r="H77" s="3">
        <v>0</v>
      </c>
      <c r="I77" s="3" t="s">
        <v>52</v>
      </c>
      <c r="J77" s="3">
        <v>10</v>
      </c>
      <c r="K77" s="3">
        <f t="shared" si="9"/>
        <v>2027</v>
      </c>
      <c r="L77" s="172">
        <f t="shared" si="1"/>
        <v>2027.25</v>
      </c>
      <c r="M77" s="230">
        <v>329869.31</v>
      </c>
      <c r="N77" s="230">
        <f t="shared" si="10"/>
        <v>329869.31</v>
      </c>
      <c r="O77" s="230">
        <f t="shared" si="3"/>
        <v>2748.9109166666663</v>
      </c>
      <c r="P77" s="230">
        <f t="shared" si="4"/>
        <v>32986.930999999997</v>
      </c>
      <c r="Q77" s="230">
        <f t="shared" si="5"/>
        <v>32986.930999999997</v>
      </c>
      <c r="R77" s="230"/>
      <c r="S77" s="230">
        <f t="shared" si="6"/>
        <v>0</v>
      </c>
      <c r="T77" s="230">
        <f t="shared" si="7"/>
        <v>32986.930999999997</v>
      </c>
      <c r="U77" s="230">
        <f t="shared" si="8"/>
        <v>313375.84450000001</v>
      </c>
    </row>
    <row r="78" spans="1:21">
      <c r="B78" s="3">
        <v>178933</v>
      </c>
      <c r="D78" s="3">
        <v>841</v>
      </c>
      <c r="E78" s="3" t="s">
        <v>516</v>
      </c>
      <c r="F78" s="3">
        <v>2017</v>
      </c>
      <c r="G78" s="3">
        <v>3</v>
      </c>
      <c r="H78" s="3">
        <v>0</v>
      </c>
      <c r="I78" s="3" t="s">
        <v>52</v>
      </c>
      <c r="J78" s="3">
        <v>10</v>
      </c>
      <c r="K78" s="3">
        <f t="shared" si="9"/>
        <v>2027</v>
      </c>
      <c r="L78" s="172">
        <f t="shared" si="1"/>
        <v>2027.25</v>
      </c>
      <c r="M78" s="230">
        <v>330173.56</v>
      </c>
      <c r="N78" s="230">
        <f t="shared" si="10"/>
        <v>330173.56</v>
      </c>
      <c r="O78" s="230">
        <f t="shared" si="3"/>
        <v>2751.4463333333333</v>
      </c>
      <c r="P78" s="230">
        <f t="shared" si="4"/>
        <v>33017.356</v>
      </c>
      <c r="Q78" s="230">
        <f t="shared" si="5"/>
        <v>33017.356</v>
      </c>
      <c r="R78" s="230"/>
      <c r="S78" s="230">
        <f t="shared" si="6"/>
        <v>0</v>
      </c>
      <c r="T78" s="230">
        <f t="shared" si="7"/>
        <v>33017.356</v>
      </c>
      <c r="U78" s="230">
        <f t="shared" si="8"/>
        <v>313664.88199999998</v>
      </c>
    </row>
    <row r="79" spans="1:21">
      <c r="B79" s="3">
        <v>178932</v>
      </c>
      <c r="D79" s="3">
        <v>843</v>
      </c>
      <c r="E79" s="3" t="s">
        <v>516</v>
      </c>
      <c r="F79" s="3">
        <v>2017</v>
      </c>
      <c r="G79" s="3">
        <v>3</v>
      </c>
      <c r="H79" s="3">
        <v>0</v>
      </c>
      <c r="I79" s="3" t="s">
        <v>52</v>
      </c>
      <c r="J79" s="3">
        <v>10</v>
      </c>
      <c r="K79" s="3">
        <f t="shared" si="9"/>
        <v>2027</v>
      </c>
      <c r="L79" s="172">
        <f t="shared" si="1"/>
        <v>2027.25</v>
      </c>
      <c r="M79" s="230">
        <v>327489.68</v>
      </c>
      <c r="N79" s="230">
        <f t="shared" si="10"/>
        <v>327489.68</v>
      </c>
      <c r="O79" s="230">
        <f t="shared" si="3"/>
        <v>2729.0806666666667</v>
      </c>
      <c r="P79" s="230">
        <f t="shared" si="4"/>
        <v>32748.968000000001</v>
      </c>
      <c r="Q79" s="230">
        <f t="shared" si="5"/>
        <v>32748.968000000001</v>
      </c>
      <c r="R79" s="230"/>
      <c r="S79" s="230">
        <f t="shared" si="6"/>
        <v>0</v>
      </c>
      <c r="T79" s="230">
        <f t="shared" si="7"/>
        <v>32748.968000000001</v>
      </c>
      <c r="U79" s="230">
        <f t="shared" si="8"/>
        <v>311115.196</v>
      </c>
    </row>
    <row r="80" spans="1:21">
      <c r="B80" s="3">
        <v>178931</v>
      </c>
      <c r="D80" s="3">
        <v>304</v>
      </c>
      <c r="E80" s="3" t="s">
        <v>517</v>
      </c>
      <c r="F80" s="3">
        <v>2017</v>
      </c>
      <c r="G80" s="3">
        <v>3</v>
      </c>
      <c r="H80" s="3">
        <v>0</v>
      </c>
      <c r="I80" s="3" t="s">
        <v>52</v>
      </c>
      <c r="J80" s="3">
        <v>10</v>
      </c>
      <c r="K80" s="3">
        <f t="shared" si="9"/>
        <v>2027</v>
      </c>
      <c r="L80" s="172">
        <f t="shared" si="1"/>
        <v>2027.25</v>
      </c>
      <c r="M80" s="230">
        <v>173960.49</v>
      </c>
      <c r="N80" s="230">
        <f t="shared" si="10"/>
        <v>173960.49</v>
      </c>
      <c r="O80" s="230">
        <f t="shared" si="3"/>
        <v>1449.67075</v>
      </c>
      <c r="P80" s="230">
        <f t="shared" si="4"/>
        <v>17396.048999999999</v>
      </c>
      <c r="Q80" s="230">
        <f t="shared" si="5"/>
        <v>17396.048999999999</v>
      </c>
      <c r="R80" s="230"/>
      <c r="S80" s="230">
        <f t="shared" si="6"/>
        <v>0</v>
      </c>
      <c r="T80" s="230">
        <f t="shared" si="7"/>
        <v>17396.048999999999</v>
      </c>
      <c r="U80" s="230">
        <f t="shared" si="8"/>
        <v>165262.46549999999</v>
      </c>
    </row>
    <row r="81" spans="1:21">
      <c r="B81" s="3">
        <v>178930</v>
      </c>
      <c r="D81" s="3">
        <v>846</v>
      </c>
      <c r="E81" s="3" t="s">
        <v>516</v>
      </c>
      <c r="F81" s="3">
        <v>2017</v>
      </c>
      <c r="G81" s="3">
        <v>3</v>
      </c>
      <c r="H81" s="3">
        <v>0</v>
      </c>
      <c r="I81" s="3" t="s">
        <v>52</v>
      </c>
      <c r="J81" s="3">
        <v>10</v>
      </c>
      <c r="K81" s="3">
        <f t="shared" si="9"/>
        <v>2027</v>
      </c>
      <c r="L81" s="172">
        <f t="shared" si="1"/>
        <v>2027.25</v>
      </c>
      <c r="M81" s="230">
        <v>327150.13</v>
      </c>
      <c r="N81" s="230">
        <f t="shared" si="10"/>
        <v>327150.13</v>
      </c>
      <c r="O81" s="230">
        <f t="shared" si="3"/>
        <v>2726.2510833333331</v>
      </c>
      <c r="P81" s="230">
        <f t="shared" si="4"/>
        <v>32715.012999999999</v>
      </c>
      <c r="Q81" s="230">
        <f t="shared" si="5"/>
        <v>32715.012999999999</v>
      </c>
      <c r="R81" s="230"/>
      <c r="S81" s="230">
        <f t="shared" si="6"/>
        <v>0</v>
      </c>
      <c r="T81" s="230">
        <f t="shared" si="7"/>
        <v>32715.012999999999</v>
      </c>
      <c r="U81" s="230">
        <f t="shared" si="8"/>
        <v>310792.62349999999</v>
      </c>
    </row>
    <row r="82" spans="1:21">
      <c r="B82" s="3">
        <v>178929</v>
      </c>
      <c r="D82" s="3">
        <v>847</v>
      </c>
      <c r="E82" s="3" t="s">
        <v>516</v>
      </c>
      <c r="F82" s="3">
        <v>2017</v>
      </c>
      <c r="G82" s="3">
        <v>3</v>
      </c>
      <c r="H82" s="3">
        <v>0</v>
      </c>
      <c r="I82" s="3" t="s">
        <v>52</v>
      </c>
      <c r="J82" s="3">
        <v>10</v>
      </c>
      <c r="K82" s="3">
        <f t="shared" ref="K82:K91" si="11">F82+J82</f>
        <v>2027</v>
      </c>
      <c r="L82" s="172">
        <f t="shared" si="1"/>
        <v>2027.25</v>
      </c>
      <c r="M82" s="230">
        <v>327150.13</v>
      </c>
      <c r="N82" s="230">
        <f t="shared" ref="N82:N91" si="12">M82-M82*H82</f>
        <v>327150.13</v>
      </c>
      <c r="O82" s="230">
        <f t="shared" si="3"/>
        <v>2726.2510833333331</v>
      </c>
      <c r="P82" s="230">
        <f t="shared" si="4"/>
        <v>32715.012999999999</v>
      </c>
      <c r="Q82" s="230">
        <f t="shared" si="5"/>
        <v>32715.012999999999</v>
      </c>
      <c r="R82" s="230"/>
      <c r="S82" s="230">
        <f t="shared" si="6"/>
        <v>0</v>
      </c>
      <c r="T82" s="230">
        <f t="shared" si="7"/>
        <v>32715.012999999999</v>
      </c>
      <c r="U82" s="230">
        <f t="shared" si="8"/>
        <v>310792.62349999999</v>
      </c>
    </row>
    <row r="83" spans="1:21">
      <c r="B83" s="3">
        <v>178928</v>
      </c>
      <c r="D83" s="3">
        <v>845</v>
      </c>
      <c r="E83" s="3" t="s">
        <v>516</v>
      </c>
      <c r="F83" s="3">
        <v>2017</v>
      </c>
      <c r="G83" s="3">
        <v>3</v>
      </c>
      <c r="H83" s="3">
        <v>0</v>
      </c>
      <c r="I83" s="3" t="s">
        <v>52</v>
      </c>
      <c r="J83" s="3">
        <v>10</v>
      </c>
      <c r="K83" s="3">
        <f t="shared" si="11"/>
        <v>2027</v>
      </c>
      <c r="L83" s="172">
        <f t="shared" ref="L83:L91" si="13">+K83+(G83/12)</f>
        <v>2027.25</v>
      </c>
      <c r="M83" s="230">
        <v>327150.13</v>
      </c>
      <c r="N83" s="230">
        <f t="shared" si="12"/>
        <v>327150.13</v>
      </c>
      <c r="O83" s="230">
        <f t="shared" ref="O83:O91" si="14">N83/J83/12</f>
        <v>2726.2510833333331</v>
      </c>
      <c r="P83" s="230">
        <f t="shared" ref="P83:P91" si="15">+O83*12</f>
        <v>32715.012999999999</v>
      </c>
      <c r="Q83" s="230">
        <f t="shared" ref="Q83:Q91" si="16">+IF(L83&lt;=$N$5,0,IF(K83&gt;$N$4,P83,(O83*G83)))</f>
        <v>32715.012999999999</v>
      </c>
      <c r="R83" s="230"/>
      <c r="S83" s="230">
        <f t="shared" ref="S83:S91" si="17">+IF(Q83=0,M83,IF($N$3-F83&lt;1,0,(($N$3-F83)*P83)))</f>
        <v>0</v>
      </c>
      <c r="T83" s="230">
        <f t="shared" ref="T83:T91" si="18">+IF(Q83=0,S83,S83+Q83)</f>
        <v>32715.012999999999</v>
      </c>
      <c r="U83" s="230">
        <f t="shared" ref="U83:U91" si="19">+IF(Q83=0,0,((M83-S83)+(M83-T83))/2)</f>
        <v>310792.62349999999</v>
      </c>
    </row>
    <row r="84" spans="1:21">
      <c r="B84" s="3">
        <v>178927</v>
      </c>
      <c r="D84" s="3">
        <v>848</v>
      </c>
      <c r="E84" s="3" t="s">
        <v>516</v>
      </c>
      <c r="F84" s="3">
        <v>2017</v>
      </c>
      <c r="G84" s="3">
        <v>3</v>
      </c>
      <c r="H84" s="3">
        <v>0</v>
      </c>
      <c r="I84" s="3" t="s">
        <v>52</v>
      </c>
      <c r="J84" s="3">
        <v>10</v>
      </c>
      <c r="K84" s="3">
        <f t="shared" si="11"/>
        <v>2027</v>
      </c>
      <c r="L84" s="172">
        <f t="shared" si="13"/>
        <v>2027.25</v>
      </c>
      <c r="M84" s="230">
        <v>327150.14</v>
      </c>
      <c r="N84" s="230">
        <f t="shared" si="12"/>
        <v>327150.14</v>
      </c>
      <c r="O84" s="230">
        <f t="shared" si="14"/>
        <v>2726.2511666666669</v>
      </c>
      <c r="P84" s="230">
        <f t="shared" si="15"/>
        <v>32715.014000000003</v>
      </c>
      <c r="Q84" s="230">
        <f t="shared" si="16"/>
        <v>32715.014000000003</v>
      </c>
      <c r="R84" s="230"/>
      <c r="S84" s="230">
        <f t="shared" si="17"/>
        <v>0</v>
      </c>
      <c r="T84" s="230">
        <f t="shared" si="18"/>
        <v>32715.014000000003</v>
      </c>
      <c r="U84" s="230">
        <f t="shared" si="19"/>
        <v>310792.63300000003</v>
      </c>
    </row>
    <row r="85" spans="1:21">
      <c r="B85" s="3" t="s">
        <v>558</v>
      </c>
      <c r="D85" s="3">
        <v>853</v>
      </c>
      <c r="E85" s="3" t="s">
        <v>516</v>
      </c>
      <c r="F85" s="3">
        <v>2017</v>
      </c>
      <c r="G85" s="3">
        <v>6</v>
      </c>
      <c r="H85" s="3">
        <v>0</v>
      </c>
      <c r="I85" s="3" t="s">
        <v>52</v>
      </c>
      <c r="J85" s="3">
        <v>10</v>
      </c>
      <c r="K85" s="3">
        <f t="shared" si="11"/>
        <v>2027</v>
      </c>
      <c r="L85" s="172">
        <f t="shared" si="13"/>
        <v>2027.5</v>
      </c>
      <c r="M85" s="230">
        <f>336597.94+494.55</f>
        <v>337092.49</v>
      </c>
      <c r="N85" s="230">
        <f t="shared" si="12"/>
        <v>337092.49</v>
      </c>
      <c r="O85" s="230">
        <f t="shared" si="14"/>
        <v>2809.1040833333332</v>
      </c>
      <c r="P85" s="230">
        <f t="shared" si="15"/>
        <v>33709.248999999996</v>
      </c>
      <c r="Q85" s="230">
        <f t="shared" si="16"/>
        <v>33709.248999999996</v>
      </c>
      <c r="R85" s="230"/>
      <c r="S85" s="230">
        <f t="shared" si="17"/>
        <v>0</v>
      </c>
      <c r="T85" s="230">
        <f t="shared" si="18"/>
        <v>33709.248999999996</v>
      </c>
      <c r="U85" s="230">
        <f t="shared" si="19"/>
        <v>320237.86549999996</v>
      </c>
    </row>
    <row r="86" spans="1:21">
      <c r="B86" s="3" t="s">
        <v>559</v>
      </c>
      <c r="D86" s="3">
        <v>852</v>
      </c>
      <c r="E86" s="3" t="s">
        <v>516</v>
      </c>
      <c r="F86" s="3">
        <v>2017</v>
      </c>
      <c r="G86" s="3">
        <v>6</v>
      </c>
      <c r="H86" s="3">
        <v>0</v>
      </c>
      <c r="I86" s="3" t="s">
        <v>52</v>
      </c>
      <c r="J86" s="3">
        <v>10</v>
      </c>
      <c r="K86" s="3">
        <f t="shared" si="11"/>
        <v>2027</v>
      </c>
      <c r="L86" s="172">
        <f t="shared" si="13"/>
        <v>2027.5</v>
      </c>
      <c r="M86" s="230">
        <f>336597.94+494.55</f>
        <v>337092.49</v>
      </c>
      <c r="N86" s="230">
        <f t="shared" si="12"/>
        <v>337092.49</v>
      </c>
      <c r="O86" s="230">
        <f t="shared" si="14"/>
        <v>2809.1040833333332</v>
      </c>
      <c r="P86" s="230">
        <f t="shared" si="15"/>
        <v>33709.248999999996</v>
      </c>
      <c r="Q86" s="230">
        <f t="shared" si="16"/>
        <v>33709.248999999996</v>
      </c>
      <c r="R86" s="230"/>
      <c r="S86" s="230">
        <f t="shared" si="17"/>
        <v>0</v>
      </c>
      <c r="T86" s="230">
        <f t="shared" si="18"/>
        <v>33709.248999999996</v>
      </c>
      <c r="U86" s="230">
        <f t="shared" si="19"/>
        <v>320237.86549999996</v>
      </c>
    </row>
    <row r="87" spans="1:21">
      <c r="B87" s="3" t="s">
        <v>609</v>
      </c>
      <c r="D87" s="3">
        <v>851</v>
      </c>
      <c r="E87" s="3" t="s">
        <v>516</v>
      </c>
      <c r="F87" s="3">
        <v>2017</v>
      </c>
      <c r="G87" s="3">
        <v>6</v>
      </c>
      <c r="H87" s="3">
        <v>0</v>
      </c>
      <c r="I87" s="3" t="s">
        <v>52</v>
      </c>
      <c r="J87" s="3">
        <v>10</v>
      </c>
      <c r="K87" s="3">
        <f t="shared" si="11"/>
        <v>2027</v>
      </c>
      <c r="L87" s="172">
        <f t="shared" si="13"/>
        <v>2027.5</v>
      </c>
      <c r="M87" s="230">
        <f>336597.94+494.55</f>
        <v>337092.49</v>
      </c>
      <c r="N87" s="230">
        <f t="shared" si="12"/>
        <v>337092.49</v>
      </c>
      <c r="O87" s="230">
        <f t="shared" si="14"/>
        <v>2809.1040833333332</v>
      </c>
      <c r="P87" s="230">
        <f t="shared" si="15"/>
        <v>33709.248999999996</v>
      </c>
      <c r="Q87" s="230">
        <f t="shared" si="16"/>
        <v>33709.248999999996</v>
      </c>
      <c r="R87" s="230"/>
      <c r="S87" s="230">
        <f t="shared" si="17"/>
        <v>0</v>
      </c>
      <c r="T87" s="230">
        <f t="shared" si="18"/>
        <v>33709.248999999996</v>
      </c>
      <c r="U87" s="230">
        <f t="shared" si="19"/>
        <v>320237.86549999996</v>
      </c>
    </row>
    <row r="88" spans="1:21">
      <c r="B88" s="3">
        <v>198526</v>
      </c>
      <c r="D88" s="3">
        <v>838</v>
      </c>
      <c r="E88" s="3" t="s">
        <v>572</v>
      </c>
      <c r="F88" s="3">
        <v>2016</v>
      </c>
      <c r="G88" s="3">
        <v>7</v>
      </c>
      <c r="H88" s="3">
        <v>0</v>
      </c>
      <c r="I88" s="3" t="s">
        <v>52</v>
      </c>
      <c r="J88" s="3">
        <v>9</v>
      </c>
      <c r="K88" s="3">
        <f t="shared" si="11"/>
        <v>2025</v>
      </c>
      <c r="L88" s="172">
        <f t="shared" si="13"/>
        <v>2025.5833333333333</v>
      </c>
      <c r="M88" s="230">
        <v>327729.78000000003</v>
      </c>
      <c r="N88" s="230">
        <f t="shared" si="12"/>
        <v>327729.78000000003</v>
      </c>
      <c r="O88" s="230">
        <f t="shared" si="14"/>
        <v>3034.5350000000003</v>
      </c>
      <c r="P88" s="230">
        <f t="shared" si="15"/>
        <v>36414.420000000006</v>
      </c>
      <c r="Q88" s="230">
        <f t="shared" si="16"/>
        <v>36414.420000000006</v>
      </c>
      <c r="R88" s="230"/>
      <c r="S88" s="230">
        <f t="shared" si="17"/>
        <v>36414.420000000006</v>
      </c>
      <c r="T88" s="230">
        <f t="shared" si="18"/>
        <v>72828.840000000011</v>
      </c>
      <c r="U88" s="230">
        <f t="shared" si="19"/>
        <v>273108.15000000002</v>
      </c>
    </row>
    <row r="89" spans="1:21">
      <c r="B89" s="3" t="s">
        <v>574</v>
      </c>
      <c r="D89" s="3">
        <v>613</v>
      </c>
      <c r="E89" s="3" t="s">
        <v>573</v>
      </c>
      <c r="F89" s="3">
        <v>2017</v>
      </c>
      <c r="G89" s="3">
        <v>1</v>
      </c>
      <c r="H89" s="3">
        <v>0</v>
      </c>
      <c r="I89" s="3" t="s">
        <v>52</v>
      </c>
      <c r="J89" s="3">
        <v>5</v>
      </c>
      <c r="K89" s="3">
        <f t="shared" si="11"/>
        <v>2022</v>
      </c>
      <c r="L89" s="172">
        <f t="shared" si="13"/>
        <v>2022.0833333333333</v>
      </c>
      <c r="M89" s="230">
        <v>67968.03</v>
      </c>
      <c r="N89" s="230">
        <f t="shared" si="12"/>
        <v>67968.03</v>
      </c>
      <c r="O89" s="230">
        <f t="shared" si="14"/>
        <v>1132.8005000000001</v>
      </c>
      <c r="P89" s="230">
        <f t="shared" si="15"/>
        <v>13593.606</v>
      </c>
      <c r="Q89" s="230">
        <f t="shared" si="16"/>
        <v>13593.606</v>
      </c>
      <c r="R89" s="230"/>
      <c r="S89" s="230">
        <f t="shared" si="17"/>
        <v>0</v>
      </c>
      <c r="T89" s="230">
        <f t="shared" si="18"/>
        <v>13593.606</v>
      </c>
      <c r="U89" s="230">
        <f t="shared" si="19"/>
        <v>61171.226999999999</v>
      </c>
    </row>
    <row r="90" spans="1:21">
      <c r="B90" s="3" t="s">
        <v>575</v>
      </c>
      <c r="D90" s="3">
        <v>850</v>
      </c>
      <c r="E90" s="3" t="s">
        <v>516</v>
      </c>
      <c r="F90" s="3">
        <v>2017</v>
      </c>
      <c r="G90" s="3">
        <v>4</v>
      </c>
      <c r="H90" s="3">
        <v>0</v>
      </c>
      <c r="I90" s="3" t="s">
        <v>52</v>
      </c>
      <c r="J90" s="3">
        <v>10</v>
      </c>
      <c r="K90" s="3">
        <f t="shared" si="11"/>
        <v>2027</v>
      </c>
      <c r="L90" s="172">
        <f t="shared" si="13"/>
        <v>2027.3333333333333</v>
      </c>
      <c r="M90" s="230">
        <f>336597.94+494.55</f>
        <v>337092.49</v>
      </c>
      <c r="N90" s="230">
        <f t="shared" si="12"/>
        <v>337092.49</v>
      </c>
      <c r="O90" s="230">
        <f t="shared" si="14"/>
        <v>2809.1040833333332</v>
      </c>
      <c r="P90" s="230">
        <f t="shared" si="15"/>
        <v>33709.248999999996</v>
      </c>
      <c r="Q90" s="230">
        <f t="shared" si="16"/>
        <v>33709.248999999996</v>
      </c>
      <c r="R90" s="230"/>
      <c r="S90" s="230">
        <f t="shared" si="17"/>
        <v>0</v>
      </c>
      <c r="T90" s="230">
        <f t="shared" si="18"/>
        <v>33709.248999999996</v>
      </c>
      <c r="U90" s="230">
        <f t="shared" si="19"/>
        <v>320237.86549999996</v>
      </c>
    </row>
    <row r="91" spans="1:21">
      <c r="B91" s="3">
        <v>180515</v>
      </c>
      <c r="E91" s="3" t="s">
        <v>580</v>
      </c>
      <c r="F91" s="3">
        <v>2017</v>
      </c>
      <c r="G91" s="3">
        <v>3</v>
      </c>
      <c r="H91" s="3">
        <v>0</v>
      </c>
      <c r="I91" s="3" t="s">
        <v>52</v>
      </c>
      <c r="J91" s="3">
        <v>1</v>
      </c>
      <c r="K91" s="3">
        <f t="shared" si="11"/>
        <v>2018</v>
      </c>
      <c r="L91" s="172">
        <f t="shared" si="13"/>
        <v>2018.25</v>
      </c>
      <c r="M91" s="230">
        <v>6597.75</v>
      </c>
      <c r="N91" s="230">
        <f t="shared" si="12"/>
        <v>6597.75</v>
      </c>
      <c r="O91" s="230">
        <f t="shared" si="14"/>
        <v>549.8125</v>
      </c>
      <c r="P91" s="230">
        <f t="shared" si="15"/>
        <v>6597.75</v>
      </c>
      <c r="Q91" s="230">
        <f t="shared" si="16"/>
        <v>0</v>
      </c>
      <c r="R91" s="230"/>
      <c r="S91" s="230">
        <f t="shared" si="17"/>
        <v>6597.75</v>
      </c>
      <c r="T91" s="230">
        <f t="shared" si="18"/>
        <v>6597.75</v>
      </c>
      <c r="U91" s="230">
        <f t="shared" si="19"/>
        <v>0</v>
      </c>
    </row>
    <row r="92" spans="1:21">
      <c r="A92" s="3" t="s">
        <v>40</v>
      </c>
      <c r="B92" s="3" t="s">
        <v>545</v>
      </c>
      <c r="D92" s="3">
        <v>855</v>
      </c>
      <c r="E92" s="3" t="s">
        <v>507</v>
      </c>
      <c r="F92" s="3">
        <v>2018</v>
      </c>
      <c r="G92" s="3">
        <v>6</v>
      </c>
      <c r="H92" s="3">
        <v>0</v>
      </c>
      <c r="I92" s="3" t="s">
        <v>52</v>
      </c>
      <c r="J92" s="3">
        <v>9</v>
      </c>
      <c r="K92" s="3">
        <f t="shared" ref="K92:K98" si="20">F92+J92</f>
        <v>2027</v>
      </c>
      <c r="L92" s="172">
        <f t="shared" ref="L92:L98" si="21">+K92+(G92/12)</f>
        <v>2027.5</v>
      </c>
      <c r="M92" s="230">
        <f>345746.04+1745</f>
        <v>347491.04</v>
      </c>
      <c r="N92" s="230">
        <f t="shared" ref="N92:N98" si="22">M92-M92*H92</f>
        <v>347491.04</v>
      </c>
      <c r="O92" s="230">
        <f t="shared" ref="O92:O98" si="23">N92/J92/12</f>
        <v>3217.5096296296292</v>
      </c>
      <c r="P92" s="230">
        <f t="shared" ref="P92:P98" si="24">+O92*12</f>
        <v>38610.115555555552</v>
      </c>
      <c r="Q92" s="230">
        <f t="shared" ref="Q92:Q98" si="25">+IF(L92&lt;=$N$5,0,IF(K92&gt;$N$4,P92,(O92*G92)))</f>
        <v>38610.115555555552</v>
      </c>
      <c r="R92" s="230"/>
      <c r="S92" s="230">
        <f t="shared" ref="S92:S98" si="26">+IF(Q92=0,M92,IF($N$3-F92&lt;1,0,(($N$3-F92)*P92)))</f>
        <v>0</v>
      </c>
      <c r="T92" s="230">
        <f t="shared" ref="T92:T98" si="27">+IF(Q92=0,S92,S92+Q92)</f>
        <v>38610.115555555552</v>
      </c>
      <c r="U92" s="230">
        <f t="shared" ref="U92:U98" si="28">+IF(Q92=0,0,((M92-S92)+(M92-T92))/2)</f>
        <v>328185.9822222222</v>
      </c>
    </row>
    <row r="93" spans="1:21">
      <c r="A93" s="3" t="s">
        <v>40</v>
      </c>
      <c r="B93" s="3">
        <v>199164</v>
      </c>
      <c r="D93" s="3">
        <v>854</v>
      </c>
      <c r="E93" s="3" t="s">
        <v>507</v>
      </c>
      <c r="F93" s="3">
        <v>2018</v>
      </c>
      <c r="G93" s="3">
        <v>6</v>
      </c>
      <c r="H93" s="3">
        <v>0</v>
      </c>
      <c r="I93" s="3" t="s">
        <v>52</v>
      </c>
      <c r="J93" s="3">
        <v>9</v>
      </c>
      <c r="K93" s="3">
        <f t="shared" si="20"/>
        <v>2027</v>
      </c>
      <c r="L93" s="172">
        <f t="shared" si="21"/>
        <v>2027.5</v>
      </c>
      <c r="M93" s="230">
        <v>347491.04</v>
      </c>
      <c r="N93" s="230">
        <f t="shared" si="22"/>
        <v>347491.04</v>
      </c>
      <c r="O93" s="230">
        <f t="shared" si="23"/>
        <v>3217.5096296296292</v>
      </c>
      <c r="P93" s="230">
        <f t="shared" si="24"/>
        <v>38610.115555555552</v>
      </c>
      <c r="Q93" s="230">
        <f t="shared" si="25"/>
        <v>38610.115555555552</v>
      </c>
      <c r="R93" s="230"/>
      <c r="S93" s="230">
        <f t="shared" si="26"/>
        <v>0</v>
      </c>
      <c r="T93" s="230">
        <f t="shared" si="27"/>
        <v>38610.115555555552</v>
      </c>
      <c r="U93" s="230">
        <f t="shared" si="28"/>
        <v>328185.9822222222</v>
      </c>
    </row>
    <row r="94" spans="1:21" s="203" customFormat="1">
      <c r="B94" s="203">
        <v>200714</v>
      </c>
      <c r="C94" s="203">
        <v>173078</v>
      </c>
      <c r="E94" s="203" t="s">
        <v>573</v>
      </c>
      <c r="F94" s="203">
        <v>2018</v>
      </c>
      <c r="G94" s="203">
        <v>7</v>
      </c>
      <c r="H94" s="203">
        <v>0</v>
      </c>
      <c r="I94" s="203" t="s">
        <v>52</v>
      </c>
      <c r="J94" s="203">
        <v>3</v>
      </c>
      <c r="K94" s="203">
        <f t="shared" si="20"/>
        <v>2021</v>
      </c>
      <c r="L94" s="204">
        <f t="shared" si="21"/>
        <v>2021.5833333333333</v>
      </c>
      <c r="M94" s="205">
        <v>9099.7199999999993</v>
      </c>
      <c r="N94" s="205">
        <f t="shared" si="22"/>
        <v>9099.7199999999993</v>
      </c>
      <c r="O94" s="205">
        <f t="shared" si="23"/>
        <v>252.76999999999998</v>
      </c>
      <c r="P94" s="205">
        <f t="shared" si="24"/>
        <v>3033.24</v>
      </c>
      <c r="Q94" s="205">
        <f t="shared" si="25"/>
        <v>3033.24</v>
      </c>
      <c r="R94" s="205"/>
      <c r="S94" s="205">
        <f t="shared" si="26"/>
        <v>0</v>
      </c>
      <c r="T94" s="205">
        <f t="shared" si="27"/>
        <v>3033.24</v>
      </c>
      <c r="U94" s="205">
        <f t="shared" si="28"/>
        <v>7583.0999999999995</v>
      </c>
    </row>
    <row r="95" spans="1:21" s="203" customFormat="1">
      <c r="B95" s="203">
        <v>200783</v>
      </c>
      <c r="D95" s="203">
        <v>150</v>
      </c>
      <c r="E95" s="203" t="s">
        <v>906</v>
      </c>
      <c r="F95" s="203">
        <v>2018</v>
      </c>
      <c r="G95" s="203">
        <v>7</v>
      </c>
      <c r="H95" s="203">
        <v>0</v>
      </c>
      <c r="I95" s="203" t="s">
        <v>52</v>
      </c>
      <c r="J95" s="203">
        <v>10</v>
      </c>
      <c r="K95" s="203">
        <f t="shared" si="20"/>
        <v>2028</v>
      </c>
      <c r="L95" s="204">
        <f t="shared" si="21"/>
        <v>2028.5833333333333</v>
      </c>
      <c r="M95" s="205">
        <v>131900.57999999999</v>
      </c>
      <c r="N95" s="205">
        <f t="shared" si="22"/>
        <v>131900.57999999999</v>
      </c>
      <c r="O95" s="205">
        <f t="shared" si="23"/>
        <v>1099.1714999999999</v>
      </c>
      <c r="P95" s="205">
        <f t="shared" si="24"/>
        <v>13190.057999999999</v>
      </c>
      <c r="Q95" s="205">
        <f t="shared" si="25"/>
        <v>13190.057999999999</v>
      </c>
      <c r="R95" s="205"/>
      <c r="S95" s="205">
        <f t="shared" si="26"/>
        <v>0</v>
      </c>
      <c r="T95" s="205">
        <f t="shared" si="27"/>
        <v>13190.057999999999</v>
      </c>
      <c r="U95" s="205">
        <f t="shared" si="28"/>
        <v>125305.55099999998</v>
      </c>
    </row>
    <row r="96" spans="1:21" s="203" customFormat="1">
      <c r="B96" s="203">
        <v>202833</v>
      </c>
      <c r="D96" s="203">
        <v>913</v>
      </c>
      <c r="E96" s="203" t="s">
        <v>907</v>
      </c>
      <c r="F96" s="203">
        <v>2018</v>
      </c>
      <c r="G96" s="203">
        <v>9</v>
      </c>
      <c r="H96" s="203">
        <v>0</v>
      </c>
      <c r="I96" s="203" t="s">
        <v>52</v>
      </c>
      <c r="J96" s="203">
        <v>10</v>
      </c>
      <c r="K96" s="203">
        <f t="shared" si="20"/>
        <v>2028</v>
      </c>
      <c r="L96" s="204">
        <f t="shared" si="21"/>
        <v>2028.75</v>
      </c>
      <c r="M96" s="205">
        <v>330697.77</v>
      </c>
      <c r="N96" s="205">
        <f t="shared" si="22"/>
        <v>330697.77</v>
      </c>
      <c r="O96" s="205">
        <f t="shared" si="23"/>
        <v>2755.81475</v>
      </c>
      <c r="P96" s="205">
        <f t="shared" si="24"/>
        <v>33069.777000000002</v>
      </c>
      <c r="Q96" s="205">
        <f t="shared" si="25"/>
        <v>33069.777000000002</v>
      </c>
      <c r="R96" s="205"/>
      <c r="S96" s="205">
        <f t="shared" si="26"/>
        <v>0</v>
      </c>
      <c r="T96" s="205">
        <f t="shared" si="27"/>
        <v>33069.777000000002</v>
      </c>
      <c r="U96" s="205">
        <f t="shared" si="28"/>
        <v>314162.88150000002</v>
      </c>
    </row>
    <row r="97" spans="1:21" s="203" customFormat="1">
      <c r="B97" s="203">
        <v>202832</v>
      </c>
      <c r="D97" s="203">
        <v>912</v>
      </c>
      <c r="E97" s="203" t="s">
        <v>907</v>
      </c>
      <c r="F97" s="203">
        <v>2018</v>
      </c>
      <c r="G97" s="203">
        <v>9</v>
      </c>
      <c r="H97" s="203">
        <v>0</v>
      </c>
      <c r="I97" s="203" t="s">
        <v>52</v>
      </c>
      <c r="J97" s="203">
        <v>10</v>
      </c>
      <c r="K97" s="203">
        <f t="shared" si="20"/>
        <v>2028</v>
      </c>
      <c r="L97" s="204">
        <f t="shared" si="21"/>
        <v>2028.75</v>
      </c>
      <c r="M97" s="205">
        <v>331358.90999999997</v>
      </c>
      <c r="N97" s="205">
        <f t="shared" si="22"/>
        <v>331358.90999999997</v>
      </c>
      <c r="O97" s="205">
        <f t="shared" si="23"/>
        <v>2761.3242499999997</v>
      </c>
      <c r="P97" s="205">
        <f t="shared" si="24"/>
        <v>33135.890999999996</v>
      </c>
      <c r="Q97" s="205">
        <f t="shared" si="25"/>
        <v>33135.890999999996</v>
      </c>
      <c r="R97" s="205"/>
      <c r="S97" s="205">
        <f t="shared" si="26"/>
        <v>0</v>
      </c>
      <c r="T97" s="205">
        <f t="shared" si="27"/>
        <v>33135.890999999996</v>
      </c>
      <c r="U97" s="205">
        <f t="shared" si="28"/>
        <v>314790.9645</v>
      </c>
    </row>
    <row r="98" spans="1:21" s="203" customFormat="1">
      <c r="B98" s="203">
        <v>203867</v>
      </c>
      <c r="D98" s="203">
        <v>856</v>
      </c>
      <c r="E98" s="203" t="s">
        <v>907</v>
      </c>
      <c r="F98" s="203">
        <v>2018</v>
      </c>
      <c r="G98" s="203">
        <v>10</v>
      </c>
      <c r="H98" s="203">
        <v>0</v>
      </c>
      <c r="I98" s="203" t="s">
        <v>52</v>
      </c>
      <c r="J98" s="203">
        <v>10</v>
      </c>
      <c r="K98" s="203">
        <f t="shared" si="20"/>
        <v>2028</v>
      </c>
      <c r="L98" s="204">
        <f t="shared" si="21"/>
        <v>2028.8333333333333</v>
      </c>
      <c r="M98" s="205">
        <v>350406.5</v>
      </c>
      <c r="N98" s="205">
        <f t="shared" si="22"/>
        <v>350406.5</v>
      </c>
      <c r="O98" s="205">
        <f t="shared" si="23"/>
        <v>2920.0541666666668</v>
      </c>
      <c r="P98" s="205">
        <f t="shared" si="24"/>
        <v>35040.65</v>
      </c>
      <c r="Q98" s="205">
        <f t="shared" si="25"/>
        <v>35040.65</v>
      </c>
      <c r="R98" s="205"/>
      <c r="S98" s="205">
        <f t="shared" si="26"/>
        <v>0</v>
      </c>
      <c r="T98" s="205">
        <f t="shared" si="27"/>
        <v>35040.65</v>
      </c>
      <c r="U98" s="205">
        <f t="shared" si="28"/>
        <v>332886.17499999999</v>
      </c>
    </row>
    <row r="99" spans="1:21">
      <c r="M99" s="230"/>
      <c r="N99" s="230"/>
      <c r="O99" s="230"/>
      <c r="P99" s="230"/>
      <c r="Q99" s="230"/>
      <c r="R99" s="230"/>
      <c r="S99" s="230"/>
      <c r="T99" s="230"/>
      <c r="U99" s="230"/>
    </row>
    <row r="100" spans="1:21">
      <c r="D100" s="169"/>
      <c r="E100" s="169" t="s">
        <v>209</v>
      </c>
      <c r="F100" s="169"/>
      <c r="G100" s="169"/>
      <c r="H100" s="169"/>
      <c r="I100" s="169"/>
      <c r="J100" s="169"/>
      <c r="K100" s="169"/>
      <c r="L100" s="169"/>
      <c r="M100" s="171">
        <f>SUM(M12:M99)</f>
        <v>11458704.104999997</v>
      </c>
      <c r="N100" s="171">
        <f>SUM(N12:N99)</f>
        <v>11458704.104999997</v>
      </c>
      <c r="O100" s="171">
        <f>SUM(O12:O99)</f>
        <v>125136.69352592595</v>
      </c>
      <c r="P100" s="171">
        <f>SUM(P12:P99)</f>
        <v>1501640.322311111</v>
      </c>
      <c r="Q100" s="171">
        <f>SUM(Q12:Q99)</f>
        <v>1168222.1193492061</v>
      </c>
      <c r="R100" s="171"/>
      <c r="S100" s="171">
        <f>SUM(S12:S99)</f>
        <v>2776812.5914761899</v>
      </c>
      <c r="T100" s="171">
        <f>SUM(T12:T99)</f>
        <v>3945034.7108253953</v>
      </c>
      <c r="U100" s="171">
        <f>SUM(U12:U99)</f>
        <v>8097780.4538492057</v>
      </c>
    </row>
    <row r="101" spans="1:21">
      <c r="M101" s="230"/>
      <c r="N101" s="230"/>
      <c r="O101" s="230"/>
      <c r="P101" s="230"/>
      <c r="Q101" s="230"/>
      <c r="R101" s="230"/>
      <c r="S101" s="230"/>
      <c r="T101" s="230"/>
      <c r="U101" s="230"/>
    </row>
    <row r="102" spans="1:21">
      <c r="E102" s="1" t="s">
        <v>588</v>
      </c>
      <c r="M102" s="230"/>
      <c r="N102" s="230"/>
      <c r="O102" s="230"/>
      <c r="P102" s="230"/>
      <c r="Q102" s="230"/>
      <c r="R102" s="230"/>
      <c r="S102" s="230"/>
      <c r="T102" s="230"/>
      <c r="U102" s="230"/>
    </row>
    <row r="103" spans="1:21" s="197" customFormat="1">
      <c r="A103" s="197" t="s">
        <v>40</v>
      </c>
      <c r="B103" s="197">
        <v>28522</v>
      </c>
      <c r="C103" s="197" t="s">
        <v>71</v>
      </c>
      <c r="D103" s="197" t="s">
        <v>94</v>
      </c>
      <c r="E103" s="197" t="s">
        <v>365</v>
      </c>
      <c r="F103" s="197">
        <v>2004</v>
      </c>
      <c r="G103" s="197">
        <v>9</v>
      </c>
      <c r="H103" s="197">
        <v>0</v>
      </c>
      <c r="I103" s="197" t="s">
        <v>52</v>
      </c>
      <c r="J103" s="197">
        <v>7</v>
      </c>
      <c r="K103" s="197">
        <f t="shared" ref="K103:K114" si="29">F103+J103</f>
        <v>2011</v>
      </c>
      <c r="L103" s="172">
        <f t="shared" ref="L103:L114" si="30">+K103+(G103/12)</f>
        <v>2011.75</v>
      </c>
      <c r="M103" s="230">
        <f>+'2111 Trks - Orig'!P141</f>
        <v>53789.440000000002</v>
      </c>
      <c r="N103" s="230">
        <f t="shared" ref="N103:N112" si="31">M103-M103*H103</f>
        <v>53789.440000000002</v>
      </c>
      <c r="O103" s="230">
        <f t="shared" ref="O103:O112" si="32">N103/J103/12</f>
        <v>640.35047619047623</v>
      </c>
      <c r="P103" s="230">
        <f t="shared" ref="P103:P112" si="33">+O103*12</f>
        <v>7684.2057142857147</v>
      </c>
      <c r="Q103" s="230">
        <f t="shared" ref="Q103:Q112" si="34">+IF(L103&lt;=$N$5,0,IF(K103&gt;$N$4,P103,(O103*G103)))</f>
        <v>0</v>
      </c>
      <c r="R103" s="230"/>
      <c r="S103" s="230">
        <f t="shared" ref="S103:S112" si="35">+IF(Q103=0,M103,IF($N$3-F103&lt;1,0,(($N$3-F103)*P103)))</f>
        <v>53789.440000000002</v>
      </c>
      <c r="T103" s="230">
        <f t="shared" ref="T103:T112" si="36">+IF(Q103=0,S103,S103+Q103)</f>
        <v>53789.440000000002</v>
      </c>
      <c r="U103" s="230">
        <f t="shared" ref="U103:U112" si="37">+IF(Q103=0,0,((M103-S103)+(M103-T103))/2)</f>
        <v>0</v>
      </c>
    </row>
    <row r="104" spans="1:21" s="199" customFormat="1">
      <c r="A104" s="200"/>
      <c r="B104" s="200"/>
      <c r="C104" s="200"/>
      <c r="D104" s="200" t="s">
        <v>94</v>
      </c>
      <c r="E104" s="200" t="s">
        <v>653</v>
      </c>
      <c r="F104" s="200">
        <v>2017</v>
      </c>
      <c r="G104" s="200">
        <v>10</v>
      </c>
      <c r="H104" s="200">
        <v>0</v>
      </c>
      <c r="I104" s="200" t="s">
        <v>52</v>
      </c>
      <c r="J104" s="200">
        <f>+IF(K103-$N$3&gt;=3,K103-$N$3,3)</f>
        <v>3</v>
      </c>
      <c r="K104" s="200">
        <f t="shared" si="29"/>
        <v>2020</v>
      </c>
      <c r="L104" s="202">
        <f t="shared" si="30"/>
        <v>2020.8333333333333</v>
      </c>
      <c r="M104" s="201">
        <f>+'2111 Trks - Orig'!N141-'2111 Trks'!M103</f>
        <v>13447.36</v>
      </c>
      <c r="N104" s="201">
        <f t="shared" si="31"/>
        <v>13447.36</v>
      </c>
      <c r="O104" s="201">
        <f t="shared" si="32"/>
        <v>373.53777777777782</v>
      </c>
      <c r="P104" s="201">
        <f t="shared" si="33"/>
        <v>4482.4533333333338</v>
      </c>
      <c r="Q104" s="201">
        <f t="shared" si="34"/>
        <v>4482.4533333333338</v>
      </c>
      <c r="R104" s="201"/>
      <c r="S104" s="201">
        <f t="shared" si="35"/>
        <v>0</v>
      </c>
      <c r="T104" s="201">
        <f t="shared" si="36"/>
        <v>4482.4533333333338</v>
      </c>
      <c r="U104" s="201">
        <f t="shared" si="37"/>
        <v>11206.133333333333</v>
      </c>
    </row>
    <row r="105" spans="1:21" s="197" customFormat="1">
      <c r="A105" s="197" t="s">
        <v>40</v>
      </c>
      <c r="B105" s="197">
        <v>73243</v>
      </c>
      <c r="C105" s="197" t="s">
        <v>71</v>
      </c>
      <c r="D105" s="197" t="s">
        <v>186</v>
      </c>
      <c r="E105" s="197" t="s">
        <v>187</v>
      </c>
      <c r="F105" s="197">
        <v>2010</v>
      </c>
      <c r="G105" s="197">
        <v>3</v>
      </c>
      <c r="H105" s="197">
        <v>0</v>
      </c>
      <c r="I105" s="197" t="s">
        <v>52</v>
      </c>
      <c r="J105" s="197">
        <v>7</v>
      </c>
      <c r="K105" s="197">
        <f t="shared" si="29"/>
        <v>2017</v>
      </c>
      <c r="L105" s="172">
        <f t="shared" si="30"/>
        <v>2017.25</v>
      </c>
      <c r="M105" s="230">
        <f>+'2111 Trks - Orig'!P29</f>
        <v>88515.712000000014</v>
      </c>
      <c r="N105" s="230">
        <f t="shared" si="31"/>
        <v>88515.712000000014</v>
      </c>
      <c r="O105" s="230">
        <f t="shared" si="32"/>
        <v>1053.7584761904764</v>
      </c>
      <c r="P105" s="230">
        <f t="shared" si="33"/>
        <v>12645.101714285716</v>
      </c>
      <c r="Q105" s="230">
        <f t="shared" si="34"/>
        <v>0</v>
      </c>
      <c r="R105" s="230"/>
      <c r="S105" s="230">
        <f t="shared" si="35"/>
        <v>88515.712000000014</v>
      </c>
      <c r="T105" s="230">
        <f t="shared" si="36"/>
        <v>88515.712000000014</v>
      </c>
      <c r="U105" s="230">
        <f t="shared" si="37"/>
        <v>0</v>
      </c>
    </row>
    <row r="106" spans="1:21" s="199" customFormat="1">
      <c r="A106" s="200"/>
      <c r="B106" s="200"/>
      <c r="C106" s="200"/>
      <c r="D106" s="200" t="s">
        <v>186</v>
      </c>
      <c r="E106" s="200" t="s">
        <v>647</v>
      </c>
      <c r="F106" s="200">
        <v>2017</v>
      </c>
      <c r="G106" s="200">
        <v>10</v>
      </c>
      <c r="H106" s="200">
        <v>0</v>
      </c>
      <c r="I106" s="200" t="s">
        <v>52</v>
      </c>
      <c r="J106" s="200">
        <f>+IF(K105-$N$3&gt;=3,K105-$N$3,3)</f>
        <v>3</v>
      </c>
      <c r="K106" s="200">
        <f t="shared" si="29"/>
        <v>2020</v>
      </c>
      <c r="L106" s="202">
        <f t="shared" si="30"/>
        <v>2020.8333333333333</v>
      </c>
      <c r="M106" s="201">
        <f>+'2111 Trks - Orig'!N29-'2111 Trks'!M105</f>
        <v>22128.928</v>
      </c>
      <c r="N106" s="201">
        <f t="shared" si="31"/>
        <v>22128.928</v>
      </c>
      <c r="O106" s="201">
        <f t="shared" si="32"/>
        <v>614.6924444444445</v>
      </c>
      <c r="P106" s="201">
        <f t="shared" si="33"/>
        <v>7376.3093333333345</v>
      </c>
      <c r="Q106" s="201">
        <f t="shared" si="34"/>
        <v>7376.3093333333345</v>
      </c>
      <c r="R106" s="201"/>
      <c r="S106" s="201">
        <f t="shared" si="35"/>
        <v>0</v>
      </c>
      <c r="T106" s="201">
        <f t="shared" si="36"/>
        <v>7376.3093333333345</v>
      </c>
      <c r="U106" s="201">
        <f t="shared" si="37"/>
        <v>18440.773333333331</v>
      </c>
    </row>
    <row r="107" spans="1:21" s="197" customFormat="1">
      <c r="A107" s="197" t="s">
        <v>40</v>
      </c>
      <c r="B107" s="197">
        <v>75741</v>
      </c>
      <c r="C107" s="197" t="s">
        <v>71</v>
      </c>
      <c r="D107" s="197" t="s">
        <v>230</v>
      </c>
      <c r="E107" s="197" t="s">
        <v>231</v>
      </c>
      <c r="F107" s="197">
        <v>2010</v>
      </c>
      <c r="G107" s="197">
        <v>12</v>
      </c>
      <c r="H107" s="197">
        <v>0</v>
      </c>
      <c r="I107" s="197" t="s">
        <v>52</v>
      </c>
      <c r="J107" s="197">
        <v>5</v>
      </c>
      <c r="K107" s="197">
        <f t="shared" si="29"/>
        <v>2015</v>
      </c>
      <c r="L107" s="172">
        <f t="shared" si="30"/>
        <v>2016</v>
      </c>
      <c r="M107" s="230">
        <f>+'2111 Trks - Orig'!P32</f>
        <v>13312.518100000001</v>
      </c>
      <c r="N107" s="230">
        <f t="shared" si="31"/>
        <v>13312.518100000001</v>
      </c>
      <c r="O107" s="230">
        <f t="shared" si="32"/>
        <v>221.8753016666667</v>
      </c>
      <c r="P107" s="230">
        <f t="shared" si="33"/>
        <v>2662.5036200000004</v>
      </c>
      <c r="Q107" s="230">
        <f t="shared" si="34"/>
        <v>0</v>
      </c>
      <c r="R107" s="230"/>
      <c r="S107" s="230">
        <f t="shared" si="35"/>
        <v>13312.518100000001</v>
      </c>
      <c r="T107" s="230">
        <f t="shared" si="36"/>
        <v>13312.518100000001</v>
      </c>
      <c r="U107" s="230">
        <f t="shared" si="37"/>
        <v>0</v>
      </c>
    </row>
    <row r="108" spans="1:21" s="199" customFormat="1">
      <c r="A108" s="200"/>
      <c r="B108" s="200"/>
      <c r="C108" s="200"/>
      <c r="D108" s="200" t="s">
        <v>230</v>
      </c>
      <c r="E108" s="200" t="s">
        <v>640</v>
      </c>
      <c r="F108" s="200">
        <v>2017</v>
      </c>
      <c r="G108" s="200">
        <v>10</v>
      </c>
      <c r="H108" s="200">
        <v>0</v>
      </c>
      <c r="I108" s="200" t="s">
        <v>52</v>
      </c>
      <c r="J108" s="200">
        <f>+IF(K107-$N$3&gt;=3,K107-$N$3,3)</f>
        <v>3</v>
      </c>
      <c r="K108" s="200">
        <f t="shared" si="29"/>
        <v>2020</v>
      </c>
      <c r="L108" s="202">
        <f t="shared" si="30"/>
        <v>2020.8333333333333</v>
      </c>
      <c r="M108" s="201">
        <f>+'2111 Trks - Orig'!N32-'2111 Trks'!M107</f>
        <v>6556.9118999999992</v>
      </c>
      <c r="N108" s="201">
        <f t="shared" si="31"/>
        <v>6556.9118999999992</v>
      </c>
      <c r="O108" s="201">
        <f t="shared" si="32"/>
        <v>182.13644166666666</v>
      </c>
      <c r="P108" s="201">
        <f t="shared" si="33"/>
        <v>2185.6372999999999</v>
      </c>
      <c r="Q108" s="201">
        <f t="shared" si="34"/>
        <v>2185.6372999999999</v>
      </c>
      <c r="R108" s="201"/>
      <c r="S108" s="201">
        <f t="shared" si="35"/>
        <v>0</v>
      </c>
      <c r="T108" s="201">
        <f t="shared" si="36"/>
        <v>2185.6372999999999</v>
      </c>
      <c r="U108" s="201">
        <f t="shared" si="37"/>
        <v>5464.093249999999</v>
      </c>
    </row>
    <row r="109" spans="1:21">
      <c r="A109" s="3" t="s">
        <v>679</v>
      </c>
      <c r="B109" s="3">
        <v>128927</v>
      </c>
      <c r="C109" s="3" t="s">
        <v>71</v>
      </c>
      <c r="D109" s="3" t="s">
        <v>935</v>
      </c>
      <c r="E109" s="3" t="s">
        <v>937</v>
      </c>
      <c r="F109" s="3">
        <v>2015</v>
      </c>
      <c r="G109" s="3">
        <v>12</v>
      </c>
      <c r="H109" s="3">
        <v>0</v>
      </c>
      <c r="I109" s="3" t="s">
        <v>52</v>
      </c>
      <c r="J109" s="3">
        <v>6</v>
      </c>
      <c r="K109" s="3">
        <f>F109+J109</f>
        <v>2021</v>
      </c>
      <c r="L109" s="172">
        <f>+K109+(G109/12)</f>
        <v>2022</v>
      </c>
      <c r="M109" s="230">
        <v>37503.75</v>
      </c>
      <c r="N109" s="230">
        <f>M109-M109*H109</f>
        <v>37503.75</v>
      </c>
      <c r="O109" s="230">
        <f>N109/J109/12</f>
        <v>520.88541666666663</v>
      </c>
      <c r="P109" s="230">
        <f>+O109*12</f>
        <v>6250.625</v>
      </c>
      <c r="Q109" s="230">
        <f>+IF(L109&lt;=$N$5,0,IF(K109&gt;$N$4,P109,(O109*G109)))</f>
        <v>6250.625</v>
      </c>
      <c r="R109" s="230"/>
      <c r="S109" s="230">
        <f>+IF(Q109=0,M109,IF($N$3-F109&lt;1,0,(($N$3-F109)*P109)))</f>
        <v>12501.25</v>
      </c>
      <c r="T109" s="230">
        <f>+IF(Q109=0,S109,S109+Q109)</f>
        <v>18751.875</v>
      </c>
      <c r="U109" s="230">
        <f>+IF(Q109=0,0,((M109-S109)+(M109-T109))/2)</f>
        <v>21877.1875</v>
      </c>
    </row>
    <row r="110" spans="1:21">
      <c r="A110" s="3" t="s">
        <v>679</v>
      </c>
      <c r="B110" s="3">
        <v>128926</v>
      </c>
      <c r="C110" s="3" t="s">
        <v>71</v>
      </c>
      <c r="D110" s="3" t="s">
        <v>936</v>
      </c>
      <c r="E110" s="3" t="s">
        <v>937</v>
      </c>
      <c r="F110" s="3">
        <v>2015</v>
      </c>
      <c r="G110" s="3">
        <v>12</v>
      </c>
      <c r="H110" s="3">
        <v>0</v>
      </c>
      <c r="I110" s="3" t="s">
        <v>52</v>
      </c>
      <c r="J110" s="3">
        <v>6</v>
      </c>
      <c r="K110" s="3">
        <f>F110+J110</f>
        <v>2021</v>
      </c>
      <c r="L110" s="172">
        <f>+K110+(G110/12)</f>
        <v>2022</v>
      </c>
      <c r="M110" s="230">
        <v>37777.5</v>
      </c>
      <c r="N110" s="230">
        <f>M110-M110*H110</f>
        <v>37777.5</v>
      </c>
      <c r="O110" s="230">
        <f>N110/J110/12</f>
        <v>524.6875</v>
      </c>
      <c r="P110" s="230">
        <f>+O110*12</f>
        <v>6296.25</v>
      </c>
      <c r="Q110" s="230">
        <f>+IF(L110&lt;=$N$5,0,IF(K110&gt;$N$4,P110,(O110*G110)))</f>
        <v>6296.25</v>
      </c>
      <c r="R110" s="230"/>
      <c r="S110" s="230">
        <f>+IF(Q110=0,M110,IF($N$3-F110&lt;1,0,(($N$3-F110)*P110)))</f>
        <v>12592.5</v>
      </c>
      <c r="T110" s="230">
        <f>+IF(Q110=0,S110,S110+Q110)</f>
        <v>18888.75</v>
      </c>
      <c r="U110" s="230">
        <f>+IF(Q110=0,0,((M110-S110)+(M110-T110))/2)</f>
        <v>22036.875</v>
      </c>
    </row>
    <row r="111" spans="1:21">
      <c r="A111" s="3" t="s">
        <v>40</v>
      </c>
      <c r="B111" s="3" t="s">
        <v>412</v>
      </c>
      <c r="D111" s="3" t="s">
        <v>417</v>
      </c>
      <c r="E111" s="3" t="s">
        <v>413</v>
      </c>
      <c r="F111" s="3">
        <v>2016</v>
      </c>
      <c r="G111" s="3">
        <v>11</v>
      </c>
      <c r="H111" s="3">
        <v>0</v>
      </c>
      <c r="I111" s="3" t="s">
        <v>52</v>
      </c>
      <c r="J111" s="3">
        <v>5</v>
      </c>
      <c r="K111" s="3">
        <f t="shared" si="29"/>
        <v>2021</v>
      </c>
      <c r="L111" s="172">
        <f t="shared" si="30"/>
        <v>2021.9166666666667</v>
      </c>
      <c r="M111" s="230">
        <f>34500+632.72</f>
        <v>35132.720000000001</v>
      </c>
      <c r="N111" s="230">
        <f t="shared" si="31"/>
        <v>35132.720000000001</v>
      </c>
      <c r="O111" s="230">
        <f t="shared" si="32"/>
        <v>585.54533333333336</v>
      </c>
      <c r="P111" s="230">
        <f t="shared" si="33"/>
        <v>7026.5439999999999</v>
      </c>
      <c r="Q111" s="230">
        <f t="shared" si="34"/>
        <v>7026.5439999999999</v>
      </c>
      <c r="R111" s="230"/>
      <c r="S111" s="230">
        <f t="shared" si="35"/>
        <v>7026.5439999999999</v>
      </c>
      <c r="T111" s="230">
        <f t="shared" si="36"/>
        <v>14053.088</v>
      </c>
      <c r="U111" s="230">
        <f t="shared" si="37"/>
        <v>24592.904000000002</v>
      </c>
    </row>
    <row r="112" spans="1:21">
      <c r="B112" s="3">
        <v>180339</v>
      </c>
      <c r="D112" s="3" t="s">
        <v>589</v>
      </c>
      <c r="E112" s="3" t="s">
        <v>590</v>
      </c>
      <c r="F112" s="3">
        <v>2017</v>
      </c>
      <c r="G112" s="3">
        <v>4</v>
      </c>
      <c r="H112" s="3">
        <v>0</v>
      </c>
      <c r="I112" s="3" t="s">
        <v>52</v>
      </c>
      <c r="J112" s="3">
        <v>5</v>
      </c>
      <c r="K112" s="3">
        <f t="shared" si="29"/>
        <v>2022</v>
      </c>
      <c r="L112" s="172">
        <f t="shared" si="30"/>
        <v>2022.3333333333333</v>
      </c>
      <c r="M112" s="230">
        <v>35072</v>
      </c>
      <c r="N112" s="230">
        <f t="shared" si="31"/>
        <v>35072</v>
      </c>
      <c r="O112" s="230">
        <f t="shared" si="32"/>
        <v>584.5333333333333</v>
      </c>
      <c r="P112" s="230">
        <f t="shared" si="33"/>
        <v>7014.4</v>
      </c>
      <c r="Q112" s="230">
        <f t="shared" si="34"/>
        <v>7014.4</v>
      </c>
      <c r="R112" s="230"/>
      <c r="S112" s="230">
        <f t="shared" si="35"/>
        <v>0</v>
      </c>
      <c r="T112" s="230">
        <f t="shared" si="36"/>
        <v>7014.4</v>
      </c>
      <c r="U112" s="230">
        <f t="shared" si="37"/>
        <v>31564.799999999999</v>
      </c>
    </row>
    <row r="113" spans="1:21" s="203" customFormat="1">
      <c r="B113" s="203">
        <v>202939</v>
      </c>
      <c r="D113" s="203" t="s">
        <v>1024</v>
      </c>
      <c r="E113" s="203" t="s">
        <v>904</v>
      </c>
      <c r="F113" s="203">
        <v>2018</v>
      </c>
      <c r="G113" s="203">
        <v>8</v>
      </c>
      <c r="H113" s="203">
        <v>0</v>
      </c>
      <c r="I113" s="203" t="s">
        <v>52</v>
      </c>
      <c r="J113" s="203">
        <v>7</v>
      </c>
      <c r="K113" s="203">
        <f t="shared" si="29"/>
        <v>2025</v>
      </c>
      <c r="L113" s="204">
        <f t="shared" si="30"/>
        <v>2025.6666666666667</v>
      </c>
      <c r="M113" s="205">
        <v>42500</v>
      </c>
      <c r="N113" s="205">
        <f>M113-M113*H113</f>
        <v>42500</v>
      </c>
      <c r="O113" s="205">
        <f>N113/J113/12</f>
        <v>505.95238095238096</v>
      </c>
      <c r="P113" s="205">
        <f>+O113*12</f>
        <v>6071.4285714285716</v>
      </c>
      <c r="Q113" s="205">
        <f>+IF(L113&lt;=$N$5,0,IF(K113&gt;$N$4,P113,(O113*G113)))</f>
        <v>6071.4285714285716</v>
      </c>
      <c r="R113" s="205"/>
      <c r="S113" s="205">
        <f>+IF(Q113=0,M113,IF($N$3-F113&lt;1,0,(($N$3-F113)*P113)))</f>
        <v>0</v>
      </c>
      <c r="T113" s="205">
        <f>+IF(Q113=0,S113,S113+Q113)</f>
        <v>6071.4285714285716</v>
      </c>
      <c r="U113" s="205">
        <f>+IF(Q113=0,0,((M113-S113)+(M113-T113))/2)</f>
        <v>39464.28571428571</v>
      </c>
    </row>
    <row r="114" spans="1:21">
      <c r="A114" s="3" t="s">
        <v>679</v>
      </c>
      <c r="B114" s="3">
        <v>176459</v>
      </c>
      <c r="D114" s="3" t="s">
        <v>967</v>
      </c>
      <c r="E114" s="3" t="s">
        <v>968</v>
      </c>
      <c r="F114" s="3">
        <v>2017</v>
      </c>
      <c r="G114" s="3">
        <v>1</v>
      </c>
      <c r="H114" s="3">
        <v>0</v>
      </c>
      <c r="I114" s="3" t="s">
        <v>52</v>
      </c>
      <c r="J114" s="3">
        <v>10</v>
      </c>
      <c r="K114" s="3">
        <f t="shared" si="29"/>
        <v>2027</v>
      </c>
      <c r="L114" s="172">
        <f t="shared" si="30"/>
        <v>2027.0833333333333</v>
      </c>
      <c r="M114" s="230">
        <v>191235.68</v>
      </c>
      <c r="N114" s="230">
        <f>M114-M114*H114</f>
        <v>191235.68</v>
      </c>
      <c r="O114" s="230">
        <f>N114/J114/12</f>
        <v>1593.6306666666667</v>
      </c>
      <c r="P114" s="230">
        <f>+O114*12</f>
        <v>19123.567999999999</v>
      </c>
      <c r="Q114" s="230">
        <f>+IF(L114&lt;=$N$5,0,IF(K114&gt;$N$4,P114,(O114*G114)))</f>
        <v>19123.567999999999</v>
      </c>
      <c r="R114" s="230"/>
      <c r="S114" s="230">
        <f>+IF(Q114=0,M114,IF($N$3-F114&lt;1,0,(($N$3-F114)*P114)))</f>
        <v>0</v>
      </c>
      <c r="T114" s="230">
        <f>+IF(Q114=0,S114,S114+Q114)</f>
        <v>19123.567999999999</v>
      </c>
      <c r="U114" s="230">
        <f>+IF(Q114=0,0,((M114-S114)+(M114-T114))/2)</f>
        <v>181673.89600000001</v>
      </c>
    </row>
    <row r="115" spans="1:21">
      <c r="M115" s="230"/>
      <c r="N115" s="230"/>
      <c r="O115" s="230"/>
      <c r="P115" s="230"/>
      <c r="Q115" s="230"/>
      <c r="R115" s="230"/>
      <c r="S115" s="230"/>
      <c r="T115" s="230"/>
      <c r="U115" s="230"/>
    </row>
    <row r="116" spans="1:21">
      <c r="E116" s="169" t="s">
        <v>591</v>
      </c>
      <c r="F116" s="169"/>
      <c r="G116" s="169"/>
      <c r="H116" s="169"/>
      <c r="I116" s="169"/>
      <c r="J116" s="169"/>
      <c r="K116" s="169"/>
      <c r="L116" s="169"/>
      <c r="M116" s="171">
        <f>SUM(M103:M115)</f>
        <v>576972.52</v>
      </c>
      <c r="N116" s="171">
        <f>SUM(N103:N115)</f>
        <v>576972.52</v>
      </c>
      <c r="O116" s="171">
        <f>SUM(O103:O115)</f>
        <v>7401.5855488888883</v>
      </c>
      <c r="P116" s="171">
        <f>SUM(P103:P115)</f>
        <v>88819.026586666674</v>
      </c>
      <c r="Q116" s="171">
        <f>SUM(Q103:Q115)</f>
        <v>65827.215538095246</v>
      </c>
      <c r="R116" s="171"/>
      <c r="S116" s="171">
        <f>SUM(S103:S115)</f>
        <v>187737.96409999998</v>
      </c>
      <c r="T116" s="171">
        <f>SUM(T103:T115)</f>
        <v>253565.17963809526</v>
      </c>
      <c r="U116" s="171">
        <f>SUM(U103:U115)</f>
        <v>356320.94813095237</v>
      </c>
    </row>
    <row r="117" spans="1:21">
      <c r="M117" s="230"/>
      <c r="N117" s="230"/>
      <c r="O117" s="230"/>
      <c r="P117" s="230"/>
      <c r="Q117" s="230"/>
      <c r="R117" s="230"/>
      <c r="S117" s="230"/>
      <c r="T117" s="230"/>
      <c r="U117" s="230"/>
    </row>
    <row r="118" spans="1:21">
      <c r="E118" s="1" t="s">
        <v>183</v>
      </c>
      <c r="M118" s="230"/>
      <c r="N118" s="230"/>
      <c r="O118" s="230"/>
      <c r="P118" s="230"/>
      <c r="Q118" s="230"/>
      <c r="R118" s="230"/>
      <c r="S118" s="230"/>
      <c r="T118" s="230"/>
      <c r="U118" s="230"/>
    </row>
    <row r="119" spans="1:21" s="197" customFormat="1">
      <c r="A119" s="197" t="s">
        <v>40</v>
      </c>
      <c r="B119" s="197">
        <v>115434</v>
      </c>
      <c r="C119" s="197" t="s">
        <v>76</v>
      </c>
      <c r="D119" s="197" t="s">
        <v>353</v>
      </c>
      <c r="E119" s="197" t="s">
        <v>317</v>
      </c>
      <c r="F119" s="197">
        <v>1994</v>
      </c>
      <c r="G119" s="197">
        <v>4</v>
      </c>
      <c r="H119" s="197">
        <v>0</v>
      </c>
      <c r="I119" s="197" t="s">
        <v>52</v>
      </c>
      <c r="J119" s="197">
        <v>7</v>
      </c>
      <c r="K119" s="197">
        <f t="shared" ref="K119:K155" si="38">F119+J119</f>
        <v>2001</v>
      </c>
      <c r="L119" s="172">
        <f t="shared" ref="L119:L184" si="39">+K119+(G119/12)</f>
        <v>2001.3333333333333</v>
      </c>
      <c r="M119" s="230">
        <f>+'2111 Trks - Orig'!P52</f>
        <v>14944.8</v>
      </c>
      <c r="N119" s="230">
        <f>M119-M119*H119</f>
        <v>14944.8</v>
      </c>
      <c r="O119" s="230">
        <f>N119/J119/12</f>
        <v>177.91428571428571</v>
      </c>
      <c r="P119" s="230">
        <f t="shared" ref="P119:P184" si="40">+O119*12</f>
        <v>2134.9714285714285</v>
      </c>
      <c r="Q119" s="230">
        <f>+IF(L119&lt;=$N$5,0,IF(K119&gt;$N$4,P119,(O119*G119)))</f>
        <v>0</v>
      </c>
      <c r="R119" s="230"/>
      <c r="S119" s="230">
        <f>+IF(Q119=0,M119,IF($N$3-F119&lt;1,0,(($N$3-F119)*P119)))</f>
        <v>14944.8</v>
      </c>
      <c r="T119" s="230">
        <f>+IF(Q119=0,S119,S119+Q119)</f>
        <v>14944.8</v>
      </c>
      <c r="U119" s="230">
        <f>+IF(Q119=0,0,((M119-S119)+(M119-T119))/2)</f>
        <v>0</v>
      </c>
    </row>
    <row r="120" spans="1:21" s="199" customFormat="1">
      <c r="A120" s="200"/>
      <c r="B120" s="200"/>
      <c r="C120" s="200"/>
      <c r="D120" s="200" t="s">
        <v>353</v>
      </c>
      <c r="E120" s="200" t="s">
        <v>862</v>
      </c>
      <c r="F120" s="200">
        <v>2017</v>
      </c>
      <c r="G120" s="200">
        <v>10</v>
      </c>
      <c r="H120" s="200">
        <v>0</v>
      </c>
      <c r="I120" s="200" t="s">
        <v>52</v>
      </c>
      <c r="J120" s="200">
        <f>+IF(K119-$N$3&gt;=3,K119-$N$3,3)</f>
        <v>3</v>
      </c>
      <c r="K120" s="200">
        <f>F120+J120</f>
        <v>2020</v>
      </c>
      <c r="L120" s="202">
        <f>+K120+(G120/12)</f>
        <v>2020.8333333333333</v>
      </c>
      <c r="M120" s="201">
        <f>+'2111 Trks - Orig'!N52-'2111 Trks'!M119</f>
        <v>3736.2000000000007</v>
      </c>
      <c r="N120" s="201">
        <f>M120-M120*H120</f>
        <v>3736.2000000000007</v>
      </c>
      <c r="O120" s="201">
        <f>N120/J120/12</f>
        <v>103.78333333333336</v>
      </c>
      <c r="P120" s="201">
        <f>+O120*12</f>
        <v>1245.4000000000003</v>
      </c>
      <c r="Q120" s="201">
        <f>+IF(L120&lt;=$N$5,0,IF(K120&gt;$N$4,P120,(O120*G120)))</f>
        <v>1245.4000000000003</v>
      </c>
      <c r="R120" s="201"/>
      <c r="S120" s="201">
        <f>+IF(Q120=0,M120,IF($N$3-F120&lt;1,0,(($N$3-F120)*P120)))</f>
        <v>0</v>
      </c>
      <c r="T120" s="201">
        <f>+IF(Q120=0,S120,S120+Q120)</f>
        <v>1245.4000000000003</v>
      </c>
      <c r="U120" s="201">
        <f>+IF(Q120=0,0,((M120-S120)+(M120-T120))/2)</f>
        <v>3113.5000000000005</v>
      </c>
    </row>
    <row r="121" spans="1:21" s="197" customFormat="1">
      <c r="A121" s="197" t="s">
        <v>40</v>
      </c>
      <c r="C121" s="197" t="s">
        <v>77</v>
      </c>
      <c r="E121" s="197" t="s">
        <v>80</v>
      </c>
      <c r="F121" s="197">
        <v>1994</v>
      </c>
      <c r="G121" s="197">
        <v>1</v>
      </c>
      <c r="H121" s="197">
        <v>0</v>
      </c>
      <c r="I121" s="197" t="s">
        <v>52</v>
      </c>
      <c r="J121" s="197">
        <v>7</v>
      </c>
      <c r="K121" s="197">
        <f t="shared" si="38"/>
        <v>2001</v>
      </c>
      <c r="L121" s="172">
        <f t="shared" si="39"/>
        <v>2001.0833333333333</v>
      </c>
      <c r="M121" s="230">
        <f>+'2111 Trks - Orig'!P53</f>
        <v>31200</v>
      </c>
      <c r="N121" s="230">
        <f t="shared" ref="N121:N185" si="41">M121-M121*H121</f>
        <v>31200</v>
      </c>
      <c r="O121" s="230">
        <f t="shared" ref="O121:O185" si="42">N121/J121/12</f>
        <v>371.42857142857139</v>
      </c>
      <c r="P121" s="230">
        <f t="shared" si="40"/>
        <v>4457.1428571428569</v>
      </c>
      <c r="Q121" s="230">
        <f t="shared" ref="Q121:Q185" si="43">+IF(L121&lt;=$N$5,0,IF(K121&gt;$N$4,P121,(O121*G121)))</f>
        <v>0</v>
      </c>
      <c r="R121" s="230"/>
      <c r="S121" s="230">
        <f t="shared" ref="S121:S185" si="44">+IF(Q121=0,M121,IF($N$3-F121&lt;1,0,(($N$3-F121)*P121)))</f>
        <v>31200</v>
      </c>
      <c r="T121" s="230">
        <f t="shared" ref="T121:T185" si="45">+IF(Q121=0,S121,S121+Q121)</f>
        <v>31200</v>
      </c>
      <c r="U121" s="230">
        <f t="shared" ref="U121:U185" si="46">+IF(Q121=0,0,((M121-S121)+(M121-T121))/2)</f>
        <v>0</v>
      </c>
    </row>
    <row r="122" spans="1:21" s="199" customFormat="1">
      <c r="A122" s="200"/>
      <c r="B122" s="200"/>
      <c r="C122" s="200"/>
      <c r="D122" s="200" t="s">
        <v>353</v>
      </c>
      <c r="E122" s="200" t="s">
        <v>862</v>
      </c>
      <c r="F122" s="200">
        <v>2017</v>
      </c>
      <c r="G122" s="200">
        <v>10</v>
      </c>
      <c r="H122" s="200">
        <v>0</v>
      </c>
      <c r="I122" s="200" t="s">
        <v>52</v>
      </c>
      <c r="J122" s="200">
        <f>+IF(K121-$N$3&gt;=3,K121-$N$3,3)</f>
        <v>3</v>
      </c>
      <c r="K122" s="200">
        <f>F122+J122</f>
        <v>2020</v>
      </c>
      <c r="L122" s="202">
        <f>+K122+(G122/12)</f>
        <v>2020.8333333333333</v>
      </c>
      <c r="M122" s="201">
        <f>+'2111 Trks - Orig'!N53-'2111 Trks'!M121</f>
        <v>7800</v>
      </c>
      <c r="N122" s="201">
        <f>M122-M122*H122</f>
        <v>7800</v>
      </c>
      <c r="O122" s="201">
        <f>N122/J122/12</f>
        <v>216.66666666666666</v>
      </c>
      <c r="P122" s="201">
        <f>+O122*12</f>
        <v>2600</v>
      </c>
      <c r="Q122" s="201">
        <f>+IF(L122&lt;=$N$5,0,IF(K122&gt;$N$4,P122,(O122*G122)))</f>
        <v>2600</v>
      </c>
      <c r="R122" s="201"/>
      <c r="S122" s="201">
        <f>+IF(Q122=0,M122,IF($N$3-F122&lt;1,0,(($N$3-F122)*P122)))</f>
        <v>0</v>
      </c>
      <c r="T122" s="201">
        <f>+IF(Q122=0,S122,S122+Q122)</f>
        <v>2600</v>
      </c>
      <c r="U122" s="201">
        <f>+IF(Q122=0,0,((M122-S122)+(M122-T122))/2)</f>
        <v>6500</v>
      </c>
    </row>
    <row r="123" spans="1:21" s="197" customFormat="1">
      <c r="A123" s="197" t="s">
        <v>40</v>
      </c>
      <c r="B123" s="197">
        <v>9536</v>
      </c>
      <c r="C123" s="197" t="s">
        <v>176</v>
      </c>
      <c r="D123" s="197">
        <v>169</v>
      </c>
      <c r="E123" s="197" t="s">
        <v>78</v>
      </c>
      <c r="F123" s="197">
        <v>2000</v>
      </c>
      <c r="G123" s="197">
        <v>1</v>
      </c>
      <c r="H123" s="197">
        <v>0</v>
      </c>
      <c r="I123" s="197" t="s">
        <v>52</v>
      </c>
      <c r="J123" s="197">
        <v>7</v>
      </c>
      <c r="K123" s="197">
        <f t="shared" si="38"/>
        <v>2007</v>
      </c>
      <c r="L123" s="172">
        <f t="shared" si="39"/>
        <v>2007.0833333333333</v>
      </c>
      <c r="M123" s="230">
        <f>+'2111 Trks - Orig'!P55</f>
        <v>5675.8720000000003</v>
      </c>
      <c r="N123" s="230">
        <f t="shared" si="41"/>
        <v>5675.8720000000003</v>
      </c>
      <c r="O123" s="230">
        <f t="shared" si="42"/>
        <v>67.569904761904766</v>
      </c>
      <c r="P123" s="230">
        <f t="shared" si="40"/>
        <v>810.83885714285725</v>
      </c>
      <c r="Q123" s="230">
        <f t="shared" si="43"/>
        <v>0</v>
      </c>
      <c r="R123" s="230"/>
      <c r="S123" s="230">
        <f t="shared" si="44"/>
        <v>5675.8720000000003</v>
      </c>
      <c r="T123" s="230">
        <f t="shared" si="45"/>
        <v>5675.8720000000003</v>
      </c>
      <c r="U123" s="230">
        <f t="shared" si="46"/>
        <v>0</v>
      </c>
    </row>
    <row r="124" spans="1:21" s="199" customFormat="1">
      <c r="A124" s="200"/>
      <c r="B124" s="200"/>
      <c r="C124" s="200"/>
      <c r="D124" s="200">
        <v>169</v>
      </c>
      <c r="E124" s="200" t="s">
        <v>863</v>
      </c>
      <c r="F124" s="200">
        <v>2017</v>
      </c>
      <c r="G124" s="200">
        <v>10</v>
      </c>
      <c r="H124" s="200">
        <v>0</v>
      </c>
      <c r="I124" s="200" t="s">
        <v>52</v>
      </c>
      <c r="J124" s="200">
        <f>+IF(K123-$N$3&gt;=3,K123-$N$3,3)</f>
        <v>3</v>
      </c>
      <c r="K124" s="200">
        <f>F124+J124</f>
        <v>2020</v>
      </c>
      <c r="L124" s="202">
        <f>+K124+(G124/12)</f>
        <v>2020.8333333333333</v>
      </c>
      <c r="M124" s="201">
        <f>+'2111 Trks - Orig'!N55-'2111 Trks'!M123</f>
        <v>1418.9679999999998</v>
      </c>
      <c r="N124" s="201">
        <f>M124-M124*H124</f>
        <v>1418.9679999999998</v>
      </c>
      <c r="O124" s="201">
        <f>N124/J124/12</f>
        <v>39.41577777777777</v>
      </c>
      <c r="P124" s="201">
        <f>+O124*12</f>
        <v>472.98933333333321</v>
      </c>
      <c r="Q124" s="201">
        <f>+IF(L124&lt;=$N$5,0,IF(K124&gt;$N$4,P124,(O124*G124)))</f>
        <v>472.98933333333321</v>
      </c>
      <c r="R124" s="201"/>
      <c r="S124" s="201">
        <f>+IF(Q124=0,M124,IF($N$3-F124&lt;1,0,(($N$3-F124)*P124)))</f>
        <v>0</v>
      </c>
      <c r="T124" s="201">
        <f>+IF(Q124=0,S124,S124+Q124)</f>
        <v>472.98933333333321</v>
      </c>
      <c r="U124" s="201">
        <f>+IF(Q124=0,0,((M124-S124)+(M124-T124))/2)</f>
        <v>1182.4733333333334</v>
      </c>
    </row>
    <row r="125" spans="1:21" s="197" customFormat="1">
      <c r="A125" s="197" t="s">
        <v>40</v>
      </c>
      <c r="B125" s="197">
        <v>102347</v>
      </c>
      <c r="C125" s="197" t="s">
        <v>176</v>
      </c>
      <c r="D125" s="197">
        <v>60</v>
      </c>
      <c r="E125" s="197" t="s">
        <v>283</v>
      </c>
      <c r="F125" s="197">
        <v>2002</v>
      </c>
      <c r="G125" s="197">
        <v>6</v>
      </c>
      <c r="H125" s="197">
        <v>0</v>
      </c>
      <c r="I125" s="197" t="s">
        <v>52</v>
      </c>
      <c r="J125" s="197">
        <v>5</v>
      </c>
      <c r="K125" s="197">
        <f t="shared" si="38"/>
        <v>2007</v>
      </c>
      <c r="L125" s="172">
        <f t="shared" si="39"/>
        <v>2007.5</v>
      </c>
      <c r="M125" s="230">
        <f>+'2111 Trks - Orig'!P56</f>
        <v>45639.234199999992</v>
      </c>
      <c r="N125" s="230">
        <f t="shared" si="41"/>
        <v>45639.234199999992</v>
      </c>
      <c r="O125" s="230">
        <f t="shared" si="42"/>
        <v>760.65390333333323</v>
      </c>
      <c r="P125" s="230">
        <f t="shared" si="40"/>
        <v>9127.8468399999983</v>
      </c>
      <c r="Q125" s="230">
        <f t="shared" si="43"/>
        <v>0</v>
      </c>
      <c r="R125" s="230"/>
      <c r="S125" s="230">
        <f t="shared" si="44"/>
        <v>45639.234199999992</v>
      </c>
      <c r="T125" s="230">
        <f t="shared" si="45"/>
        <v>45639.234199999992</v>
      </c>
      <c r="U125" s="230">
        <f t="shared" si="46"/>
        <v>0</v>
      </c>
    </row>
    <row r="126" spans="1:21" s="199" customFormat="1">
      <c r="A126" s="200"/>
      <c r="B126" s="200"/>
      <c r="C126" s="200"/>
      <c r="D126" s="200">
        <v>60</v>
      </c>
      <c r="E126" s="200" t="s">
        <v>864</v>
      </c>
      <c r="F126" s="200">
        <v>2017</v>
      </c>
      <c r="G126" s="200">
        <v>10</v>
      </c>
      <c r="H126" s="200">
        <v>0</v>
      </c>
      <c r="I126" s="200" t="s">
        <v>52</v>
      </c>
      <c r="J126" s="200">
        <f>+IF(K125-$N$3&gt;=3,K125-$N$3,3)</f>
        <v>3</v>
      </c>
      <c r="K126" s="200">
        <f>F126+J126</f>
        <v>2020</v>
      </c>
      <c r="L126" s="202">
        <f>+K126+(G126/12)</f>
        <v>2020.8333333333333</v>
      </c>
      <c r="M126" s="201">
        <f>+'2111 Trks - Orig'!N56-'2111 Trks'!M125</f>
        <v>22479.025800000003</v>
      </c>
      <c r="N126" s="201">
        <f>M126-M126*H126</f>
        <v>22479.025800000003</v>
      </c>
      <c r="O126" s="201">
        <f>N126/J126/12</f>
        <v>624.41738333333342</v>
      </c>
      <c r="P126" s="201">
        <f>+O126*12</f>
        <v>7493.008600000001</v>
      </c>
      <c r="Q126" s="201">
        <f>+IF(L126&lt;=$N$5,0,IF(K126&gt;$N$4,P126,(O126*G126)))</f>
        <v>7493.008600000001</v>
      </c>
      <c r="R126" s="201"/>
      <c r="S126" s="201">
        <f>+IF(Q126=0,M126,IF($N$3-F126&lt;1,0,(($N$3-F126)*P126)))</f>
        <v>0</v>
      </c>
      <c r="T126" s="201">
        <f>+IF(Q126=0,S126,S126+Q126)</f>
        <v>7493.008600000001</v>
      </c>
      <c r="U126" s="201">
        <f>+IF(Q126=0,0,((M126-S126)+(M126-T126))/2)</f>
        <v>18732.521500000003</v>
      </c>
    </row>
    <row r="127" spans="1:21" s="197" customFormat="1">
      <c r="A127" s="197" t="s">
        <v>40</v>
      </c>
      <c r="B127" s="197">
        <v>9536</v>
      </c>
      <c r="C127" s="197" t="s">
        <v>176</v>
      </c>
      <c r="D127" s="197">
        <v>169</v>
      </c>
      <c r="E127" s="197" t="s">
        <v>79</v>
      </c>
      <c r="F127" s="197">
        <v>2003</v>
      </c>
      <c r="G127" s="197">
        <v>1</v>
      </c>
      <c r="H127" s="197">
        <v>0</v>
      </c>
      <c r="I127" s="197" t="s">
        <v>52</v>
      </c>
      <c r="J127" s="197">
        <v>5</v>
      </c>
      <c r="K127" s="197">
        <f t="shared" si="38"/>
        <v>2008</v>
      </c>
      <c r="L127" s="172">
        <f t="shared" si="39"/>
        <v>2008.0833333333333</v>
      </c>
      <c r="M127" s="230">
        <f>+'2111 Trks - Orig'!P57</f>
        <v>35175</v>
      </c>
      <c r="N127" s="230">
        <f t="shared" si="41"/>
        <v>35175</v>
      </c>
      <c r="O127" s="230">
        <f t="shared" si="42"/>
        <v>586.25</v>
      </c>
      <c r="P127" s="230">
        <f t="shared" si="40"/>
        <v>7035</v>
      </c>
      <c r="Q127" s="230">
        <f t="shared" si="43"/>
        <v>0</v>
      </c>
      <c r="R127" s="230"/>
      <c r="S127" s="230">
        <f t="shared" si="44"/>
        <v>35175</v>
      </c>
      <c r="T127" s="230">
        <f t="shared" si="45"/>
        <v>35175</v>
      </c>
      <c r="U127" s="230">
        <f t="shared" si="46"/>
        <v>0</v>
      </c>
    </row>
    <row r="128" spans="1:21" s="199" customFormat="1">
      <c r="A128" s="200"/>
      <c r="B128" s="200"/>
      <c r="C128" s="200"/>
      <c r="D128" s="200">
        <v>169</v>
      </c>
      <c r="E128" s="200" t="s">
        <v>863</v>
      </c>
      <c r="F128" s="200">
        <v>2017</v>
      </c>
      <c r="G128" s="200">
        <v>10</v>
      </c>
      <c r="H128" s="200">
        <v>0</v>
      </c>
      <c r="I128" s="200" t="s">
        <v>52</v>
      </c>
      <c r="J128" s="200">
        <f>+IF(K127-$N$3&gt;=3,K127-$N$3,3)</f>
        <v>3</v>
      </c>
      <c r="K128" s="200">
        <f>F128+J128</f>
        <v>2020</v>
      </c>
      <c r="L128" s="202">
        <f>+K128+(G128/12)</f>
        <v>2020.8333333333333</v>
      </c>
      <c r="M128" s="201">
        <f>+'2111 Trks - Orig'!N57-'2111 Trks'!M127</f>
        <v>17325</v>
      </c>
      <c r="N128" s="201">
        <f>M128-M128*H128</f>
        <v>17325</v>
      </c>
      <c r="O128" s="201">
        <f>N128/J128/12</f>
        <v>481.25</v>
      </c>
      <c r="P128" s="201">
        <f>+O128*12</f>
        <v>5775</v>
      </c>
      <c r="Q128" s="201">
        <f>+IF(L128&lt;=$N$5,0,IF(K128&gt;$N$4,P128,(O128*G128)))</f>
        <v>5775</v>
      </c>
      <c r="R128" s="201"/>
      <c r="S128" s="201">
        <f>+IF(Q128=0,M128,IF($N$3-F128&lt;1,0,(($N$3-F128)*P128)))</f>
        <v>0</v>
      </c>
      <c r="T128" s="201">
        <f>+IF(Q128=0,S128,S128+Q128)</f>
        <v>5775</v>
      </c>
      <c r="U128" s="201">
        <f>+IF(Q128=0,0,((M128-S128)+(M128-T128))/2)</f>
        <v>14437.5</v>
      </c>
    </row>
    <row r="129" spans="1:21" s="197" customFormat="1">
      <c r="A129" s="197" t="s">
        <v>40</v>
      </c>
      <c r="B129" s="197">
        <v>9537</v>
      </c>
      <c r="C129" s="197" t="s">
        <v>176</v>
      </c>
      <c r="D129" s="197">
        <v>168</v>
      </c>
      <c r="E129" s="197" t="s">
        <v>79</v>
      </c>
      <c r="F129" s="197">
        <v>2003</v>
      </c>
      <c r="G129" s="197">
        <v>1</v>
      </c>
      <c r="H129" s="197">
        <v>0</v>
      </c>
      <c r="I129" s="197" t="s">
        <v>52</v>
      </c>
      <c r="J129" s="197">
        <v>5</v>
      </c>
      <c r="K129" s="197">
        <f t="shared" si="38"/>
        <v>2008</v>
      </c>
      <c r="L129" s="172">
        <f t="shared" si="39"/>
        <v>2008.0833333333333</v>
      </c>
      <c r="M129" s="230">
        <f>+'2111 Trks - Orig'!P58</f>
        <v>35175</v>
      </c>
      <c r="N129" s="230">
        <f t="shared" si="41"/>
        <v>35175</v>
      </c>
      <c r="O129" s="230">
        <f t="shared" si="42"/>
        <v>586.25</v>
      </c>
      <c r="P129" s="230">
        <f t="shared" si="40"/>
        <v>7035</v>
      </c>
      <c r="Q129" s="230">
        <f t="shared" si="43"/>
        <v>0</v>
      </c>
      <c r="R129" s="230"/>
      <c r="S129" s="230">
        <f t="shared" si="44"/>
        <v>35175</v>
      </c>
      <c r="T129" s="230">
        <f t="shared" si="45"/>
        <v>35175</v>
      </c>
      <c r="U129" s="230">
        <f t="shared" si="46"/>
        <v>0</v>
      </c>
    </row>
    <row r="130" spans="1:21" s="199" customFormat="1">
      <c r="A130" s="200"/>
      <c r="B130" s="200"/>
      <c r="C130" s="200"/>
      <c r="D130" s="200">
        <v>168</v>
      </c>
      <c r="E130" s="200" t="s">
        <v>865</v>
      </c>
      <c r="F130" s="200">
        <v>2017</v>
      </c>
      <c r="G130" s="200">
        <v>10</v>
      </c>
      <c r="H130" s="200">
        <v>0</v>
      </c>
      <c r="I130" s="200" t="s">
        <v>52</v>
      </c>
      <c r="J130" s="200">
        <f>+IF(K129-$N$3&gt;=3,K129-$N$3,3)</f>
        <v>3</v>
      </c>
      <c r="K130" s="200">
        <f>F130+J130</f>
        <v>2020</v>
      </c>
      <c r="L130" s="202">
        <f>+K130+(G130/12)</f>
        <v>2020.8333333333333</v>
      </c>
      <c r="M130" s="201">
        <f>+'2111 Trks - Orig'!N58-'2111 Trks'!M129</f>
        <v>17325</v>
      </c>
      <c r="N130" s="201">
        <f>M130-M130*H130</f>
        <v>17325</v>
      </c>
      <c r="O130" s="201">
        <f>N130/J130/12</f>
        <v>481.25</v>
      </c>
      <c r="P130" s="201">
        <f>+O130*12</f>
        <v>5775</v>
      </c>
      <c r="Q130" s="201">
        <f>+IF(L130&lt;=$N$5,0,IF(K130&gt;$N$4,P130,(O130*G130)))</f>
        <v>5775</v>
      </c>
      <c r="R130" s="201"/>
      <c r="S130" s="201">
        <f>+IF(Q130=0,M130,IF($N$3-F130&lt;1,0,(($N$3-F130)*P130)))</f>
        <v>0</v>
      </c>
      <c r="T130" s="201">
        <f>+IF(Q130=0,S130,S130+Q130)</f>
        <v>5775</v>
      </c>
      <c r="U130" s="201">
        <f>+IF(Q130=0,0,((M130-S130)+(M130-T130))/2)</f>
        <v>14437.5</v>
      </c>
    </row>
    <row r="131" spans="1:21" s="197" customFormat="1">
      <c r="A131" s="197" t="s">
        <v>40</v>
      </c>
      <c r="B131" s="197">
        <v>107009</v>
      </c>
      <c r="C131" s="197" t="s">
        <v>284</v>
      </c>
      <c r="D131" s="197" t="s">
        <v>354</v>
      </c>
      <c r="E131" s="197" t="s">
        <v>289</v>
      </c>
      <c r="F131" s="197">
        <v>2003</v>
      </c>
      <c r="G131" s="197">
        <v>9</v>
      </c>
      <c r="H131" s="197">
        <v>0</v>
      </c>
      <c r="I131" s="197" t="s">
        <v>52</v>
      </c>
      <c r="J131" s="197">
        <v>7</v>
      </c>
      <c r="K131" s="197">
        <f t="shared" si="38"/>
        <v>2010</v>
      </c>
      <c r="L131" s="172">
        <f t="shared" si="39"/>
        <v>2010.75</v>
      </c>
      <c r="M131" s="230">
        <f>+'2111 Trks - Orig'!P59</f>
        <v>32000</v>
      </c>
      <c r="N131" s="230">
        <f t="shared" si="41"/>
        <v>32000</v>
      </c>
      <c r="O131" s="230">
        <f t="shared" si="42"/>
        <v>380.95238095238096</v>
      </c>
      <c r="P131" s="230">
        <f t="shared" si="40"/>
        <v>4571.4285714285716</v>
      </c>
      <c r="Q131" s="230">
        <f t="shared" si="43"/>
        <v>0</v>
      </c>
      <c r="R131" s="230"/>
      <c r="S131" s="230">
        <f t="shared" si="44"/>
        <v>32000</v>
      </c>
      <c r="T131" s="230">
        <f t="shared" si="45"/>
        <v>32000</v>
      </c>
      <c r="U131" s="230">
        <f t="shared" si="46"/>
        <v>0</v>
      </c>
    </row>
    <row r="132" spans="1:21" s="199" customFormat="1">
      <c r="A132" s="200"/>
      <c r="B132" s="200"/>
      <c r="C132" s="200"/>
      <c r="D132" s="200" t="s">
        <v>354</v>
      </c>
      <c r="E132" s="200" t="s">
        <v>866</v>
      </c>
      <c r="F132" s="200">
        <v>2017</v>
      </c>
      <c r="G132" s="200">
        <v>10</v>
      </c>
      <c r="H132" s="200">
        <v>0</v>
      </c>
      <c r="I132" s="200" t="s">
        <v>52</v>
      </c>
      <c r="J132" s="200">
        <f>+IF(K131-$N$3&gt;=3,K131-$N$3,3)</f>
        <v>3</v>
      </c>
      <c r="K132" s="200">
        <f>F132+J132</f>
        <v>2020</v>
      </c>
      <c r="L132" s="202">
        <f>+K132+(G132/12)</f>
        <v>2020.8333333333333</v>
      </c>
      <c r="M132" s="201">
        <f>+'2111 Trks - Orig'!N59-'2111 Trks'!M131</f>
        <v>8000</v>
      </c>
      <c r="N132" s="201">
        <f>M132-M132*H132</f>
        <v>8000</v>
      </c>
      <c r="O132" s="201">
        <f>N132/J132/12</f>
        <v>222.2222222222222</v>
      </c>
      <c r="P132" s="201">
        <f>+O132*12</f>
        <v>2666.6666666666665</v>
      </c>
      <c r="Q132" s="201">
        <f>+IF(L132&lt;=$N$5,0,IF(K132&gt;$N$4,P132,(O132*G132)))</f>
        <v>2666.6666666666665</v>
      </c>
      <c r="R132" s="201"/>
      <c r="S132" s="201">
        <f>+IF(Q132=0,M132,IF($N$3-F132&lt;1,0,(($N$3-F132)*P132)))</f>
        <v>0</v>
      </c>
      <c r="T132" s="201">
        <f>+IF(Q132=0,S132,S132+Q132)</f>
        <v>2666.6666666666665</v>
      </c>
      <c r="U132" s="201">
        <f>+IF(Q132=0,0,((M132-S132)+(M132-T132))/2)</f>
        <v>6666.666666666667</v>
      </c>
    </row>
    <row r="133" spans="1:21" s="197" customFormat="1">
      <c r="A133" s="197" t="s">
        <v>40</v>
      </c>
      <c r="B133" s="197">
        <v>107008</v>
      </c>
      <c r="C133" s="197" t="s">
        <v>284</v>
      </c>
      <c r="D133" s="197" t="s">
        <v>355</v>
      </c>
      <c r="E133" s="197" t="s">
        <v>289</v>
      </c>
      <c r="F133" s="197">
        <v>2003</v>
      </c>
      <c r="G133" s="197">
        <v>9</v>
      </c>
      <c r="H133" s="197">
        <v>0</v>
      </c>
      <c r="I133" s="197" t="s">
        <v>52</v>
      </c>
      <c r="J133" s="197">
        <v>7</v>
      </c>
      <c r="K133" s="197">
        <f t="shared" si="38"/>
        <v>2010</v>
      </c>
      <c r="L133" s="172">
        <f t="shared" si="39"/>
        <v>2010.75</v>
      </c>
      <c r="M133" s="230">
        <f>+'2111 Trks - Orig'!P60</f>
        <v>32000</v>
      </c>
      <c r="N133" s="230">
        <f t="shared" si="41"/>
        <v>32000</v>
      </c>
      <c r="O133" s="230">
        <f t="shared" si="42"/>
        <v>380.95238095238096</v>
      </c>
      <c r="P133" s="230">
        <f t="shared" si="40"/>
        <v>4571.4285714285716</v>
      </c>
      <c r="Q133" s="230">
        <f t="shared" si="43"/>
        <v>0</v>
      </c>
      <c r="R133" s="230"/>
      <c r="S133" s="230">
        <f t="shared" si="44"/>
        <v>32000</v>
      </c>
      <c r="T133" s="230">
        <f t="shared" si="45"/>
        <v>32000</v>
      </c>
      <c r="U133" s="230">
        <f t="shared" si="46"/>
        <v>0</v>
      </c>
    </row>
    <row r="134" spans="1:21" s="199" customFormat="1">
      <c r="A134" s="200"/>
      <c r="B134" s="200"/>
      <c r="C134" s="200"/>
      <c r="D134" s="200" t="s">
        <v>355</v>
      </c>
      <c r="E134" s="200" t="s">
        <v>867</v>
      </c>
      <c r="F134" s="200">
        <v>2017</v>
      </c>
      <c r="G134" s="200">
        <v>10</v>
      </c>
      <c r="H134" s="200">
        <v>0</v>
      </c>
      <c r="I134" s="200" t="s">
        <v>52</v>
      </c>
      <c r="J134" s="200">
        <f>+IF(K133-$N$3&gt;=3,K133-$N$3,3)</f>
        <v>3</v>
      </c>
      <c r="K134" s="200">
        <f>F134+J134</f>
        <v>2020</v>
      </c>
      <c r="L134" s="202">
        <f>+K134+(G134/12)</f>
        <v>2020.8333333333333</v>
      </c>
      <c r="M134" s="201">
        <f>+'2111 Trks - Orig'!N60-'2111 Trks'!M133</f>
        <v>8000</v>
      </c>
      <c r="N134" s="201">
        <f>M134-M134*H134</f>
        <v>8000</v>
      </c>
      <c r="O134" s="201">
        <f>N134/J134/12</f>
        <v>222.2222222222222</v>
      </c>
      <c r="P134" s="201">
        <f>+O134*12</f>
        <v>2666.6666666666665</v>
      </c>
      <c r="Q134" s="201">
        <f>+IF(L134&lt;=$N$5,0,IF(K134&gt;$N$4,P134,(O134*G134)))</f>
        <v>2666.6666666666665</v>
      </c>
      <c r="R134" s="201"/>
      <c r="S134" s="201">
        <f>+IF(Q134=0,M134,IF($N$3-F134&lt;1,0,(($N$3-F134)*P134)))</f>
        <v>0</v>
      </c>
      <c r="T134" s="201">
        <f>+IF(Q134=0,S134,S134+Q134)</f>
        <v>2666.6666666666665</v>
      </c>
      <c r="U134" s="201">
        <f>+IF(Q134=0,0,((M134-S134)+(M134-T134))/2)</f>
        <v>6666.666666666667</v>
      </c>
    </row>
    <row r="135" spans="1:21" s="197" customFormat="1">
      <c r="A135" s="197" t="s">
        <v>40</v>
      </c>
      <c r="B135" s="197">
        <v>107013</v>
      </c>
      <c r="C135" s="197" t="s">
        <v>284</v>
      </c>
      <c r="D135" s="197" t="s">
        <v>356</v>
      </c>
      <c r="E135" s="197" t="s">
        <v>289</v>
      </c>
      <c r="F135" s="197">
        <v>2003</v>
      </c>
      <c r="G135" s="197">
        <v>9</v>
      </c>
      <c r="H135" s="197">
        <v>0</v>
      </c>
      <c r="I135" s="197" t="s">
        <v>52</v>
      </c>
      <c r="J135" s="197">
        <v>7</v>
      </c>
      <c r="K135" s="197">
        <f t="shared" si="38"/>
        <v>2010</v>
      </c>
      <c r="L135" s="172">
        <f t="shared" si="39"/>
        <v>2010.75</v>
      </c>
      <c r="M135" s="230">
        <f>+'2111 Trks - Orig'!P61</f>
        <v>32000</v>
      </c>
      <c r="N135" s="230">
        <f t="shared" si="41"/>
        <v>32000</v>
      </c>
      <c r="O135" s="230">
        <f t="shared" si="42"/>
        <v>380.95238095238096</v>
      </c>
      <c r="P135" s="230">
        <f t="shared" si="40"/>
        <v>4571.4285714285716</v>
      </c>
      <c r="Q135" s="230">
        <f t="shared" si="43"/>
        <v>0</v>
      </c>
      <c r="R135" s="230"/>
      <c r="S135" s="230">
        <f t="shared" si="44"/>
        <v>32000</v>
      </c>
      <c r="T135" s="230">
        <f t="shared" si="45"/>
        <v>32000</v>
      </c>
      <c r="U135" s="230">
        <f t="shared" si="46"/>
        <v>0</v>
      </c>
    </row>
    <row r="136" spans="1:21" s="199" customFormat="1">
      <c r="A136" s="200"/>
      <c r="B136" s="200"/>
      <c r="C136" s="200"/>
      <c r="D136" s="200" t="s">
        <v>356</v>
      </c>
      <c r="E136" s="200" t="s">
        <v>868</v>
      </c>
      <c r="F136" s="200">
        <v>2017</v>
      </c>
      <c r="G136" s="200">
        <v>10</v>
      </c>
      <c r="H136" s="200">
        <v>0</v>
      </c>
      <c r="I136" s="200" t="s">
        <v>52</v>
      </c>
      <c r="J136" s="200">
        <f>+IF(K135-$N$3&gt;=3,K135-$N$3,3)</f>
        <v>3</v>
      </c>
      <c r="K136" s="200">
        <f>F136+J136</f>
        <v>2020</v>
      </c>
      <c r="L136" s="202">
        <f>+K136+(G136/12)</f>
        <v>2020.8333333333333</v>
      </c>
      <c r="M136" s="201">
        <f>+'2111 Trks - Orig'!N61-'2111 Trks'!M135</f>
        <v>8000</v>
      </c>
      <c r="N136" s="201">
        <f>M136-M136*H136</f>
        <v>8000</v>
      </c>
      <c r="O136" s="201">
        <f>N136/J136/12</f>
        <v>222.2222222222222</v>
      </c>
      <c r="P136" s="201">
        <f>+O136*12</f>
        <v>2666.6666666666665</v>
      </c>
      <c r="Q136" s="201">
        <f>+IF(L136&lt;=$N$5,0,IF(K136&gt;$N$4,P136,(O136*G136)))</f>
        <v>2666.6666666666665</v>
      </c>
      <c r="R136" s="201"/>
      <c r="S136" s="201">
        <f>+IF(Q136=0,M136,IF($N$3-F136&lt;1,0,(($N$3-F136)*P136)))</f>
        <v>0</v>
      </c>
      <c r="T136" s="201">
        <f>+IF(Q136=0,S136,S136+Q136)</f>
        <v>2666.6666666666665</v>
      </c>
      <c r="U136" s="201">
        <f>+IF(Q136=0,0,((M136-S136)+(M136-T136))/2)</f>
        <v>6666.666666666667</v>
      </c>
    </row>
    <row r="137" spans="1:21" s="197" customFormat="1">
      <c r="A137" s="197" t="s">
        <v>40</v>
      </c>
      <c r="B137" s="197">
        <v>107016</v>
      </c>
      <c r="C137" s="197" t="s">
        <v>284</v>
      </c>
      <c r="D137" s="197" t="s">
        <v>357</v>
      </c>
      <c r="E137" s="197" t="s">
        <v>289</v>
      </c>
      <c r="F137" s="197">
        <v>2003</v>
      </c>
      <c r="G137" s="197">
        <v>9</v>
      </c>
      <c r="H137" s="197">
        <v>0</v>
      </c>
      <c r="I137" s="197" t="s">
        <v>52</v>
      </c>
      <c r="J137" s="197">
        <v>7</v>
      </c>
      <c r="K137" s="197">
        <f t="shared" si="38"/>
        <v>2010</v>
      </c>
      <c r="L137" s="172">
        <f t="shared" si="39"/>
        <v>2010.75</v>
      </c>
      <c r="M137" s="230">
        <f>+'2111 Trks - Orig'!P62</f>
        <v>32000</v>
      </c>
      <c r="N137" s="230">
        <f t="shared" si="41"/>
        <v>32000</v>
      </c>
      <c r="O137" s="230">
        <f t="shared" si="42"/>
        <v>380.95238095238096</v>
      </c>
      <c r="P137" s="230">
        <f t="shared" si="40"/>
        <v>4571.4285714285716</v>
      </c>
      <c r="Q137" s="230">
        <f t="shared" si="43"/>
        <v>0</v>
      </c>
      <c r="R137" s="230"/>
      <c r="S137" s="230">
        <f t="shared" si="44"/>
        <v>32000</v>
      </c>
      <c r="T137" s="230">
        <f t="shared" si="45"/>
        <v>32000</v>
      </c>
      <c r="U137" s="230">
        <f t="shared" si="46"/>
        <v>0</v>
      </c>
    </row>
    <row r="138" spans="1:21" s="199" customFormat="1">
      <c r="A138" s="200"/>
      <c r="B138" s="200"/>
      <c r="C138" s="200"/>
      <c r="D138" s="200" t="s">
        <v>357</v>
      </c>
      <c r="E138" s="200" t="s">
        <v>868</v>
      </c>
      <c r="F138" s="200">
        <v>2017</v>
      </c>
      <c r="G138" s="200">
        <v>10</v>
      </c>
      <c r="H138" s="200">
        <v>0</v>
      </c>
      <c r="I138" s="200" t="s">
        <v>52</v>
      </c>
      <c r="J138" s="200">
        <f>+IF(K137-$N$3&gt;=3,K137-$N$3,3)</f>
        <v>3</v>
      </c>
      <c r="K138" s="200">
        <f>F138+J138</f>
        <v>2020</v>
      </c>
      <c r="L138" s="202">
        <f>+K138+(G138/12)</f>
        <v>2020.8333333333333</v>
      </c>
      <c r="M138" s="201">
        <f>+'2111 Trks - Orig'!N62-'2111 Trks'!M137</f>
        <v>8000</v>
      </c>
      <c r="N138" s="201">
        <f>M138-M138*H138</f>
        <v>8000</v>
      </c>
      <c r="O138" s="201">
        <f>N138/J138/12</f>
        <v>222.2222222222222</v>
      </c>
      <c r="P138" s="201">
        <f>+O138*12</f>
        <v>2666.6666666666665</v>
      </c>
      <c r="Q138" s="201">
        <f>+IF(L138&lt;=$N$5,0,IF(K138&gt;$N$4,P138,(O138*G138)))</f>
        <v>2666.6666666666665</v>
      </c>
      <c r="R138" s="201"/>
      <c r="S138" s="201">
        <f>+IF(Q138=0,M138,IF($N$3-F138&lt;1,0,(($N$3-F138)*P138)))</f>
        <v>0</v>
      </c>
      <c r="T138" s="201">
        <f>+IF(Q138=0,S138,S138+Q138)</f>
        <v>2666.6666666666665</v>
      </c>
      <c r="U138" s="201">
        <f>+IF(Q138=0,0,((M138-S138)+(M138-T138))/2)</f>
        <v>6666.666666666667</v>
      </c>
    </row>
    <row r="139" spans="1:21" s="197" customFormat="1">
      <c r="A139" s="197" t="s">
        <v>40</v>
      </c>
      <c r="B139" s="197">
        <v>102350</v>
      </c>
      <c r="C139" s="197" t="s">
        <v>176</v>
      </c>
      <c r="D139" s="197">
        <v>61</v>
      </c>
      <c r="E139" s="197" t="s">
        <v>368</v>
      </c>
      <c r="F139" s="197">
        <v>2004</v>
      </c>
      <c r="G139" s="197">
        <v>1</v>
      </c>
      <c r="H139" s="197">
        <v>0</v>
      </c>
      <c r="I139" s="197" t="s">
        <v>52</v>
      </c>
      <c r="J139" s="197">
        <v>5</v>
      </c>
      <c r="K139" s="197">
        <f t="shared" si="38"/>
        <v>2009</v>
      </c>
      <c r="L139" s="172">
        <f t="shared" si="39"/>
        <v>2009.0833333333333</v>
      </c>
      <c r="M139" s="230">
        <f>+'2111 Trks - Orig'!P63</f>
        <v>34941.779699999999</v>
      </c>
      <c r="N139" s="230">
        <f t="shared" si="41"/>
        <v>34941.779699999999</v>
      </c>
      <c r="O139" s="230">
        <f t="shared" si="42"/>
        <v>582.36299499999996</v>
      </c>
      <c r="P139" s="230">
        <f t="shared" si="40"/>
        <v>6988.3559399999995</v>
      </c>
      <c r="Q139" s="230">
        <f t="shared" si="43"/>
        <v>0</v>
      </c>
      <c r="R139" s="230"/>
      <c r="S139" s="230">
        <f t="shared" si="44"/>
        <v>34941.779699999999</v>
      </c>
      <c r="T139" s="230">
        <f t="shared" si="45"/>
        <v>34941.779699999999</v>
      </c>
      <c r="U139" s="230">
        <f t="shared" si="46"/>
        <v>0</v>
      </c>
    </row>
    <row r="140" spans="1:21" s="199" customFormat="1">
      <c r="A140" s="200"/>
      <c r="B140" s="200"/>
      <c r="C140" s="200"/>
      <c r="D140" s="200">
        <v>61</v>
      </c>
      <c r="E140" s="200" t="s">
        <v>869</v>
      </c>
      <c r="F140" s="200">
        <v>2017</v>
      </c>
      <c r="G140" s="200">
        <v>10</v>
      </c>
      <c r="H140" s="200">
        <v>0</v>
      </c>
      <c r="I140" s="200" t="s">
        <v>52</v>
      </c>
      <c r="J140" s="200">
        <f>+IF(K139-$N$3&gt;=3,K139-$N$3,3)</f>
        <v>3</v>
      </c>
      <c r="K140" s="200">
        <f>F140+J140</f>
        <v>2020</v>
      </c>
      <c r="L140" s="202">
        <f>+K140+(G140/12)</f>
        <v>2020.8333333333333</v>
      </c>
      <c r="M140" s="201">
        <f>+'2111 Trks - Orig'!N63-'2111 Trks'!M139</f>
        <v>17210.130300000004</v>
      </c>
      <c r="N140" s="201">
        <f>M140-M140*H140</f>
        <v>17210.130300000004</v>
      </c>
      <c r="O140" s="201">
        <f>N140/J140/12</f>
        <v>478.0591750000001</v>
      </c>
      <c r="P140" s="201">
        <f>+O140*12</f>
        <v>5736.7101000000011</v>
      </c>
      <c r="Q140" s="201">
        <f>+IF(L140&lt;=$N$5,0,IF(K140&gt;$N$4,P140,(O140*G140)))</f>
        <v>5736.7101000000011</v>
      </c>
      <c r="R140" s="201"/>
      <c r="S140" s="201">
        <f>+IF(Q140=0,M140,IF($N$3-F140&lt;1,0,(($N$3-F140)*P140)))</f>
        <v>0</v>
      </c>
      <c r="T140" s="201">
        <f>+IF(Q140=0,S140,S140+Q140)</f>
        <v>5736.7101000000011</v>
      </c>
      <c r="U140" s="201">
        <f>+IF(Q140=0,0,((M140-S140)+(M140-T140))/2)</f>
        <v>14341.775250000004</v>
      </c>
    </row>
    <row r="141" spans="1:21" s="197" customFormat="1">
      <c r="A141" s="197" t="s">
        <v>40</v>
      </c>
      <c r="B141" s="197">
        <v>39587</v>
      </c>
      <c r="C141" s="197" t="s">
        <v>176</v>
      </c>
      <c r="D141" s="197" t="s">
        <v>367</v>
      </c>
      <c r="E141" s="197" t="s">
        <v>234</v>
      </c>
      <c r="F141" s="197">
        <v>2004</v>
      </c>
      <c r="G141" s="197">
        <v>11</v>
      </c>
      <c r="H141" s="197">
        <v>0</v>
      </c>
      <c r="I141" s="197" t="s">
        <v>52</v>
      </c>
      <c r="J141" s="197">
        <v>7</v>
      </c>
      <c r="K141" s="197">
        <f t="shared" si="38"/>
        <v>2011</v>
      </c>
      <c r="L141" s="172">
        <f t="shared" si="39"/>
        <v>2011.9166666666667</v>
      </c>
      <c r="M141" s="230">
        <f>+'2111 Trks - Orig'!P64</f>
        <v>13400</v>
      </c>
      <c r="N141" s="230">
        <f t="shared" si="41"/>
        <v>13400</v>
      </c>
      <c r="O141" s="230">
        <f t="shared" si="42"/>
        <v>159.52380952380952</v>
      </c>
      <c r="P141" s="230">
        <f t="shared" si="40"/>
        <v>1914.2857142857142</v>
      </c>
      <c r="Q141" s="230">
        <f t="shared" si="43"/>
        <v>0</v>
      </c>
      <c r="R141" s="230"/>
      <c r="S141" s="230">
        <f t="shared" si="44"/>
        <v>13400</v>
      </c>
      <c r="T141" s="230">
        <f t="shared" si="45"/>
        <v>13400</v>
      </c>
      <c r="U141" s="230">
        <f t="shared" si="46"/>
        <v>0</v>
      </c>
    </row>
    <row r="142" spans="1:21" s="199" customFormat="1">
      <c r="A142" s="200"/>
      <c r="B142" s="200"/>
      <c r="C142" s="200"/>
      <c r="D142" s="200" t="s">
        <v>367</v>
      </c>
      <c r="E142" s="200" t="s">
        <v>870</v>
      </c>
      <c r="F142" s="200">
        <v>2017</v>
      </c>
      <c r="G142" s="200">
        <v>10</v>
      </c>
      <c r="H142" s="200">
        <v>0</v>
      </c>
      <c r="I142" s="200" t="s">
        <v>52</v>
      </c>
      <c r="J142" s="200">
        <f>+IF(K141-$N$3&gt;=3,K141-$N$3,3)</f>
        <v>3</v>
      </c>
      <c r="K142" s="200">
        <f>F142+J142</f>
        <v>2020</v>
      </c>
      <c r="L142" s="202">
        <f>+K142+(G142/12)</f>
        <v>2020.8333333333333</v>
      </c>
      <c r="M142" s="201">
        <f>+'2111 Trks - Orig'!N64-'2111 Trks'!M141</f>
        <v>6600</v>
      </c>
      <c r="N142" s="201">
        <f>M142-M142*H142</f>
        <v>6600</v>
      </c>
      <c r="O142" s="201">
        <f>N142/J142/12</f>
        <v>183.33333333333334</v>
      </c>
      <c r="P142" s="201">
        <f>+O142*12</f>
        <v>2200</v>
      </c>
      <c r="Q142" s="201">
        <f>+IF(L142&lt;=$N$5,0,IF(K142&gt;$N$4,P142,(O142*G142)))</f>
        <v>2200</v>
      </c>
      <c r="R142" s="201"/>
      <c r="S142" s="201">
        <f>+IF(Q142=0,M142,IF($N$3-F142&lt;1,0,(($N$3-F142)*P142)))</f>
        <v>0</v>
      </c>
      <c r="T142" s="201">
        <f>+IF(Q142=0,S142,S142+Q142)</f>
        <v>2200</v>
      </c>
      <c r="U142" s="201">
        <f>+IF(Q142=0,0,((M142-S142)+(M142-T142))/2)</f>
        <v>5500</v>
      </c>
    </row>
    <row r="143" spans="1:21" s="197" customFormat="1">
      <c r="A143" s="197" t="s">
        <v>40</v>
      </c>
      <c r="B143" s="197">
        <v>30477</v>
      </c>
      <c r="C143" s="197" t="s">
        <v>76</v>
      </c>
      <c r="D143" s="197" t="s">
        <v>358</v>
      </c>
      <c r="E143" s="197" t="s">
        <v>81</v>
      </c>
      <c r="F143" s="197">
        <v>2005</v>
      </c>
      <c r="G143" s="197">
        <v>1</v>
      </c>
      <c r="H143" s="197">
        <v>0</v>
      </c>
      <c r="I143" s="197" t="s">
        <v>52</v>
      </c>
      <c r="J143" s="197">
        <v>5</v>
      </c>
      <c r="K143" s="197">
        <f t="shared" si="38"/>
        <v>2010</v>
      </c>
      <c r="L143" s="172">
        <f t="shared" si="39"/>
        <v>2010.0833333333333</v>
      </c>
      <c r="M143" s="230">
        <f>+'2111 Trks - Orig'!P66</f>
        <v>25878.080000000002</v>
      </c>
      <c r="N143" s="230">
        <f t="shared" si="41"/>
        <v>25878.080000000002</v>
      </c>
      <c r="O143" s="230">
        <f t="shared" si="42"/>
        <v>431.30133333333333</v>
      </c>
      <c r="P143" s="230">
        <f t="shared" si="40"/>
        <v>5175.616</v>
      </c>
      <c r="Q143" s="230">
        <f t="shared" si="43"/>
        <v>0</v>
      </c>
      <c r="R143" s="230"/>
      <c r="S143" s="230">
        <f t="shared" si="44"/>
        <v>25878.080000000002</v>
      </c>
      <c r="T143" s="230">
        <f t="shared" si="45"/>
        <v>25878.080000000002</v>
      </c>
      <c r="U143" s="230">
        <f t="shared" si="46"/>
        <v>0</v>
      </c>
    </row>
    <row r="144" spans="1:21" s="199" customFormat="1">
      <c r="A144" s="200"/>
      <c r="B144" s="200"/>
      <c r="C144" s="200"/>
      <c r="D144" s="200" t="s">
        <v>358</v>
      </c>
      <c r="E144" s="200" t="s">
        <v>874</v>
      </c>
      <c r="F144" s="200">
        <v>2017</v>
      </c>
      <c r="G144" s="200">
        <v>10</v>
      </c>
      <c r="H144" s="200">
        <v>0</v>
      </c>
      <c r="I144" s="200" t="s">
        <v>52</v>
      </c>
      <c r="J144" s="200">
        <f>+IF(K143-$N$3&gt;=3,K143-$N$3,3)</f>
        <v>3</v>
      </c>
      <c r="K144" s="200">
        <f>F144+J144</f>
        <v>2020</v>
      </c>
      <c r="L144" s="202">
        <f>+K144+(G144/12)</f>
        <v>2020.8333333333333</v>
      </c>
      <c r="M144" s="201">
        <f>+'2111 Trks - Orig'!N66-'2111 Trks'!M143</f>
        <v>12745.919999999998</v>
      </c>
      <c r="N144" s="201">
        <f>M144-M144*H144</f>
        <v>12745.919999999998</v>
      </c>
      <c r="O144" s="201">
        <f>N144/J144/12</f>
        <v>354.05333333333328</v>
      </c>
      <c r="P144" s="201">
        <f>+O144*12</f>
        <v>4248.6399999999994</v>
      </c>
      <c r="Q144" s="201">
        <f>+IF(L144&lt;=$N$5,0,IF(K144&gt;$N$4,P144,(O144*G144)))</f>
        <v>4248.6399999999994</v>
      </c>
      <c r="R144" s="201"/>
      <c r="S144" s="201">
        <f>+IF(Q144=0,M144,IF($N$3-F144&lt;1,0,(($N$3-F144)*P144)))</f>
        <v>0</v>
      </c>
      <c r="T144" s="201">
        <f>+IF(Q144=0,S144,S144+Q144)</f>
        <v>4248.6399999999994</v>
      </c>
      <c r="U144" s="201">
        <f>+IF(Q144=0,0,((M144-S144)+(M144-T144))/2)</f>
        <v>10621.599999999999</v>
      </c>
    </row>
    <row r="145" spans="1:21" s="197" customFormat="1">
      <c r="A145" s="197" t="s">
        <v>40</v>
      </c>
      <c r="B145" s="197">
        <v>30478</v>
      </c>
      <c r="C145" s="197" t="s">
        <v>76</v>
      </c>
      <c r="D145" s="197" t="s">
        <v>359</v>
      </c>
      <c r="E145" s="197" t="s">
        <v>81</v>
      </c>
      <c r="F145" s="197">
        <v>2005</v>
      </c>
      <c r="G145" s="197">
        <v>1</v>
      </c>
      <c r="H145" s="197">
        <v>0</v>
      </c>
      <c r="I145" s="197" t="s">
        <v>52</v>
      </c>
      <c r="J145" s="197">
        <v>5</v>
      </c>
      <c r="K145" s="197">
        <f t="shared" si="38"/>
        <v>2010</v>
      </c>
      <c r="L145" s="172">
        <f t="shared" si="39"/>
        <v>2010.0833333333333</v>
      </c>
      <c r="M145" s="230">
        <f>+'2111 Trks - Orig'!P67</f>
        <v>25149.119999999999</v>
      </c>
      <c r="N145" s="230">
        <f t="shared" si="41"/>
        <v>25149.119999999999</v>
      </c>
      <c r="O145" s="230">
        <f t="shared" si="42"/>
        <v>419.15199999999999</v>
      </c>
      <c r="P145" s="230">
        <f t="shared" si="40"/>
        <v>5029.8239999999996</v>
      </c>
      <c r="Q145" s="230">
        <f t="shared" si="43"/>
        <v>0</v>
      </c>
      <c r="R145" s="230"/>
      <c r="S145" s="230">
        <f t="shared" si="44"/>
        <v>25149.119999999999</v>
      </c>
      <c r="T145" s="230">
        <f t="shared" si="45"/>
        <v>25149.119999999999</v>
      </c>
      <c r="U145" s="230">
        <f t="shared" si="46"/>
        <v>0</v>
      </c>
    </row>
    <row r="146" spans="1:21" s="199" customFormat="1">
      <c r="A146" s="200"/>
      <c r="B146" s="200"/>
      <c r="C146" s="200"/>
      <c r="D146" s="200" t="s">
        <v>359</v>
      </c>
      <c r="E146" s="200" t="s">
        <v>875</v>
      </c>
      <c r="F146" s="200">
        <v>2017</v>
      </c>
      <c r="G146" s="200">
        <v>10</v>
      </c>
      <c r="H146" s="200">
        <v>0</v>
      </c>
      <c r="I146" s="200" t="s">
        <v>52</v>
      </c>
      <c r="J146" s="200">
        <f>+IF(K145-$N$3&gt;=3,K145-$N$3,3)</f>
        <v>3</v>
      </c>
      <c r="K146" s="200">
        <f>F146+J146</f>
        <v>2020</v>
      </c>
      <c r="L146" s="202">
        <f>+K146+(G146/12)</f>
        <v>2020.8333333333333</v>
      </c>
      <c r="M146" s="201">
        <f>+'2111 Trks - Orig'!N67-'2111 Trks'!M145</f>
        <v>12386.880000000001</v>
      </c>
      <c r="N146" s="201">
        <f>M146-M146*H146</f>
        <v>12386.880000000001</v>
      </c>
      <c r="O146" s="201">
        <f>N146/J146/12</f>
        <v>344.08</v>
      </c>
      <c r="P146" s="201">
        <f>+O146*12</f>
        <v>4128.96</v>
      </c>
      <c r="Q146" s="201">
        <f>+IF(L146&lt;=$N$5,0,IF(K146&gt;$N$4,P146,(O146*G146)))</f>
        <v>4128.96</v>
      </c>
      <c r="R146" s="201"/>
      <c r="S146" s="201">
        <f>+IF(Q146=0,M146,IF($N$3-F146&lt;1,0,(($N$3-F146)*P146)))</f>
        <v>0</v>
      </c>
      <c r="T146" s="201">
        <f>+IF(Q146=0,S146,S146+Q146)</f>
        <v>4128.96</v>
      </c>
      <c r="U146" s="201">
        <f>+IF(Q146=0,0,((M146-S146)+(M146-T146))/2)</f>
        <v>10322.400000000001</v>
      </c>
    </row>
    <row r="147" spans="1:21" s="197" customFormat="1">
      <c r="A147" s="197" t="s">
        <v>40</v>
      </c>
      <c r="B147" s="197">
        <v>53225</v>
      </c>
      <c r="C147" s="197" t="s">
        <v>76</v>
      </c>
      <c r="D147" s="197" t="s">
        <v>370</v>
      </c>
      <c r="E147" s="197" t="s">
        <v>371</v>
      </c>
      <c r="F147" s="197">
        <v>2007</v>
      </c>
      <c r="G147" s="197">
        <v>10</v>
      </c>
      <c r="H147" s="197">
        <v>0</v>
      </c>
      <c r="I147" s="197" t="s">
        <v>52</v>
      </c>
      <c r="J147" s="197">
        <v>7</v>
      </c>
      <c r="K147" s="197">
        <f t="shared" si="38"/>
        <v>2014</v>
      </c>
      <c r="L147" s="172">
        <f t="shared" si="39"/>
        <v>2014.8333333333333</v>
      </c>
      <c r="M147" s="230">
        <f>+'2111 Trks - Orig'!P69</f>
        <v>80734.024000000005</v>
      </c>
      <c r="N147" s="230">
        <f t="shared" si="41"/>
        <v>80734.024000000005</v>
      </c>
      <c r="O147" s="230">
        <f t="shared" si="42"/>
        <v>961.11933333333343</v>
      </c>
      <c r="P147" s="230">
        <f t="shared" si="40"/>
        <v>11533.432000000001</v>
      </c>
      <c r="Q147" s="230">
        <f t="shared" si="43"/>
        <v>0</v>
      </c>
      <c r="R147" s="230"/>
      <c r="S147" s="230">
        <f t="shared" si="44"/>
        <v>80734.024000000005</v>
      </c>
      <c r="T147" s="230">
        <f t="shared" si="45"/>
        <v>80734.024000000005</v>
      </c>
      <c r="U147" s="230">
        <f t="shared" si="46"/>
        <v>0</v>
      </c>
    </row>
    <row r="148" spans="1:21" s="199" customFormat="1">
      <c r="A148" s="200"/>
      <c r="B148" s="200"/>
      <c r="C148" s="200"/>
      <c r="D148" s="200" t="s">
        <v>370</v>
      </c>
      <c r="E148" s="200" t="s">
        <v>876</v>
      </c>
      <c r="F148" s="200">
        <v>2017</v>
      </c>
      <c r="G148" s="200">
        <v>10</v>
      </c>
      <c r="H148" s="200">
        <v>0</v>
      </c>
      <c r="I148" s="200" t="s">
        <v>52</v>
      </c>
      <c r="J148" s="200">
        <f>+IF(K147-$N$3&gt;=3,K147-$N$3,3)</f>
        <v>3</v>
      </c>
      <c r="K148" s="200">
        <f>F148+J148</f>
        <v>2020</v>
      </c>
      <c r="L148" s="202">
        <f>+K148+(G148/12)</f>
        <v>2020.8333333333333</v>
      </c>
      <c r="M148" s="201">
        <f>+'2111 Trks - Orig'!N69-'2111 Trks'!M147</f>
        <v>20183.505999999994</v>
      </c>
      <c r="N148" s="201">
        <f>M148-M148*H148</f>
        <v>20183.505999999994</v>
      </c>
      <c r="O148" s="201">
        <f>N148/J148/12</f>
        <v>560.6529444444443</v>
      </c>
      <c r="P148" s="201">
        <f>+O148*12</f>
        <v>6727.8353333333316</v>
      </c>
      <c r="Q148" s="201">
        <f>+IF(L148&lt;=$N$5,0,IF(K148&gt;$N$4,P148,(O148*G148)))</f>
        <v>6727.8353333333316</v>
      </c>
      <c r="R148" s="201"/>
      <c r="S148" s="201">
        <f>+IF(Q148=0,M148,IF($N$3-F148&lt;1,0,(($N$3-F148)*P148)))</f>
        <v>0</v>
      </c>
      <c r="T148" s="201">
        <f>+IF(Q148=0,S148,S148+Q148)</f>
        <v>6727.8353333333316</v>
      </c>
      <c r="U148" s="201">
        <f>+IF(Q148=0,0,((M148-S148)+(M148-T148))/2)</f>
        <v>16819.588333333326</v>
      </c>
    </row>
    <row r="149" spans="1:21" s="197" customFormat="1">
      <c r="A149" s="197" t="s">
        <v>40</v>
      </c>
      <c r="C149" s="197" t="s">
        <v>76</v>
      </c>
      <c r="E149" s="197" t="s">
        <v>166</v>
      </c>
      <c r="F149" s="197">
        <v>2008</v>
      </c>
      <c r="G149" s="197">
        <v>4</v>
      </c>
      <c r="H149" s="197">
        <v>0</v>
      </c>
      <c r="I149" s="197" t="s">
        <v>52</v>
      </c>
      <c r="J149" s="197">
        <v>7</v>
      </c>
      <c r="K149" s="197">
        <f t="shared" si="38"/>
        <v>2015</v>
      </c>
      <c r="L149" s="172">
        <f t="shared" si="39"/>
        <v>2015.3333333333333</v>
      </c>
      <c r="M149" s="230">
        <f>+'2111 Trks - Orig'!P70</f>
        <v>1589.76</v>
      </c>
      <c r="N149" s="230">
        <f t="shared" si="41"/>
        <v>1589.76</v>
      </c>
      <c r="O149" s="230">
        <f t="shared" si="42"/>
        <v>18.925714285714285</v>
      </c>
      <c r="P149" s="230">
        <f t="shared" si="40"/>
        <v>227.10857142857142</v>
      </c>
      <c r="Q149" s="230">
        <f t="shared" si="43"/>
        <v>0</v>
      </c>
      <c r="R149" s="230"/>
      <c r="S149" s="230">
        <f t="shared" si="44"/>
        <v>1589.76</v>
      </c>
      <c r="T149" s="230">
        <f t="shared" si="45"/>
        <v>1589.76</v>
      </c>
      <c r="U149" s="230">
        <f t="shared" si="46"/>
        <v>0</v>
      </c>
    </row>
    <row r="150" spans="1:21" s="199" customFormat="1">
      <c r="A150" s="200"/>
      <c r="B150" s="200"/>
      <c r="C150" s="200"/>
      <c r="D150" s="200"/>
      <c r="E150" s="200" t="s">
        <v>877</v>
      </c>
      <c r="F150" s="200">
        <v>2017</v>
      </c>
      <c r="G150" s="200">
        <v>10</v>
      </c>
      <c r="H150" s="200">
        <v>0</v>
      </c>
      <c r="I150" s="200" t="s">
        <v>52</v>
      </c>
      <c r="J150" s="200">
        <f>+IF(K149-$N$3&gt;=3,K149-$N$3,3)</f>
        <v>3</v>
      </c>
      <c r="K150" s="200">
        <f>F150+J150</f>
        <v>2020</v>
      </c>
      <c r="L150" s="202">
        <f>+K150+(G150/12)</f>
        <v>2020.8333333333333</v>
      </c>
      <c r="M150" s="201">
        <f>+'2111 Trks - Orig'!N70-'2111 Trks'!M149</f>
        <v>397.44000000000005</v>
      </c>
      <c r="N150" s="201">
        <f>M150-M150*H150</f>
        <v>397.44000000000005</v>
      </c>
      <c r="O150" s="201">
        <f>N150/J150/12</f>
        <v>11.040000000000001</v>
      </c>
      <c r="P150" s="201">
        <f>+O150*12</f>
        <v>132.48000000000002</v>
      </c>
      <c r="Q150" s="201">
        <f>+IF(L150&lt;=$N$5,0,IF(K150&gt;$N$4,P150,(O150*G150)))</f>
        <v>132.48000000000002</v>
      </c>
      <c r="R150" s="201"/>
      <c r="S150" s="201">
        <f>+IF(Q150=0,M150,IF($N$3-F150&lt;1,0,(($N$3-F150)*P150)))</f>
        <v>0</v>
      </c>
      <c r="T150" s="201">
        <f>+IF(Q150=0,S150,S150+Q150)</f>
        <v>132.48000000000002</v>
      </c>
      <c r="U150" s="201">
        <f>+IF(Q150=0,0,((M150-S150)+(M150-T150))/2)</f>
        <v>331.20000000000005</v>
      </c>
    </row>
    <row r="151" spans="1:21" s="197" customFormat="1">
      <c r="A151" s="197" t="s">
        <v>40</v>
      </c>
      <c r="B151" s="197">
        <v>59199</v>
      </c>
      <c r="C151" s="197" t="s">
        <v>76</v>
      </c>
      <c r="D151" s="197" t="s">
        <v>360</v>
      </c>
      <c r="E151" s="197" t="s">
        <v>172</v>
      </c>
      <c r="F151" s="197">
        <v>2008</v>
      </c>
      <c r="G151" s="197">
        <v>6</v>
      </c>
      <c r="H151" s="197">
        <v>0</v>
      </c>
      <c r="I151" s="197" t="s">
        <v>52</v>
      </c>
      <c r="J151" s="197">
        <v>7</v>
      </c>
      <c r="K151" s="197">
        <f t="shared" si="38"/>
        <v>2015</v>
      </c>
      <c r="L151" s="172">
        <f t="shared" si="39"/>
        <v>2015.5</v>
      </c>
      <c r="M151" s="230">
        <f>+'2111 Trks - Orig'!P71</f>
        <v>77341.51999999999</v>
      </c>
      <c r="N151" s="230">
        <f t="shared" si="41"/>
        <v>77341.51999999999</v>
      </c>
      <c r="O151" s="230">
        <f t="shared" si="42"/>
        <v>920.73238095238082</v>
      </c>
      <c r="P151" s="230">
        <f t="shared" si="40"/>
        <v>11048.788571428569</v>
      </c>
      <c r="Q151" s="230">
        <f t="shared" si="43"/>
        <v>0</v>
      </c>
      <c r="R151" s="230"/>
      <c r="S151" s="230">
        <f t="shared" si="44"/>
        <v>77341.51999999999</v>
      </c>
      <c r="T151" s="230">
        <f t="shared" si="45"/>
        <v>77341.51999999999</v>
      </c>
      <c r="U151" s="230">
        <f t="shared" si="46"/>
        <v>0</v>
      </c>
    </row>
    <row r="152" spans="1:21" s="199" customFormat="1">
      <c r="A152" s="200"/>
      <c r="B152" s="200"/>
      <c r="C152" s="200"/>
      <c r="D152" s="200" t="s">
        <v>360</v>
      </c>
      <c r="E152" s="200" t="s">
        <v>878</v>
      </c>
      <c r="F152" s="200">
        <v>2017</v>
      </c>
      <c r="G152" s="200">
        <v>10</v>
      </c>
      <c r="H152" s="200">
        <v>0</v>
      </c>
      <c r="I152" s="200" t="s">
        <v>52</v>
      </c>
      <c r="J152" s="200">
        <f>+IF(K151-$N$3&gt;=3,K151-$N$3,3)</f>
        <v>3</v>
      </c>
      <c r="K152" s="200">
        <f>F152+J152</f>
        <v>2020</v>
      </c>
      <c r="L152" s="202">
        <f>+K152+(G152/12)</f>
        <v>2020.8333333333333</v>
      </c>
      <c r="M152" s="201">
        <f>+'2111 Trks - Orig'!N71-'2111 Trks'!M151</f>
        <v>19335.380000000005</v>
      </c>
      <c r="N152" s="201">
        <f>M152-M152*H152</f>
        <v>19335.380000000005</v>
      </c>
      <c r="O152" s="201">
        <f>N152/J152/12</f>
        <v>537.09388888888896</v>
      </c>
      <c r="P152" s="201">
        <f>+O152*12</f>
        <v>6445.126666666667</v>
      </c>
      <c r="Q152" s="201">
        <f>+IF(L152&lt;=$N$5,0,IF(K152&gt;$N$4,P152,(O152*G152)))</f>
        <v>6445.126666666667</v>
      </c>
      <c r="R152" s="201"/>
      <c r="S152" s="201">
        <f>+IF(Q152=0,M152,IF($N$3-F152&lt;1,0,(($N$3-F152)*P152)))</f>
        <v>0</v>
      </c>
      <c r="T152" s="201">
        <f>+IF(Q152=0,S152,S152+Q152)</f>
        <v>6445.126666666667</v>
      </c>
      <c r="U152" s="201">
        <f>+IF(Q152=0,0,((M152-S152)+(M152-T152))/2)</f>
        <v>16112.816666666671</v>
      </c>
    </row>
    <row r="153" spans="1:21" s="197" customFormat="1">
      <c r="A153" s="197" t="s">
        <v>40</v>
      </c>
      <c r="B153" s="197">
        <v>102177</v>
      </c>
      <c r="C153" s="197" t="s">
        <v>176</v>
      </c>
      <c r="D153" s="197">
        <v>181</v>
      </c>
      <c r="E153" s="197" t="s">
        <v>177</v>
      </c>
      <c r="F153" s="197">
        <v>2008</v>
      </c>
      <c r="G153" s="197">
        <v>7</v>
      </c>
      <c r="H153" s="197">
        <v>0</v>
      </c>
      <c r="I153" s="197" t="s">
        <v>52</v>
      </c>
      <c r="J153" s="197">
        <v>5</v>
      </c>
      <c r="K153" s="197">
        <f t="shared" si="38"/>
        <v>2013</v>
      </c>
      <c r="L153" s="172">
        <f t="shared" si="39"/>
        <v>2013.5833333333333</v>
      </c>
      <c r="M153" s="230">
        <f>+'2111 Trks - Orig'!P72</f>
        <v>76313.267999999996</v>
      </c>
      <c r="N153" s="230">
        <f t="shared" si="41"/>
        <v>76313.267999999996</v>
      </c>
      <c r="O153" s="230">
        <f t="shared" si="42"/>
        <v>1271.8878</v>
      </c>
      <c r="P153" s="230">
        <f t="shared" si="40"/>
        <v>15262.6536</v>
      </c>
      <c r="Q153" s="230">
        <f t="shared" si="43"/>
        <v>0</v>
      </c>
      <c r="R153" s="230"/>
      <c r="S153" s="230">
        <f t="shared" si="44"/>
        <v>76313.267999999996</v>
      </c>
      <c r="T153" s="230">
        <f t="shared" si="45"/>
        <v>76313.267999999996</v>
      </c>
      <c r="U153" s="230">
        <f t="shared" si="46"/>
        <v>0</v>
      </c>
    </row>
    <row r="154" spans="1:21" s="199" customFormat="1">
      <c r="A154" s="200"/>
      <c r="B154" s="200"/>
      <c r="C154" s="200"/>
      <c r="D154" s="200">
        <v>181</v>
      </c>
      <c r="E154" s="200" t="s">
        <v>879</v>
      </c>
      <c r="F154" s="200">
        <v>2017</v>
      </c>
      <c r="G154" s="200">
        <v>10</v>
      </c>
      <c r="H154" s="200">
        <v>0</v>
      </c>
      <c r="I154" s="200" t="s">
        <v>52</v>
      </c>
      <c r="J154" s="200">
        <f>+IF(K153-$N$3&gt;=3,K153-$N$3,3)</f>
        <v>3</v>
      </c>
      <c r="K154" s="200">
        <f>F154+J154</f>
        <v>2020</v>
      </c>
      <c r="L154" s="202">
        <f>+K154+(G154/12)</f>
        <v>2020.8333333333333</v>
      </c>
      <c r="M154" s="201">
        <f>+'2111 Trks - Orig'!N72-'2111 Trks'!M153</f>
        <v>37587.131999999998</v>
      </c>
      <c r="N154" s="201">
        <f>M154-M154*H154</f>
        <v>37587.131999999998</v>
      </c>
      <c r="O154" s="201">
        <f>N154/J154/12</f>
        <v>1044.087</v>
      </c>
      <c r="P154" s="201">
        <f>+O154*12</f>
        <v>12529.044</v>
      </c>
      <c r="Q154" s="201">
        <f>+IF(L154&lt;=$N$5,0,IF(K154&gt;$N$4,P154,(O154*G154)))</f>
        <v>12529.044</v>
      </c>
      <c r="R154" s="201"/>
      <c r="S154" s="201">
        <f>+IF(Q154=0,M154,IF($N$3-F154&lt;1,0,(($N$3-F154)*P154)))</f>
        <v>0</v>
      </c>
      <c r="T154" s="201">
        <f>+IF(Q154=0,S154,S154+Q154)</f>
        <v>12529.044</v>
      </c>
      <c r="U154" s="201">
        <f>+IF(Q154=0,0,((M154-S154)+(M154-T154))/2)</f>
        <v>31322.609999999997</v>
      </c>
    </row>
    <row r="155" spans="1:21" s="197" customFormat="1">
      <c r="A155" s="197" t="s">
        <v>40</v>
      </c>
      <c r="B155" s="197">
        <v>60377</v>
      </c>
      <c r="C155" s="197" t="s">
        <v>76</v>
      </c>
      <c r="D155" s="197" t="s">
        <v>361</v>
      </c>
      <c r="E155" s="197" t="s">
        <v>206</v>
      </c>
      <c r="F155" s="197">
        <v>2008</v>
      </c>
      <c r="G155" s="197">
        <v>11</v>
      </c>
      <c r="H155" s="197">
        <v>0</v>
      </c>
      <c r="I155" s="197" t="s">
        <v>52</v>
      </c>
      <c r="J155" s="197">
        <v>7</v>
      </c>
      <c r="K155" s="197">
        <f t="shared" si="38"/>
        <v>2015</v>
      </c>
      <c r="L155" s="172">
        <f t="shared" si="39"/>
        <v>2015.9166666666667</v>
      </c>
      <c r="M155" s="230">
        <f>+'2111 Trks - Orig'!P73</f>
        <v>80823.040000000008</v>
      </c>
      <c r="N155" s="230">
        <f t="shared" si="41"/>
        <v>80823.040000000008</v>
      </c>
      <c r="O155" s="230">
        <f t="shared" si="42"/>
        <v>962.17904761904765</v>
      </c>
      <c r="P155" s="230">
        <f t="shared" si="40"/>
        <v>11546.148571428572</v>
      </c>
      <c r="Q155" s="230">
        <f t="shared" si="43"/>
        <v>0</v>
      </c>
      <c r="R155" s="230"/>
      <c r="S155" s="230">
        <f t="shared" si="44"/>
        <v>80823.040000000008</v>
      </c>
      <c r="T155" s="230">
        <f t="shared" si="45"/>
        <v>80823.040000000008</v>
      </c>
      <c r="U155" s="230">
        <f t="shared" si="46"/>
        <v>0</v>
      </c>
    </row>
    <row r="156" spans="1:21" s="199" customFormat="1">
      <c r="A156" s="200"/>
      <c r="B156" s="200"/>
      <c r="C156" s="200"/>
      <c r="D156" s="200" t="s">
        <v>361</v>
      </c>
      <c r="E156" s="200" t="s">
        <v>884</v>
      </c>
      <c r="F156" s="200">
        <v>2017</v>
      </c>
      <c r="G156" s="200">
        <v>10</v>
      </c>
      <c r="H156" s="200">
        <v>0</v>
      </c>
      <c r="I156" s="200" t="s">
        <v>52</v>
      </c>
      <c r="J156" s="200">
        <f>+IF(K155-$N$3&gt;=3,K155-$N$3,3)</f>
        <v>3</v>
      </c>
      <c r="K156" s="200">
        <f>F156+J156</f>
        <v>2020</v>
      </c>
      <c r="L156" s="202">
        <f>+K156+(G156/12)</f>
        <v>2020.8333333333333</v>
      </c>
      <c r="M156" s="201">
        <f>+'2111 Trks - Orig'!N73-'2111 Trks'!M155</f>
        <v>20205.759999999995</v>
      </c>
      <c r="N156" s="201">
        <f>M156-M156*H156</f>
        <v>20205.759999999995</v>
      </c>
      <c r="O156" s="201">
        <f>N156/J156/12</f>
        <v>561.27111111111094</v>
      </c>
      <c r="P156" s="201">
        <f>+O156*12</f>
        <v>6735.2533333333313</v>
      </c>
      <c r="Q156" s="201">
        <f>+IF(L156&lt;=$N$5,0,IF(K156&gt;$N$4,P156,(O156*G156)))</f>
        <v>6735.2533333333313</v>
      </c>
      <c r="R156" s="201"/>
      <c r="S156" s="201">
        <f>+IF(Q156=0,M156,IF($N$3-F156&lt;1,0,(($N$3-F156)*P156)))</f>
        <v>0</v>
      </c>
      <c r="T156" s="201">
        <f>+IF(Q156=0,S156,S156+Q156)</f>
        <v>6735.2533333333313</v>
      </c>
      <c r="U156" s="201">
        <f>+IF(Q156=0,0,((M156-S156)+(M156-T156))/2)</f>
        <v>16838.133333333331</v>
      </c>
    </row>
    <row r="157" spans="1:21">
      <c r="B157" s="3">
        <v>173959</v>
      </c>
      <c r="D157" s="3" t="s">
        <v>581</v>
      </c>
      <c r="E157" s="3" t="s">
        <v>582</v>
      </c>
      <c r="F157" s="3">
        <v>2008</v>
      </c>
      <c r="G157" s="3">
        <v>11</v>
      </c>
      <c r="H157" s="3">
        <v>0</v>
      </c>
      <c r="I157" s="3" t="s">
        <v>52</v>
      </c>
      <c r="J157" s="3">
        <v>3</v>
      </c>
      <c r="K157" s="3">
        <f t="shared" ref="K157:K184" si="47">F157+J157</f>
        <v>2011</v>
      </c>
      <c r="L157" s="3">
        <f t="shared" si="39"/>
        <v>2011.9166666666667</v>
      </c>
      <c r="M157" s="230">
        <v>2500</v>
      </c>
      <c r="N157" s="230">
        <f t="shared" si="41"/>
        <v>2500</v>
      </c>
      <c r="O157" s="230">
        <f t="shared" si="42"/>
        <v>69.444444444444443</v>
      </c>
      <c r="P157" s="230">
        <f t="shared" si="40"/>
        <v>833.33333333333326</v>
      </c>
      <c r="Q157" s="230">
        <f t="shared" si="43"/>
        <v>0</v>
      </c>
      <c r="R157" s="230"/>
      <c r="S157" s="230">
        <f t="shared" si="44"/>
        <v>2500</v>
      </c>
      <c r="T157" s="230">
        <f t="shared" si="45"/>
        <v>2500</v>
      </c>
      <c r="U157" s="230">
        <f t="shared" si="46"/>
        <v>0</v>
      </c>
    </row>
    <row r="158" spans="1:21">
      <c r="B158" s="3">
        <v>173957</v>
      </c>
      <c r="D158" s="3" t="s">
        <v>583</v>
      </c>
      <c r="E158" s="3" t="s">
        <v>584</v>
      </c>
      <c r="F158" s="3">
        <v>2008</v>
      </c>
      <c r="G158" s="3">
        <v>11</v>
      </c>
      <c r="H158" s="3">
        <v>0</v>
      </c>
      <c r="I158" s="3" t="s">
        <v>52</v>
      </c>
      <c r="J158" s="3">
        <v>3</v>
      </c>
      <c r="K158" s="3">
        <f t="shared" si="47"/>
        <v>2011</v>
      </c>
      <c r="L158" s="3">
        <f t="shared" si="39"/>
        <v>2011.9166666666667</v>
      </c>
      <c r="M158" s="230">
        <v>1000</v>
      </c>
      <c r="N158" s="230">
        <f t="shared" si="41"/>
        <v>1000</v>
      </c>
      <c r="O158" s="230">
        <f t="shared" si="42"/>
        <v>27.777777777777775</v>
      </c>
      <c r="P158" s="230">
        <f t="shared" si="40"/>
        <v>333.33333333333331</v>
      </c>
      <c r="Q158" s="230">
        <f t="shared" si="43"/>
        <v>0</v>
      </c>
      <c r="R158" s="230"/>
      <c r="S158" s="230">
        <f t="shared" si="44"/>
        <v>1000</v>
      </c>
      <c r="T158" s="230">
        <f t="shared" si="45"/>
        <v>1000</v>
      </c>
      <c r="U158" s="230">
        <f t="shared" si="46"/>
        <v>0</v>
      </c>
    </row>
    <row r="159" spans="1:21">
      <c r="B159" s="3">
        <v>173956</v>
      </c>
      <c r="D159" s="3" t="s">
        <v>585</v>
      </c>
      <c r="E159" s="3" t="s">
        <v>586</v>
      </c>
      <c r="F159" s="3">
        <v>2008</v>
      </c>
      <c r="G159" s="3">
        <v>11</v>
      </c>
      <c r="H159" s="3">
        <v>0</v>
      </c>
      <c r="I159" s="3" t="s">
        <v>52</v>
      </c>
      <c r="J159" s="3">
        <v>3</v>
      </c>
      <c r="K159" s="3">
        <f t="shared" si="47"/>
        <v>2011</v>
      </c>
      <c r="L159" s="3">
        <f t="shared" si="39"/>
        <v>2011.9166666666667</v>
      </c>
      <c r="M159" s="230">
        <v>2500</v>
      </c>
      <c r="N159" s="230">
        <f t="shared" si="41"/>
        <v>2500</v>
      </c>
      <c r="O159" s="230">
        <f t="shared" si="42"/>
        <v>69.444444444444443</v>
      </c>
      <c r="P159" s="230">
        <f t="shared" si="40"/>
        <v>833.33333333333326</v>
      </c>
      <c r="Q159" s="230">
        <f t="shared" si="43"/>
        <v>0</v>
      </c>
      <c r="R159" s="230"/>
      <c r="S159" s="230">
        <f t="shared" si="44"/>
        <v>2500</v>
      </c>
      <c r="T159" s="230">
        <f t="shared" si="45"/>
        <v>2500</v>
      </c>
      <c r="U159" s="230">
        <f t="shared" si="46"/>
        <v>0</v>
      </c>
    </row>
    <row r="160" spans="1:21">
      <c r="B160" s="3">
        <v>173954</v>
      </c>
      <c r="D160" s="3">
        <v>130</v>
      </c>
      <c r="E160" s="3" t="s">
        <v>587</v>
      </c>
      <c r="F160" s="3">
        <v>2008</v>
      </c>
      <c r="G160" s="3">
        <v>11</v>
      </c>
      <c r="H160" s="3">
        <v>0</v>
      </c>
      <c r="I160" s="3" t="s">
        <v>52</v>
      </c>
      <c r="J160" s="3">
        <v>8</v>
      </c>
      <c r="K160" s="3">
        <f t="shared" si="47"/>
        <v>2016</v>
      </c>
      <c r="L160" s="3">
        <f t="shared" si="39"/>
        <v>2016.9166666666667</v>
      </c>
      <c r="M160" s="230">
        <v>66500</v>
      </c>
      <c r="N160" s="230">
        <f t="shared" si="41"/>
        <v>66500</v>
      </c>
      <c r="O160" s="230">
        <f t="shared" si="42"/>
        <v>692.70833333333337</v>
      </c>
      <c r="P160" s="230">
        <f t="shared" si="40"/>
        <v>8312.5</v>
      </c>
      <c r="Q160" s="230">
        <f t="shared" si="43"/>
        <v>0</v>
      </c>
      <c r="R160" s="230"/>
      <c r="S160" s="230">
        <f t="shared" si="44"/>
        <v>66500</v>
      </c>
      <c r="T160" s="230">
        <f t="shared" si="45"/>
        <v>66500</v>
      </c>
      <c r="U160" s="230">
        <f t="shared" si="46"/>
        <v>0</v>
      </c>
    </row>
    <row r="161" spans="1:21">
      <c r="A161" s="3" t="s">
        <v>40</v>
      </c>
      <c r="B161" s="3" t="s">
        <v>290</v>
      </c>
      <c r="C161" s="3" t="s">
        <v>284</v>
      </c>
      <c r="D161" s="3" t="s">
        <v>357</v>
      </c>
      <c r="E161" s="3" t="s">
        <v>363</v>
      </c>
      <c r="F161" s="3">
        <v>2009</v>
      </c>
      <c r="G161" s="3">
        <v>3</v>
      </c>
      <c r="H161" s="3">
        <v>0</v>
      </c>
      <c r="I161" s="3" t="s">
        <v>52</v>
      </c>
      <c r="J161" s="3">
        <v>3</v>
      </c>
      <c r="K161" s="3">
        <f t="shared" si="47"/>
        <v>2012</v>
      </c>
      <c r="L161" s="3">
        <f t="shared" si="39"/>
        <v>2012.25</v>
      </c>
      <c r="M161" s="230">
        <v>20901.78</v>
      </c>
      <c r="N161" s="230">
        <f t="shared" si="41"/>
        <v>20901.78</v>
      </c>
      <c r="O161" s="230">
        <f t="shared" si="42"/>
        <v>580.6049999999999</v>
      </c>
      <c r="P161" s="230">
        <f t="shared" si="40"/>
        <v>6967.2599999999984</v>
      </c>
      <c r="Q161" s="230">
        <f t="shared" si="43"/>
        <v>0</v>
      </c>
      <c r="R161" s="230"/>
      <c r="S161" s="230">
        <f t="shared" si="44"/>
        <v>20901.78</v>
      </c>
      <c r="T161" s="230">
        <f t="shared" si="45"/>
        <v>20901.78</v>
      </c>
      <c r="U161" s="230">
        <f t="shared" si="46"/>
        <v>0</v>
      </c>
    </row>
    <row r="162" spans="1:21">
      <c r="A162" s="3" t="s">
        <v>40</v>
      </c>
      <c r="B162" s="3" t="s">
        <v>291</v>
      </c>
      <c r="C162" s="3" t="s">
        <v>284</v>
      </c>
      <c r="D162" s="3" t="s">
        <v>356</v>
      </c>
      <c r="E162" s="3" t="s">
        <v>363</v>
      </c>
      <c r="F162" s="3">
        <v>2009</v>
      </c>
      <c r="G162" s="3">
        <v>6</v>
      </c>
      <c r="H162" s="3">
        <v>0</v>
      </c>
      <c r="I162" s="3" t="s">
        <v>52</v>
      </c>
      <c r="J162" s="3">
        <v>3</v>
      </c>
      <c r="K162" s="3">
        <f t="shared" si="47"/>
        <v>2012</v>
      </c>
      <c r="L162" s="3">
        <f t="shared" si="39"/>
        <v>2012.5</v>
      </c>
      <c r="M162" s="230">
        <v>21020.5</v>
      </c>
      <c r="N162" s="230">
        <f t="shared" si="41"/>
        <v>21020.5</v>
      </c>
      <c r="O162" s="230">
        <f t="shared" si="42"/>
        <v>583.90277777777771</v>
      </c>
      <c r="P162" s="230">
        <f t="shared" si="40"/>
        <v>7006.8333333333321</v>
      </c>
      <c r="Q162" s="230">
        <f t="shared" si="43"/>
        <v>0</v>
      </c>
      <c r="R162" s="230"/>
      <c r="S162" s="230">
        <f t="shared" si="44"/>
        <v>21020.5</v>
      </c>
      <c r="T162" s="230">
        <f t="shared" si="45"/>
        <v>21020.5</v>
      </c>
      <c r="U162" s="230">
        <f t="shared" si="46"/>
        <v>0</v>
      </c>
    </row>
    <row r="163" spans="1:21" s="197" customFormat="1">
      <c r="A163" s="197" t="s">
        <v>40</v>
      </c>
      <c r="B163" s="197">
        <v>102169</v>
      </c>
      <c r="C163" s="197" t="s">
        <v>176</v>
      </c>
      <c r="D163" s="197">
        <v>182</v>
      </c>
      <c r="E163" s="197" t="s">
        <v>238</v>
      </c>
      <c r="F163" s="197">
        <v>2009</v>
      </c>
      <c r="G163" s="197">
        <v>8</v>
      </c>
      <c r="H163" s="197">
        <v>0</v>
      </c>
      <c r="I163" s="197" t="s">
        <v>52</v>
      </c>
      <c r="J163" s="197">
        <v>5</v>
      </c>
      <c r="K163" s="197">
        <f t="shared" si="47"/>
        <v>2014</v>
      </c>
      <c r="L163" s="172">
        <f t="shared" si="39"/>
        <v>2014.6666666666667</v>
      </c>
      <c r="M163" s="230">
        <f>+'2111 Trks - Orig'!P78</f>
        <v>50794.817200000005</v>
      </c>
      <c r="N163" s="230">
        <f t="shared" si="41"/>
        <v>50794.817200000005</v>
      </c>
      <c r="O163" s="230">
        <f t="shared" si="42"/>
        <v>846.58028666666678</v>
      </c>
      <c r="P163" s="230">
        <f t="shared" si="40"/>
        <v>10158.963440000001</v>
      </c>
      <c r="Q163" s="230">
        <f t="shared" si="43"/>
        <v>0</v>
      </c>
      <c r="R163" s="230"/>
      <c r="S163" s="230">
        <f t="shared" si="44"/>
        <v>50794.817200000005</v>
      </c>
      <c r="T163" s="230">
        <f t="shared" si="45"/>
        <v>50794.817200000005</v>
      </c>
      <c r="U163" s="230">
        <f t="shared" si="46"/>
        <v>0</v>
      </c>
    </row>
    <row r="164" spans="1:21" s="199" customFormat="1">
      <c r="A164" s="200"/>
      <c r="B164" s="200"/>
      <c r="C164" s="200"/>
      <c r="D164" s="200">
        <v>182</v>
      </c>
      <c r="E164" s="200" t="s">
        <v>885</v>
      </c>
      <c r="F164" s="200">
        <v>2017</v>
      </c>
      <c r="G164" s="200">
        <v>10</v>
      </c>
      <c r="H164" s="200">
        <v>0</v>
      </c>
      <c r="I164" s="200" t="s">
        <v>52</v>
      </c>
      <c r="J164" s="200">
        <f>+IF(K163-$N$3&gt;=3,K163-$N$3,3)</f>
        <v>3</v>
      </c>
      <c r="K164" s="200">
        <f>F164+J164</f>
        <v>2020</v>
      </c>
      <c r="L164" s="202">
        <f>+K164+(G164/12)</f>
        <v>2020.8333333333333</v>
      </c>
      <c r="M164" s="201">
        <f>+'2111 Trks - Orig'!N78-'2111 Trks'!M163</f>
        <v>25018.342799999999</v>
      </c>
      <c r="N164" s="201">
        <f>M164-M164*H164</f>
        <v>25018.342799999999</v>
      </c>
      <c r="O164" s="201">
        <f>N164/J164/12</f>
        <v>694.95396666666659</v>
      </c>
      <c r="P164" s="201">
        <f>+O164*12</f>
        <v>8339.4475999999995</v>
      </c>
      <c r="Q164" s="201">
        <f>+IF(L164&lt;=$N$5,0,IF(K164&gt;$N$4,P164,(O164*G164)))</f>
        <v>8339.4475999999995</v>
      </c>
      <c r="R164" s="201"/>
      <c r="S164" s="201">
        <f>+IF(Q164=0,M164,IF($N$3-F164&lt;1,0,(($N$3-F164)*P164)))</f>
        <v>0</v>
      </c>
      <c r="T164" s="201">
        <f>+IF(Q164=0,S164,S164+Q164)</f>
        <v>8339.4475999999995</v>
      </c>
      <c r="U164" s="201">
        <f>+IF(Q164=0,0,((M164-S164)+(M164-T164))/2)</f>
        <v>20848.618999999999</v>
      </c>
    </row>
    <row r="165" spans="1:21" s="197" customFormat="1">
      <c r="A165" s="197" t="s">
        <v>40</v>
      </c>
      <c r="B165" s="197">
        <v>102187</v>
      </c>
      <c r="C165" s="197" t="s">
        <v>176</v>
      </c>
      <c r="D165" s="197">
        <v>183</v>
      </c>
      <c r="E165" s="197" t="s">
        <v>240</v>
      </c>
      <c r="F165" s="197">
        <v>2010</v>
      </c>
      <c r="G165" s="197">
        <v>5</v>
      </c>
      <c r="H165" s="197">
        <v>0</v>
      </c>
      <c r="I165" s="197" t="s">
        <v>52</v>
      </c>
      <c r="J165" s="197">
        <v>5</v>
      </c>
      <c r="K165" s="197">
        <f t="shared" si="47"/>
        <v>2015</v>
      </c>
      <c r="L165" s="172">
        <f t="shared" si="39"/>
        <v>2015.4166666666667</v>
      </c>
      <c r="M165" s="230">
        <f>+'2111 Trks - Orig'!P80</f>
        <v>51035.24</v>
      </c>
      <c r="N165" s="230">
        <f t="shared" si="41"/>
        <v>51035.24</v>
      </c>
      <c r="O165" s="230">
        <f t="shared" si="42"/>
        <v>850.58733333333328</v>
      </c>
      <c r="P165" s="230">
        <f t="shared" si="40"/>
        <v>10207.047999999999</v>
      </c>
      <c r="Q165" s="230">
        <f t="shared" si="43"/>
        <v>0</v>
      </c>
      <c r="R165" s="230"/>
      <c r="S165" s="230">
        <f t="shared" si="44"/>
        <v>51035.24</v>
      </c>
      <c r="T165" s="230">
        <f t="shared" si="45"/>
        <v>51035.24</v>
      </c>
      <c r="U165" s="230">
        <f t="shared" si="46"/>
        <v>0</v>
      </c>
    </row>
    <row r="166" spans="1:21" s="199" customFormat="1">
      <c r="A166" s="200"/>
      <c r="B166" s="200"/>
      <c r="C166" s="200"/>
      <c r="D166" s="200">
        <v>183</v>
      </c>
      <c r="E166" s="200" t="s">
        <v>886</v>
      </c>
      <c r="F166" s="200">
        <v>2017</v>
      </c>
      <c r="G166" s="200">
        <v>10</v>
      </c>
      <c r="H166" s="200">
        <v>0</v>
      </c>
      <c r="I166" s="200" t="s">
        <v>52</v>
      </c>
      <c r="J166" s="200">
        <f>+IF(K165-$N$3&gt;=3,K165-$N$3,3)</f>
        <v>3</v>
      </c>
      <c r="K166" s="200">
        <f>F166+J166</f>
        <v>2020</v>
      </c>
      <c r="L166" s="202">
        <f>+K166+(G166/12)</f>
        <v>2020.8333333333333</v>
      </c>
      <c r="M166" s="201">
        <f>+'2111 Trks - Orig'!N80-'2111 Trks'!M165</f>
        <v>25136.760000000002</v>
      </c>
      <c r="N166" s="201">
        <f>M166-M166*H166</f>
        <v>25136.760000000002</v>
      </c>
      <c r="O166" s="201">
        <f>N166/J166/12</f>
        <v>698.24333333333334</v>
      </c>
      <c r="P166" s="201">
        <f>+O166*12</f>
        <v>8378.92</v>
      </c>
      <c r="Q166" s="201">
        <f>+IF(L166&lt;=$N$5,0,IF(K166&gt;$N$4,P166,(O166*G166)))</f>
        <v>8378.92</v>
      </c>
      <c r="R166" s="201"/>
      <c r="S166" s="201">
        <f>+IF(Q166=0,M166,IF($N$3-F166&lt;1,0,(($N$3-F166)*P166)))</f>
        <v>0</v>
      </c>
      <c r="T166" s="201">
        <f>+IF(Q166=0,S166,S166+Q166)</f>
        <v>8378.92</v>
      </c>
      <c r="U166" s="201">
        <f>+IF(Q166=0,0,((M166-S166)+(M166-T166))/2)</f>
        <v>20947.300000000003</v>
      </c>
    </row>
    <row r="167" spans="1:21">
      <c r="A167" s="3" t="s">
        <v>40</v>
      </c>
      <c r="C167" s="3" t="s">
        <v>215</v>
      </c>
      <c r="D167" s="3">
        <v>169</v>
      </c>
      <c r="E167" s="3" t="s">
        <v>205</v>
      </c>
      <c r="F167" s="3">
        <v>2010</v>
      </c>
      <c r="G167" s="3">
        <v>10</v>
      </c>
      <c r="H167" s="3">
        <v>0</v>
      </c>
      <c r="I167" s="3" t="s">
        <v>52</v>
      </c>
      <c r="J167" s="3">
        <v>3</v>
      </c>
      <c r="K167" s="3">
        <f t="shared" si="47"/>
        <v>2013</v>
      </c>
      <c r="L167" s="3">
        <f t="shared" si="39"/>
        <v>2013.8333333333333</v>
      </c>
      <c r="M167" s="230">
        <f>12406</f>
        <v>12406</v>
      </c>
      <c r="N167" s="230">
        <f t="shared" si="41"/>
        <v>12406</v>
      </c>
      <c r="O167" s="230">
        <f t="shared" si="42"/>
        <v>344.61111111111109</v>
      </c>
      <c r="P167" s="230">
        <f t="shared" si="40"/>
        <v>4135.333333333333</v>
      </c>
      <c r="Q167" s="230">
        <f t="shared" si="43"/>
        <v>0</v>
      </c>
      <c r="R167" s="230"/>
      <c r="S167" s="230">
        <f t="shared" si="44"/>
        <v>12406</v>
      </c>
      <c r="T167" s="230">
        <f t="shared" si="45"/>
        <v>12406</v>
      </c>
      <c r="U167" s="230">
        <f t="shared" si="46"/>
        <v>0</v>
      </c>
    </row>
    <row r="168" spans="1:21">
      <c r="A168" s="3" t="s">
        <v>40</v>
      </c>
      <c r="B168" s="3" t="s">
        <v>292</v>
      </c>
      <c r="C168" s="3" t="s">
        <v>284</v>
      </c>
      <c r="D168" s="3" t="s">
        <v>354</v>
      </c>
      <c r="E168" s="3" t="s">
        <v>364</v>
      </c>
      <c r="F168" s="3">
        <v>2011</v>
      </c>
      <c r="G168" s="3">
        <v>1</v>
      </c>
      <c r="H168" s="3">
        <v>0</v>
      </c>
      <c r="I168" s="3" t="s">
        <v>52</v>
      </c>
      <c r="J168" s="3">
        <v>3</v>
      </c>
      <c r="K168" s="3">
        <f t="shared" si="47"/>
        <v>2014</v>
      </c>
      <c r="L168" s="3">
        <f t="shared" si="39"/>
        <v>2014.0833333333333</v>
      </c>
      <c r="M168" s="230">
        <v>34104.480000000003</v>
      </c>
      <c r="N168" s="230">
        <f t="shared" si="41"/>
        <v>34104.480000000003</v>
      </c>
      <c r="O168" s="230">
        <f t="shared" si="42"/>
        <v>947.34666666666681</v>
      </c>
      <c r="P168" s="230">
        <f t="shared" si="40"/>
        <v>11368.160000000002</v>
      </c>
      <c r="Q168" s="230">
        <f t="shared" si="43"/>
        <v>0</v>
      </c>
      <c r="R168" s="230"/>
      <c r="S168" s="230">
        <f t="shared" si="44"/>
        <v>34104.480000000003</v>
      </c>
      <c r="T168" s="230">
        <f t="shared" si="45"/>
        <v>34104.480000000003</v>
      </c>
      <c r="U168" s="230">
        <f t="shared" si="46"/>
        <v>0</v>
      </c>
    </row>
    <row r="169" spans="1:21" s="197" customFormat="1">
      <c r="A169" s="197" t="s">
        <v>40</v>
      </c>
      <c r="B169" s="197">
        <v>85258</v>
      </c>
      <c r="C169" s="197" t="s">
        <v>176</v>
      </c>
      <c r="D169" s="197">
        <v>185</v>
      </c>
      <c r="E169" s="197" t="s">
        <v>207</v>
      </c>
      <c r="F169" s="197">
        <v>2011</v>
      </c>
      <c r="G169" s="197">
        <v>7</v>
      </c>
      <c r="H169" s="197">
        <v>0</v>
      </c>
      <c r="I169" s="197" t="s">
        <v>52</v>
      </c>
      <c r="J169" s="197">
        <v>5</v>
      </c>
      <c r="K169" s="197">
        <f t="shared" si="47"/>
        <v>2016</v>
      </c>
      <c r="L169" s="172">
        <f t="shared" si="39"/>
        <v>2016.5833333333333</v>
      </c>
      <c r="M169" s="230">
        <f>+'2111 Trks - Orig'!P83</f>
        <v>60650.528000000006</v>
      </c>
      <c r="N169" s="230">
        <f t="shared" si="41"/>
        <v>60650.528000000006</v>
      </c>
      <c r="O169" s="230">
        <f t="shared" si="42"/>
        <v>1010.8421333333334</v>
      </c>
      <c r="P169" s="230">
        <f t="shared" si="40"/>
        <v>12130.105600000001</v>
      </c>
      <c r="Q169" s="230">
        <f t="shared" si="43"/>
        <v>0</v>
      </c>
      <c r="R169" s="230"/>
      <c r="S169" s="230">
        <f t="shared" si="44"/>
        <v>60650.528000000006</v>
      </c>
      <c r="T169" s="230">
        <f t="shared" si="45"/>
        <v>60650.528000000006</v>
      </c>
      <c r="U169" s="230">
        <f t="shared" si="46"/>
        <v>0</v>
      </c>
    </row>
    <row r="170" spans="1:21" s="199" customFormat="1">
      <c r="A170" s="200"/>
      <c r="B170" s="200"/>
      <c r="C170" s="200"/>
      <c r="D170" s="200">
        <v>185</v>
      </c>
      <c r="E170" s="200" t="s">
        <v>887</v>
      </c>
      <c r="F170" s="200">
        <v>2017</v>
      </c>
      <c r="G170" s="200">
        <v>10</v>
      </c>
      <c r="H170" s="200">
        <v>0</v>
      </c>
      <c r="I170" s="200" t="s">
        <v>52</v>
      </c>
      <c r="J170" s="200">
        <f>+IF(K169-$N$3&gt;=3,K169-$N$3,3)</f>
        <v>3</v>
      </c>
      <c r="K170" s="200">
        <f>F170+J170</f>
        <v>2020</v>
      </c>
      <c r="L170" s="202">
        <f>+K170+(G170/12)</f>
        <v>2020.8333333333333</v>
      </c>
      <c r="M170" s="201">
        <f>+'2111 Trks - Orig'!N83-'2111 Trks'!M169</f>
        <v>15162.631999999998</v>
      </c>
      <c r="N170" s="201">
        <f>M170-M170*H170</f>
        <v>15162.631999999998</v>
      </c>
      <c r="O170" s="201">
        <f>N170/J170/12</f>
        <v>421.18422222222216</v>
      </c>
      <c r="P170" s="201">
        <f>+O170*12</f>
        <v>5054.2106666666659</v>
      </c>
      <c r="Q170" s="201">
        <f>+IF(L170&lt;=$N$5,0,IF(K170&gt;$N$4,P170,(O170*G170)))</f>
        <v>5054.2106666666659</v>
      </c>
      <c r="R170" s="201"/>
      <c r="S170" s="201">
        <f>+IF(Q170=0,M170,IF($N$3-F170&lt;1,0,(($N$3-F170)*P170)))</f>
        <v>0</v>
      </c>
      <c r="T170" s="201">
        <f>+IF(Q170=0,S170,S170+Q170)</f>
        <v>5054.2106666666659</v>
      </c>
      <c r="U170" s="201">
        <f>+IF(Q170=0,0,((M170-S170)+(M170-T170))/2)</f>
        <v>12635.526666666665</v>
      </c>
    </row>
    <row r="171" spans="1:21">
      <c r="A171" s="3" t="s">
        <v>40</v>
      </c>
      <c r="B171" s="3">
        <v>102169</v>
      </c>
      <c r="C171" s="3" t="s">
        <v>176</v>
      </c>
      <c r="D171" s="3">
        <v>182</v>
      </c>
      <c r="E171" s="3" t="s">
        <v>239</v>
      </c>
      <c r="F171" s="3">
        <v>2011</v>
      </c>
      <c r="G171" s="3">
        <v>3</v>
      </c>
      <c r="H171" s="3">
        <v>0</v>
      </c>
      <c r="I171" s="3" t="s">
        <v>52</v>
      </c>
      <c r="J171" s="3">
        <v>3</v>
      </c>
      <c r="K171" s="3">
        <f t="shared" si="47"/>
        <v>2014</v>
      </c>
      <c r="L171" s="3">
        <f t="shared" si="39"/>
        <v>2014.25</v>
      </c>
      <c r="M171" s="230">
        <f>8744</f>
        <v>8744</v>
      </c>
      <c r="N171" s="230">
        <f t="shared" si="41"/>
        <v>8744</v>
      </c>
      <c r="O171" s="230">
        <f t="shared" si="42"/>
        <v>242.88888888888889</v>
      </c>
      <c r="P171" s="230">
        <f t="shared" si="40"/>
        <v>2914.6666666666665</v>
      </c>
      <c r="Q171" s="230">
        <f t="shared" si="43"/>
        <v>0</v>
      </c>
      <c r="R171" s="230"/>
      <c r="S171" s="230">
        <f t="shared" si="44"/>
        <v>8744</v>
      </c>
      <c r="T171" s="230">
        <f t="shared" si="45"/>
        <v>8744</v>
      </c>
      <c r="U171" s="230">
        <f t="shared" si="46"/>
        <v>0</v>
      </c>
    </row>
    <row r="172" spans="1:21">
      <c r="B172" s="3">
        <v>173963</v>
      </c>
      <c r="C172" s="3" t="s">
        <v>567</v>
      </c>
      <c r="D172" s="3" t="s">
        <v>568</v>
      </c>
      <c r="E172" s="3" t="s">
        <v>569</v>
      </c>
      <c r="F172" s="3">
        <v>2012</v>
      </c>
      <c r="G172" s="3">
        <v>7</v>
      </c>
      <c r="H172" s="3">
        <v>0</v>
      </c>
      <c r="I172" s="3" t="s">
        <v>52</v>
      </c>
      <c r="J172" s="3">
        <v>6</v>
      </c>
      <c r="K172" s="3">
        <f t="shared" si="47"/>
        <v>2018</v>
      </c>
      <c r="L172" s="3">
        <f t="shared" si="39"/>
        <v>2018.5833333333333</v>
      </c>
      <c r="M172" s="230">
        <v>39370.14</v>
      </c>
      <c r="N172" s="230">
        <f t="shared" si="41"/>
        <v>39370.14</v>
      </c>
      <c r="O172" s="230">
        <f t="shared" si="42"/>
        <v>546.8075</v>
      </c>
      <c r="P172" s="230">
        <f t="shared" si="40"/>
        <v>6561.6900000000005</v>
      </c>
      <c r="Q172" s="230">
        <f t="shared" si="43"/>
        <v>0</v>
      </c>
      <c r="R172" s="230"/>
      <c r="S172" s="230">
        <f t="shared" si="44"/>
        <v>39370.14</v>
      </c>
      <c r="T172" s="230">
        <f t="shared" si="45"/>
        <v>39370.14</v>
      </c>
      <c r="U172" s="230">
        <f t="shared" si="46"/>
        <v>0</v>
      </c>
    </row>
    <row r="173" spans="1:21">
      <c r="B173" s="3">
        <v>173962</v>
      </c>
      <c r="C173" s="3" t="s">
        <v>567</v>
      </c>
      <c r="D173" s="3" t="s">
        <v>570</v>
      </c>
      <c r="E173" s="3" t="s">
        <v>569</v>
      </c>
      <c r="F173" s="3">
        <v>2012</v>
      </c>
      <c r="G173" s="3">
        <v>7</v>
      </c>
      <c r="H173" s="3">
        <v>0</v>
      </c>
      <c r="I173" s="3" t="s">
        <v>52</v>
      </c>
      <c r="J173" s="3">
        <v>6</v>
      </c>
      <c r="K173" s="3">
        <f t="shared" si="47"/>
        <v>2018</v>
      </c>
      <c r="L173" s="3">
        <f t="shared" si="39"/>
        <v>2018.5833333333333</v>
      </c>
      <c r="M173" s="230">
        <v>39370.15</v>
      </c>
      <c r="N173" s="230">
        <f t="shared" si="41"/>
        <v>39370.15</v>
      </c>
      <c r="O173" s="230">
        <f t="shared" si="42"/>
        <v>546.80763888888885</v>
      </c>
      <c r="P173" s="230">
        <f t="shared" si="40"/>
        <v>6561.6916666666657</v>
      </c>
      <c r="Q173" s="230">
        <f t="shared" si="43"/>
        <v>0</v>
      </c>
      <c r="R173" s="230"/>
      <c r="S173" s="230">
        <f t="shared" si="44"/>
        <v>39370.15</v>
      </c>
      <c r="T173" s="230">
        <f t="shared" si="45"/>
        <v>39370.15</v>
      </c>
      <c r="U173" s="230">
        <f t="shared" si="46"/>
        <v>0</v>
      </c>
    </row>
    <row r="174" spans="1:21" s="197" customFormat="1">
      <c r="A174" s="197" t="s">
        <v>40</v>
      </c>
      <c r="B174" s="197">
        <v>106743</v>
      </c>
      <c r="D174" s="197" t="s">
        <v>279</v>
      </c>
      <c r="E174" s="197" t="s">
        <v>282</v>
      </c>
      <c r="F174" s="197">
        <v>2013</v>
      </c>
      <c r="G174" s="197">
        <v>8</v>
      </c>
      <c r="H174" s="197">
        <v>0</v>
      </c>
      <c r="I174" s="197" t="s">
        <v>52</v>
      </c>
      <c r="J174" s="197">
        <v>7</v>
      </c>
      <c r="K174" s="197">
        <f t="shared" si="47"/>
        <v>2020</v>
      </c>
      <c r="L174" s="172">
        <f t="shared" si="39"/>
        <v>2020.6666666666667</v>
      </c>
      <c r="M174" s="230">
        <f>+'2111 Trks - Orig'!P86</f>
        <v>31419.856</v>
      </c>
      <c r="N174" s="230">
        <f t="shared" si="41"/>
        <v>31419.856</v>
      </c>
      <c r="O174" s="230">
        <f t="shared" si="42"/>
        <v>374.04590476190475</v>
      </c>
      <c r="P174" s="230">
        <f t="shared" si="40"/>
        <v>4488.5508571428572</v>
      </c>
      <c r="Q174" s="230">
        <f t="shared" si="43"/>
        <v>4488.5508571428572</v>
      </c>
      <c r="R174" s="230"/>
      <c r="S174" s="230">
        <f t="shared" si="44"/>
        <v>17954.203428571429</v>
      </c>
      <c r="T174" s="230">
        <f t="shared" si="45"/>
        <v>22442.754285714287</v>
      </c>
      <c r="U174" s="230">
        <f t="shared" si="46"/>
        <v>11221.377142857142</v>
      </c>
    </row>
    <row r="175" spans="1:21" s="199" customFormat="1">
      <c r="A175" s="200"/>
      <c r="B175" s="200"/>
      <c r="C175" s="200"/>
      <c r="D175" s="200" t="s">
        <v>279</v>
      </c>
      <c r="E175" s="200" t="s">
        <v>888</v>
      </c>
      <c r="F175" s="200">
        <v>2017</v>
      </c>
      <c r="G175" s="200">
        <v>10</v>
      </c>
      <c r="H175" s="200">
        <v>0</v>
      </c>
      <c r="I175" s="200" t="s">
        <v>52</v>
      </c>
      <c r="J175" s="200">
        <f>+IF(K174-$N$3&gt;=3,K174-$N$3,3)</f>
        <v>3</v>
      </c>
      <c r="K175" s="200">
        <f>F175+J175</f>
        <v>2020</v>
      </c>
      <c r="L175" s="202">
        <f>+K175+(G175/12)</f>
        <v>2020.8333333333333</v>
      </c>
      <c r="M175" s="201">
        <f>+'2111 Trks - Orig'!N86-'2111 Trks'!M174</f>
        <v>7854.9639999999999</v>
      </c>
      <c r="N175" s="201">
        <f>M175-M175*H175</f>
        <v>7854.9639999999999</v>
      </c>
      <c r="O175" s="201">
        <f>N175/J175/12</f>
        <v>218.19344444444445</v>
      </c>
      <c r="P175" s="201">
        <f>+O175*12</f>
        <v>2618.3213333333333</v>
      </c>
      <c r="Q175" s="201">
        <f>+IF(L175&lt;=$N$5,0,IF(K175&gt;$N$4,P175,(O175*G175)))</f>
        <v>2618.3213333333333</v>
      </c>
      <c r="R175" s="201"/>
      <c r="S175" s="201">
        <f>+IF(Q175=0,M175,IF($N$3-F175&lt;1,0,(($N$3-F175)*P175)))</f>
        <v>0</v>
      </c>
      <c r="T175" s="201">
        <f>+IF(Q175=0,S175,S175+Q175)</f>
        <v>2618.3213333333333</v>
      </c>
      <c r="U175" s="201">
        <f>+IF(Q175=0,0,((M175-S175)+(M175-T175))/2)</f>
        <v>6545.8033333333333</v>
      </c>
    </row>
    <row r="176" spans="1:21" s="197" customFormat="1">
      <c r="A176" s="197" t="s">
        <v>40</v>
      </c>
      <c r="B176" s="197">
        <v>106796</v>
      </c>
      <c r="D176" s="197" t="s">
        <v>280</v>
      </c>
      <c r="E176" s="197" t="s">
        <v>282</v>
      </c>
      <c r="F176" s="197">
        <v>2013</v>
      </c>
      <c r="G176" s="197">
        <v>8</v>
      </c>
      <c r="H176" s="197">
        <v>0</v>
      </c>
      <c r="I176" s="197" t="s">
        <v>52</v>
      </c>
      <c r="J176" s="197">
        <v>7</v>
      </c>
      <c r="K176" s="197">
        <f t="shared" si="47"/>
        <v>2020</v>
      </c>
      <c r="L176" s="172">
        <f t="shared" si="39"/>
        <v>2020.6666666666667</v>
      </c>
      <c r="M176" s="230">
        <f>+'2111 Trks - Orig'!P87</f>
        <v>31419.856</v>
      </c>
      <c r="N176" s="230">
        <f t="shared" si="41"/>
        <v>31419.856</v>
      </c>
      <c r="O176" s="230">
        <f t="shared" si="42"/>
        <v>374.04590476190475</v>
      </c>
      <c r="P176" s="230">
        <f t="shared" si="40"/>
        <v>4488.5508571428572</v>
      </c>
      <c r="Q176" s="230">
        <f t="shared" si="43"/>
        <v>4488.5508571428572</v>
      </c>
      <c r="R176" s="230"/>
      <c r="S176" s="230">
        <f t="shared" si="44"/>
        <v>17954.203428571429</v>
      </c>
      <c r="T176" s="230">
        <f t="shared" si="45"/>
        <v>22442.754285714287</v>
      </c>
      <c r="U176" s="230">
        <f t="shared" si="46"/>
        <v>11221.377142857142</v>
      </c>
    </row>
    <row r="177" spans="1:21" s="199" customFormat="1">
      <c r="A177" s="200"/>
      <c r="B177" s="200"/>
      <c r="C177" s="200"/>
      <c r="D177" s="200" t="s">
        <v>280</v>
      </c>
      <c r="E177" s="200" t="s">
        <v>889</v>
      </c>
      <c r="F177" s="200">
        <v>2017</v>
      </c>
      <c r="G177" s="200">
        <v>10</v>
      </c>
      <c r="H177" s="200">
        <v>0</v>
      </c>
      <c r="I177" s="200" t="s">
        <v>52</v>
      </c>
      <c r="J177" s="200">
        <f>+IF(K176-$N$3&gt;=3,K176-$N$3,3)</f>
        <v>3</v>
      </c>
      <c r="K177" s="200">
        <f>F177+J177</f>
        <v>2020</v>
      </c>
      <c r="L177" s="202">
        <f>+K177+(G177/12)</f>
        <v>2020.8333333333333</v>
      </c>
      <c r="M177" s="201">
        <f>+'2111 Trks - Orig'!N87-'2111 Trks'!M176</f>
        <v>7854.9639999999999</v>
      </c>
      <c r="N177" s="201">
        <f>M177-M177*H177</f>
        <v>7854.9639999999999</v>
      </c>
      <c r="O177" s="201">
        <f>N177/J177/12</f>
        <v>218.19344444444445</v>
      </c>
      <c r="P177" s="201">
        <f>+O177*12</f>
        <v>2618.3213333333333</v>
      </c>
      <c r="Q177" s="201">
        <f>+IF(L177&lt;=$N$5,0,IF(K177&gt;$N$4,P177,(O177*G177)))</f>
        <v>2618.3213333333333</v>
      </c>
      <c r="R177" s="201"/>
      <c r="S177" s="201">
        <f>+IF(Q177=0,M177,IF($N$3-F177&lt;1,0,(($N$3-F177)*P177)))</f>
        <v>0</v>
      </c>
      <c r="T177" s="201">
        <f>+IF(Q177=0,S177,S177+Q177)</f>
        <v>2618.3213333333333</v>
      </c>
      <c r="U177" s="201">
        <f>+IF(Q177=0,0,((M177-S177)+(M177-T177))/2)</f>
        <v>6545.8033333333333</v>
      </c>
    </row>
    <row r="178" spans="1:21" s="197" customFormat="1">
      <c r="A178" s="197" t="s">
        <v>40</v>
      </c>
      <c r="B178" s="197">
        <v>106797</v>
      </c>
      <c r="D178" s="197" t="s">
        <v>281</v>
      </c>
      <c r="E178" s="197" t="s">
        <v>282</v>
      </c>
      <c r="F178" s="197">
        <v>2013</v>
      </c>
      <c r="G178" s="197">
        <v>8</v>
      </c>
      <c r="H178" s="197">
        <v>0</v>
      </c>
      <c r="I178" s="197" t="s">
        <v>52</v>
      </c>
      <c r="J178" s="197">
        <v>7</v>
      </c>
      <c r="K178" s="197">
        <f t="shared" si="47"/>
        <v>2020</v>
      </c>
      <c r="L178" s="172">
        <f t="shared" si="39"/>
        <v>2020.6666666666667</v>
      </c>
      <c r="M178" s="230">
        <f>+'2111 Trks - Orig'!P88</f>
        <v>31419.856</v>
      </c>
      <c r="N178" s="230">
        <f t="shared" si="41"/>
        <v>31419.856</v>
      </c>
      <c r="O178" s="230">
        <f t="shared" si="42"/>
        <v>374.04590476190475</v>
      </c>
      <c r="P178" s="230">
        <f t="shared" si="40"/>
        <v>4488.5508571428572</v>
      </c>
      <c r="Q178" s="230">
        <f t="shared" si="43"/>
        <v>4488.5508571428572</v>
      </c>
      <c r="R178" s="230"/>
      <c r="S178" s="230">
        <f t="shared" si="44"/>
        <v>17954.203428571429</v>
      </c>
      <c r="T178" s="230">
        <f t="shared" si="45"/>
        <v>22442.754285714287</v>
      </c>
      <c r="U178" s="230">
        <f t="shared" si="46"/>
        <v>11221.377142857142</v>
      </c>
    </row>
    <row r="179" spans="1:21" s="199" customFormat="1">
      <c r="A179" s="200"/>
      <c r="B179" s="200"/>
      <c r="C179" s="200"/>
      <c r="D179" s="200" t="s">
        <v>281</v>
      </c>
      <c r="E179" s="200" t="s">
        <v>890</v>
      </c>
      <c r="F179" s="200">
        <v>2017</v>
      </c>
      <c r="G179" s="200">
        <v>10</v>
      </c>
      <c r="H179" s="200">
        <v>0</v>
      </c>
      <c r="I179" s="200" t="s">
        <v>52</v>
      </c>
      <c r="J179" s="200">
        <f>+IF(K178-$N$3&gt;=3,K178-$N$3,3)</f>
        <v>3</v>
      </c>
      <c r="K179" s="200">
        <f>F179+J179</f>
        <v>2020</v>
      </c>
      <c r="L179" s="202">
        <f>+K179+(G179/12)</f>
        <v>2020.8333333333333</v>
      </c>
      <c r="M179" s="201">
        <f>+'2111 Trks - Orig'!N88-'2111 Trks'!M178</f>
        <v>7854.9639999999999</v>
      </c>
      <c r="N179" s="201">
        <f>M179-M179*H179</f>
        <v>7854.9639999999999</v>
      </c>
      <c r="O179" s="201">
        <f>N179/J179/12</f>
        <v>218.19344444444445</v>
      </c>
      <c r="P179" s="201">
        <f>+O179*12</f>
        <v>2618.3213333333333</v>
      </c>
      <c r="Q179" s="201">
        <f>+IF(L179&lt;=$N$5,0,IF(K179&gt;$N$4,P179,(O179*G179)))</f>
        <v>2618.3213333333333</v>
      </c>
      <c r="R179" s="201"/>
      <c r="S179" s="201">
        <f>+IF(Q179=0,M179,IF($N$3-F179&lt;1,0,(($N$3-F179)*P179)))</f>
        <v>0</v>
      </c>
      <c r="T179" s="201">
        <f>+IF(Q179=0,S179,S179+Q179)</f>
        <v>2618.3213333333333</v>
      </c>
      <c r="U179" s="201">
        <f>+IF(Q179=0,0,((M179-S179)+(M179-T179))/2)</f>
        <v>6545.8033333333333</v>
      </c>
    </row>
    <row r="180" spans="1:21">
      <c r="A180" s="3" t="s">
        <v>40</v>
      </c>
      <c r="B180" s="3">
        <v>131570</v>
      </c>
      <c r="C180" s="3" t="s">
        <v>176</v>
      </c>
      <c r="D180" s="3">
        <v>175</v>
      </c>
      <c r="E180" s="3" t="s">
        <v>421</v>
      </c>
      <c r="F180" s="3">
        <v>2016</v>
      </c>
      <c r="G180" s="3">
        <v>3</v>
      </c>
      <c r="H180" s="3">
        <v>0</v>
      </c>
      <c r="I180" s="3" t="s">
        <v>52</v>
      </c>
      <c r="J180" s="3">
        <v>3</v>
      </c>
      <c r="K180" s="3">
        <f t="shared" si="47"/>
        <v>2019</v>
      </c>
      <c r="L180" s="3">
        <f t="shared" si="39"/>
        <v>2019.25</v>
      </c>
      <c r="M180" s="230">
        <v>24214.62</v>
      </c>
      <c r="N180" s="230">
        <f t="shared" si="41"/>
        <v>24214.62</v>
      </c>
      <c r="O180" s="230">
        <f t="shared" si="42"/>
        <v>672.62833333333333</v>
      </c>
      <c r="P180" s="230">
        <f t="shared" si="40"/>
        <v>8071.54</v>
      </c>
      <c r="Q180" s="230">
        <f t="shared" si="43"/>
        <v>8071.54</v>
      </c>
      <c r="R180" s="230"/>
      <c r="S180" s="230">
        <f t="shared" si="44"/>
        <v>8071.54</v>
      </c>
      <c r="T180" s="230">
        <f t="shared" si="45"/>
        <v>16143.08</v>
      </c>
      <c r="U180" s="230">
        <f t="shared" si="46"/>
        <v>12107.309999999998</v>
      </c>
    </row>
    <row r="181" spans="1:21">
      <c r="A181" s="3" t="s">
        <v>40</v>
      </c>
      <c r="B181" s="3">
        <v>132977</v>
      </c>
      <c r="D181" s="3">
        <v>182</v>
      </c>
      <c r="E181" s="3" t="s">
        <v>399</v>
      </c>
      <c r="F181" s="3">
        <v>2016</v>
      </c>
      <c r="G181" s="3">
        <v>4</v>
      </c>
      <c r="H181" s="3">
        <v>0</v>
      </c>
      <c r="I181" s="3" t="s">
        <v>52</v>
      </c>
      <c r="J181" s="3">
        <v>3</v>
      </c>
      <c r="K181" s="3">
        <f t="shared" si="47"/>
        <v>2019</v>
      </c>
      <c r="L181" s="3">
        <f t="shared" si="39"/>
        <v>2019.3333333333333</v>
      </c>
      <c r="M181" s="230">
        <v>34606.75</v>
      </c>
      <c r="N181" s="230">
        <f t="shared" si="41"/>
        <v>34606.75</v>
      </c>
      <c r="O181" s="230">
        <f t="shared" si="42"/>
        <v>961.2986111111112</v>
      </c>
      <c r="P181" s="230">
        <f t="shared" si="40"/>
        <v>11535.583333333334</v>
      </c>
      <c r="Q181" s="230">
        <f t="shared" si="43"/>
        <v>11535.583333333334</v>
      </c>
      <c r="R181" s="230"/>
      <c r="S181" s="230">
        <f t="shared" si="44"/>
        <v>11535.583333333334</v>
      </c>
      <c r="T181" s="230">
        <f t="shared" si="45"/>
        <v>23071.166666666668</v>
      </c>
      <c r="U181" s="230">
        <f t="shared" si="46"/>
        <v>17303.375</v>
      </c>
    </row>
    <row r="182" spans="1:21">
      <c r="A182" s="3" t="s">
        <v>40</v>
      </c>
      <c r="B182" s="3">
        <v>166457</v>
      </c>
      <c r="D182" s="3" t="s">
        <v>419</v>
      </c>
      <c r="E182" s="3" t="s">
        <v>406</v>
      </c>
      <c r="F182" s="3">
        <v>2016</v>
      </c>
      <c r="G182" s="3">
        <v>8</v>
      </c>
      <c r="H182" s="3">
        <v>0</v>
      </c>
      <c r="I182" s="3" t="s">
        <v>52</v>
      </c>
      <c r="J182" s="3">
        <v>3</v>
      </c>
      <c r="K182" s="3">
        <f t="shared" si="47"/>
        <v>2019</v>
      </c>
      <c r="L182" s="3">
        <f t="shared" si="39"/>
        <v>2019.6666666666667</v>
      </c>
      <c r="M182" s="230">
        <v>26927</v>
      </c>
      <c r="N182" s="230">
        <f t="shared" si="41"/>
        <v>26927</v>
      </c>
      <c r="O182" s="230">
        <f t="shared" si="42"/>
        <v>747.97222222222217</v>
      </c>
      <c r="P182" s="230">
        <f t="shared" si="40"/>
        <v>8975.6666666666661</v>
      </c>
      <c r="Q182" s="230">
        <f t="shared" si="43"/>
        <v>8975.6666666666661</v>
      </c>
      <c r="R182" s="230"/>
      <c r="S182" s="230">
        <f t="shared" si="44"/>
        <v>8975.6666666666661</v>
      </c>
      <c r="T182" s="230">
        <f t="shared" si="45"/>
        <v>17951.333333333332</v>
      </c>
      <c r="U182" s="230">
        <f t="shared" si="46"/>
        <v>13463.500000000002</v>
      </c>
    </row>
    <row r="183" spans="1:21">
      <c r="A183" s="3" t="s">
        <v>40</v>
      </c>
      <c r="B183" s="3">
        <v>166458</v>
      </c>
      <c r="D183" s="3" t="s">
        <v>420</v>
      </c>
      <c r="E183" s="3" t="s">
        <v>407</v>
      </c>
      <c r="F183" s="3">
        <v>2016</v>
      </c>
      <c r="G183" s="3">
        <v>8</v>
      </c>
      <c r="H183" s="3">
        <v>0</v>
      </c>
      <c r="I183" s="3" t="s">
        <v>52</v>
      </c>
      <c r="J183" s="3">
        <v>3</v>
      </c>
      <c r="K183" s="3">
        <f t="shared" si="47"/>
        <v>2019</v>
      </c>
      <c r="L183" s="3">
        <f t="shared" si="39"/>
        <v>2019.6666666666667</v>
      </c>
      <c r="M183" s="230">
        <v>26927</v>
      </c>
      <c r="N183" s="230">
        <f t="shared" si="41"/>
        <v>26927</v>
      </c>
      <c r="O183" s="230">
        <f t="shared" si="42"/>
        <v>747.97222222222217</v>
      </c>
      <c r="P183" s="230">
        <f t="shared" si="40"/>
        <v>8975.6666666666661</v>
      </c>
      <c r="Q183" s="230">
        <f t="shared" si="43"/>
        <v>8975.6666666666661</v>
      </c>
      <c r="R183" s="230"/>
      <c r="S183" s="230">
        <f t="shared" si="44"/>
        <v>8975.6666666666661</v>
      </c>
      <c r="T183" s="230">
        <f t="shared" si="45"/>
        <v>17951.333333333332</v>
      </c>
      <c r="U183" s="230">
        <f t="shared" si="46"/>
        <v>13463.500000000002</v>
      </c>
    </row>
    <row r="184" spans="1:21">
      <c r="A184" s="3" t="s">
        <v>40</v>
      </c>
      <c r="B184" s="3">
        <v>166835</v>
      </c>
      <c r="D184" s="3" t="s">
        <v>418</v>
      </c>
      <c r="E184" s="3" t="s">
        <v>409</v>
      </c>
      <c r="F184" s="3">
        <v>2016</v>
      </c>
      <c r="G184" s="3">
        <v>6</v>
      </c>
      <c r="H184" s="3">
        <v>0</v>
      </c>
      <c r="I184" s="3" t="s">
        <v>52</v>
      </c>
      <c r="J184" s="3">
        <v>3</v>
      </c>
      <c r="K184" s="3">
        <f t="shared" si="47"/>
        <v>2019</v>
      </c>
      <c r="L184" s="3">
        <f t="shared" si="39"/>
        <v>2019.5</v>
      </c>
      <c r="M184" s="230">
        <v>5475</v>
      </c>
      <c r="N184" s="230">
        <f t="shared" si="41"/>
        <v>5475</v>
      </c>
      <c r="O184" s="230">
        <f t="shared" si="42"/>
        <v>152.08333333333334</v>
      </c>
      <c r="P184" s="230">
        <f t="shared" si="40"/>
        <v>1825</v>
      </c>
      <c r="Q184" s="230">
        <f t="shared" si="43"/>
        <v>1825</v>
      </c>
      <c r="R184" s="230"/>
      <c r="S184" s="230">
        <f t="shared" si="44"/>
        <v>1825</v>
      </c>
      <c r="T184" s="230">
        <f t="shared" si="45"/>
        <v>3650</v>
      </c>
      <c r="U184" s="230">
        <f t="shared" si="46"/>
        <v>2737.5</v>
      </c>
    </row>
    <row r="185" spans="1:21">
      <c r="A185" s="3" t="s">
        <v>40</v>
      </c>
      <c r="B185" s="3">
        <v>168978</v>
      </c>
      <c r="D185" s="3">
        <v>175</v>
      </c>
      <c r="E185" s="3" t="s">
        <v>411</v>
      </c>
      <c r="F185" s="3">
        <v>2016</v>
      </c>
      <c r="G185" s="3">
        <v>6</v>
      </c>
      <c r="H185" s="3">
        <v>0</v>
      </c>
      <c r="I185" s="3" t="s">
        <v>52</v>
      </c>
      <c r="J185" s="3">
        <v>3</v>
      </c>
      <c r="K185" s="3">
        <f t="shared" ref="K185:K197" si="48">F185+J185</f>
        <v>2019</v>
      </c>
      <c r="L185" s="3">
        <f t="shared" ref="L185:L197" si="49">+K185+(G185/12)</f>
        <v>2019.5</v>
      </c>
      <c r="M185" s="230">
        <v>8833.89</v>
      </c>
      <c r="N185" s="230">
        <f t="shared" si="41"/>
        <v>8833.89</v>
      </c>
      <c r="O185" s="230">
        <f t="shared" si="42"/>
        <v>245.3858333333333</v>
      </c>
      <c r="P185" s="230">
        <f t="shared" ref="P185:P196" si="50">+O185*12</f>
        <v>2944.6299999999997</v>
      </c>
      <c r="Q185" s="230">
        <f t="shared" si="43"/>
        <v>2944.6299999999997</v>
      </c>
      <c r="R185" s="230"/>
      <c r="S185" s="230">
        <f t="shared" si="44"/>
        <v>2944.6299999999997</v>
      </c>
      <c r="T185" s="230">
        <f t="shared" si="45"/>
        <v>5889.2599999999993</v>
      </c>
      <c r="U185" s="230">
        <f t="shared" si="46"/>
        <v>4416.9449999999997</v>
      </c>
    </row>
    <row r="186" spans="1:21">
      <c r="A186" s="3" t="s">
        <v>40</v>
      </c>
      <c r="B186" s="3">
        <v>171235</v>
      </c>
      <c r="D186" s="3">
        <v>188</v>
      </c>
      <c r="E186" s="3" t="s">
        <v>430</v>
      </c>
      <c r="F186" s="3">
        <v>2016</v>
      </c>
      <c r="G186" s="3">
        <v>12</v>
      </c>
      <c r="H186" s="3">
        <v>0</v>
      </c>
      <c r="I186" s="3" t="s">
        <v>52</v>
      </c>
      <c r="J186" s="3">
        <v>4</v>
      </c>
      <c r="K186" s="3">
        <f t="shared" si="48"/>
        <v>2020</v>
      </c>
      <c r="L186" s="3">
        <f t="shared" si="49"/>
        <v>2021</v>
      </c>
      <c r="M186" s="230">
        <v>104215</v>
      </c>
      <c r="N186" s="230">
        <f t="shared" ref="N186:N196" si="51">M186-M186*H186</f>
        <v>104215</v>
      </c>
      <c r="O186" s="230">
        <f t="shared" ref="O186:O196" si="52">N186/J186/12</f>
        <v>2171.1458333333335</v>
      </c>
      <c r="P186" s="230">
        <f t="shared" si="50"/>
        <v>26053.75</v>
      </c>
      <c r="Q186" s="230">
        <f t="shared" ref="Q186:Q196" si="53">+IF(L186&lt;=$N$5,0,IF(K186&gt;$N$4,P186,(O186*G186)))</f>
        <v>26053.75</v>
      </c>
      <c r="R186" s="230"/>
      <c r="S186" s="230">
        <f t="shared" ref="S186:S196" si="54">+IF(Q186=0,M186,IF($N$3-F186&lt;1,0,(($N$3-F186)*P186)))</f>
        <v>26053.75</v>
      </c>
      <c r="T186" s="230">
        <f t="shared" ref="T186:T196" si="55">+IF(Q186=0,S186,S186+Q186)</f>
        <v>52107.5</v>
      </c>
      <c r="U186" s="230">
        <f t="shared" ref="U186:U196" si="56">+IF(Q186=0,0,((M186-S186)+(M186-T186))/2)</f>
        <v>65134.375</v>
      </c>
    </row>
    <row r="187" spans="1:21">
      <c r="A187" s="3" t="s">
        <v>40</v>
      </c>
      <c r="B187" s="3" t="s">
        <v>424</v>
      </c>
      <c r="E187" s="3" t="s">
        <v>426</v>
      </c>
      <c r="F187" s="3">
        <v>2016</v>
      </c>
      <c r="G187" s="3">
        <v>3</v>
      </c>
      <c r="H187" s="3">
        <v>0</v>
      </c>
      <c r="I187" s="3" t="s">
        <v>52</v>
      </c>
      <c r="J187" s="3">
        <v>1</v>
      </c>
      <c r="K187" s="3">
        <f t="shared" si="48"/>
        <v>2017</v>
      </c>
      <c r="L187" s="3">
        <f t="shared" si="49"/>
        <v>2017.25</v>
      </c>
      <c r="M187" s="230">
        <f>(25892.28+23056.62)/104*5</f>
        <v>2353.3125</v>
      </c>
      <c r="N187" s="230">
        <f t="shared" si="51"/>
        <v>2353.3125</v>
      </c>
      <c r="O187" s="230">
        <f t="shared" si="52"/>
        <v>196.109375</v>
      </c>
      <c r="P187" s="230">
        <f t="shared" si="50"/>
        <v>2353.3125</v>
      </c>
      <c r="Q187" s="230">
        <f t="shared" si="53"/>
        <v>0</v>
      </c>
      <c r="R187" s="230"/>
      <c r="S187" s="230">
        <f t="shared" si="54"/>
        <v>2353.3125</v>
      </c>
      <c r="T187" s="230">
        <f t="shared" si="55"/>
        <v>2353.3125</v>
      </c>
      <c r="U187" s="230">
        <f t="shared" si="56"/>
        <v>0</v>
      </c>
    </row>
    <row r="188" spans="1:21">
      <c r="A188" s="3" t="s">
        <v>40</v>
      </c>
      <c r="B188" s="3">
        <v>132248</v>
      </c>
      <c r="E188" s="3" t="s">
        <v>397</v>
      </c>
      <c r="F188" s="3">
        <v>2016</v>
      </c>
      <c r="G188" s="3">
        <v>4</v>
      </c>
      <c r="H188" s="3">
        <v>0</v>
      </c>
      <c r="I188" s="3" t="s">
        <v>52</v>
      </c>
      <c r="J188" s="3">
        <v>5</v>
      </c>
      <c r="K188" s="3">
        <f t="shared" si="48"/>
        <v>2021</v>
      </c>
      <c r="L188" s="3">
        <f t="shared" si="49"/>
        <v>2021.3333333333333</v>
      </c>
      <c r="M188" s="230">
        <v>37677.360000000001</v>
      </c>
      <c r="N188" s="230">
        <f t="shared" si="51"/>
        <v>37677.360000000001</v>
      </c>
      <c r="O188" s="230">
        <f t="shared" si="52"/>
        <v>627.95600000000002</v>
      </c>
      <c r="P188" s="230">
        <f t="shared" si="50"/>
        <v>7535.4719999999998</v>
      </c>
      <c r="Q188" s="230">
        <f t="shared" si="53"/>
        <v>7535.4719999999998</v>
      </c>
      <c r="R188" s="230"/>
      <c r="S188" s="230">
        <f t="shared" si="54"/>
        <v>7535.4719999999998</v>
      </c>
      <c r="T188" s="230">
        <f t="shared" si="55"/>
        <v>15070.944</v>
      </c>
      <c r="U188" s="230">
        <f t="shared" si="56"/>
        <v>26374.152000000002</v>
      </c>
    </row>
    <row r="189" spans="1:21">
      <c r="A189" s="3" t="s">
        <v>40</v>
      </c>
      <c r="B189" s="3">
        <v>132249</v>
      </c>
      <c r="E189" s="3" t="s">
        <v>398</v>
      </c>
      <c r="F189" s="3">
        <v>2016</v>
      </c>
      <c r="G189" s="3">
        <v>4</v>
      </c>
      <c r="H189" s="3">
        <v>0</v>
      </c>
      <c r="I189" s="3" t="s">
        <v>52</v>
      </c>
      <c r="J189" s="3">
        <v>5</v>
      </c>
      <c r="K189" s="3">
        <f t="shared" si="48"/>
        <v>2021</v>
      </c>
      <c r="L189" s="3">
        <f t="shared" si="49"/>
        <v>2021.3333333333333</v>
      </c>
      <c r="M189" s="230">
        <v>7289.19</v>
      </c>
      <c r="N189" s="230">
        <f t="shared" si="51"/>
        <v>7289.19</v>
      </c>
      <c r="O189" s="230">
        <f t="shared" si="52"/>
        <v>121.48649999999999</v>
      </c>
      <c r="P189" s="230">
        <f t="shared" si="50"/>
        <v>1457.838</v>
      </c>
      <c r="Q189" s="230">
        <f t="shared" si="53"/>
        <v>1457.838</v>
      </c>
      <c r="R189" s="230"/>
      <c r="S189" s="230">
        <f t="shared" si="54"/>
        <v>1457.838</v>
      </c>
      <c r="T189" s="230">
        <f t="shared" si="55"/>
        <v>2915.6759999999999</v>
      </c>
      <c r="U189" s="230">
        <f t="shared" si="56"/>
        <v>5102.4329999999991</v>
      </c>
    </row>
    <row r="190" spans="1:21">
      <c r="A190" s="3" t="s">
        <v>40</v>
      </c>
      <c r="B190" s="3">
        <v>165758</v>
      </c>
      <c r="D190" s="3">
        <v>406</v>
      </c>
      <c r="E190" s="3" t="s">
        <v>403</v>
      </c>
      <c r="F190" s="3">
        <v>2016</v>
      </c>
      <c r="G190" s="3">
        <v>6</v>
      </c>
      <c r="H190" s="3">
        <v>0</v>
      </c>
      <c r="I190" s="3" t="s">
        <v>52</v>
      </c>
      <c r="J190" s="3">
        <v>3</v>
      </c>
      <c r="K190" s="3">
        <f t="shared" si="48"/>
        <v>2019</v>
      </c>
      <c r="L190" s="3">
        <f t="shared" si="49"/>
        <v>2019.5</v>
      </c>
      <c r="M190" s="230">
        <v>19969.009999999998</v>
      </c>
      <c r="N190" s="230">
        <f t="shared" si="51"/>
        <v>19969.009999999998</v>
      </c>
      <c r="O190" s="230">
        <f t="shared" si="52"/>
        <v>554.69472222222214</v>
      </c>
      <c r="P190" s="230">
        <f t="shared" si="50"/>
        <v>6656.3366666666661</v>
      </c>
      <c r="Q190" s="230">
        <f t="shared" si="53"/>
        <v>6656.3366666666661</v>
      </c>
      <c r="R190" s="230"/>
      <c r="S190" s="230">
        <f t="shared" si="54"/>
        <v>6656.3366666666661</v>
      </c>
      <c r="T190" s="230">
        <f t="shared" si="55"/>
        <v>13312.673333333332</v>
      </c>
      <c r="U190" s="230">
        <f t="shared" si="56"/>
        <v>9984.5049999999992</v>
      </c>
    </row>
    <row r="191" spans="1:21">
      <c r="B191" s="3" t="s">
        <v>562</v>
      </c>
      <c r="D191" s="3">
        <v>175</v>
      </c>
      <c r="E191" s="3" t="s">
        <v>421</v>
      </c>
      <c r="F191" s="3">
        <v>2016</v>
      </c>
      <c r="G191" s="3">
        <v>3</v>
      </c>
      <c r="H191" s="3">
        <v>0</v>
      </c>
      <c r="I191" s="3" t="s">
        <v>52</v>
      </c>
      <c r="J191" s="3">
        <v>3</v>
      </c>
      <c r="K191" s="3">
        <f t="shared" si="48"/>
        <v>2019</v>
      </c>
      <c r="L191" s="3">
        <f t="shared" si="49"/>
        <v>2019.25</v>
      </c>
      <c r="M191" s="230">
        <v>24214.62</v>
      </c>
      <c r="N191" s="230">
        <f t="shared" si="51"/>
        <v>24214.62</v>
      </c>
      <c r="O191" s="230">
        <f t="shared" si="52"/>
        <v>672.62833333333333</v>
      </c>
      <c r="P191" s="230">
        <f t="shared" si="50"/>
        <v>8071.54</v>
      </c>
      <c r="Q191" s="230">
        <f t="shared" si="53"/>
        <v>8071.54</v>
      </c>
      <c r="R191" s="230"/>
      <c r="S191" s="230">
        <f t="shared" si="54"/>
        <v>8071.54</v>
      </c>
      <c r="T191" s="230">
        <f t="shared" si="55"/>
        <v>16143.08</v>
      </c>
      <c r="U191" s="230">
        <f t="shared" si="56"/>
        <v>12107.309999999998</v>
      </c>
    </row>
    <row r="192" spans="1:21">
      <c r="B192" s="3" t="s">
        <v>508</v>
      </c>
      <c r="D192" s="3">
        <v>61</v>
      </c>
      <c r="E192" s="3" t="s">
        <v>509</v>
      </c>
      <c r="F192" s="3">
        <v>2017</v>
      </c>
      <c r="G192" s="3">
        <v>8</v>
      </c>
      <c r="H192" s="3">
        <v>0</v>
      </c>
      <c r="I192" s="3" t="s">
        <v>52</v>
      </c>
      <c r="J192" s="3">
        <v>3</v>
      </c>
      <c r="K192" s="3">
        <f t="shared" si="48"/>
        <v>2020</v>
      </c>
      <c r="L192" s="3">
        <f t="shared" si="49"/>
        <v>2020.6666666666667</v>
      </c>
      <c r="M192" s="230">
        <v>9492.07</v>
      </c>
      <c r="N192" s="230">
        <f t="shared" si="51"/>
        <v>9492.07</v>
      </c>
      <c r="O192" s="230">
        <f t="shared" si="52"/>
        <v>263.66861111111109</v>
      </c>
      <c r="P192" s="230">
        <f t="shared" si="50"/>
        <v>3164.0233333333331</v>
      </c>
      <c r="Q192" s="230">
        <f t="shared" si="53"/>
        <v>3164.0233333333331</v>
      </c>
      <c r="R192" s="230"/>
      <c r="S192" s="230">
        <f t="shared" si="54"/>
        <v>0</v>
      </c>
      <c r="T192" s="230">
        <f t="shared" si="55"/>
        <v>3164.0233333333331</v>
      </c>
      <c r="U192" s="230">
        <f t="shared" si="56"/>
        <v>7910.0583333333334</v>
      </c>
    </row>
    <row r="193" spans="1:21">
      <c r="B193" s="3" t="s">
        <v>510</v>
      </c>
      <c r="D193" s="3">
        <v>182</v>
      </c>
      <c r="E193" s="3" t="s">
        <v>511</v>
      </c>
      <c r="F193" s="3">
        <v>2017</v>
      </c>
      <c r="G193" s="3">
        <v>8</v>
      </c>
      <c r="H193" s="3">
        <v>0</v>
      </c>
      <c r="I193" s="3" t="s">
        <v>52</v>
      </c>
      <c r="J193" s="3">
        <v>3</v>
      </c>
      <c r="K193" s="3">
        <f t="shared" si="48"/>
        <v>2020</v>
      </c>
      <c r="L193" s="3">
        <f t="shared" si="49"/>
        <v>2020.6666666666667</v>
      </c>
      <c r="M193" s="230">
        <v>9492.07</v>
      </c>
      <c r="N193" s="230">
        <f t="shared" si="51"/>
        <v>9492.07</v>
      </c>
      <c r="O193" s="230">
        <f t="shared" si="52"/>
        <v>263.66861111111109</v>
      </c>
      <c r="P193" s="230">
        <f t="shared" si="50"/>
        <v>3164.0233333333331</v>
      </c>
      <c r="Q193" s="230">
        <f t="shared" si="53"/>
        <v>3164.0233333333331</v>
      </c>
      <c r="R193" s="230"/>
      <c r="S193" s="230">
        <f t="shared" si="54"/>
        <v>0</v>
      </c>
      <c r="T193" s="230">
        <f t="shared" si="55"/>
        <v>3164.0233333333331</v>
      </c>
      <c r="U193" s="230">
        <f t="shared" si="56"/>
        <v>7910.0583333333334</v>
      </c>
    </row>
    <row r="194" spans="1:21">
      <c r="B194" s="3" t="s">
        <v>560</v>
      </c>
      <c r="D194" s="3">
        <v>188</v>
      </c>
      <c r="E194" s="3" t="s">
        <v>561</v>
      </c>
      <c r="F194" s="3">
        <v>2017</v>
      </c>
      <c r="G194" s="3">
        <v>1</v>
      </c>
      <c r="H194" s="3">
        <v>0</v>
      </c>
      <c r="I194" s="3" t="s">
        <v>52</v>
      </c>
      <c r="J194" s="3">
        <v>5</v>
      </c>
      <c r="K194" s="3">
        <f t="shared" si="48"/>
        <v>2022</v>
      </c>
      <c r="L194" s="3">
        <f t="shared" si="49"/>
        <v>2022.0833333333333</v>
      </c>
      <c r="M194" s="230">
        <v>9021.1200000000008</v>
      </c>
      <c r="N194" s="230">
        <f t="shared" si="51"/>
        <v>9021.1200000000008</v>
      </c>
      <c r="O194" s="230">
        <f t="shared" si="52"/>
        <v>150.352</v>
      </c>
      <c r="P194" s="230">
        <f t="shared" si="50"/>
        <v>1804.2240000000002</v>
      </c>
      <c r="Q194" s="230">
        <f t="shared" si="53"/>
        <v>1804.2240000000002</v>
      </c>
      <c r="R194" s="230"/>
      <c r="S194" s="230">
        <f t="shared" si="54"/>
        <v>0</v>
      </c>
      <c r="T194" s="230">
        <f t="shared" si="55"/>
        <v>1804.2240000000002</v>
      </c>
      <c r="U194" s="230">
        <f t="shared" si="56"/>
        <v>8119.0080000000007</v>
      </c>
    </row>
    <row r="195" spans="1:21">
      <c r="B195" s="3" t="s">
        <v>576</v>
      </c>
      <c r="D195" s="3">
        <v>168</v>
      </c>
      <c r="E195" s="3" t="s">
        <v>465</v>
      </c>
      <c r="F195" s="3">
        <v>2018</v>
      </c>
      <c r="G195" s="3">
        <v>5</v>
      </c>
      <c r="H195" s="3">
        <v>0</v>
      </c>
      <c r="I195" s="3" t="s">
        <v>52</v>
      </c>
      <c r="J195" s="3">
        <v>3</v>
      </c>
      <c r="K195" s="3">
        <f t="shared" si="48"/>
        <v>2021</v>
      </c>
      <c r="L195" s="3">
        <f t="shared" si="49"/>
        <v>2021.4166666666667</v>
      </c>
      <c r="M195" s="230">
        <v>28485.64</v>
      </c>
      <c r="N195" s="230">
        <f t="shared" si="51"/>
        <v>28485.64</v>
      </c>
      <c r="O195" s="230">
        <f t="shared" si="52"/>
        <v>791.26777777777772</v>
      </c>
      <c r="P195" s="230">
        <f t="shared" si="50"/>
        <v>9495.2133333333331</v>
      </c>
      <c r="Q195" s="230">
        <f t="shared" si="53"/>
        <v>9495.2133333333331</v>
      </c>
      <c r="R195" s="230"/>
      <c r="S195" s="230">
        <f t="shared" si="54"/>
        <v>0</v>
      </c>
      <c r="T195" s="230">
        <f t="shared" si="55"/>
        <v>9495.2133333333331</v>
      </c>
      <c r="U195" s="230">
        <f t="shared" si="56"/>
        <v>23738.033333333333</v>
      </c>
    </row>
    <row r="196" spans="1:21">
      <c r="B196" s="3">
        <v>195820</v>
      </c>
      <c r="D196" s="3">
        <v>182</v>
      </c>
      <c r="E196" s="3" t="s">
        <v>602</v>
      </c>
      <c r="F196" s="3">
        <v>2018</v>
      </c>
      <c r="G196" s="3">
        <v>4</v>
      </c>
      <c r="H196" s="3">
        <v>0</v>
      </c>
      <c r="I196" s="3" t="s">
        <v>52</v>
      </c>
      <c r="J196" s="3">
        <v>3</v>
      </c>
      <c r="K196" s="3">
        <f t="shared" si="48"/>
        <v>2021</v>
      </c>
      <c r="L196" s="3">
        <f t="shared" si="49"/>
        <v>2021.3333333333333</v>
      </c>
      <c r="M196" s="230">
        <v>8770.02</v>
      </c>
      <c r="N196" s="230">
        <f t="shared" si="51"/>
        <v>8770.02</v>
      </c>
      <c r="O196" s="230">
        <f t="shared" si="52"/>
        <v>243.61166666666668</v>
      </c>
      <c r="P196" s="230">
        <f t="shared" si="50"/>
        <v>2923.34</v>
      </c>
      <c r="Q196" s="230">
        <f t="shared" si="53"/>
        <v>2923.34</v>
      </c>
      <c r="R196" s="230"/>
      <c r="S196" s="230">
        <f t="shared" si="54"/>
        <v>0</v>
      </c>
      <c r="T196" s="230">
        <f t="shared" si="55"/>
        <v>2923.34</v>
      </c>
      <c r="U196" s="230">
        <f t="shared" si="56"/>
        <v>7308.35</v>
      </c>
    </row>
    <row r="197" spans="1:21" s="203" customFormat="1" ht="15.75" customHeight="1">
      <c r="B197" s="203">
        <v>201533</v>
      </c>
      <c r="D197" s="203" t="s">
        <v>1025</v>
      </c>
      <c r="E197" s="203" t="s">
        <v>905</v>
      </c>
      <c r="F197" s="203">
        <v>2018</v>
      </c>
      <c r="G197" s="203">
        <v>7</v>
      </c>
      <c r="H197" s="203">
        <v>0</v>
      </c>
      <c r="I197" s="203" t="s">
        <v>52</v>
      </c>
      <c r="J197" s="203">
        <v>7</v>
      </c>
      <c r="K197" s="203">
        <f t="shared" si="48"/>
        <v>2025</v>
      </c>
      <c r="L197" s="203">
        <f t="shared" si="49"/>
        <v>2025.5833333333333</v>
      </c>
      <c r="M197" s="205">
        <v>100872.99</v>
      </c>
      <c r="N197" s="205">
        <f t="shared" ref="N197:N203" si="57">M197-M197*H197</f>
        <v>100872.99</v>
      </c>
      <c r="O197" s="205">
        <f t="shared" ref="O197:O203" si="58">N197/J197/12</f>
        <v>1200.8689285714286</v>
      </c>
      <c r="P197" s="205">
        <f t="shared" ref="P197:P203" si="59">+O197*12</f>
        <v>14410.427142857143</v>
      </c>
      <c r="Q197" s="205">
        <f t="shared" ref="Q197:Q203" si="60">+IF(L197&lt;=$N$5,0,IF(K197&gt;$N$4,P197,(O197*G197)))</f>
        <v>14410.427142857143</v>
      </c>
      <c r="R197" s="205"/>
      <c r="S197" s="205">
        <f t="shared" ref="S197:S203" si="61">+IF(Q197=0,M197,IF($N$3-F197&lt;1,0,(($N$3-F197)*P197)))</f>
        <v>0</v>
      </c>
      <c r="T197" s="205">
        <f t="shared" ref="T197:T203" si="62">+IF(Q197=0,S197,S197+Q197)</f>
        <v>14410.427142857143</v>
      </c>
      <c r="U197" s="205">
        <f t="shared" ref="U197:U203" si="63">+IF(Q197=0,0,((M197-S197)+(M197-T197))/2)</f>
        <v>93667.776428571437</v>
      </c>
    </row>
    <row r="198" spans="1:21" s="203" customFormat="1">
      <c r="B198" s="203">
        <v>203939</v>
      </c>
      <c r="C198" s="203" t="s">
        <v>958</v>
      </c>
      <c r="D198" s="203">
        <v>168</v>
      </c>
      <c r="E198" s="203" t="s">
        <v>956</v>
      </c>
      <c r="F198" s="203">
        <v>2018</v>
      </c>
      <c r="G198" s="203">
        <v>9</v>
      </c>
      <c r="H198" s="203">
        <v>0</v>
      </c>
      <c r="I198" s="203" t="s">
        <v>52</v>
      </c>
      <c r="J198" s="203">
        <v>3</v>
      </c>
      <c r="K198" s="203">
        <f t="shared" ref="K198:K203" si="64">F198+J198</f>
        <v>2021</v>
      </c>
      <c r="L198" s="203">
        <f t="shared" ref="L198:L203" si="65">+K198+(G198/12)</f>
        <v>2021.75</v>
      </c>
      <c r="M198" s="205">
        <v>11069.35</v>
      </c>
      <c r="N198" s="205">
        <f t="shared" si="57"/>
        <v>11069.35</v>
      </c>
      <c r="O198" s="205">
        <f t="shared" si="58"/>
        <v>307.48194444444442</v>
      </c>
      <c r="P198" s="205">
        <f t="shared" si="59"/>
        <v>3689.7833333333328</v>
      </c>
      <c r="Q198" s="205">
        <f t="shared" si="60"/>
        <v>3689.7833333333328</v>
      </c>
      <c r="R198" s="205"/>
      <c r="S198" s="205">
        <f t="shared" si="61"/>
        <v>0</v>
      </c>
      <c r="T198" s="205">
        <f t="shared" si="62"/>
        <v>3689.7833333333328</v>
      </c>
      <c r="U198" s="205">
        <f t="shared" si="63"/>
        <v>9224.4583333333339</v>
      </c>
    </row>
    <row r="199" spans="1:21" s="203" customFormat="1">
      <c r="B199" s="203">
        <v>203779</v>
      </c>
      <c r="C199" s="203">
        <v>201533</v>
      </c>
      <c r="E199" s="203" t="s">
        <v>959</v>
      </c>
      <c r="F199" s="203">
        <v>2018</v>
      </c>
      <c r="G199" s="203">
        <v>7</v>
      </c>
      <c r="H199" s="203">
        <v>0</v>
      </c>
      <c r="I199" s="203" t="s">
        <v>52</v>
      </c>
      <c r="J199" s="203">
        <v>7</v>
      </c>
      <c r="K199" s="203">
        <f t="shared" si="64"/>
        <v>2025</v>
      </c>
      <c r="L199" s="203">
        <f t="shared" si="65"/>
        <v>2025.5833333333333</v>
      </c>
      <c r="M199" s="205">
        <v>11207.98</v>
      </c>
      <c r="N199" s="205">
        <f t="shared" si="57"/>
        <v>11207.98</v>
      </c>
      <c r="O199" s="205">
        <f t="shared" si="58"/>
        <v>133.42833333333331</v>
      </c>
      <c r="P199" s="205">
        <f t="shared" si="59"/>
        <v>1601.1399999999999</v>
      </c>
      <c r="Q199" s="205">
        <f t="shared" si="60"/>
        <v>1601.1399999999999</v>
      </c>
      <c r="R199" s="205"/>
      <c r="S199" s="205">
        <f t="shared" si="61"/>
        <v>0</v>
      </c>
      <c r="T199" s="205">
        <f t="shared" si="62"/>
        <v>1601.1399999999999</v>
      </c>
      <c r="U199" s="205">
        <f t="shared" si="63"/>
        <v>10407.41</v>
      </c>
    </row>
    <row r="200" spans="1:21">
      <c r="A200" s="3" t="s">
        <v>679</v>
      </c>
      <c r="B200" s="3">
        <v>201327</v>
      </c>
      <c r="D200" s="3">
        <v>189</v>
      </c>
      <c r="E200" s="3" t="s">
        <v>964</v>
      </c>
      <c r="F200" s="3">
        <v>2018</v>
      </c>
      <c r="G200" s="3">
        <v>8</v>
      </c>
      <c r="H200" s="3">
        <v>0</v>
      </c>
      <c r="I200" s="3" t="s">
        <v>52</v>
      </c>
      <c r="J200" s="3">
        <v>6</v>
      </c>
      <c r="K200" s="3">
        <f t="shared" si="64"/>
        <v>2024</v>
      </c>
      <c r="L200" s="3">
        <f t="shared" si="65"/>
        <v>2024.6666666666667</v>
      </c>
      <c r="M200" s="230">
        <v>114608</v>
      </c>
      <c r="N200" s="230">
        <f t="shared" si="57"/>
        <v>114608</v>
      </c>
      <c r="O200" s="230">
        <f t="shared" si="58"/>
        <v>1591.7777777777776</v>
      </c>
      <c r="P200" s="230">
        <f t="shared" si="59"/>
        <v>19101.333333333332</v>
      </c>
      <c r="Q200" s="230">
        <f t="shared" si="60"/>
        <v>19101.333333333332</v>
      </c>
      <c r="R200" s="230"/>
      <c r="S200" s="230">
        <f t="shared" si="61"/>
        <v>0</v>
      </c>
      <c r="T200" s="230">
        <f t="shared" si="62"/>
        <v>19101.333333333332</v>
      </c>
      <c r="U200" s="230">
        <f t="shared" si="63"/>
        <v>105057.33333333334</v>
      </c>
    </row>
    <row r="201" spans="1:21">
      <c r="A201" s="3" t="s">
        <v>679</v>
      </c>
      <c r="B201" s="3">
        <v>197352</v>
      </c>
      <c r="D201" s="3" t="s">
        <v>966</v>
      </c>
      <c r="E201" s="3" t="s">
        <v>965</v>
      </c>
      <c r="F201" s="3">
        <v>2018</v>
      </c>
      <c r="G201" s="3">
        <v>2</v>
      </c>
      <c r="H201" s="3">
        <v>0</v>
      </c>
      <c r="I201" s="3" t="s">
        <v>52</v>
      </c>
      <c r="J201" s="3">
        <v>10</v>
      </c>
      <c r="K201" s="3">
        <f t="shared" si="64"/>
        <v>2028</v>
      </c>
      <c r="L201" s="3">
        <f t="shared" si="65"/>
        <v>2028.1666666666667</v>
      </c>
      <c r="M201" s="230">
        <v>54201.23</v>
      </c>
      <c r="N201" s="230">
        <f t="shared" si="57"/>
        <v>54201.23</v>
      </c>
      <c r="O201" s="230">
        <f t="shared" si="58"/>
        <v>451.67691666666673</v>
      </c>
      <c r="P201" s="230">
        <f t="shared" si="59"/>
        <v>5420.1230000000005</v>
      </c>
      <c r="Q201" s="230">
        <f t="shared" si="60"/>
        <v>5420.1230000000005</v>
      </c>
      <c r="R201" s="230"/>
      <c r="S201" s="230">
        <f t="shared" si="61"/>
        <v>0</v>
      </c>
      <c r="T201" s="230">
        <f t="shared" si="62"/>
        <v>5420.1230000000005</v>
      </c>
      <c r="U201" s="230">
        <f t="shared" si="63"/>
        <v>51491.1685</v>
      </c>
    </row>
    <row r="202" spans="1:21">
      <c r="A202" s="3" t="s">
        <v>679</v>
      </c>
      <c r="B202" s="3">
        <v>204264</v>
      </c>
      <c r="C202" s="3">
        <v>201327</v>
      </c>
      <c r="D202" s="3">
        <v>189</v>
      </c>
      <c r="E202" s="3" t="s">
        <v>969</v>
      </c>
      <c r="F202" s="3">
        <v>2018</v>
      </c>
      <c r="G202" s="3">
        <v>10</v>
      </c>
      <c r="H202" s="3">
        <v>0</v>
      </c>
      <c r="I202" s="3" t="s">
        <v>52</v>
      </c>
      <c r="J202" s="3">
        <v>5</v>
      </c>
      <c r="K202" s="3">
        <f t="shared" si="64"/>
        <v>2023</v>
      </c>
      <c r="L202" s="3">
        <f t="shared" si="65"/>
        <v>2023.8333333333333</v>
      </c>
      <c r="M202" s="230">
        <v>471.37</v>
      </c>
      <c r="N202" s="230">
        <f t="shared" si="57"/>
        <v>471.37</v>
      </c>
      <c r="O202" s="230">
        <f t="shared" si="58"/>
        <v>7.8561666666666667</v>
      </c>
      <c r="P202" s="230">
        <f t="shared" si="59"/>
        <v>94.274000000000001</v>
      </c>
      <c r="Q202" s="230">
        <f t="shared" si="60"/>
        <v>94.274000000000001</v>
      </c>
      <c r="R202" s="230"/>
      <c r="S202" s="230">
        <f t="shared" si="61"/>
        <v>0</v>
      </c>
      <c r="T202" s="230">
        <f t="shared" si="62"/>
        <v>94.274000000000001</v>
      </c>
      <c r="U202" s="230">
        <f t="shared" si="63"/>
        <v>424.233</v>
      </c>
    </row>
    <row r="203" spans="1:21">
      <c r="A203" s="3" t="s">
        <v>679</v>
      </c>
      <c r="B203" s="3">
        <v>202626</v>
      </c>
      <c r="C203" s="3">
        <v>197352</v>
      </c>
      <c r="E203" s="3" t="s">
        <v>979</v>
      </c>
      <c r="F203" s="3">
        <v>2018</v>
      </c>
      <c r="G203" s="3">
        <v>2</v>
      </c>
      <c r="H203" s="3">
        <v>0</v>
      </c>
      <c r="I203" s="3" t="s">
        <v>52</v>
      </c>
      <c r="J203" s="3">
        <v>5</v>
      </c>
      <c r="K203" s="3">
        <f t="shared" si="64"/>
        <v>2023</v>
      </c>
      <c r="L203" s="3">
        <f t="shared" si="65"/>
        <v>2023.1666666666667</v>
      </c>
      <c r="M203" s="230">
        <v>253.5</v>
      </c>
      <c r="N203" s="230">
        <f t="shared" si="57"/>
        <v>253.5</v>
      </c>
      <c r="O203" s="230">
        <f t="shared" si="58"/>
        <v>4.2250000000000005</v>
      </c>
      <c r="P203" s="230">
        <f t="shared" si="59"/>
        <v>50.7</v>
      </c>
      <c r="Q203" s="230">
        <f t="shared" si="60"/>
        <v>50.7</v>
      </c>
      <c r="R203" s="230"/>
      <c r="S203" s="230">
        <f t="shared" si="61"/>
        <v>0</v>
      </c>
      <c r="T203" s="230">
        <f t="shared" si="62"/>
        <v>50.7</v>
      </c>
      <c r="U203" s="230">
        <f t="shared" si="63"/>
        <v>228.15</v>
      </c>
    </row>
    <row r="204" spans="1:21">
      <c r="A204" s="3" t="s">
        <v>679</v>
      </c>
      <c r="B204" s="3">
        <v>37217</v>
      </c>
      <c r="D204" s="3">
        <v>148</v>
      </c>
      <c r="E204" s="3" t="s">
        <v>973</v>
      </c>
      <c r="F204" s="3">
        <v>1996</v>
      </c>
      <c r="G204" s="3">
        <v>12</v>
      </c>
      <c r="H204" s="3">
        <v>0</v>
      </c>
      <c r="I204" s="3" t="s">
        <v>52</v>
      </c>
      <c r="J204" s="3">
        <v>7</v>
      </c>
      <c r="K204" s="3">
        <f t="shared" ref="K204:K224" si="66">F204+J204</f>
        <v>2003</v>
      </c>
      <c r="L204" s="3">
        <f t="shared" ref="L204:L224" si="67">+K204+(G204/12)</f>
        <v>2004</v>
      </c>
      <c r="M204" s="230">
        <v>94552</v>
      </c>
      <c r="N204" s="230">
        <f t="shared" ref="N204:N223" si="68">M204-M204*H204</f>
        <v>94552</v>
      </c>
      <c r="O204" s="230">
        <f t="shared" ref="O204:O223" si="69">N204/J204/12</f>
        <v>1125.6190476190475</v>
      </c>
      <c r="P204" s="230">
        <f t="shared" ref="P204:P224" si="70">+O204*12</f>
        <v>13507.428571428569</v>
      </c>
      <c r="Q204" s="230">
        <f t="shared" ref="Q204:Q223" si="71">+IF(L204&lt;=$N$5,0,IF(K204&gt;$N$4,P204,(O204*G204)))</f>
        <v>0</v>
      </c>
      <c r="R204" s="230"/>
      <c r="S204" s="230">
        <f t="shared" ref="S204:S223" si="72">+IF(Q204=0,M204,IF($N$3-F204&lt;1,0,(($N$3-F204)*P204)))</f>
        <v>94552</v>
      </c>
      <c r="T204" s="230">
        <f t="shared" ref="T204:T223" si="73">+IF(Q204=0,S204,S204+Q204)</f>
        <v>94552</v>
      </c>
      <c r="U204" s="230">
        <f t="shared" ref="U204:U223" si="74">+IF(Q204=0,0,((M204-S204)+(M204-T204))/2)</f>
        <v>0</v>
      </c>
    </row>
    <row r="205" spans="1:21">
      <c r="A205" s="3" t="s">
        <v>679</v>
      </c>
      <c r="B205" s="3">
        <v>37216</v>
      </c>
      <c r="D205" s="3">
        <v>144</v>
      </c>
      <c r="E205" s="3" t="s">
        <v>974</v>
      </c>
      <c r="F205" s="3">
        <v>1996</v>
      </c>
      <c r="G205" s="3">
        <v>12</v>
      </c>
      <c r="H205" s="3">
        <v>0</v>
      </c>
      <c r="I205" s="3" t="s">
        <v>52</v>
      </c>
      <c r="J205" s="3">
        <v>7</v>
      </c>
      <c r="K205" s="3">
        <f t="shared" si="66"/>
        <v>2003</v>
      </c>
      <c r="L205" s="3">
        <f t="shared" si="67"/>
        <v>2004</v>
      </c>
      <c r="M205" s="230">
        <v>94552</v>
      </c>
      <c r="N205" s="230">
        <f t="shared" si="68"/>
        <v>94552</v>
      </c>
      <c r="O205" s="230">
        <f t="shared" si="69"/>
        <v>1125.6190476190475</v>
      </c>
      <c r="P205" s="230">
        <f t="shared" si="70"/>
        <v>13507.428571428569</v>
      </c>
      <c r="Q205" s="230">
        <f t="shared" si="71"/>
        <v>0</v>
      </c>
      <c r="R205" s="230"/>
      <c r="S205" s="230">
        <f t="shared" si="72"/>
        <v>94552</v>
      </c>
      <c r="T205" s="230">
        <f t="shared" si="73"/>
        <v>94552</v>
      </c>
      <c r="U205" s="230">
        <f t="shared" si="74"/>
        <v>0</v>
      </c>
    </row>
    <row r="206" spans="1:21">
      <c r="A206" s="3" t="s">
        <v>679</v>
      </c>
      <c r="B206" s="3">
        <v>60338</v>
      </c>
      <c r="D206" s="3">
        <v>158</v>
      </c>
      <c r="E206" s="3" t="s">
        <v>975</v>
      </c>
      <c r="F206" s="3">
        <v>2002</v>
      </c>
      <c r="G206" s="3">
        <v>12</v>
      </c>
      <c r="H206" s="3">
        <v>0</v>
      </c>
      <c r="I206" s="3" t="s">
        <v>52</v>
      </c>
      <c r="J206" s="3">
        <v>5</v>
      </c>
      <c r="K206" s="3">
        <f t="shared" si="66"/>
        <v>2007</v>
      </c>
      <c r="L206" s="3">
        <f t="shared" si="67"/>
        <v>2008</v>
      </c>
      <c r="M206" s="230">
        <v>35360</v>
      </c>
      <c r="N206" s="230">
        <f t="shared" si="68"/>
        <v>35360</v>
      </c>
      <c r="O206" s="230">
        <f t="shared" si="69"/>
        <v>589.33333333333337</v>
      </c>
      <c r="P206" s="230">
        <f t="shared" si="70"/>
        <v>7072</v>
      </c>
      <c r="Q206" s="230">
        <f t="shared" si="71"/>
        <v>0</v>
      </c>
      <c r="R206" s="230"/>
      <c r="S206" s="230">
        <f t="shared" si="72"/>
        <v>35360</v>
      </c>
      <c r="T206" s="230">
        <f t="shared" si="73"/>
        <v>35360</v>
      </c>
      <c r="U206" s="230">
        <f t="shared" si="74"/>
        <v>0</v>
      </c>
    </row>
    <row r="207" spans="1:21">
      <c r="A207" s="3" t="s">
        <v>679</v>
      </c>
      <c r="B207" s="3">
        <v>39589</v>
      </c>
      <c r="D207" s="3" t="s">
        <v>990</v>
      </c>
      <c r="E207" s="3" t="s">
        <v>234</v>
      </c>
      <c r="F207" s="3">
        <v>2004</v>
      </c>
      <c r="G207" s="3">
        <v>11</v>
      </c>
      <c r="H207" s="3">
        <v>0</v>
      </c>
      <c r="I207" s="3" t="s">
        <v>52</v>
      </c>
      <c r="J207" s="3">
        <v>5</v>
      </c>
      <c r="K207" s="3">
        <f t="shared" si="66"/>
        <v>2009</v>
      </c>
      <c r="L207" s="3">
        <f t="shared" si="67"/>
        <v>2009.9166666666667</v>
      </c>
      <c r="M207" s="230">
        <v>20000</v>
      </c>
      <c r="N207" s="230">
        <f t="shared" si="68"/>
        <v>20000</v>
      </c>
      <c r="O207" s="230">
        <f t="shared" si="69"/>
        <v>333.33333333333331</v>
      </c>
      <c r="P207" s="230">
        <f t="shared" si="70"/>
        <v>4000</v>
      </c>
      <c r="Q207" s="230">
        <f t="shared" si="71"/>
        <v>0</v>
      </c>
      <c r="R207" s="230"/>
      <c r="S207" s="230">
        <f t="shared" si="72"/>
        <v>20000</v>
      </c>
      <c r="T207" s="230">
        <f t="shared" si="73"/>
        <v>20000</v>
      </c>
      <c r="U207" s="230">
        <f t="shared" si="74"/>
        <v>0</v>
      </c>
    </row>
    <row r="208" spans="1:21">
      <c r="A208" s="3" t="s">
        <v>679</v>
      </c>
      <c r="B208" s="3">
        <v>39587</v>
      </c>
      <c r="D208" s="3" t="s">
        <v>367</v>
      </c>
      <c r="E208" s="3" t="s">
        <v>234</v>
      </c>
      <c r="F208" s="3">
        <v>2004</v>
      </c>
      <c r="G208" s="3">
        <v>11</v>
      </c>
      <c r="H208" s="3">
        <v>0</v>
      </c>
      <c r="I208" s="3" t="s">
        <v>52</v>
      </c>
      <c r="J208" s="3">
        <v>7</v>
      </c>
      <c r="K208" s="3">
        <f t="shared" si="66"/>
        <v>2011</v>
      </c>
      <c r="L208" s="3">
        <f t="shared" si="67"/>
        <v>2011.9166666666667</v>
      </c>
      <c r="M208" s="230">
        <v>20000</v>
      </c>
      <c r="N208" s="230">
        <f t="shared" si="68"/>
        <v>20000</v>
      </c>
      <c r="O208" s="230">
        <f t="shared" si="69"/>
        <v>238.0952380952381</v>
      </c>
      <c r="P208" s="230">
        <f t="shared" si="70"/>
        <v>2857.1428571428573</v>
      </c>
      <c r="Q208" s="230">
        <f t="shared" si="71"/>
        <v>0</v>
      </c>
      <c r="R208" s="230"/>
      <c r="S208" s="230">
        <f t="shared" si="72"/>
        <v>20000</v>
      </c>
      <c r="T208" s="230">
        <f t="shared" si="73"/>
        <v>20000</v>
      </c>
      <c r="U208" s="230">
        <f t="shared" si="74"/>
        <v>0</v>
      </c>
    </row>
    <row r="209" spans="1:21">
      <c r="A209" s="3" t="s">
        <v>679</v>
      </c>
      <c r="B209" s="3">
        <v>37226</v>
      </c>
      <c r="D209" s="3">
        <v>177</v>
      </c>
      <c r="E209" s="3" t="s">
        <v>235</v>
      </c>
      <c r="F209" s="3">
        <v>2004</v>
      </c>
      <c r="G209" s="3">
        <v>11</v>
      </c>
      <c r="H209" s="3">
        <v>0</v>
      </c>
      <c r="I209" s="3" t="s">
        <v>52</v>
      </c>
      <c r="J209" s="3">
        <v>5</v>
      </c>
      <c r="K209" s="3">
        <f t="shared" si="66"/>
        <v>2009</v>
      </c>
      <c r="L209" s="3">
        <f t="shared" si="67"/>
        <v>2009.9166666666667</v>
      </c>
      <c r="M209" s="230">
        <v>56667</v>
      </c>
      <c r="N209" s="230">
        <f t="shared" si="68"/>
        <v>56667</v>
      </c>
      <c r="O209" s="230">
        <f t="shared" si="69"/>
        <v>944.44999999999993</v>
      </c>
      <c r="P209" s="230">
        <f t="shared" si="70"/>
        <v>11333.4</v>
      </c>
      <c r="Q209" s="230">
        <f t="shared" si="71"/>
        <v>0</v>
      </c>
      <c r="R209" s="230"/>
      <c r="S209" s="230">
        <f t="shared" si="72"/>
        <v>56667</v>
      </c>
      <c r="T209" s="230">
        <f t="shared" si="73"/>
        <v>56667</v>
      </c>
      <c r="U209" s="230">
        <f t="shared" si="74"/>
        <v>0</v>
      </c>
    </row>
    <row r="210" spans="1:21">
      <c r="A210" s="3" t="s">
        <v>679</v>
      </c>
      <c r="B210" s="3">
        <v>37224</v>
      </c>
      <c r="D210" s="3">
        <v>176</v>
      </c>
      <c r="E210" s="3" t="s">
        <v>235</v>
      </c>
      <c r="F210" s="3">
        <v>2004</v>
      </c>
      <c r="G210" s="3">
        <v>11</v>
      </c>
      <c r="H210" s="3">
        <v>0</v>
      </c>
      <c r="I210" s="3" t="s">
        <v>52</v>
      </c>
      <c r="J210" s="3">
        <v>5</v>
      </c>
      <c r="K210" s="3">
        <f t="shared" si="66"/>
        <v>2009</v>
      </c>
      <c r="L210" s="3">
        <f t="shared" si="67"/>
        <v>2009.9166666666667</v>
      </c>
      <c r="M210" s="230">
        <v>56667</v>
      </c>
      <c r="N210" s="230">
        <f t="shared" si="68"/>
        <v>56667</v>
      </c>
      <c r="O210" s="230">
        <f t="shared" si="69"/>
        <v>944.44999999999993</v>
      </c>
      <c r="P210" s="230">
        <f t="shared" si="70"/>
        <v>11333.4</v>
      </c>
      <c r="Q210" s="230">
        <f t="shared" si="71"/>
        <v>0</v>
      </c>
      <c r="R210" s="230"/>
      <c r="S210" s="230">
        <f t="shared" si="72"/>
        <v>56667</v>
      </c>
      <c r="T210" s="230">
        <f t="shared" si="73"/>
        <v>56667</v>
      </c>
      <c r="U210" s="230">
        <f t="shared" si="74"/>
        <v>0</v>
      </c>
    </row>
    <row r="211" spans="1:21">
      <c r="A211" s="3" t="s">
        <v>679</v>
      </c>
      <c r="B211" s="3">
        <v>60388</v>
      </c>
      <c r="D211" s="3">
        <v>158</v>
      </c>
      <c r="E211" s="3" t="s">
        <v>976</v>
      </c>
      <c r="F211" s="3">
        <v>2004</v>
      </c>
      <c r="G211" s="3">
        <v>5</v>
      </c>
      <c r="H211" s="3">
        <v>0</v>
      </c>
      <c r="I211" s="3" t="s">
        <v>52</v>
      </c>
      <c r="J211" s="3">
        <v>3</v>
      </c>
      <c r="K211" s="3">
        <f t="shared" si="66"/>
        <v>2007</v>
      </c>
      <c r="L211" s="3">
        <f t="shared" si="67"/>
        <v>2007.4166666666667</v>
      </c>
      <c r="M211" s="230">
        <v>18330</v>
      </c>
      <c r="N211" s="230">
        <f t="shared" si="68"/>
        <v>18330</v>
      </c>
      <c r="O211" s="230">
        <f t="shared" si="69"/>
        <v>509.16666666666669</v>
      </c>
      <c r="P211" s="230">
        <f t="shared" si="70"/>
        <v>6110</v>
      </c>
      <c r="Q211" s="230">
        <f t="shared" si="71"/>
        <v>0</v>
      </c>
      <c r="R211" s="230"/>
      <c r="S211" s="230">
        <f t="shared" si="72"/>
        <v>18330</v>
      </c>
      <c r="T211" s="230">
        <f t="shared" si="73"/>
        <v>18330</v>
      </c>
      <c r="U211" s="230">
        <f t="shared" si="74"/>
        <v>0</v>
      </c>
    </row>
    <row r="212" spans="1:21">
      <c r="A212" s="3" t="s">
        <v>679</v>
      </c>
      <c r="B212" s="3">
        <v>36192</v>
      </c>
      <c r="D212" s="3">
        <v>178</v>
      </c>
      <c r="E212" s="3" t="s">
        <v>977</v>
      </c>
      <c r="F212" s="3">
        <v>2005</v>
      </c>
      <c r="G212" s="3">
        <v>9</v>
      </c>
      <c r="H212" s="3">
        <v>0</v>
      </c>
      <c r="I212" s="3" t="s">
        <v>52</v>
      </c>
      <c r="J212" s="3">
        <v>5</v>
      </c>
      <c r="K212" s="3">
        <f t="shared" si="66"/>
        <v>2010</v>
      </c>
      <c r="L212" s="3">
        <f t="shared" si="67"/>
        <v>2010.75</v>
      </c>
      <c r="M212" s="230">
        <v>73053</v>
      </c>
      <c r="N212" s="230">
        <f t="shared" si="68"/>
        <v>73053</v>
      </c>
      <c r="O212" s="230">
        <f t="shared" si="69"/>
        <v>1217.55</v>
      </c>
      <c r="P212" s="230">
        <f t="shared" si="70"/>
        <v>14610.599999999999</v>
      </c>
      <c r="Q212" s="230">
        <f t="shared" si="71"/>
        <v>0</v>
      </c>
      <c r="R212" s="230"/>
      <c r="S212" s="230">
        <f t="shared" si="72"/>
        <v>73053</v>
      </c>
      <c r="T212" s="230">
        <f t="shared" si="73"/>
        <v>73053</v>
      </c>
      <c r="U212" s="230">
        <f t="shared" si="74"/>
        <v>0</v>
      </c>
    </row>
    <row r="213" spans="1:21">
      <c r="A213" s="3" t="s">
        <v>679</v>
      </c>
      <c r="B213" s="3">
        <v>87515</v>
      </c>
      <c r="D213" s="3">
        <v>170</v>
      </c>
      <c r="E213" s="3" t="s">
        <v>978</v>
      </c>
      <c r="F213" s="3">
        <v>2006</v>
      </c>
      <c r="G213" s="3">
        <v>10</v>
      </c>
      <c r="H213" s="3">
        <v>0</v>
      </c>
      <c r="I213" s="3" t="s">
        <v>52</v>
      </c>
      <c r="J213" s="3">
        <v>7</v>
      </c>
      <c r="K213" s="3">
        <f t="shared" si="66"/>
        <v>2013</v>
      </c>
      <c r="L213" s="3">
        <f t="shared" si="67"/>
        <v>2013.8333333333333</v>
      </c>
      <c r="M213" s="230">
        <v>100895</v>
      </c>
      <c r="N213" s="230">
        <f t="shared" si="68"/>
        <v>100895</v>
      </c>
      <c r="O213" s="230">
        <f t="shared" si="69"/>
        <v>1201.1309523809525</v>
      </c>
      <c r="P213" s="230">
        <f t="shared" si="70"/>
        <v>14413.571428571431</v>
      </c>
      <c r="Q213" s="230">
        <f t="shared" si="71"/>
        <v>0</v>
      </c>
      <c r="R213" s="230"/>
      <c r="S213" s="230">
        <f t="shared" si="72"/>
        <v>100895</v>
      </c>
      <c r="T213" s="230">
        <f t="shared" si="73"/>
        <v>100895</v>
      </c>
      <c r="U213" s="230">
        <f t="shared" si="74"/>
        <v>0</v>
      </c>
    </row>
    <row r="214" spans="1:21">
      <c r="A214" s="3" t="s">
        <v>679</v>
      </c>
      <c r="B214" s="3">
        <v>87517</v>
      </c>
      <c r="D214" s="3">
        <v>187</v>
      </c>
      <c r="E214" s="3" t="s">
        <v>978</v>
      </c>
      <c r="F214" s="3">
        <v>2006</v>
      </c>
      <c r="G214" s="3">
        <v>10</v>
      </c>
      <c r="H214" s="3">
        <v>0</v>
      </c>
      <c r="I214" s="3" t="s">
        <v>52</v>
      </c>
      <c r="J214" s="3">
        <v>7</v>
      </c>
      <c r="K214" s="3">
        <f t="shared" si="66"/>
        <v>2013</v>
      </c>
      <c r="L214" s="3">
        <f t="shared" si="67"/>
        <v>2013.8333333333333</v>
      </c>
      <c r="M214" s="230">
        <v>100895</v>
      </c>
      <c r="N214" s="230">
        <f t="shared" si="68"/>
        <v>100895</v>
      </c>
      <c r="O214" s="230">
        <f t="shared" si="69"/>
        <v>1201.1309523809525</v>
      </c>
      <c r="P214" s="230">
        <f t="shared" si="70"/>
        <v>14413.571428571431</v>
      </c>
      <c r="Q214" s="230">
        <f t="shared" si="71"/>
        <v>0</v>
      </c>
      <c r="R214" s="230"/>
      <c r="S214" s="230">
        <f t="shared" si="72"/>
        <v>100895</v>
      </c>
      <c r="T214" s="230">
        <f t="shared" si="73"/>
        <v>100895</v>
      </c>
      <c r="U214" s="230">
        <f t="shared" si="74"/>
        <v>0</v>
      </c>
    </row>
    <row r="215" spans="1:21">
      <c r="A215" s="3" t="s">
        <v>679</v>
      </c>
      <c r="B215" s="3">
        <v>66495</v>
      </c>
      <c r="D215" s="3">
        <v>172</v>
      </c>
      <c r="E215" s="3" t="s">
        <v>980</v>
      </c>
      <c r="F215" s="3">
        <v>2009</v>
      </c>
      <c r="G215" s="3">
        <v>7</v>
      </c>
      <c r="H215" s="3">
        <v>0</v>
      </c>
      <c r="I215" s="3" t="s">
        <v>52</v>
      </c>
      <c r="J215" s="3">
        <v>5</v>
      </c>
      <c r="K215" s="3">
        <f t="shared" si="66"/>
        <v>2014</v>
      </c>
      <c r="L215" s="3">
        <f t="shared" si="67"/>
        <v>2014.5833333333333</v>
      </c>
      <c r="M215" s="230">
        <v>35740</v>
      </c>
      <c r="N215" s="230">
        <f t="shared" si="68"/>
        <v>35740</v>
      </c>
      <c r="O215" s="230">
        <f t="shared" si="69"/>
        <v>595.66666666666663</v>
      </c>
      <c r="P215" s="230">
        <f t="shared" si="70"/>
        <v>7148</v>
      </c>
      <c r="Q215" s="230">
        <f t="shared" si="71"/>
        <v>0</v>
      </c>
      <c r="R215" s="230"/>
      <c r="S215" s="230">
        <f t="shared" si="72"/>
        <v>35740</v>
      </c>
      <c r="T215" s="230">
        <f t="shared" si="73"/>
        <v>35740</v>
      </c>
      <c r="U215" s="230">
        <f t="shared" si="74"/>
        <v>0</v>
      </c>
    </row>
    <row r="216" spans="1:21">
      <c r="A216" s="3" t="s">
        <v>679</v>
      </c>
      <c r="D216" s="3">
        <v>144</v>
      </c>
      <c r="E216" s="3" t="s">
        <v>981</v>
      </c>
      <c r="F216" s="3">
        <v>2009</v>
      </c>
      <c r="G216" s="3">
        <v>6</v>
      </c>
      <c r="H216" s="3">
        <v>0</v>
      </c>
      <c r="I216" s="3" t="s">
        <v>52</v>
      </c>
      <c r="J216" s="3">
        <v>3</v>
      </c>
      <c r="K216" s="3">
        <f t="shared" si="66"/>
        <v>2012</v>
      </c>
      <c r="L216" s="3">
        <f t="shared" si="67"/>
        <v>2012.5</v>
      </c>
      <c r="M216" s="230">
        <v>9364</v>
      </c>
      <c r="N216" s="230">
        <f t="shared" si="68"/>
        <v>9364</v>
      </c>
      <c r="O216" s="230">
        <f t="shared" si="69"/>
        <v>260.11111111111114</v>
      </c>
      <c r="P216" s="230">
        <f t="shared" si="70"/>
        <v>3121.3333333333339</v>
      </c>
      <c r="Q216" s="230">
        <f t="shared" si="71"/>
        <v>0</v>
      </c>
      <c r="R216" s="230"/>
      <c r="S216" s="230">
        <f t="shared" si="72"/>
        <v>9364</v>
      </c>
      <c r="T216" s="230">
        <f t="shared" si="73"/>
        <v>9364</v>
      </c>
      <c r="U216" s="230">
        <f t="shared" si="74"/>
        <v>0</v>
      </c>
    </row>
    <row r="217" spans="1:21">
      <c r="A217" s="3" t="s">
        <v>679</v>
      </c>
      <c r="B217" s="3">
        <v>88766</v>
      </c>
      <c r="D217" s="3">
        <v>177</v>
      </c>
      <c r="E217" s="3" t="s">
        <v>982</v>
      </c>
      <c r="F217" s="3">
        <v>2011</v>
      </c>
      <c r="G217" s="3">
        <v>12</v>
      </c>
      <c r="H217" s="3">
        <v>0</v>
      </c>
      <c r="I217" s="3" t="s">
        <v>52</v>
      </c>
      <c r="J217" s="3">
        <v>3</v>
      </c>
      <c r="K217" s="3">
        <f t="shared" si="66"/>
        <v>2014</v>
      </c>
      <c r="L217" s="3">
        <f t="shared" si="67"/>
        <v>2015</v>
      </c>
      <c r="M217" s="230">
        <v>16509</v>
      </c>
      <c r="N217" s="230">
        <f t="shared" si="68"/>
        <v>16509</v>
      </c>
      <c r="O217" s="230">
        <f t="shared" si="69"/>
        <v>458.58333333333331</v>
      </c>
      <c r="P217" s="230">
        <f t="shared" si="70"/>
        <v>5503</v>
      </c>
      <c r="Q217" s="230">
        <f t="shared" si="71"/>
        <v>0</v>
      </c>
      <c r="R217" s="230"/>
      <c r="S217" s="230">
        <f t="shared" si="72"/>
        <v>16509</v>
      </c>
      <c r="T217" s="230">
        <f t="shared" si="73"/>
        <v>16509</v>
      </c>
      <c r="U217" s="230">
        <f t="shared" si="74"/>
        <v>0</v>
      </c>
    </row>
    <row r="218" spans="1:21">
      <c r="A218" s="3" t="s">
        <v>679</v>
      </c>
      <c r="B218" s="3">
        <v>103299</v>
      </c>
      <c r="D218" s="3">
        <v>184</v>
      </c>
      <c r="E218" s="3" t="s">
        <v>983</v>
      </c>
      <c r="F218" s="3">
        <v>2011</v>
      </c>
      <c r="G218" s="3">
        <v>8</v>
      </c>
      <c r="H218" s="3">
        <v>0</v>
      </c>
      <c r="I218" s="3" t="s">
        <v>52</v>
      </c>
      <c r="J218" s="3">
        <v>5</v>
      </c>
      <c r="K218" s="3">
        <f t="shared" si="66"/>
        <v>2016</v>
      </c>
      <c r="L218" s="3">
        <f t="shared" si="67"/>
        <v>2016.6666666666667</v>
      </c>
      <c r="M218" s="230">
        <v>91364</v>
      </c>
      <c r="N218" s="230">
        <f t="shared" si="68"/>
        <v>91364</v>
      </c>
      <c r="O218" s="230">
        <f t="shared" si="69"/>
        <v>1522.7333333333333</v>
      </c>
      <c r="P218" s="230">
        <f t="shared" si="70"/>
        <v>18272.8</v>
      </c>
      <c r="Q218" s="230">
        <f t="shared" si="71"/>
        <v>0</v>
      </c>
      <c r="R218" s="230"/>
      <c r="S218" s="230">
        <f t="shared" si="72"/>
        <v>91364</v>
      </c>
      <c r="T218" s="230">
        <f t="shared" si="73"/>
        <v>91364</v>
      </c>
      <c r="U218" s="230">
        <f t="shared" si="74"/>
        <v>0</v>
      </c>
    </row>
    <row r="219" spans="1:21">
      <c r="A219" s="3" t="s">
        <v>679</v>
      </c>
      <c r="B219" s="3">
        <v>118202</v>
      </c>
      <c r="D219" s="3">
        <v>186</v>
      </c>
      <c r="E219" s="3" t="s">
        <v>984</v>
      </c>
      <c r="F219" s="3">
        <v>2011</v>
      </c>
      <c r="G219" s="3">
        <v>12</v>
      </c>
      <c r="H219" s="3">
        <v>0</v>
      </c>
      <c r="I219" s="3" t="s">
        <v>52</v>
      </c>
      <c r="J219" s="3">
        <v>7</v>
      </c>
      <c r="K219" s="3">
        <f t="shared" si="66"/>
        <v>2018</v>
      </c>
      <c r="L219" s="3">
        <f t="shared" si="67"/>
        <v>2019</v>
      </c>
      <c r="M219" s="230">
        <v>117820</v>
      </c>
      <c r="N219" s="230">
        <f t="shared" si="68"/>
        <v>117820</v>
      </c>
      <c r="O219" s="230">
        <f t="shared" si="69"/>
        <v>1402.6190476190477</v>
      </c>
      <c r="P219" s="230">
        <f t="shared" si="70"/>
        <v>16831.428571428572</v>
      </c>
      <c r="Q219" s="230">
        <f t="shared" si="71"/>
        <v>0</v>
      </c>
      <c r="R219" s="230"/>
      <c r="S219" s="230">
        <f t="shared" si="72"/>
        <v>117820</v>
      </c>
      <c r="T219" s="230">
        <f t="shared" si="73"/>
        <v>117820</v>
      </c>
      <c r="U219" s="230">
        <f t="shared" si="74"/>
        <v>0</v>
      </c>
    </row>
    <row r="220" spans="1:21">
      <c r="A220" s="3" t="s">
        <v>679</v>
      </c>
      <c r="B220" s="3">
        <v>92494</v>
      </c>
      <c r="D220" s="3">
        <v>148</v>
      </c>
      <c r="E220" s="3" t="s">
        <v>985</v>
      </c>
      <c r="F220" s="3">
        <v>2012</v>
      </c>
      <c r="G220" s="3">
        <v>3</v>
      </c>
      <c r="H220" s="3">
        <v>0</v>
      </c>
      <c r="I220" s="3" t="s">
        <v>52</v>
      </c>
      <c r="J220" s="3">
        <v>3</v>
      </c>
      <c r="K220" s="3">
        <f t="shared" si="66"/>
        <v>2015</v>
      </c>
      <c r="L220" s="3">
        <f t="shared" si="67"/>
        <v>2015.25</v>
      </c>
      <c r="M220" s="230">
        <v>6621</v>
      </c>
      <c r="N220" s="230">
        <f t="shared" si="68"/>
        <v>6621</v>
      </c>
      <c r="O220" s="230">
        <f t="shared" si="69"/>
        <v>183.91666666666666</v>
      </c>
      <c r="P220" s="230">
        <f t="shared" si="70"/>
        <v>2207</v>
      </c>
      <c r="Q220" s="230">
        <f t="shared" si="71"/>
        <v>0</v>
      </c>
      <c r="R220" s="230"/>
      <c r="S220" s="230">
        <f t="shared" si="72"/>
        <v>6621</v>
      </c>
      <c r="T220" s="230">
        <f t="shared" si="73"/>
        <v>6621</v>
      </c>
      <c r="U220" s="230">
        <f t="shared" si="74"/>
        <v>0</v>
      </c>
    </row>
    <row r="221" spans="1:21">
      <c r="A221" s="3" t="s">
        <v>679</v>
      </c>
      <c r="B221" s="3" t="s">
        <v>988</v>
      </c>
      <c r="D221" s="3" t="s">
        <v>991</v>
      </c>
      <c r="E221" s="3" t="s">
        <v>986</v>
      </c>
      <c r="F221" s="3">
        <v>2012</v>
      </c>
      <c r="G221" s="3">
        <v>9</v>
      </c>
      <c r="H221" s="3">
        <v>0</v>
      </c>
      <c r="I221" s="3" t="s">
        <v>52</v>
      </c>
      <c r="J221" s="3">
        <v>7</v>
      </c>
      <c r="K221" s="3">
        <f t="shared" si="66"/>
        <v>2019</v>
      </c>
      <c r="L221" s="3">
        <f t="shared" si="67"/>
        <v>2019.75</v>
      </c>
      <c r="M221" s="230">
        <v>100973</v>
      </c>
      <c r="N221" s="230">
        <f t="shared" si="68"/>
        <v>100973</v>
      </c>
      <c r="O221" s="230">
        <f t="shared" si="69"/>
        <v>1202.0595238095239</v>
      </c>
      <c r="P221" s="230">
        <f t="shared" si="70"/>
        <v>14424.714285714286</v>
      </c>
      <c r="Q221" s="230">
        <f t="shared" si="71"/>
        <v>14424.714285714286</v>
      </c>
      <c r="R221" s="230"/>
      <c r="S221" s="230">
        <f t="shared" si="72"/>
        <v>72123.571428571435</v>
      </c>
      <c r="T221" s="230">
        <f t="shared" si="73"/>
        <v>86548.285714285725</v>
      </c>
      <c r="U221" s="230">
        <f t="shared" si="74"/>
        <v>21637.07142857142</v>
      </c>
    </row>
    <row r="222" spans="1:21">
      <c r="A222" s="3" t="s">
        <v>679</v>
      </c>
      <c r="B222" s="3" t="s">
        <v>989</v>
      </c>
      <c r="D222" s="3" t="s">
        <v>992</v>
      </c>
      <c r="E222" s="3" t="s">
        <v>986</v>
      </c>
      <c r="F222" s="3">
        <v>2012</v>
      </c>
      <c r="G222" s="3">
        <v>9</v>
      </c>
      <c r="H222" s="3">
        <v>0</v>
      </c>
      <c r="I222" s="3" t="s">
        <v>52</v>
      </c>
      <c r="J222" s="3">
        <v>7</v>
      </c>
      <c r="K222" s="3">
        <f t="shared" si="66"/>
        <v>2019</v>
      </c>
      <c r="L222" s="3">
        <f t="shared" si="67"/>
        <v>2019.75</v>
      </c>
      <c r="M222" s="230">
        <v>100974</v>
      </c>
      <c r="N222" s="230">
        <f t="shared" si="68"/>
        <v>100974</v>
      </c>
      <c r="O222" s="230">
        <f t="shared" si="69"/>
        <v>1202.0714285714287</v>
      </c>
      <c r="P222" s="230">
        <f t="shared" si="70"/>
        <v>14424.857142857145</v>
      </c>
      <c r="Q222" s="230">
        <f t="shared" si="71"/>
        <v>14424.857142857145</v>
      </c>
      <c r="R222" s="230"/>
      <c r="S222" s="230">
        <f t="shared" si="72"/>
        <v>72124.285714285725</v>
      </c>
      <c r="T222" s="230">
        <f t="shared" si="73"/>
        <v>86549.14285714287</v>
      </c>
      <c r="U222" s="230">
        <f t="shared" si="74"/>
        <v>21637.285714285703</v>
      </c>
    </row>
    <row r="223" spans="1:21">
      <c r="A223" s="3" t="s">
        <v>679</v>
      </c>
      <c r="B223" s="3">
        <v>168979</v>
      </c>
      <c r="D223" s="3" t="s">
        <v>993</v>
      </c>
      <c r="E223" s="3" t="s">
        <v>987</v>
      </c>
      <c r="F223" s="3">
        <v>2016</v>
      </c>
      <c r="G223" s="3">
        <v>8</v>
      </c>
      <c r="H223" s="3">
        <v>0</v>
      </c>
      <c r="I223" s="3" t="s">
        <v>52</v>
      </c>
      <c r="J223" s="3">
        <v>6</v>
      </c>
      <c r="K223" s="3">
        <f t="shared" si="66"/>
        <v>2022</v>
      </c>
      <c r="L223" s="3">
        <f t="shared" si="67"/>
        <v>2022.6666666666667</v>
      </c>
      <c r="M223" s="230">
        <v>47110</v>
      </c>
      <c r="N223" s="230">
        <f t="shared" si="68"/>
        <v>47110</v>
      </c>
      <c r="O223" s="230">
        <f t="shared" si="69"/>
        <v>654.30555555555554</v>
      </c>
      <c r="P223" s="230">
        <f t="shared" si="70"/>
        <v>7851.6666666666661</v>
      </c>
      <c r="Q223" s="230">
        <f t="shared" si="71"/>
        <v>7851.6666666666661</v>
      </c>
      <c r="R223" s="230"/>
      <c r="S223" s="230">
        <f t="shared" si="72"/>
        <v>7851.6666666666661</v>
      </c>
      <c r="T223" s="230">
        <f t="shared" si="73"/>
        <v>15703.333333333332</v>
      </c>
      <c r="U223" s="230">
        <f t="shared" si="74"/>
        <v>35332.5</v>
      </c>
    </row>
    <row r="224" spans="1:21">
      <c r="A224" s="3" t="s">
        <v>679</v>
      </c>
      <c r="B224" s="3">
        <v>170162</v>
      </c>
      <c r="D224" s="3" t="s">
        <v>994</v>
      </c>
      <c r="E224" s="3" t="s">
        <v>987</v>
      </c>
      <c r="F224" s="3">
        <v>2016</v>
      </c>
      <c r="G224" s="3">
        <v>8</v>
      </c>
      <c r="H224" s="3">
        <v>0</v>
      </c>
      <c r="I224" s="3" t="s">
        <v>52</v>
      </c>
      <c r="J224" s="3">
        <v>6</v>
      </c>
      <c r="K224" s="3">
        <f t="shared" si="66"/>
        <v>2022</v>
      </c>
      <c r="L224" s="3">
        <f t="shared" si="67"/>
        <v>2022.6666666666667</v>
      </c>
      <c r="M224" s="230">
        <v>47110</v>
      </c>
      <c r="N224" s="230">
        <f>M224-M224*H224</f>
        <v>47110</v>
      </c>
      <c r="O224" s="230">
        <f>N224/J224/12</f>
        <v>654.30555555555554</v>
      </c>
      <c r="P224" s="230">
        <f t="shared" si="70"/>
        <v>7851.6666666666661</v>
      </c>
      <c r="Q224" s="230">
        <f>+IF(L224&lt;=$N$5,0,IF(K224&gt;$N$4,P224,(O224*G224)))</f>
        <v>7851.6666666666661</v>
      </c>
      <c r="R224" s="230"/>
      <c r="S224" s="230">
        <f>+IF(Q224=0,M224,IF($N$3-F224&lt;1,0,(($N$3-F224)*P224)))</f>
        <v>7851.6666666666661</v>
      </c>
      <c r="T224" s="230">
        <f>+IF(Q224=0,S224,S224+Q224)</f>
        <v>15703.333333333332</v>
      </c>
      <c r="U224" s="230">
        <f>+IF(Q224=0,0,((M224-S224)+(M224-T224))/2)</f>
        <v>35332.5</v>
      </c>
    </row>
    <row r="225" spans="1:21">
      <c r="M225" s="230"/>
      <c r="N225" s="230"/>
      <c r="O225" s="230"/>
      <c r="P225" s="230"/>
      <c r="Q225" s="230"/>
      <c r="R225" s="230"/>
      <c r="S225" s="230"/>
      <c r="T225" s="230"/>
      <c r="U225" s="230"/>
    </row>
    <row r="226" spans="1:21">
      <c r="E226" s="169" t="s">
        <v>210</v>
      </c>
      <c r="F226" s="169"/>
      <c r="G226" s="169"/>
      <c r="H226" s="169"/>
      <c r="I226" s="169"/>
      <c r="J226" s="169"/>
      <c r="K226" s="169"/>
      <c r="L226" s="169"/>
      <c r="M226" s="171">
        <f>SUM(M119:M225)</f>
        <v>3479960.7624999997</v>
      </c>
      <c r="N226" s="171">
        <f>SUM(N119:N225)</f>
        <v>3479960.7624999997</v>
      </c>
      <c r="O226" s="171">
        <f>SUM(O119:O225)</f>
        <v>58509.353192936491</v>
      </c>
      <c r="P226" s="171">
        <f>SUM(P119:P225)</f>
        <v>702112.23831523815</v>
      </c>
      <c r="Q226" s="171">
        <f>SUM(Q119:Q225)</f>
        <v>327579.8417761905</v>
      </c>
      <c r="R226" s="171"/>
      <c r="S226" s="171">
        <f>SUM(S119:S225)</f>
        <v>2379537.2696952377</v>
      </c>
      <c r="T226" s="171">
        <f>SUM(T119:T225)</f>
        <v>2707117.1114714295</v>
      </c>
      <c r="U226" s="171">
        <f>SUM(U119:U225)</f>
        <v>936633.57191666681</v>
      </c>
    </row>
    <row r="227" spans="1:21">
      <c r="M227" s="230"/>
      <c r="N227" s="230"/>
      <c r="O227" s="230"/>
      <c r="P227" s="230"/>
      <c r="Q227" s="230"/>
      <c r="R227" s="230"/>
      <c r="S227" s="230"/>
      <c r="T227" s="230"/>
      <c r="U227" s="230"/>
    </row>
    <row r="228" spans="1:21">
      <c r="E228" s="1" t="s">
        <v>571</v>
      </c>
      <c r="M228" s="230"/>
      <c r="N228" s="230"/>
      <c r="O228" s="230"/>
      <c r="P228" s="230"/>
      <c r="Q228" s="230"/>
      <c r="R228" s="230"/>
      <c r="S228" s="230"/>
      <c r="T228" s="230"/>
      <c r="U228" s="230"/>
    </row>
    <row r="229" spans="1:21" s="197" customFormat="1">
      <c r="L229" s="172"/>
      <c r="M229" s="230"/>
      <c r="N229" s="230"/>
      <c r="O229" s="230"/>
      <c r="P229" s="230"/>
      <c r="Q229" s="230"/>
      <c r="R229" s="230"/>
      <c r="S229" s="230"/>
      <c r="T229" s="230"/>
      <c r="U229" s="230"/>
    </row>
    <row r="230" spans="1:21" s="197" customFormat="1">
      <c r="A230" s="197" t="s">
        <v>40</v>
      </c>
      <c r="B230" s="197">
        <v>25020</v>
      </c>
      <c r="C230" s="197" t="s">
        <v>56</v>
      </c>
      <c r="D230" s="197">
        <v>406</v>
      </c>
      <c r="E230" s="197" t="s">
        <v>84</v>
      </c>
      <c r="F230" s="197">
        <v>2004</v>
      </c>
      <c r="G230" s="197">
        <v>4</v>
      </c>
      <c r="H230" s="197">
        <v>0</v>
      </c>
      <c r="I230" s="197" t="s">
        <v>52</v>
      </c>
      <c r="J230" s="197">
        <v>7</v>
      </c>
      <c r="K230" s="197">
        <f t="shared" ref="K230:K263" si="75">F230+J230</f>
        <v>2011</v>
      </c>
      <c r="L230" s="172">
        <f t="shared" ref="L230:L263" si="76">+K230+(G230/12)</f>
        <v>2011.3333333333333</v>
      </c>
      <c r="M230" s="230">
        <f>+'2111 Trks - Orig'!P101</f>
        <v>69598.968000000008</v>
      </c>
      <c r="N230" s="230">
        <f t="shared" ref="N230:N263" si="77">M230-M230*H230</f>
        <v>69598.968000000008</v>
      </c>
      <c r="O230" s="230">
        <f t="shared" ref="O230:O263" si="78">N230/J230/12</f>
        <v>828.55914285714289</v>
      </c>
      <c r="P230" s="230">
        <f t="shared" ref="P230:P263" si="79">+O230*12</f>
        <v>9942.7097142857147</v>
      </c>
      <c r="Q230" s="230">
        <f t="shared" ref="Q230:Q263" si="80">+IF(L230&lt;=$N$5,0,IF(K230&gt;$N$4,P230,(O230*G230)))</f>
        <v>0</v>
      </c>
      <c r="R230" s="230"/>
      <c r="S230" s="230">
        <f t="shared" ref="S230:S263" si="81">+IF(Q230=0,M230,IF($N$3-F230&lt;1,0,(($N$3-F230)*P230)))</f>
        <v>69598.968000000008</v>
      </c>
      <c r="T230" s="230">
        <f t="shared" ref="T230:T263" si="82">+IF(Q230=0,S230,S230+Q230)</f>
        <v>69598.968000000008</v>
      </c>
      <c r="U230" s="230">
        <f t="shared" ref="U230:U263" si="83">+IF(Q230=0,0,((M230-S230)+(M230-T230))/2)</f>
        <v>0</v>
      </c>
    </row>
    <row r="231" spans="1:21" s="199" customFormat="1">
      <c r="A231" s="200"/>
      <c r="B231" s="200"/>
      <c r="C231" s="200"/>
      <c r="D231" s="200">
        <v>406</v>
      </c>
      <c r="E231" s="200" t="s">
        <v>872</v>
      </c>
      <c r="F231" s="200">
        <v>2017</v>
      </c>
      <c r="G231" s="200">
        <v>10</v>
      </c>
      <c r="H231" s="200">
        <v>0</v>
      </c>
      <c r="I231" s="200" t="s">
        <v>52</v>
      </c>
      <c r="J231" s="200">
        <f>+IF(K230-$N$3&gt;=3,K230-$N$3,3)</f>
        <v>3</v>
      </c>
      <c r="K231" s="200">
        <f t="shared" si="75"/>
        <v>2020</v>
      </c>
      <c r="L231" s="202">
        <f t="shared" si="76"/>
        <v>2020.8333333333333</v>
      </c>
      <c r="M231" s="201">
        <f>+'2111 Trks - Orig'!N101-'2111 Trks'!M230</f>
        <v>17399.741999999998</v>
      </c>
      <c r="N231" s="201">
        <f t="shared" si="77"/>
        <v>17399.741999999998</v>
      </c>
      <c r="O231" s="201">
        <f t="shared" si="78"/>
        <v>483.32616666666667</v>
      </c>
      <c r="P231" s="201">
        <f t="shared" si="79"/>
        <v>5799.9139999999998</v>
      </c>
      <c r="Q231" s="201">
        <f t="shared" si="80"/>
        <v>5799.9139999999998</v>
      </c>
      <c r="R231" s="201"/>
      <c r="S231" s="201">
        <f t="shared" si="81"/>
        <v>0</v>
      </c>
      <c r="T231" s="201">
        <f t="shared" si="82"/>
        <v>5799.9139999999998</v>
      </c>
      <c r="U231" s="201">
        <f t="shared" si="83"/>
        <v>14499.784999999998</v>
      </c>
    </row>
    <row r="232" spans="1:21" s="197" customFormat="1">
      <c r="A232" s="197" t="s">
        <v>40</v>
      </c>
      <c r="C232" s="197" t="s">
        <v>56</v>
      </c>
      <c r="D232" s="197">
        <v>406</v>
      </c>
      <c r="E232" s="197" t="s">
        <v>85</v>
      </c>
      <c r="F232" s="197">
        <v>2004</v>
      </c>
      <c r="G232" s="197">
        <v>4</v>
      </c>
      <c r="H232" s="197">
        <v>0</v>
      </c>
      <c r="I232" s="197" t="s">
        <v>52</v>
      </c>
      <c r="J232" s="197">
        <v>7</v>
      </c>
      <c r="K232" s="197">
        <f t="shared" si="75"/>
        <v>2011</v>
      </c>
      <c r="L232" s="172">
        <f t="shared" si="76"/>
        <v>2011.3333333333333</v>
      </c>
      <c r="M232" s="230">
        <f>+'2111 Trks - Orig'!P102</f>
        <v>26392.392</v>
      </c>
      <c r="N232" s="230">
        <f t="shared" si="77"/>
        <v>26392.392</v>
      </c>
      <c r="O232" s="230">
        <f t="shared" si="78"/>
        <v>314.19514285714286</v>
      </c>
      <c r="P232" s="230">
        <f t="shared" si="79"/>
        <v>3770.3417142857143</v>
      </c>
      <c r="Q232" s="230">
        <f t="shared" si="80"/>
        <v>0</v>
      </c>
      <c r="R232" s="230"/>
      <c r="S232" s="230">
        <f t="shared" si="81"/>
        <v>26392.392</v>
      </c>
      <c r="T232" s="230">
        <f t="shared" si="82"/>
        <v>26392.392</v>
      </c>
      <c r="U232" s="230">
        <f t="shared" si="83"/>
        <v>0</v>
      </c>
    </row>
    <row r="233" spans="1:21" s="199" customFormat="1">
      <c r="A233" s="200"/>
      <c r="B233" s="200"/>
      <c r="C233" s="200"/>
      <c r="D233" s="200">
        <v>406</v>
      </c>
      <c r="E233" s="200" t="s">
        <v>872</v>
      </c>
      <c r="F233" s="200">
        <v>2017</v>
      </c>
      <c r="G233" s="200">
        <v>10</v>
      </c>
      <c r="H233" s="200">
        <v>0</v>
      </c>
      <c r="I233" s="200" t="s">
        <v>52</v>
      </c>
      <c r="J233" s="200">
        <f>+IF(K232-$N$3&gt;=3,K232-$N$3,3)</f>
        <v>3</v>
      </c>
      <c r="K233" s="200">
        <f t="shared" si="75"/>
        <v>2020</v>
      </c>
      <c r="L233" s="202">
        <f t="shared" si="76"/>
        <v>2020.8333333333333</v>
      </c>
      <c r="M233" s="201">
        <f>+'2111 Trks - Orig'!N102-'2111 Trks'!M232</f>
        <v>6598.0979999999981</v>
      </c>
      <c r="N233" s="201">
        <f t="shared" si="77"/>
        <v>6598.0979999999981</v>
      </c>
      <c r="O233" s="201">
        <f t="shared" si="78"/>
        <v>183.28049999999996</v>
      </c>
      <c r="P233" s="201">
        <f t="shared" si="79"/>
        <v>2199.3659999999995</v>
      </c>
      <c r="Q233" s="201">
        <f t="shared" si="80"/>
        <v>2199.3659999999995</v>
      </c>
      <c r="R233" s="201"/>
      <c r="S233" s="201">
        <f t="shared" si="81"/>
        <v>0</v>
      </c>
      <c r="T233" s="201">
        <f t="shared" si="82"/>
        <v>2199.3659999999995</v>
      </c>
      <c r="U233" s="201">
        <f t="shared" si="83"/>
        <v>5498.4149999999981</v>
      </c>
    </row>
    <row r="234" spans="1:21" s="197" customFormat="1" ht="14.25" customHeight="1">
      <c r="A234" s="197" t="s">
        <v>40</v>
      </c>
      <c r="B234" s="197">
        <v>25019</v>
      </c>
      <c r="C234" s="197" t="s">
        <v>56</v>
      </c>
      <c r="D234" s="197">
        <v>407</v>
      </c>
      <c r="E234" s="197" t="s">
        <v>84</v>
      </c>
      <c r="F234" s="197">
        <v>2004</v>
      </c>
      <c r="G234" s="197">
        <v>6</v>
      </c>
      <c r="H234" s="197">
        <v>0</v>
      </c>
      <c r="I234" s="197" t="s">
        <v>52</v>
      </c>
      <c r="J234" s="197">
        <v>7</v>
      </c>
      <c r="K234" s="197">
        <f t="shared" si="75"/>
        <v>2011</v>
      </c>
      <c r="L234" s="172">
        <f t="shared" si="76"/>
        <v>2011.5</v>
      </c>
      <c r="M234" s="230">
        <f>+'2111 Trks - Orig'!P103</f>
        <v>69016.51999999999</v>
      </c>
      <c r="N234" s="230">
        <f t="shared" si="77"/>
        <v>69016.51999999999</v>
      </c>
      <c r="O234" s="230">
        <f t="shared" si="78"/>
        <v>821.62523809523793</v>
      </c>
      <c r="P234" s="230">
        <f t="shared" si="79"/>
        <v>9859.5028571428556</v>
      </c>
      <c r="Q234" s="230">
        <f t="shared" si="80"/>
        <v>0</v>
      </c>
      <c r="R234" s="230"/>
      <c r="S234" s="230">
        <f t="shared" si="81"/>
        <v>69016.51999999999</v>
      </c>
      <c r="T234" s="230">
        <f t="shared" si="82"/>
        <v>69016.51999999999</v>
      </c>
      <c r="U234" s="230">
        <f t="shared" si="83"/>
        <v>0</v>
      </c>
    </row>
    <row r="235" spans="1:21" s="197" customFormat="1" ht="14.25" customHeight="1">
      <c r="A235" s="197" t="s">
        <v>40</v>
      </c>
      <c r="C235" s="197" t="s">
        <v>56</v>
      </c>
      <c r="D235" s="197">
        <v>407</v>
      </c>
      <c r="E235" s="197" t="s">
        <v>86</v>
      </c>
      <c r="F235" s="197">
        <v>2004</v>
      </c>
      <c r="G235" s="197">
        <v>6</v>
      </c>
      <c r="H235" s="197">
        <v>0</v>
      </c>
      <c r="I235" s="197" t="s">
        <v>52</v>
      </c>
      <c r="J235" s="197">
        <v>7</v>
      </c>
      <c r="K235" s="197">
        <f t="shared" si="75"/>
        <v>2011</v>
      </c>
      <c r="L235" s="172">
        <f t="shared" si="76"/>
        <v>2011.5</v>
      </c>
      <c r="M235" s="230">
        <f>+'2111 Trks - Orig'!P104</f>
        <v>26392.392</v>
      </c>
      <c r="N235" s="230">
        <f t="shared" si="77"/>
        <v>26392.392</v>
      </c>
      <c r="O235" s="230">
        <f t="shared" si="78"/>
        <v>314.19514285714286</v>
      </c>
      <c r="P235" s="230">
        <f t="shared" si="79"/>
        <v>3770.3417142857143</v>
      </c>
      <c r="Q235" s="230">
        <f t="shared" si="80"/>
        <v>0</v>
      </c>
      <c r="R235" s="230"/>
      <c r="S235" s="230">
        <f t="shared" si="81"/>
        <v>26392.392</v>
      </c>
      <c r="T235" s="230">
        <f t="shared" si="82"/>
        <v>26392.392</v>
      </c>
      <c r="U235" s="230">
        <f t="shared" si="83"/>
        <v>0</v>
      </c>
    </row>
    <row r="236" spans="1:21" s="199" customFormat="1">
      <c r="A236" s="200"/>
      <c r="B236" s="200"/>
      <c r="C236" s="200"/>
      <c r="D236" s="200">
        <v>407</v>
      </c>
      <c r="E236" s="200" t="s">
        <v>871</v>
      </c>
      <c r="F236" s="200">
        <v>2017</v>
      </c>
      <c r="G236" s="200">
        <v>10</v>
      </c>
      <c r="H236" s="200">
        <v>0</v>
      </c>
      <c r="I236" s="200" t="s">
        <v>52</v>
      </c>
      <c r="J236" s="200">
        <f>+IF(K235-$N$3&gt;=3,K235-$N$3,3)</f>
        <v>3</v>
      </c>
      <c r="K236" s="200">
        <f t="shared" si="75"/>
        <v>2020</v>
      </c>
      <c r="L236" s="202">
        <f t="shared" si="76"/>
        <v>2020.8333333333333</v>
      </c>
      <c r="M236" s="201">
        <f>+SUM('2111 Trks - Orig'!N103:N104)-SUM('2111 Trks'!M234:M235)</f>
        <v>23852.228000000003</v>
      </c>
      <c r="N236" s="201">
        <f t="shared" si="77"/>
        <v>23852.228000000003</v>
      </c>
      <c r="O236" s="201">
        <f t="shared" si="78"/>
        <v>662.56188888888903</v>
      </c>
      <c r="P236" s="201">
        <f t="shared" si="79"/>
        <v>7950.7426666666688</v>
      </c>
      <c r="Q236" s="201">
        <f t="shared" si="80"/>
        <v>7950.7426666666688</v>
      </c>
      <c r="R236" s="201"/>
      <c r="S236" s="201">
        <f t="shared" si="81"/>
        <v>0</v>
      </c>
      <c r="T236" s="201">
        <f t="shared" si="82"/>
        <v>7950.7426666666688</v>
      </c>
      <c r="U236" s="201">
        <f t="shared" si="83"/>
        <v>19876.856666666667</v>
      </c>
    </row>
    <row r="237" spans="1:21" s="197" customFormat="1" ht="14.25" customHeight="1">
      <c r="A237" s="197" t="s">
        <v>40</v>
      </c>
      <c r="B237" s="197">
        <v>25363</v>
      </c>
      <c r="C237" s="197" t="s">
        <v>56</v>
      </c>
      <c r="D237" s="197">
        <v>408</v>
      </c>
      <c r="E237" s="197" t="s">
        <v>84</v>
      </c>
      <c r="F237" s="197">
        <v>2004</v>
      </c>
      <c r="G237" s="197">
        <v>7</v>
      </c>
      <c r="H237" s="197">
        <v>0</v>
      </c>
      <c r="I237" s="197" t="s">
        <v>52</v>
      </c>
      <c r="J237" s="197">
        <v>7</v>
      </c>
      <c r="K237" s="197">
        <f t="shared" si="75"/>
        <v>2011</v>
      </c>
      <c r="L237" s="172">
        <f t="shared" si="76"/>
        <v>2011.5833333333333</v>
      </c>
      <c r="M237" s="230">
        <f>+'2111 Trks - Orig'!P105</f>
        <v>69016.51999999999</v>
      </c>
      <c r="N237" s="230">
        <f t="shared" si="77"/>
        <v>69016.51999999999</v>
      </c>
      <c r="O237" s="230">
        <f t="shared" si="78"/>
        <v>821.62523809523793</v>
      </c>
      <c r="P237" s="230">
        <f t="shared" si="79"/>
        <v>9859.5028571428556</v>
      </c>
      <c r="Q237" s="230">
        <f t="shared" si="80"/>
        <v>0</v>
      </c>
      <c r="R237" s="230"/>
      <c r="S237" s="230">
        <f t="shared" si="81"/>
        <v>69016.51999999999</v>
      </c>
      <c r="T237" s="230">
        <f t="shared" si="82"/>
        <v>69016.51999999999</v>
      </c>
      <c r="U237" s="230">
        <f t="shared" si="83"/>
        <v>0</v>
      </c>
    </row>
    <row r="238" spans="1:21" s="197" customFormat="1">
      <c r="A238" s="197" t="s">
        <v>40</v>
      </c>
      <c r="C238" s="197" t="s">
        <v>56</v>
      </c>
      <c r="D238" s="197">
        <v>408</v>
      </c>
      <c r="E238" s="197" t="s">
        <v>86</v>
      </c>
      <c r="F238" s="197">
        <v>2004</v>
      </c>
      <c r="G238" s="197">
        <v>7</v>
      </c>
      <c r="H238" s="197">
        <v>0</v>
      </c>
      <c r="I238" s="197" t="s">
        <v>52</v>
      </c>
      <c r="J238" s="197">
        <v>7</v>
      </c>
      <c r="K238" s="197">
        <f t="shared" si="75"/>
        <v>2011</v>
      </c>
      <c r="L238" s="172">
        <f t="shared" si="76"/>
        <v>2011.5833333333333</v>
      </c>
      <c r="M238" s="230">
        <f>+'2111 Trks - Orig'!P106</f>
        <v>26392.392</v>
      </c>
      <c r="N238" s="230">
        <f t="shared" si="77"/>
        <v>26392.392</v>
      </c>
      <c r="O238" s="230">
        <f t="shared" si="78"/>
        <v>314.19514285714286</v>
      </c>
      <c r="P238" s="230">
        <f t="shared" si="79"/>
        <v>3770.3417142857143</v>
      </c>
      <c r="Q238" s="230">
        <f t="shared" si="80"/>
        <v>0</v>
      </c>
      <c r="R238" s="230"/>
      <c r="S238" s="230">
        <f t="shared" si="81"/>
        <v>26392.392</v>
      </c>
      <c r="T238" s="230">
        <f t="shared" si="82"/>
        <v>26392.392</v>
      </c>
      <c r="U238" s="230">
        <f t="shared" si="83"/>
        <v>0</v>
      </c>
    </row>
    <row r="239" spans="1:21" s="199" customFormat="1">
      <c r="A239" s="200"/>
      <c r="B239" s="200"/>
      <c r="C239" s="200"/>
      <c r="D239" s="200">
        <v>408</v>
      </c>
      <c r="E239" s="200" t="s">
        <v>873</v>
      </c>
      <c r="F239" s="200">
        <v>2017</v>
      </c>
      <c r="G239" s="200">
        <v>10</v>
      </c>
      <c r="H239" s="200">
        <v>0</v>
      </c>
      <c r="I239" s="200" t="s">
        <v>52</v>
      </c>
      <c r="J239" s="200">
        <f>+IF(K238-$N$3&gt;=3,K238-$N$3,3)</f>
        <v>3</v>
      </c>
      <c r="K239" s="200">
        <f t="shared" si="75"/>
        <v>2020</v>
      </c>
      <c r="L239" s="202">
        <f t="shared" si="76"/>
        <v>2020.8333333333333</v>
      </c>
      <c r="M239" s="201">
        <f>+SUM('2111 Trks - Orig'!N105:N106)-SUM('2111 Trks'!M237:M238)</f>
        <v>23852.228000000003</v>
      </c>
      <c r="N239" s="201">
        <f t="shared" si="77"/>
        <v>23852.228000000003</v>
      </c>
      <c r="O239" s="201">
        <f t="shared" si="78"/>
        <v>662.56188888888903</v>
      </c>
      <c r="P239" s="201">
        <f t="shared" si="79"/>
        <v>7950.7426666666688</v>
      </c>
      <c r="Q239" s="201">
        <f t="shared" si="80"/>
        <v>7950.7426666666688</v>
      </c>
      <c r="R239" s="201"/>
      <c r="S239" s="201">
        <f t="shared" si="81"/>
        <v>0</v>
      </c>
      <c r="T239" s="201">
        <f t="shared" si="82"/>
        <v>7950.7426666666688</v>
      </c>
      <c r="U239" s="201">
        <f t="shared" si="83"/>
        <v>19876.856666666667</v>
      </c>
    </row>
    <row r="240" spans="1:21" s="197" customFormat="1">
      <c r="A240" s="197" t="s">
        <v>415</v>
      </c>
      <c r="B240" s="197">
        <v>173291</v>
      </c>
      <c r="C240" s="197" t="s">
        <v>56</v>
      </c>
      <c r="D240" s="197">
        <v>409</v>
      </c>
      <c r="E240" s="197" t="s">
        <v>450</v>
      </c>
      <c r="F240" s="197">
        <v>2004</v>
      </c>
      <c r="G240" s="197">
        <v>4</v>
      </c>
      <c r="H240" s="197">
        <v>0</v>
      </c>
      <c r="I240" s="197" t="s">
        <v>52</v>
      </c>
      <c r="J240" s="197">
        <v>7</v>
      </c>
      <c r="K240" s="197">
        <f t="shared" si="75"/>
        <v>2011</v>
      </c>
      <c r="L240" s="172">
        <f t="shared" si="76"/>
        <v>2011.3333333333333</v>
      </c>
      <c r="M240" s="230">
        <v>69016</v>
      </c>
      <c r="N240" s="230">
        <f t="shared" si="77"/>
        <v>69016</v>
      </c>
      <c r="O240" s="230">
        <f t="shared" si="78"/>
        <v>821.61904761904759</v>
      </c>
      <c r="P240" s="230">
        <f t="shared" si="79"/>
        <v>9859.4285714285706</v>
      </c>
      <c r="Q240" s="230">
        <f t="shared" si="80"/>
        <v>0</v>
      </c>
      <c r="R240" s="230"/>
      <c r="S240" s="230">
        <f t="shared" si="81"/>
        <v>69016</v>
      </c>
      <c r="T240" s="230">
        <f t="shared" si="82"/>
        <v>69016</v>
      </c>
      <c r="U240" s="230">
        <f t="shared" si="83"/>
        <v>0</v>
      </c>
    </row>
    <row r="241" spans="1:21" s="199" customFormat="1">
      <c r="A241" s="200"/>
      <c r="B241" s="200"/>
      <c r="C241" s="200"/>
      <c r="D241" s="200">
        <v>409</v>
      </c>
      <c r="E241" s="200" t="s">
        <v>648</v>
      </c>
      <c r="F241" s="200">
        <v>2017</v>
      </c>
      <c r="G241" s="200">
        <v>10</v>
      </c>
      <c r="H241" s="200">
        <v>0</v>
      </c>
      <c r="I241" s="200" t="s">
        <v>52</v>
      </c>
      <c r="J241" s="200">
        <f>+IF(K240-$N$3&gt;=3,K240-$N$3,3)</f>
        <v>3</v>
      </c>
      <c r="K241" s="200">
        <f t="shared" si="75"/>
        <v>2020</v>
      </c>
      <c r="L241" s="202">
        <f t="shared" si="76"/>
        <v>2020.8333333333333</v>
      </c>
      <c r="M241" s="201">
        <f>86270-M240</f>
        <v>17254</v>
      </c>
      <c r="N241" s="201">
        <f t="shared" si="77"/>
        <v>17254</v>
      </c>
      <c r="O241" s="201">
        <f t="shared" si="78"/>
        <v>479.27777777777777</v>
      </c>
      <c r="P241" s="201">
        <f t="shared" si="79"/>
        <v>5751.333333333333</v>
      </c>
      <c r="Q241" s="201">
        <f t="shared" si="80"/>
        <v>5751.333333333333</v>
      </c>
      <c r="R241" s="201"/>
      <c r="S241" s="201">
        <f t="shared" si="81"/>
        <v>0</v>
      </c>
      <c r="T241" s="201">
        <f t="shared" si="82"/>
        <v>5751.333333333333</v>
      </c>
      <c r="U241" s="201">
        <f t="shared" si="83"/>
        <v>14378.333333333334</v>
      </c>
    </row>
    <row r="242" spans="1:21" s="197" customFormat="1">
      <c r="A242" s="197" t="s">
        <v>415</v>
      </c>
      <c r="B242" s="197">
        <v>173292</v>
      </c>
      <c r="C242" s="197" t="s">
        <v>56</v>
      </c>
      <c r="D242" s="197">
        <v>409</v>
      </c>
      <c r="E242" s="197" t="s">
        <v>451</v>
      </c>
      <c r="F242" s="197">
        <v>2004</v>
      </c>
      <c r="G242" s="197">
        <v>4</v>
      </c>
      <c r="H242" s="197">
        <v>0</v>
      </c>
      <c r="I242" s="197" t="s">
        <v>52</v>
      </c>
      <c r="J242" s="197">
        <v>7</v>
      </c>
      <c r="K242" s="197">
        <f t="shared" si="75"/>
        <v>2011</v>
      </c>
      <c r="L242" s="172">
        <f t="shared" si="76"/>
        <v>2011.3333333333333</v>
      </c>
      <c r="M242" s="230">
        <f>+'2131 Trks - Orig'!P37</f>
        <v>26392.392</v>
      </c>
      <c r="N242" s="230">
        <f t="shared" si="77"/>
        <v>26392.392</v>
      </c>
      <c r="O242" s="230">
        <f t="shared" si="78"/>
        <v>314.19514285714286</v>
      </c>
      <c r="P242" s="230">
        <f t="shared" si="79"/>
        <v>3770.3417142857143</v>
      </c>
      <c r="Q242" s="230">
        <f t="shared" si="80"/>
        <v>0</v>
      </c>
      <c r="R242" s="230"/>
      <c r="S242" s="230">
        <f t="shared" si="81"/>
        <v>26392.392</v>
      </c>
      <c r="T242" s="230">
        <f t="shared" si="82"/>
        <v>26392.392</v>
      </c>
      <c r="U242" s="230">
        <f t="shared" si="83"/>
        <v>0</v>
      </c>
    </row>
    <row r="243" spans="1:21" s="199" customFormat="1">
      <c r="A243" s="200"/>
      <c r="B243" s="200"/>
      <c r="C243" s="200"/>
      <c r="D243" s="200">
        <v>409</v>
      </c>
      <c r="E243" s="200" t="s">
        <v>648</v>
      </c>
      <c r="F243" s="200">
        <v>2017</v>
      </c>
      <c r="G243" s="200">
        <v>10</v>
      </c>
      <c r="H243" s="200">
        <v>0</v>
      </c>
      <c r="I243" s="200" t="s">
        <v>52</v>
      </c>
      <c r="J243" s="200">
        <f>+IF(K242-$N$3&gt;=3,K242-$N$3,3)</f>
        <v>3</v>
      </c>
      <c r="K243" s="200">
        <f t="shared" si="75"/>
        <v>2020</v>
      </c>
      <c r="L243" s="202">
        <f t="shared" si="76"/>
        <v>2020.8333333333333</v>
      </c>
      <c r="M243" s="201">
        <f>+'2131 Trks - Orig'!N37-'2111 Trks'!M242</f>
        <v>6598.0979999999981</v>
      </c>
      <c r="N243" s="201">
        <f t="shared" si="77"/>
        <v>6598.0979999999981</v>
      </c>
      <c r="O243" s="201">
        <f t="shared" si="78"/>
        <v>183.28049999999996</v>
      </c>
      <c r="P243" s="201">
        <f t="shared" si="79"/>
        <v>2199.3659999999995</v>
      </c>
      <c r="Q243" s="201">
        <f t="shared" si="80"/>
        <v>2199.3659999999995</v>
      </c>
      <c r="R243" s="201"/>
      <c r="S243" s="201">
        <f t="shared" si="81"/>
        <v>0</v>
      </c>
      <c r="T243" s="201">
        <f t="shared" si="82"/>
        <v>2199.3659999999995</v>
      </c>
      <c r="U243" s="201">
        <f t="shared" si="83"/>
        <v>5498.4149999999981</v>
      </c>
    </row>
    <row r="244" spans="1:21" s="197" customFormat="1">
      <c r="A244" s="197" t="s">
        <v>415</v>
      </c>
      <c r="B244" s="197" t="s">
        <v>504</v>
      </c>
      <c r="C244" s="197" t="s">
        <v>56</v>
      </c>
      <c r="E244" s="197" t="s">
        <v>452</v>
      </c>
      <c r="F244" s="197">
        <v>2008</v>
      </c>
      <c r="G244" s="197">
        <v>4</v>
      </c>
      <c r="H244" s="197">
        <v>0</v>
      </c>
      <c r="I244" s="197" t="s">
        <v>52</v>
      </c>
      <c r="J244" s="197">
        <v>7</v>
      </c>
      <c r="K244" s="197">
        <f t="shared" si="75"/>
        <v>2015</v>
      </c>
      <c r="L244" s="172">
        <f t="shared" si="76"/>
        <v>2015.3333333333333</v>
      </c>
      <c r="M244" s="230">
        <f>+'2131 Trks - Orig'!P38</f>
        <v>436.34399999999994</v>
      </c>
      <c r="N244" s="230">
        <f t="shared" si="77"/>
        <v>436.34399999999994</v>
      </c>
      <c r="O244" s="230">
        <f t="shared" si="78"/>
        <v>5.194571428571428</v>
      </c>
      <c r="P244" s="230">
        <f t="shared" si="79"/>
        <v>62.334857142857132</v>
      </c>
      <c r="Q244" s="230">
        <f t="shared" si="80"/>
        <v>0</v>
      </c>
      <c r="R244" s="230"/>
      <c r="S244" s="230">
        <f t="shared" si="81"/>
        <v>436.34399999999994</v>
      </c>
      <c r="T244" s="230">
        <f t="shared" si="82"/>
        <v>436.34399999999994</v>
      </c>
      <c r="U244" s="230">
        <f t="shared" si="83"/>
        <v>0</v>
      </c>
    </row>
    <row r="245" spans="1:21" s="199" customFormat="1">
      <c r="A245" s="200"/>
      <c r="B245" s="200"/>
      <c r="C245" s="200"/>
      <c r="D245" s="200"/>
      <c r="E245" s="200" t="s">
        <v>649</v>
      </c>
      <c r="F245" s="200">
        <v>2017</v>
      </c>
      <c r="G245" s="200">
        <v>10</v>
      </c>
      <c r="H245" s="200">
        <v>0</v>
      </c>
      <c r="I245" s="200" t="s">
        <v>52</v>
      </c>
      <c r="J245" s="200">
        <f>+IF(K244-$N$3&gt;=3,K244-$N$3,3)</f>
        <v>3</v>
      </c>
      <c r="K245" s="200">
        <f t="shared" si="75"/>
        <v>2020</v>
      </c>
      <c r="L245" s="202">
        <f t="shared" si="76"/>
        <v>2020.8333333333333</v>
      </c>
      <c r="M245" s="201">
        <f>+'2131 Trks - Orig'!N38-'2111 Trks'!M244</f>
        <v>109.08600000000001</v>
      </c>
      <c r="N245" s="201">
        <f t="shared" si="77"/>
        <v>109.08600000000001</v>
      </c>
      <c r="O245" s="201">
        <f t="shared" si="78"/>
        <v>3.0301666666666667</v>
      </c>
      <c r="P245" s="201">
        <f t="shared" si="79"/>
        <v>36.362000000000002</v>
      </c>
      <c r="Q245" s="201">
        <f t="shared" si="80"/>
        <v>36.362000000000002</v>
      </c>
      <c r="R245" s="201"/>
      <c r="S245" s="201">
        <f t="shared" si="81"/>
        <v>0</v>
      </c>
      <c r="T245" s="201">
        <f t="shared" si="82"/>
        <v>36.362000000000002</v>
      </c>
      <c r="U245" s="201">
        <f t="shared" si="83"/>
        <v>90.905000000000015</v>
      </c>
    </row>
    <row r="246" spans="1:21" s="197" customFormat="1">
      <c r="A246" s="197" t="s">
        <v>40</v>
      </c>
      <c r="C246" s="197" t="s">
        <v>56</v>
      </c>
      <c r="E246" s="197" t="s">
        <v>164</v>
      </c>
      <c r="F246" s="197">
        <v>2008</v>
      </c>
      <c r="G246" s="197">
        <v>4</v>
      </c>
      <c r="H246" s="197">
        <v>0</v>
      </c>
      <c r="I246" s="197" t="s">
        <v>52</v>
      </c>
      <c r="J246" s="197">
        <v>7</v>
      </c>
      <c r="K246" s="197">
        <f t="shared" si="75"/>
        <v>2015</v>
      </c>
      <c r="L246" s="172">
        <f t="shared" si="76"/>
        <v>2015.3333333333333</v>
      </c>
      <c r="M246" s="230">
        <f>+'2111 Trks - Orig'!P107</f>
        <v>5455.0640000000003</v>
      </c>
      <c r="N246" s="230">
        <f t="shared" si="77"/>
        <v>5455.0640000000003</v>
      </c>
      <c r="O246" s="230">
        <f t="shared" si="78"/>
        <v>64.941238095238091</v>
      </c>
      <c r="P246" s="230">
        <f t="shared" si="79"/>
        <v>779.29485714285715</v>
      </c>
      <c r="Q246" s="230">
        <f t="shared" si="80"/>
        <v>0</v>
      </c>
      <c r="R246" s="230"/>
      <c r="S246" s="230">
        <f t="shared" si="81"/>
        <v>5455.0640000000003</v>
      </c>
      <c r="T246" s="230">
        <f t="shared" si="82"/>
        <v>5455.0640000000003</v>
      </c>
      <c r="U246" s="230">
        <f t="shared" si="83"/>
        <v>0</v>
      </c>
    </row>
    <row r="247" spans="1:21" s="199" customFormat="1">
      <c r="A247" s="200"/>
      <c r="B247" s="200"/>
      <c r="C247" s="200"/>
      <c r="D247" s="200"/>
      <c r="E247" s="200" t="s">
        <v>877</v>
      </c>
      <c r="F247" s="200">
        <v>2017</v>
      </c>
      <c r="G247" s="200">
        <v>10</v>
      </c>
      <c r="H247" s="200">
        <v>0</v>
      </c>
      <c r="I247" s="200" t="s">
        <v>52</v>
      </c>
      <c r="J247" s="200">
        <f>+IF(K246-$N$3&gt;=3,K246-$N$3,3)</f>
        <v>3</v>
      </c>
      <c r="K247" s="200">
        <f t="shared" si="75"/>
        <v>2020</v>
      </c>
      <c r="L247" s="202">
        <f t="shared" si="76"/>
        <v>2020.8333333333333</v>
      </c>
      <c r="M247" s="201">
        <f>+'2111 Trks - Orig'!N107-'2111 Trks'!M246</f>
        <v>1363.7659999999996</v>
      </c>
      <c r="N247" s="201">
        <f t="shared" si="77"/>
        <v>1363.7659999999996</v>
      </c>
      <c r="O247" s="201">
        <f t="shared" si="78"/>
        <v>37.882388888888876</v>
      </c>
      <c r="P247" s="201">
        <f t="shared" si="79"/>
        <v>454.58866666666654</v>
      </c>
      <c r="Q247" s="201">
        <f t="shared" si="80"/>
        <v>454.58866666666654</v>
      </c>
      <c r="R247" s="201"/>
      <c r="S247" s="201">
        <f t="shared" si="81"/>
        <v>0</v>
      </c>
      <c r="T247" s="201">
        <f t="shared" si="82"/>
        <v>454.58866666666654</v>
      </c>
      <c r="U247" s="201">
        <f t="shared" si="83"/>
        <v>1136.4716666666664</v>
      </c>
    </row>
    <row r="248" spans="1:21" s="197" customFormat="1">
      <c r="A248" s="197" t="s">
        <v>40</v>
      </c>
      <c r="C248" s="197" t="s">
        <v>181</v>
      </c>
      <c r="D248" s="197">
        <v>154</v>
      </c>
      <c r="E248" s="197" t="s">
        <v>182</v>
      </c>
      <c r="F248" s="197">
        <v>2008</v>
      </c>
      <c r="G248" s="197">
        <v>12</v>
      </c>
      <c r="H248" s="197">
        <v>0.2</v>
      </c>
      <c r="I248" s="197" t="s">
        <v>52</v>
      </c>
      <c r="J248" s="197">
        <v>7</v>
      </c>
      <c r="K248" s="197">
        <f t="shared" si="75"/>
        <v>2015</v>
      </c>
      <c r="L248" s="172">
        <f t="shared" si="76"/>
        <v>2016</v>
      </c>
      <c r="M248" s="230">
        <f>+'2111 Trks - Orig'!P109</f>
        <v>5455.0640000000003</v>
      </c>
      <c r="N248" s="230">
        <f t="shared" si="77"/>
        <v>4364.0511999999999</v>
      </c>
      <c r="O248" s="230">
        <f t="shared" si="78"/>
        <v>51.952990476190479</v>
      </c>
      <c r="P248" s="230">
        <f t="shared" si="79"/>
        <v>623.43588571428575</v>
      </c>
      <c r="Q248" s="230">
        <f t="shared" si="80"/>
        <v>0</v>
      </c>
      <c r="R248" s="230"/>
      <c r="S248" s="230">
        <f t="shared" si="81"/>
        <v>5455.0640000000003</v>
      </c>
      <c r="T248" s="230">
        <f t="shared" si="82"/>
        <v>5455.0640000000003</v>
      </c>
      <c r="U248" s="230">
        <f t="shared" si="83"/>
        <v>0</v>
      </c>
    </row>
    <row r="249" spans="1:21" s="199" customFormat="1">
      <c r="A249" s="200"/>
      <c r="B249" s="200"/>
      <c r="C249" s="200"/>
      <c r="D249" s="200">
        <v>154</v>
      </c>
      <c r="E249" s="200" t="s">
        <v>883</v>
      </c>
      <c r="F249" s="200">
        <v>2017</v>
      </c>
      <c r="G249" s="200">
        <v>10</v>
      </c>
      <c r="H249" s="200">
        <v>0</v>
      </c>
      <c r="I249" s="200" t="s">
        <v>52</v>
      </c>
      <c r="J249" s="200">
        <f>+IF(K248-$N$3&gt;=3,K248-$N$3,3)</f>
        <v>3</v>
      </c>
      <c r="K249" s="200">
        <f t="shared" si="75"/>
        <v>2020</v>
      </c>
      <c r="L249" s="202">
        <f t="shared" si="76"/>
        <v>2020.8333333333333</v>
      </c>
      <c r="M249" s="201">
        <f>+'2111 Trks - Orig'!N109-'2111 Trks'!M248</f>
        <v>1363.7659999999996</v>
      </c>
      <c r="N249" s="201">
        <f t="shared" si="77"/>
        <v>1363.7659999999996</v>
      </c>
      <c r="O249" s="201">
        <f t="shared" si="78"/>
        <v>37.882388888888876</v>
      </c>
      <c r="P249" s="201">
        <f t="shared" si="79"/>
        <v>454.58866666666654</v>
      </c>
      <c r="Q249" s="201">
        <f t="shared" si="80"/>
        <v>454.58866666666654</v>
      </c>
      <c r="R249" s="201"/>
      <c r="S249" s="201">
        <f t="shared" si="81"/>
        <v>0</v>
      </c>
      <c r="T249" s="201">
        <f t="shared" si="82"/>
        <v>454.58866666666654</v>
      </c>
      <c r="U249" s="201">
        <f t="shared" si="83"/>
        <v>1136.4716666666664</v>
      </c>
    </row>
    <row r="250" spans="1:21" s="197" customFormat="1">
      <c r="A250" s="197" t="s">
        <v>40</v>
      </c>
      <c r="C250" s="197" t="s">
        <v>181</v>
      </c>
      <c r="D250" s="197">
        <v>407</v>
      </c>
      <c r="E250" s="197" t="s">
        <v>182</v>
      </c>
      <c r="F250" s="197">
        <v>2008</v>
      </c>
      <c r="G250" s="197">
        <v>11</v>
      </c>
      <c r="H250" s="197">
        <v>0</v>
      </c>
      <c r="I250" s="197" t="s">
        <v>52</v>
      </c>
      <c r="J250" s="197">
        <v>7</v>
      </c>
      <c r="K250" s="197">
        <f t="shared" si="75"/>
        <v>2015</v>
      </c>
      <c r="L250" s="172">
        <f t="shared" si="76"/>
        <v>2015.9166666666667</v>
      </c>
      <c r="M250" s="230">
        <f>+'2111 Trks - Orig'!P108</f>
        <v>5455.0640000000003</v>
      </c>
      <c r="N250" s="230">
        <f t="shared" si="77"/>
        <v>5455.0640000000003</v>
      </c>
      <c r="O250" s="230">
        <f t="shared" si="78"/>
        <v>64.941238095238091</v>
      </c>
      <c r="P250" s="230">
        <f t="shared" si="79"/>
        <v>779.29485714285715</v>
      </c>
      <c r="Q250" s="230">
        <f t="shared" si="80"/>
        <v>0</v>
      </c>
      <c r="R250" s="230"/>
      <c r="S250" s="230">
        <f t="shared" si="81"/>
        <v>5455.0640000000003</v>
      </c>
      <c r="T250" s="230">
        <f t="shared" si="82"/>
        <v>5455.0640000000003</v>
      </c>
      <c r="U250" s="230">
        <f t="shared" si="83"/>
        <v>0</v>
      </c>
    </row>
    <row r="251" spans="1:21" s="199" customFormat="1">
      <c r="A251" s="200"/>
      <c r="B251" s="200"/>
      <c r="C251" s="200"/>
      <c r="D251" s="200">
        <v>407</v>
      </c>
      <c r="E251" s="200" t="s">
        <v>880</v>
      </c>
      <c r="F251" s="200">
        <v>2017</v>
      </c>
      <c r="G251" s="200">
        <v>10</v>
      </c>
      <c r="H251" s="200">
        <v>0</v>
      </c>
      <c r="I251" s="200" t="s">
        <v>52</v>
      </c>
      <c r="J251" s="200">
        <f>+IF(K250-$N$3&gt;=3,K250-$N$3,3)</f>
        <v>3</v>
      </c>
      <c r="K251" s="200">
        <f t="shared" si="75"/>
        <v>2020</v>
      </c>
      <c r="L251" s="202">
        <f t="shared" si="76"/>
        <v>2020.8333333333333</v>
      </c>
      <c r="M251" s="201">
        <f>+'2111 Trks - Orig'!N108-'2111 Trks'!M250</f>
        <v>1363.7659999999996</v>
      </c>
      <c r="N251" s="201">
        <f t="shared" si="77"/>
        <v>1363.7659999999996</v>
      </c>
      <c r="O251" s="201">
        <f t="shared" si="78"/>
        <v>37.882388888888876</v>
      </c>
      <c r="P251" s="201">
        <f t="shared" si="79"/>
        <v>454.58866666666654</v>
      </c>
      <c r="Q251" s="201">
        <f t="shared" si="80"/>
        <v>454.58866666666654</v>
      </c>
      <c r="R251" s="201"/>
      <c r="S251" s="201">
        <f t="shared" si="81"/>
        <v>0</v>
      </c>
      <c r="T251" s="201">
        <f t="shared" si="82"/>
        <v>454.58866666666654</v>
      </c>
      <c r="U251" s="201">
        <f t="shared" si="83"/>
        <v>1136.4716666666664</v>
      </c>
    </row>
    <row r="252" spans="1:21" s="197" customFormat="1">
      <c r="A252" s="197" t="s">
        <v>40</v>
      </c>
      <c r="C252" s="197" t="s">
        <v>181</v>
      </c>
      <c r="D252" s="197">
        <v>406</v>
      </c>
      <c r="E252" s="197" t="s">
        <v>182</v>
      </c>
      <c r="F252" s="197">
        <v>2008</v>
      </c>
      <c r="G252" s="197">
        <v>12</v>
      </c>
      <c r="H252" s="197">
        <v>0</v>
      </c>
      <c r="I252" s="197" t="s">
        <v>52</v>
      </c>
      <c r="J252" s="197">
        <v>7</v>
      </c>
      <c r="K252" s="197">
        <f t="shared" si="75"/>
        <v>2015</v>
      </c>
      <c r="L252" s="172">
        <f t="shared" si="76"/>
        <v>2016</v>
      </c>
      <c r="M252" s="230">
        <f>+'2111 Trks - Orig'!P110</f>
        <v>5455.0640000000003</v>
      </c>
      <c r="N252" s="230">
        <f t="shared" si="77"/>
        <v>5455.0640000000003</v>
      </c>
      <c r="O252" s="230">
        <f t="shared" si="78"/>
        <v>64.941238095238091</v>
      </c>
      <c r="P252" s="230">
        <f t="shared" si="79"/>
        <v>779.29485714285715</v>
      </c>
      <c r="Q252" s="230">
        <f t="shared" si="80"/>
        <v>0</v>
      </c>
      <c r="R252" s="230"/>
      <c r="S252" s="230">
        <f t="shared" si="81"/>
        <v>5455.0640000000003</v>
      </c>
      <c r="T252" s="230">
        <f t="shared" si="82"/>
        <v>5455.0640000000003</v>
      </c>
      <c r="U252" s="230">
        <f t="shared" si="83"/>
        <v>0</v>
      </c>
    </row>
    <row r="253" spans="1:21" s="199" customFormat="1">
      <c r="A253" s="200"/>
      <c r="B253" s="200"/>
      <c r="C253" s="200"/>
      <c r="D253" s="200">
        <v>406</v>
      </c>
      <c r="E253" s="200" t="s">
        <v>881</v>
      </c>
      <c r="F253" s="200">
        <v>2017</v>
      </c>
      <c r="G253" s="200">
        <v>10</v>
      </c>
      <c r="H253" s="200">
        <v>0</v>
      </c>
      <c r="I253" s="200" t="s">
        <v>52</v>
      </c>
      <c r="J253" s="200">
        <f>+IF(K252-$N$3&gt;=3,K252-$N$3,3)</f>
        <v>3</v>
      </c>
      <c r="K253" s="200">
        <f t="shared" si="75"/>
        <v>2020</v>
      </c>
      <c r="L253" s="202">
        <f t="shared" si="76"/>
        <v>2020.8333333333333</v>
      </c>
      <c r="M253" s="201">
        <f>+'2111 Trks - Orig'!N110-'2111 Trks'!M252</f>
        <v>1363.7659999999996</v>
      </c>
      <c r="N253" s="201">
        <f t="shared" si="77"/>
        <v>1363.7659999999996</v>
      </c>
      <c r="O253" s="201">
        <f t="shared" si="78"/>
        <v>37.882388888888876</v>
      </c>
      <c r="P253" s="201">
        <f t="shared" si="79"/>
        <v>454.58866666666654</v>
      </c>
      <c r="Q253" s="201">
        <f t="shared" si="80"/>
        <v>454.58866666666654</v>
      </c>
      <c r="R253" s="201"/>
      <c r="S253" s="201">
        <f t="shared" si="81"/>
        <v>0</v>
      </c>
      <c r="T253" s="201">
        <f t="shared" si="82"/>
        <v>454.58866666666654</v>
      </c>
      <c r="U253" s="201">
        <f t="shared" si="83"/>
        <v>1136.4716666666664</v>
      </c>
    </row>
    <row r="254" spans="1:21" s="197" customFormat="1">
      <c r="A254" s="197" t="s">
        <v>40</v>
      </c>
      <c r="C254" s="197" t="s">
        <v>181</v>
      </c>
      <c r="D254" s="197">
        <v>408</v>
      </c>
      <c r="E254" s="197" t="s">
        <v>182</v>
      </c>
      <c r="F254" s="197">
        <v>2008</v>
      </c>
      <c r="G254" s="197">
        <v>12</v>
      </c>
      <c r="H254" s="197">
        <v>0</v>
      </c>
      <c r="I254" s="197" t="s">
        <v>52</v>
      </c>
      <c r="J254" s="197">
        <v>7</v>
      </c>
      <c r="K254" s="197">
        <f t="shared" si="75"/>
        <v>2015</v>
      </c>
      <c r="L254" s="172">
        <f t="shared" si="76"/>
        <v>2016</v>
      </c>
      <c r="M254" s="230">
        <f>+'2111 Trks - Orig'!P111</f>
        <v>5455.0640000000003</v>
      </c>
      <c r="N254" s="230">
        <f t="shared" si="77"/>
        <v>5455.0640000000003</v>
      </c>
      <c r="O254" s="230">
        <f t="shared" si="78"/>
        <v>64.941238095238091</v>
      </c>
      <c r="P254" s="230">
        <f t="shared" si="79"/>
        <v>779.29485714285715</v>
      </c>
      <c r="Q254" s="230">
        <f t="shared" si="80"/>
        <v>0</v>
      </c>
      <c r="R254" s="230"/>
      <c r="S254" s="230">
        <f t="shared" si="81"/>
        <v>5455.0640000000003</v>
      </c>
      <c r="T254" s="230">
        <f t="shared" si="82"/>
        <v>5455.0640000000003</v>
      </c>
      <c r="U254" s="230">
        <f t="shared" si="83"/>
        <v>0</v>
      </c>
    </row>
    <row r="255" spans="1:21" s="199" customFormat="1">
      <c r="A255" s="200"/>
      <c r="B255" s="200"/>
      <c r="C255" s="200"/>
      <c r="D255" s="200">
        <v>408</v>
      </c>
      <c r="E255" s="200" t="s">
        <v>882</v>
      </c>
      <c r="F255" s="200">
        <v>2017</v>
      </c>
      <c r="G255" s="200">
        <v>10</v>
      </c>
      <c r="H255" s="200">
        <v>0</v>
      </c>
      <c r="I255" s="200" t="s">
        <v>52</v>
      </c>
      <c r="J255" s="200">
        <f>+IF(K254-$N$3&gt;=3,K254-$N$3,3)</f>
        <v>3</v>
      </c>
      <c r="K255" s="200">
        <f t="shared" si="75"/>
        <v>2020</v>
      </c>
      <c r="L255" s="202">
        <f t="shared" si="76"/>
        <v>2020.8333333333333</v>
      </c>
      <c r="M255" s="201">
        <f>+'2111 Trks - Orig'!N111-'2111 Trks'!M254</f>
        <v>1363.7659999999996</v>
      </c>
      <c r="N255" s="201">
        <f t="shared" si="77"/>
        <v>1363.7659999999996</v>
      </c>
      <c r="O255" s="201">
        <f t="shared" si="78"/>
        <v>37.882388888888876</v>
      </c>
      <c r="P255" s="201">
        <f t="shared" si="79"/>
        <v>454.58866666666654</v>
      </c>
      <c r="Q255" s="201">
        <f t="shared" si="80"/>
        <v>454.58866666666654</v>
      </c>
      <c r="R255" s="201"/>
      <c r="S255" s="201">
        <f t="shared" si="81"/>
        <v>0</v>
      </c>
      <c r="T255" s="201">
        <f t="shared" si="82"/>
        <v>454.58866666666654</v>
      </c>
      <c r="U255" s="201">
        <f t="shared" si="83"/>
        <v>1136.4716666666664</v>
      </c>
    </row>
    <row r="256" spans="1:21" s="197" customFormat="1">
      <c r="A256" s="197" t="s">
        <v>415</v>
      </c>
      <c r="B256" s="197">
        <v>173293</v>
      </c>
      <c r="C256" s="197" t="s">
        <v>56</v>
      </c>
      <c r="D256" s="197">
        <v>409</v>
      </c>
      <c r="E256" s="197" t="s">
        <v>182</v>
      </c>
      <c r="F256" s="197">
        <v>2009</v>
      </c>
      <c r="G256" s="197">
        <v>1</v>
      </c>
      <c r="H256" s="197">
        <v>0</v>
      </c>
      <c r="I256" s="197" t="s">
        <v>52</v>
      </c>
      <c r="J256" s="197">
        <v>7</v>
      </c>
      <c r="K256" s="197">
        <f t="shared" si="75"/>
        <v>2016</v>
      </c>
      <c r="L256" s="172">
        <f t="shared" si="76"/>
        <v>2016.0833333333333</v>
      </c>
      <c r="M256" s="230">
        <f>+'2131 Trks - Orig'!P39</f>
        <v>5455.0640000000003</v>
      </c>
      <c r="N256" s="230">
        <f t="shared" si="77"/>
        <v>5455.0640000000003</v>
      </c>
      <c r="O256" s="230">
        <f t="shared" si="78"/>
        <v>64.941238095238091</v>
      </c>
      <c r="P256" s="230">
        <f t="shared" si="79"/>
        <v>779.29485714285715</v>
      </c>
      <c r="Q256" s="230">
        <f t="shared" si="80"/>
        <v>0</v>
      </c>
      <c r="R256" s="230"/>
      <c r="S256" s="230">
        <f t="shared" si="81"/>
        <v>5455.0640000000003</v>
      </c>
      <c r="T256" s="230">
        <f t="shared" si="82"/>
        <v>5455.0640000000003</v>
      </c>
      <c r="U256" s="230">
        <f t="shared" si="83"/>
        <v>0</v>
      </c>
    </row>
    <row r="257" spans="1:21" s="199" customFormat="1">
      <c r="A257" s="200"/>
      <c r="B257" s="200"/>
      <c r="C257" s="200"/>
      <c r="D257" s="200">
        <v>409</v>
      </c>
      <c r="E257" s="200" t="s">
        <v>648</v>
      </c>
      <c r="F257" s="200">
        <v>2017</v>
      </c>
      <c r="G257" s="200">
        <v>10</v>
      </c>
      <c r="H257" s="200">
        <v>0</v>
      </c>
      <c r="I257" s="200" t="s">
        <v>52</v>
      </c>
      <c r="J257" s="200">
        <f>+IF(K256-$N$3&gt;=3,K256-$N$3,3)</f>
        <v>3</v>
      </c>
      <c r="K257" s="200">
        <f t="shared" si="75"/>
        <v>2020</v>
      </c>
      <c r="L257" s="202">
        <f t="shared" si="76"/>
        <v>2020.8333333333333</v>
      </c>
      <c r="M257" s="201">
        <f>+'2131 Trks - Orig'!N39-'2111 Trks'!M256</f>
        <v>1363.7659999999996</v>
      </c>
      <c r="N257" s="201">
        <f t="shared" si="77"/>
        <v>1363.7659999999996</v>
      </c>
      <c r="O257" s="201">
        <f t="shared" si="78"/>
        <v>37.882388888888876</v>
      </c>
      <c r="P257" s="201">
        <f t="shared" si="79"/>
        <v>454.58866666666654</v>
      </c>
      <c r="Q257" s="201">
        <f t="shared" si="80"/>
        <v>454.58866666666654</v>
      </c>
      <c r="R257" s="201"/>
      <c r="S257" s="201">
        <f t="shared" si="81"/>
        <v>0</v>
      </c>
      <c r="T257" s="201">
        <f t="shared" si="82"/>
        <v>454.58866666666654</v>
      </c>
      <c r="U257" s="201">
        <f t="shared" si="83"/>
        <v>1136.4716666666664</v>
      </c>
    </row>
    <row r="258" spans="1:21" s="197" customFormat="1">
      <c r="A258" s="197" t="s">
        <v>40</v>
      </c>
      <c r="C258" s="197" t="s">
        <v>56</v>
      </c>
      <c r="D258" s="197">
        <v>154</v>
      </c>
      <c r="E258" s="197" t="s">
        <v>275</v>
      </c>
      <c r="F258" s="197">
        <v>2013</v>
      </c>
      <c r="G258" s="197">
        <v>3</v>
      </c>
      <c r="H258" s="197">
        <v>0</v>
      </c>
      <c r="I258" s="197" t="s">
        <v>52</v>
      </c>
      <c r="J258" s="197">
        <v>3</v>
      </c>
      <c r="K258" s="197">
        <f t="shared" si="75"/>
        <v>2016</v>
      </c>
      <c r="L258" s="172">
        <f t="shared" si="76"/>
        <v>2016.25</v>
      </c>
      <c r="M258" s="230">
        <v>10181.32</v>
      </c>
      <c r="N258" s="230">
        <f t="shared" si="77"/>
        <v>10181.32</v>
      </c>
      <c r="O258" s="230">
        <f t="shared" si="78"/>
        <v>282.8144444444444</v>
      </c>
      <c r="P258" s="230">
        <f t="shared" si="79"/>
        <v>3393.7733333333326</v>
      </c>
      <c r="Q258" s="230">
        <f t="shared" si="80"/>
        <v>0</v>
      </c>
      <c r="R258" s="230"/>
      <c r="S258" s="230">
        <f t="shared" si="81"/>
        <v>10181.32</v>
      </c>
      <c r="T258" s="230">
        <f t="shared" si="82"/>
        <v>10181.32</v>
      </c>
      <c r="U258" s="230">
        <f t="shared" si="83"/>
        <v>0</v>
      </c>
    </row>
    <row r="259" spans="1:21" s="197" customFormat="1">
      <c r="A259" s="197" t="s">
        <v>40</v>
      </c>
      <c r="B259" s="197">
        <v>118206</v>
      </c>
      <c r="C259" s="197" t="s">
        <v>56</v>
      </c>
      <c r="D259" s="197">
        <v>422</v>
      </c>
      <c r="E259" s="197" t="s">
        <v>323</v>
      </c>
      <c r="F259" s="197">
        <v>2013</v>
      </c>
      <c r="G259" s="197">
        <v>10</v>
      </c>
      <c r="H259" s="197">
        <v>0</v>
      </c>
      <c r="I259" s="197" t="s">
        <v>52</v>
      </c>
      <c r="J259" s="197">
        <v>7</v>
      </c>
      <c r="K259" s="197">
        <f t="shared" si="75"/>
        <v>2020</v>
      </c>
      <c r="L259" s="172">
        <f t="shared" si="76"/>
        <v>2020.8333333333333</v>
      </c>
      <c r="M259" s="230">
        <f>+'2111 Trks - Orig'!P113</f>
        <v>144932.91200000001</v>
      </c>
      <c r="N259" s="230">
        <f t="shared" si="77"/>
        <v>144932.91200000001</v>
      </c>
      <c r="O259" s="230">
        <f t="shared" si="78"/>
        <v>1725.3918095238096</v>
      </c>
      <c r="P259" s="230">
        <f t="shared" si="79"/>
        <v>20704.701714285715</v>
      </c>
      <c r="Q259" s="230">
        <f t="shared" si="80"/>
        <v>20704.701714285715</v>
      </c>
      <c r="R259" s="230"/>
      <c r="S259" s="230">
        <f t="shared" si="81"/>
        <v>82818.806857142859</v>
      </c>
      <c r="T259" s="230">
        <f t="shared" si="82"/>
        <v>103523.50857142857</v>
      </c>
      <c r="U259" s="230">
        <f t="shared" si="83"/>
        <v>51761.754285714298</v>
      </c>
    </row>
    <row r="260" spans="1:21" s="199" customFormat="1">
      <c r="A260" s="200"/>
      <c r="B260" s="200"/>
      <c r="C260" s="200"/>
      <c r="D260" s="200">
        <v>422</v>
      </c>
      <c r="E260" s="200" t="s">
        <v>891</v>
      </c>
      <c r="F260" s="200">
        <v>2017</v>
      </c>
      <c r="G260" s="200">
        <v>10</v>
      </c>
      <c r="H260" s="200">
        <v>0</v>
      </c>
      <c r="I260" s="200" t="s">
        <v>52</v>
      </c>
      <c r="J260" s="200">
        <f>+IF(K259-$N$3&gt;=3,K259-$N$3,3)</f>
        <v>3</v>
      </c>
      <c r="K260" s="200">
        <f t="shared" si="75"/>
        <v>2020</v>
      </c>
      <c r="L260" s="202">
        <f t="shared" si="76"/>
        <v>2020.8333333333333</v>
      </c>
      <c r="M260" s="201">
        <f>+'2111 Trks - Orig'!N113-'2111 Trks'!M259</f>
        <v>36233.228000000003</v>
      </c>
      <c r="N260" s="201">
        <f t="shared" si="77"/>
        <v>36233.228000000003</v>
      </c>
      <c r="O260" s="201">
        <f t="shared" si="78"/>
        <v>1006.4785555555555</v>
      </c>
      <c r="P260" s="201">
        <f t="shared" si="79"/>
        <v>12077.742666666667</v>
      </c>
      <c r="Q260" s="201">
        <f t="shared" si="80"/>
        <v>12077.742666666667</v>
      </c>
      <c r="R260" s="201"/>
      <c r="S260" s="201">
        <f t="shared" si="81"/>
        <v>0</v>
      </c>
      <c r="T260" s="201">
        <f t="shared" si="82"/>
        <v>12077.742666666667</v>
      </c>
      <c r="U260" s="201">
        <f t="shared" si="83"/>
        <v>30194.35666666667</v>
      </c>
    </row>
    <row r="261" spans="1:21">
      <c r="A261" s="3" t="s">
        <v>40</v>
      </c>
      <c r="B261" s="3">
        <v>128139</v>
      </c>
      <c r="C261" s="3" t="s">
        <v>56</v>
      </c>
      <c r="D261" s="3">
        <v>422</v>
      </c>
      <c r="E261" s="3" t="s">
        <v>337</v>
      </c>
      <c r="F261" s="3">
        <v>2015</v>
      </c>
      <c r="G261" s="3">
        <v>11</v>
      </c>
      <c r="H261" s="3">
        <v>0</v>
      </c>
      <c r="I261" s="3" t="s">
        <v>52</v>
      </c>
      <c r="J261" s="3">
        <v>7</v>
      </c>
      <c r="K261" s="3">
        <f t="shared" si="75"/>
        <v>2022</v>
      </c>
      <c r="L261" s="172">
        <f t="shared" si="76"/>
        <v>2022.9166666666667</v>
      </c>
      <c r="M261" s="230">
        <v>8768.42</v>
      </c>
      <c r="N261" s="230">
        <f t="shared" si="77"/>
        <v>8768.42</v>
      </c>
      <c r="O261" s="230">
        <f t="shared" si="78"/>
        <v>104.38595238095239</v>
      </c>
      <c r="P261" s="230">
        <f t="shared" si="79"/>
        <v>1252.6314285714286</v>
      </c>
      <c r="Q261" s="230">
        <f t="shared" si="80"/>
        <v>1252.6314285714286</v>
      </c>
      <c r="R261" s="230"/>
      <c r="S261" s="230">
        <f t="shared" si="81"/>
        <v>2505.2628571428572</v>
      </c>
      <c r="T261" s="230">
        <f t="shared" si="82"/>
        <v>3757.8942857142856</v>
      </c>
      <c r="U261" s="230">
        <f t="shared" si="83"/>
        <v>5636.841428571428</v>
      </c>
    </row>
    <row r="262" spans="1:21">
      <c r="A262" s="3" t="s">
        <v>415</v>
      </c>
      <c r="B262" s="3">
        <v>173322</v>
      </c>
      <c r="C262" s="3" t="s">
        <v>56</v>
      </c>
      <c r="D262" s="3">
        <v>426</v>
      </c>
      <c r="E262" s="3" t="s">
        <v>453</v>
      </c>
      <c r="F262" s="3">
        <v>2016</v>
      </c>
      <c r="G262" s="3">
        <v>8</v>
      </c>
      <c r="H262" s="3">
        <v>0</v>
      </c>
      <c r="I262" s="3" t="s">
        <v>52</v>
      </c>
      <c r="J262" s="3">
        <v>10</v>
      </c>
      <c r="K262" s="3">
        <f t="shared" si="75"/>
        <v>2026</v>
      </c>
      <c r="L262" s="172">
        <f t="shared" si="76"/>
        <v>2026.6666666666667</v>
      </c>
      <c r="M262" s="230">
        <v>222553.29</v>
      </c>
      <c r="N262" s="230">
        <f t="shared" si="77"/>
        <v>222553.29</v>
      </c>
      <c r="O262" s="230">
        <f t="shared" si="78"/>
        <v>1854.6107500000001</v>
      </c>
      <c r="P262" s="230">
        <f t="shared" si="79"/>
        <v>22255.329000000002</v>
      </c>
      <c r="Q262" s="230">
        <f t="shared" si="80"/>
        <v>22255.329000000002</v>
      </c>
      <c r="R262" s="230"/>
      <c r="S262" s="230">
        <f t="shared" si="81"/>
        <v>22255.329000000002</v>
      </c>
      <c r="T262" s="230">
        <f t="shared" si="82"/>
        <v>44510.658000000003</v>
      </c>
      <c r="U262" s="230">
        <f t="shared" si="83"/>
        <v>189170.2965</v>
      </c>
    </row>
    <row r="263" spans="1:21">
      <c r="B263" s="3" t="s">
        <v>515</v>
      </c>
      <c r="C263" s="3" t="s">
        <v>56</v>
      </c>
      <c r="D263" s="3">
        <v>409</v>
      </c>
      <c r="E263" s="3" t="s">
        <v>514</v>
      </c>
      <c r="F263" s="3">
        <v>2017</v>
      </c>
      <c r="G263" s="3">
        <v>2</v>
      </c>
      <c r="H263" s="3">
        <v>0</v>
      </c>
      <c r="I263" s="3" t="s">
        <v>52</v>
      </c>
      <c r="J263" s="3">
        <v>3</v>
      </c>
      <c r="K263" s="3">
        <f t="shared" si="75"/>
        <v>2020</v>
      </c>
      <c r="L263" s="172">
        <f t="shared" si="76"/>
        <v>2020.1666666666667</v>
      </c>
      <c r="M263" s="230">
        <v>19762.41</v>
      </c>
      <c r="N263" s="230">
        <f t="shared" si="77"/>
        <v>19762.41</v>
      </c>
      <c r="O263" s="230">
        <f t="shared" si="78"/>
        <v>548.95583333333332</v>
      </c>
      <c r="P263" s="230">
        <f t="shared" si="79"/>
        <v>6587.4699999999993</v>
      </c>
      <c r="Q263" s="230">
        <f t="shared" si="80"/>
        <v>6587.4699999999993</v>
      </c>
      <c r="R263" s="230"/>
      <c r="S263" s="230">
        <f t="shared" si="81"/>
        <v>0</v>
      </c>
      <c r="T263" s="230">
        <f t="shared" si="82"/>
        <v>6587.4699999999993</v>
      </c>
      <c r="U263" s="230">
        <f t="shared" si="83"/>
        <v>16468.674999999999</v>
      </c>
    </row>
    <row r="264" spans="1:21">
      <c r="M264" s="230"/>
      <c r="N264" s="230"/>
      <c r="O264" s="230"/>
      <c r="P264" s="230"/>
      <c r="Q264" s="230"/>
      <c r="R264" s="230"/>
      <c r="S264" s="230"/>
      <c r="T264" s="230"/>
      <c r="U264" s="230"/>
    </row>
    <row r="265" spans="1:21" s="197" customFormat="1">
      <c r="E265" s="169" t="s">
        <v>82</v>
      </c>
      <c r="F265" s="169"/>
      <c r="G265" s="169"/>
      <c r="H265" s="169"/>
      <c r="I265" s="169"/>
      <c r="J265" s="169"/>
      <c r="K265" s="169"/>
      <c r="L265" s="169"/>
      <c r="M265" s="171">
        <f>+SUM(M229:M263)</f>
        <v>961661.9600000002</v>
      </c>
      <c r="N265" s="171">
        <f>+SUM(N229:N263)</f>
        <v>960570.94720000017</v>
      </c>
      <c r="O265" s="171">
        <f>+SUM(O229:O263)</f>
        <v>13339.313557936506</v>
      </c>
      <c r="P265" s="171">
        <f>+SUM(P229:P263)</f>
        <v>160071.76269523805</v>
      </c>
      <c r="Q265" s="171">
        <f>+SUM(Q229:Q263)</f>
        <v>97493.233476190464</v>
      </c>
      <c r="R265" s="171"/>
      <c r="S265" s="171">
        <f>+SUM(S229:S263)</f>
        <v>533145.02271428576</v>
      </c>
      <c r="T265" s="171">
        <f>+SUM(T229:T263)</f>
        <v>630638.25619047601</v>
      </c>
      <c r="U265" s="171">
        <f>+SUM(U229:U263)</f>
        <v>379770.32054761902</v>
      </c>
    </row>
    <row r="266" spans="1:21">
      <c r="M266" s="230"/>
      <c r="N266" s="230"/>
      <c r="O266" s="230"/>
      <c r="P266" s="230"/>
      <c r="Q266" s="230"/>
      <c r="R266" s="230"/>
      <c r="S266" s="230"/>
      <c r="T266" s="230"/>
      <c r="U266" s="230"/>
    </row>
    <row r="267" spans="1:21">
      <c r="M267" s="230"/>
      <c r="N267" s="230"/>
      <c r="O267" s="230"/>
      <c r="P267" s="230"/>
      <c r="Q267" s="230"/>
      <c r="R267" s="230"/>
      <c r="S267" s="230"/>
      <c r="T267" s="230"/>
      <c r="U267" s="230"/>
    </row>
    <row r="268" spans="1:21" ht="15.75">
      <c r="A268" s="3" t="s">
        <v>40</v>
      </c>
      <c r="C268" s="3" t="s">
        <v>57</v>
      </c>
      <c r="D268" s="3" t="s">
        <v>57</v>
      </c>
      <c r="E268" s="182" t="s">
        <v>179</v>
      </c>
      <c r="F268" s="3">
        <v>2008</v>
      </c>
      <c r="G268" s="3">
        <v>1</v>
      </c>
      <c r="H268" s="3">
        <v>0</v>
      </c>
      <c r="I268" s="3" t="s">
        <v>52</v>
      </c>
      <c r="J268" s="3">
        <v>7</v>
      </c>
      <c r="K268" s="3">
        <f>F268+J268</f>
        <v>2015</v>
      </c>
      <c r="M268" s="230">
        <f>+'2111 Trks - Orig'!P122</f>
        <v>102685.552</v>
      </c>
      <c r="N268" s="230">
        <f>M268-M268*H268</f>
        <v>102685.552</v>
      </c>
      <c r="O268" s="230">
        <f>N268/J268/12</f>
        <v>1222.4470476190475</v>
      </c>
      <c r="P268" s="230">
        <f>+O268*12</f>
        <v>14669.36457142857</v>
      </c>
      <c r="Q268" s="230">
        <f>+IF(L268&lt;=$N$5,0,IF(K268&gt;$N$4,P268,(O268*G268)))</f>
        <v>0</v>
      </c>
      <c r="R268" s="230"/>
      <c r="S268" s="230">
        <f>+IF(Q268=0,M268,IF($N$3-F268&lt;1,0,(($N$3-F268)*P268)))</f>
        <v>102685.552</v>
      </c>
      <c r="T268" s="230">
        <f>+IF(Q268=0,S268,S268+Q268)</f>
        <v>102685.552</v>
      </c>
      <c r="U268" s="230">
        <f>+IF(Q268=0,0,((M268-S268)+(M268-T268))/2)</f>
        <v>0</v>
      </c>
    </row>
    <row r="269" spans="1:21" s="199" customFormat="1">
      <c r="A269" s="200"/>
      <c r="B269" s="200"/>
      <c r="C269" s="200"/>
      <c r="D269" s="200" t="s">
        <v>179</v>
      </c>
      <c r="E269" s="200" t="s">
        <v>892</v>
      </c>
      <c r="F269" s="200">
        <v>2017</v>
      </c>
      <c r="G269" s="200">
        <v>10</v>
      </c>
      <c r="H269" s="200">
        <v>0</v>
      </c>
      <c r="I269" s="200" t="s">
        <v>52</v>
      </c>
      <c r="J269" s="200">
        <f>+IF(K268-$N$3&gt;=3,K268-$N$3,3)</f>
        <v>3</v>
      </c>
      <c r="K269" s="200">
        <f>F269+J269</f>
        <v>2020</v>
      </c>
      <c r="L269" s="202">
        <f>+K269+(G269/12)</f>
        <v>2020.8333333333333</v>
      </c>
      <c r="M269" s="201">
        <f>+'2111 Trks - Orig'!N122-'2111 Trks'!M268</f>
        <v>25671.388000000006</v>
      </c>
      <c r="N269" s="201">
        <f>M269-M269*H269</f>
        <v>25671.388000000006</v>
      </c>
      <c r="O269" s="201">
        <f>N269/J269/12</f>
        <v>713.09411111111137</v>
      </c>
      <c r="P269" s="201">
        <f>+O269*12</f>
        <v>8557.129333333336</v>
      </c>
      <c r="Q269" s="201">
        <f>+IF(L269&lt;=$N$5,0,IF(K269&gt;$N$4,P269,(O269*G269)))</f>
        <v>8557.129333333336</v>
      </c>
      <c r="R269" s="201"/>
      <c r="S269" s="201">
        <f>+IF(Q269=0,M269,IF($N$3-F269&lt;1,0,(($N$3-F269)*P269)))</f>
        <v>0</v>
      </c>
      <c r="T269" s="201">
        <f>+IF(Q269=0,S269,S269+Q269)</f>
        <v>8557.129333333336</v>
      </c>
      <c r="U269" s="201">
        <f>+IF(Q269=0,0,((M269-S269)+(M269-T269))/2)</f>
        <v>21392.823333333337</v>
      </c>
    </row>
    <row r="270" spans="1:21">
      <c r="M270" s="230"/>
      <c r="N270" s="230"/>
      <c r="O270" s="230"/>
      <c r="P270" s="230"/>
      <c r="Q270" s="230"/>
      <c r="R270" s="230"/>
      <c r="S270" s="230"/>
      <c r="T270" s="230"/>
      <c r="U270" s="230"/>
    </row>
    <row r="271" spans="1:21">
      <c r="E271" s="169"/>
      <c r="F271" s="169"/>
      <c r="G271" s="169"/>
      <c r="H271" s="169"/>
      <c r="I271" s="169"/>
      <c r="J271" s="169"/>
      <c r="K271" s="169"/>
      <c r="L271" s="169"/>
      <c r="M271" s="171">
        <f>+SUM(M268:M270)</f>
        <v>128356.94</v>
      </c>
      <c r="N271" s="171">
        <f t="shared" ref="N271:U271" si="84">+SUM(N268:N270)</f>
        <v>128356.94</v>
      </c>
      <c r="O271" s="171">
        <f t="shared" si="84"/>
        <v>1935.5411587301587</v>
      </c>
      <c r="P271" s="171">
        <f t="shared" si="84"/>
        <v>23226.493904761905</v>
      </c>
      <c r="Q271" s="171">
        <f>+SUM(Q268:Q270)</f>
        <v>8557.129333333336</v>
      </c>
      <c r="R271" s="171">
        <f t="shared" si="84"/>
        <v>0</v>
      </c>
      <c r="S271" s="171">
        <f t="shared" si="84"/>
        <v>102685.552</v>
      </c>
      <c r="T271" s="171">
        <f t="shared" si="84"/>
        <v>111242.68133333333</v>
      </c>
      <c r="U271" s="171">
        <f t="shared" si="84"/>
        <v>21392.823333333337</v>
      </c>
    </row>
    <row r="272" spans="1:21">
      <c r="M272" s="230"/>
      <c r="N272" s="230"/>
      <c r="O272" s="230"/>
      <c r="P272" s="230"/>
      <c r="Q272" s="230"/>
      <c r="R272" s="230"/>
      <c r="S272" s="230"/>
      <c r="T272" s="230"/>
      <c r="U272" s="230"/>
    </row>
    <row r="273" spans="1:21">
      <c r="E273" s="169" t="s">
        <v>211</v>
      </c>
      <c r="F273" s="169"/>
      <c r="G273" s="169"/>
      <c r="H273" s="169"/>
      <c r="I273" s="169"/>
      <c r="J273" s="169"/>
      <c r="K273" s="169"/>
      <c r="L273" s="169"/>
      <c r="M273" s="171">
        <f>+M100+M116+M226+M265+M271</f>
        <v>16605656.287499996</v>
      </c>
      <c r="N273" s="171">
        <f>+N100+N116+N226+N265+N271</f>
        <v>16604565.274699995</v>
      </c>
      <c r="O273" s="171">
        <f>+O100+O116+O226+O265+O271</f>
        <v>206322.48698441801</v>
      </c>
      <c r="P273" s="171">
        <f>+P100+P116+P226+P265+P271</f>
        <v>2475869.8438130161</v>
      </c>
      <c r="Q273" s="171">
        <f>+Q100+Q116+Q226+Q265+Q271</f>
        <v>1667679.5394730156</v>
      </c>
      <c r="R273" s="171"/>
      <c r="S273" s="171">
        <f>+S100+S116+S226+S265+S271</f>
        <v>5979918.3999857139</v>
      </c>
      <c r="T273" s="171">
        <f>+T100+T116+T226+T265+T271</f>
        <v>7647597.9394587297</v>
      </c>
      <c r="U273" s="171">
        <f>+U100+U116+U226+U265+U271</f>
        <v>9791898.1177777778</v>
      </c>
    </row>
    <row r="274" spans="1:21">
      <c r="M274" s="230"/>
      <c r="N274" s="230"/>
      <c r="O274" s="230"/>
      <c r="P274" s="230"/>
      <c r="Q274" s="230"/>
      <c r="R274" s="230"/>
      <c r="S274" s="230"/>
      <c r="T274" s="230"/>
      <c r="U274" s="230"/>
    </row>
    <row r="275" spans="1:21">
      <c r="E275" s="1" t="s">
        <v>1046</v>
      </c>
      <c r="M275" s="230"/>
      <c r="N275" s="230"/>
      <c r="O275" s="230"/>
      <c r="P275" s="230"/>
      <c r="Q275" s="230"/>
      <c r="R275" s="230"/>
      <c r="S275" s="230"/>
      <c r="T275" s="230"/>
      <c r="U275" s="230"/>
    </row>
    <row r="276" spans="1:21">
      <c r="A276" s="3" t="s">
        <v>40</v>
      </c>
      <c r="C276" s="3" t="s">
        <v>88</v>
      </c>
      <c r="E276" s="3" t="s">
        <v>89</v>
      </c>
      <c r="F276" s="3">
        <v>1991</v>
      </c>
      <c r="G276" s="3">
        <v>8</v>
      </c>
      <c r="H276" s="3">
        <v>0</v>
      </c>
      <c r="I276" s="3" t="s">
        <v>52</v>
      </c>
      <c r="J276" s="3">
        <v>5</v>
      </c>
      <c r="K276" s="3">
        <f>F276+J276</f>
        <v>1996</v>
      </c>
      <c r="L276" s="3">
        <f>+K276+(G276/12)</f>
        <v>1996.6666666666667</v>
      </c>
      <c r="M276" s="230">
        <v>980.98</v>
      </c>
      <c r="N276" s="230">
        <f>M276-M276*H276</f>
        <v>980.98</v>
      </c>
      <c r="O276" s="230">
        <f>N276/J276/12</f>
        <v>16.349666666666668</v>
      </c>
      <c r="P276" s="230">
        <f>+O276*12</f>
        <v>196.19600000000003</v>
      </c>
      <c r="Q276" s="230">
        <f>+IF(L276&lt;=$N$5,0,IF(K276&gt;$N$4,P276,(O276*G276)))</f>
        <v>0</v>
      </c>
      <c r="R276" s="230"/>
      <c r="S276" s="230">
        <f>+IF(Q276=0,M276,IF($N$3-F276&lt;1,0,(($N$3-F276)*P276)))</f>
        <v>980.98</v>
      </c>
      <c r="T276" s="230">
        <f>+IF(Q276=0,S276,S276+Q276)</f>
        <v>980.98</v>
      </c>
      <c r="U276" s="230">
        <f>+IF(Q276=0,0,((M276-S276)+(M276-T276))/2)</f>
        <v>0</v>
      </c>
    </row>
    <row r="277" spans="1:21">
      <c r="A277" s="3" t="s">
        <v>40</v>
      </c>
      <c r="C277" s="3" t="s">
        <v>88</v>
      </c>
      <c r="E277" s="3" t="s">
        <v>89</v>
      </c>
      <c r="F277" s="3">
        <v>1991</v>
      </c>
      <c r="G277" s="3">
        <v>12</v>
      </c>
      <c r="H277" s="3">
        <v>0</v>
      </c>
      <c r="I277" s="3" t="s">
        <v>52</v>
      </c>
      <c r="J277" s="3">
        <v>5</v>
      </c>
      <c r="K277" s="3">
        <f>F277+J277</f>
        <v>1996</v>
      </c>
      <c r="L277" s="3">
        <f>+K277+(G277/12)</f>
        <v>1997</v>
      </c>
      <c r="M277" s="230">
        <v>980.98</v>
      </c>
      <c r="N277" s="230">
        <f>M277-M277*H277</f>
        <v>980.98</v>
      </c>
      <c r="O277" s="230">
        <f>N277/J277/12</f>
        <v>16.349666666666668</v>
      </c>
      <c r="P277" s="230">
        <f>+O277*12</f>
        <v>196.19600000000003</v>
      </c>
      <c r="Q277" s="230">
        <f>+IF(L277&lt;=$N$5,0,IF(K277&gt;$N$4,P277,(O277*G277)))</f>
        <v>0</v>
      </c>
      <c r="R277" s="230"/>
      <c r="S277" s="230">
        <f>+IF(Q277=0,M277,IF($N$3-F277&lt;1,0,(($N$3-F277)*P277)))</f>
        <v>980.98</v>
      </c>
      <c r="T277" s="230">
        <f>+IF(Q277=0,S277,S277+Q277)</f>
        <v>980.98</v>
      </c>
      <c r="U277" s="230">
        <f>+IF(Q277=0,0,((M277-S277)+(M277-T277))/2)</f>
        <v>0</v>
      </c>
    </row>
    <row r="278" spans="1:21" s="197" customFormat="1">
      <c r="A278" s="197" t="s">
        <v>40</v>
      </c>
      <c r="B278" s="197">
        <v>102188</v>
      </c>
      <c r="C278" s="197" t="s">
        <v>88</v>
      </c>
      <c r="D278" s="197">
        <v>624</v>
      </c>
      <c r="E278" s="197" t="s">
        <v>241</v>
      </c>
      <c r="F278" s="197">
        <v>2009</v>
      </c>
      <c r="G278" s="197">
        <v>5</v>
      </c>
      <c r="H278" s="197">
        <v>0</v>
      </c>
      <c r="I278" s="197" t="s">
        <v>52</v>
      </c>
      <c r="J278" s="197">
        <v>5</v>
      </c>
      <c r="K278" s="197">
        <f>F278+J278</f>
        <v>2014</v>
      </c>
      <c r="L278" s="172">
        <f>+K278+(G278/12)</f>
        <v>2014.4166666666667</v>
      </c>
      <c r="M278" s="230">
        <f>+'2111 Trks - Orig'!P132</f>
        <v>195507.34</v>
      </c>
      <c r="N278" s="230">
        <f>M278-M278*H278</f>
        <v>195507.34</v>
      </c>
      <c r="O278" s="230">
        <f>N278/J278/12</f>
        <v>3258.4556666666667</v>
      </c>
      <c r="P278" s="230">
        <f>+O278*12</f>
        <v>39101.468000000001</v>
      </c>
      <c r="Q278" s="230">
        <f>+IF(L278&lt;=$N$5,0,IF(K278&gt;$N$4,P278,(O278*G278)))</f>
        <v>0</v>
      </c>
      <c r="R278" s="230"/>
      <c r="S278" s="230">
        <f>+IF(Q278=0,M278,IF($N$3-F278&lt;1,0,(($N$3-F278)*P278)))</f>
        <v>195507.34</v>
      </c>
      <c r="T278" s="230">
        <f>+IF(Q278=0,S278,S278+Q278)</f>
        <v>195507.34</v>
      </c>
      <c r="U278" s="230">
        <f>+IF(Q278=0,0,((M278-S278)+(M278-T278))/2)</f>
        <v>0</v>
      </c>
    </row>
    <row r="279" spans="1:21" s="199" customFormat="1">
      <c r="A279" s="200"/>
      <c r="B279" s="200"/>
      <c r="C279" s="200"/>
      <c r="D279" s="200">
        <v>624</v>
      </c>
      <c r="E279" s="200" t="s">
        <v>650</v>
      </c>
      <c r="F279" s="200">
        <v>2017</v>
      </c>
      <c r="G279" s="200">
        <v>10</v>
      </c>
      <c r="H279" s="200">
        <v>0</v>
      </c>
      <c r="I279" s="200" t="s">
        <v>52</v>
      </c>
      <c r="J279" s="200">
        <f>+IF(K278-$N$3&gt;=3,K278-$N$3,3)</f>
        <v>3</v>
      </c>
      <c r="K279" s="200">
        <f>F279+J279</f>
        <v>2020</v>
      </c>
      <c r="L279" s="202">
        <f>+K279+(G279/12)</f>
        <v>2020.8333333333333</v>
      </c>
      <c r="M279" s="201">
        <f>+'2111 Trks - Orig'!N132-'2111 Trks'!M278</f>
        <v>96294.66</v>
      </c>
      <c r="N279" s="201">
        <f>M279-M279*H279</f>
        <v>96294.66</v>
      </c>
      <c r="O279" s="201">
        <f>N279/J279/12</f>
        <v>2674.8516666666669</v>
      </c>
      <c r="P279" s="201">
        <f>+O279*12</f>
        <v>32098.22</v>
      </c>
      <c r="Q279" s="201">
        <f>+IF(L279&lt;=$N$5,0,IF(K279&gt;$N$4,P279,(O279*G279)))</f>
        <v>32098.22</v>
      </c>
      <c r="R279" s="201"/>
      <c r="S279" s="201">
        <f>+IF(Q279=0,M279,IF($N$3-F279&lt;1,0,(($N$3-F279)*P279)))</f>
        <v>0</v>
      </c>
      <c r="T279" s="201">
        <f>+IF(Q279=0,S279,S279+Q279)</f>
        <v>32098.22</v>
      </c>
      <c r="U279" s="201">
        <f>+IF(Q279=0,0,((M279-S279)+(M279-T279))/2)</f>
        <v>80245.55</v>
      </c>
    </row>
    <row r="280" spans="1:21">
      <c r="A280" s="3" t="s">
        <v>40</v>
      </c>
      <c r="B280" s="3" t="s">
        <v>424</v>
      </c>
      <c r="E280" s="3" t="s">
        <v>427</v>
      </c>
      <c r="F280" s="3">
        <v>2016</v>
      </c>
      <c r="G280" s="3">
        <v>3</v>
      </c>
      <c r="H280" s="3">
        <v>0</v>
      </c>
      <c r="I280" s="3" t="s">
        <v>52</v>
      </c>
      <c r="J280" s="3">
        <v>1</v>
      </c>
      <c r="K280" s="3">
        <f>F280+J280</f>
        <v>2017</v>
      </c>
      <c r="L280" s="3">
        <f>+K280+(G280/12)</f>
        <v>2017.25</v>
      </c>
      <c r="M280" s="230">
        <f>(25892.28+23056.62)/104*2</f>
        <v>941.32499999999993</v>
      </c>
      <c r="N280" s="230">
        <f>M280-M280*H280</f>
        <v>941.32499999999993</v>
      </c>
      <c r="O280" s="230">
        <f>N280/J280/12</f>
        <v>78.443749999999994</v>
      </c>
      <c r="P280" s="230">
        <f>+O280*12</f>
        <v>941.32499999999993</v>
      </c>
      <c r="Q280" s="230">
        <f>+IF(L280&lt;=$N$5,0,IF(K280&gt;$N$4,P280,(O280*G280)))</f>
        <v>0</v>
      </c>
      <c r="R280" s="230"/>
      <c r="S280" s="230">
        <f>+IF(Q280=0,M280,IF($N$3-F280&lt;1,0,(($N$3-F280)*P280)))</f>
        <v>941.32499999999993</v>
      </c>
      <c r="T280" s="230">
        <f>+IF(Q280=0,S280,S280+Q280)</f>
        <v>941.32499999999993</v>
      </c>
      <c r="U280" s="230">
        <f>+IF(Q280=0,0,((M280-S280)+(M280-T280))/2)</f>
        <v>0</v>
      </c>
    </row>
    <row r="281" spans="1:21">
      <c r="M281" s="230"/>
      <c r="N281" s="230"/>
      <c r="O281" s="230"/>
      <c r="P281" s="230"/>
      <c r="Q281" s="230"/>
      <c r="R281" s="230"/>
      <c r="S281" s="230"/>
      <c r="T281" s="230"/>
      <c r="U281" s="230"/>
    </row>
    <row r="282" spans="1:21">
      <c r="E282" s="169" t="s">
        <v>90</v>
      </c>
      <c r="F282" s="169"/>
      <c r="G282" s="169"/>
      <c r="H282" s="169"/>
      <c r="I282" s="169"/>
      <c r="J282" s="169"/>
      <c r="K282" s="169"/>
      <c r="L282" s="169"/>
      <c r="M282" s="171">
        <f>SUM(M276:M281)</f>
        <v>294705.28499999997</v>
      </c>
      <c r="N282" s="171">
        <f>SUM(N276:N281)</f>
        <v>294705.28499999997</v>
      </c>
      <c r="O282" s="171">
        <f>SUM(O276:O281)</f>
        <v>6044.4504166666675</v>
      </c>
      <c r="P282" s="171">
        <f>SUM(P276:P281)</f>
        <v>72533.404999999999</v>
      </c>
      <c r="Q282" s="171">
        <f>SUM(Q276:Q281)</f>
        <v>32098.22</v>
      </c>
      <c r="R282" s="171"/>
      <c r="S282" s="171">
        <f>SUM(S276:S281)</f>
        <v>198410.625</v>
      </c>
      <c r="T282" s="171">
        <f>SUM(T276:T281)</f>
        <v>230508.845</v>
      </c>
      <c r="U282" s="171">
        <f>SUM(U276:U281)</f>
        <v>80245.55</v>
      </c>
    </row>
    <row r="283" spans="1:21">
      <c r="D283" s="3" t="s">
        <v>57</v>
      </c>
      <c r="M283" s="230"/>
      <c r="N283" s="230"/>
      <c r="O283" s="230"/>
      <c r="P283" s="230"/>
      <c r="Q283" s="230"/>
      <c r="R283" s="230"/>
      <c r="S283" s="230"/>
      <c r="T283" s="230"/>
      <c r="U283" s="230"/>
    </row>
    <row r="284" spans="1:21">
      <c r="E284" s="1" t="s">
        <v>91</v>
      </c>
      <c r="M284" s="230"/>
      <c r="N284" s="230"/>
      <c r="O284" s="230"/>
      <c r="P284" s="230"/>
      <c r="Q284" s="230"/>
      <c r="R284" s="230"/>
      <c r="S284" s="230"/>
      <c r="T284" s="230"/>
      <c r="U284" s="230"/>
    </row>
    <row r="285" spans="1:21">
      <c r="A285" s="3" t="s">
        <v>40</v>
      </c>
      <c r="C285" s="3" t="s">
        <v>92</v>
      </c>
      <c r="E285" s="3" t="s">
        <v>93</v>
      </c>
      <c r="F285" s="3">
        <v>1990</v>
      </c>
      <c r="G285" s="3">
        <v>5</v>
      </c>
      <c r="H285" s="3">
        <v>0</v>
      </c>
      <c r="I285" s="3" t="s">
        <v>52</v>
      </c>
      <c r="J285" s="3">
        <v>5</v>
      </c>
      <c r="K285" s="3">
        <f t="shared" ref="K285:K315" si="85">F285+J285</f>
        <v>1995</v>
      </c>
      <c r="L285" s="3">
        <f t="shared" ref="L285:L315" si="86">+K285+(G285/12)</f>
        <v>1995.4166666666667</v>
      </c>
      <c r="M285" s="230">
        <v>5812.79</v>
      </c>
      <c r="N285" s="230">
        <f>M285-M285*H285</f>
        <v>5812.79</v>
      </c>
      <c r="O285" s="230">
        <f>N285/J285/12</f>
        <v>96.879833333333337</v>
      </c>
      <c r="P285" s="230">
        <f t="shared" ref="P285:P315" si="87">+O285*12</f>
        <v>1162.558</v>
      </c>
      <c r="Q285" s="230">
        <f>+IF(L285&lt;=$N$5,0,IF(K285&gt;$N$4,P285,(O285*G285)))</f>
        <v>0</v>
      </c>
      <c r="R285" s="230"/>
      <c r="S285" s="230">
        <f>+IF(Q285=0,M285,IF($N$3-F285&lt;1,0,(($N$3-F285)*P285)))</f>
        <v>5812.79</v>
      </c>
      <c r="T285" s="230">
        <f>+IF(Q285=0,S285,S285+Q285)</f>
        <v>5812.79</v>
      </c>
      <c r="U285" s="230">
        <f>+IF(Q285=0,0,((M285-S285)+(M285-T285))/2)</f>
        <v>0</v>
      </c>
    </row>
    <row r="286" spans="1:21">
      <c r="A286" s="3" t="s">
        <v>40</v>
      </c>
      <c r="C286" s="3" t="s">
        <v>92</v>
      </c>
      <c r="E286" s="3" t="s">
        <v>70</v>
      </c>
      <c r="F286" s="3">
        <v>1990</v>
      </c>
      <c r="G286" s="3">
        <v>7</v>
      </c>
      <c r="H286" s="3">
        <v>0</v>
      </c>
      <c r="I286" s="3" t="s">
        <v>52</v>
      </c>
      <c r="J286" s="3">
        <v>5</v>
      </c>
      <c r="K286" s="3">
        <f t="shared" si="85"/>
        <v>1995</v>
      </c>
      <c r="L286" s="3">
        <f t="shared" si="86"/>
        <v>1995.5833333333333</v>
      </c>
      <c r="M286" s="230">
        <v>3727.73</v>
      </c>
      <c r="N286" s="230">
        <f t="shared" ref="N286:N315" si="88">M286-M286*H286</f>
        <v>3727.73</v>
      </c>
      <c r="O286" s="230">
        <f t="shared" ref="O286:O315" si="89">N286/J286/12</f>
        <v>62.12883333333334</v>
      </c>
      <c r="P286" s="230">
        <f t="shared" si="87"/>
        <v>745.54600000000005</v>
      </c>
      <c r="Q286" s="230">
        <f t="shared" ref="Q286:Q315" si="90">+IF(L286&lt;=$N$5,0,IF(K286&gt;$N$4,P286,(O286*G286)))</f>
        <v>0</v>
      </c>
      <c r="R286" s="230"/>
      <c r="S286" s="230">
        <f t="shared" ref="S286:S315" si="91">+IF(Q286=0,M286,IF($N$3-F286&lt;1,0,(($N$3-F286)*P286)))</f>
        <v>3727.73</v>
      </c>
      <c r="T286" s="230">
        <f t="shared" ref="T286:T315" si="92">+IF(Q286=0,S286,S286+Q286)</f>
        <v>3727.73</v>
      </c>
      <c r="U286" s="230">
        <f t="shared" ref="U286:U315" si="93">+IF(Q286=0,0,((M286-S286)+(M286-T286))/2)</f>
        <v>0</v>
      </c>
    </row>
    <row r="287" spans="1:21" s="197" customFormat="1">
      <c r="A287" s="197" t="s">
        <v>40</v>
      </c>
      <c r="B287" s="197">
        <v>19646</v>
      </c>
      <c r="C287" s="197" t="s">
        <v>54</v>
      </c>
      <c r="D287" s="197">
        <v>605</v>
      </c>
      <c r="E287" s="197" t="s">
        <v>160</v>
      </c>
      <c r="F287" s="197">
        <v>2003</v>
      </c>
      <c r="G287" s="197">
        <v>1</v>
      </c>
      <c r="H287" s="197">
        <v>0</v>
      </c>
      <c r="I287" s="197" t="s">
        <v>52</v>
      </c>
      <c r="J287" s="197">
        <v>7</v>
      </c>
      <c r="K287" s="197">
        <f>F287+J287</f>
        <v>2010</v>
      </c>
      <c r="L287" s="172">
        <f>+K287+(G287/12)</f>
        <v>2010.0833333333333</v>
      </c>
      <c r="M287" s="230">
        <f>+'2111 Trks - Orig'!P15</f>
        <v>98761.616000000009</v>
      </c>
      <c r="N287" s="230">
        <f>M287-M287*H287</f>
        <v>98761.616000000009</v>
      </c>
      <c r="O287" s="230">
        <f>N287/J287/12</f>
        <v>1175.7335238095241</v>
      </c>
      <c r="P287" s="230">
        <f>+O287*12</f>
        <v>14108.80228571429</v>
      </c>
      <c r="Q287" s="230">
        <f>+IF(L287&lt;=$N$5,0,IF(K287&gt;$N$4,P287,(O287*G287)))</f>
        <v>0</v>
      </c>
      <c r="R287" s="230"/>
      <c r="S287" s="230">
        <f>+IF(Q287=0,M287,IF($N$3-F287&lt;1,0,(($N$3-F287)*P287)))</f>
        <v>98761.616000000009</v>
      </c>
      <c r="T287" s="230">
        <f>+IF(Q287=0,S287,S287+Q287)</f>
        <v>98761.616000000009</v>
      </c>
      <c r="U287" s="230">
        <f>+IF(Q287=0,0,((M287-S287)+(M287-T287))/2)</f>
        <v>0</v>
      </c>
    </row>
    <row r="288" spans="1:21" s="199" customFormat="1">
      <c r="A288" s="200"/>
      <c r="B288" s="200"/>
      <c r="C288" s="200"/>
      <c r="D288" s="200">
        <v>605</v>
      </c>
      <c r="E288" s="200" t="s">
        <v>626</v>
      </c>
      <c r="F288" s="200">
        <v>2017</v>
      </c>
      <c r="G288" s="200">
        <v>10</v>
      </c>
      <c r="H288" s="200">
        <v>0</v>
      </c>
      <c r="I288" s="200" t="s">
        <v>52</v>
      </c>
      <c r="J288" s="200">
        <f>+IF(K287-$N$3&gt;=3,K287-$N$3,3)</f>
        <v>3</v>
      </c>
      <c r="K288" s="200">
        <f>F288+J288</f>
        <v>2020</v>
      </c>
      <c r="L288" s="202">
        <f>+K288+(G288/12)</f>
        <v>2020.8333333333333</v>
      </c>
      <c r="M288" s="201">
        <f>+'2111 Trks - Orig'!N15-'2111 Trks'!M287</f>
        <v>24690.403999999995</v>
      </c>
      <c r="N288" s="201">
        <f>M288-M288*H288</f>
        <v>24690.403999999995</v>
      </c>
      <c r="O288" s="201">
        <f>N288/J288/12</f>
        <v>685.84455555555542</v>
      </c>
      <c r="P288" s="201">
        <f>+O288*12</f>
        <v>8230.134666666665</v>
      </c>
      <c r="Q288" s="201">
        <f>+IF(L288&lt;=$N$5,0,IF(K288&gt;$N$4,P288,(O288*G288)))</f>
        <v>8230.134666666665</v>
      </c>
      <c r="R288" s="201"/>
      <c r="S288" s="201">
        <f>+IF(Q288=0,M288,IF($N$3-F288&lt;1,0,(($N$3-F288)*P288)))</f>
        <v>0</v>
      </c>
      <c r="T288" s="201">
        <f>+IF(Q288=0,S288,S288+Q288)</f>
        <v>8230.134666666665</v>
      </c>
      <c r="U288" s="201">
        <f>+IF(Q288=0,0,((M288-S288)+(M288-T288))/2)</f>
        <v>20575.336666666662</v>
      </c>
    </row>
    <row r="289" spans="1:21" s="197" customFormat="1">
      <c r="A289" s="197" t="s">
        <v>415</v>
      </c>
      <c r="B289" s="197" t="s">
        <v>493</v>
      </c>
      <c r="C289" s="197" t="s">
        <v>92</v>
      </c>
      <c r="D289" s="197">
        <v>800</v>
      </c>
      <c r="E289" s="197" t="s">
        <v>454</v>
      </c>
      <c r="F289" s="197">
        <v>2004</v>
      </c>
      <c r="G289" s="197">
        <v>6</v>
      </c>
      <c r="H289" s="197">
        <v>0</v>
      </c>
      <c r="I289" s="197" t="s">
        <v>52</v>
      </c>
      <c r="J289" s="197">
        <v>7</v>
      </c>
      <c r="K289" s="197">
        <f t="shared" si="85"/>
        <v>2011</v>
      </c>
      <c r="L289" s="172">
        <f t="shared" si="86"/>
        <v>2011.5</v>
      </c>
      <c r="M289" s="230">
        <f>+'2131 Trks - Orig'!P52</f>
        <v>87201.847999999998</v>
      </c>
      <c r="N289" s="230">
        <f t="shared" si="88"/>
        <v>87201.847999999998</v>
      </c>
      <c r="O289" s="230">
        <f t="shared" si="89"/>
        <v>1038.117238095238</v>
      </c>
      <c r="P289" s="230">
        <f t="shared" si="87"/>
        <v>12457.406857142856</v>
      </c>
      <c r="Q289" s="230">
        <f t="shared" si="90"/>
        <v>0</v>
      </c>
      <c r="R289" s="230"/>
      <c r="S289" s="230">
        <f t="shared" si="91"/>
        <v>87201.847999999998</v>
      </c>
      <c r="T289" s="230">
        <f t="shared" si="92"/>
        <v>87201.847999999998</v>
      </c>
      <c r="U289" s="230">
        <f t="shared" si="93"/>
        <v>0</v>
      </c>
    </row>
    <row r="290" spans="1:21" s="199" customFormat="1">
      <c r="A290" s="200"/>
      <c r="B290" s="200"/>
      <c r="C290" s="200"/>
      <c r="D290" s="200">
        <v>800</v>
      </c>
      <c r="E290" s="200" t="s">
        <v>651</v>
      </c>
      <c r="F290" s="200">
        <v>2017</v>
      </c>
      <c r="G290" s="200">
        <v>10</v>
      </c>
      <c r="H290" s="200">
        <v>0</v>
      </c>
      <c r="I290" s="200" t="s">
        <v>52</v>
      </c>
      <c r="J290" s="200">
        <f>+IF(K289-$N$3&gt;=3,K289-$N$3,3)</f>
        <v>3</v>
      </c>
      <c r="K290" s="200">
        <f>F290+J290</f>
        <v>2020</v>
      </c>
      <c r="L290" s="202">
        <f>+K290+(G290/12)</f>
        <v>2020.8333333333333</v>
      </c>
      <c r="M290" s="201">
        <f>+'2131 Trks - Orig'!N52-'2111 Trks'!M289</f>
        <v>21800.462</v>
      </c>
      <c r="N290" s="201">
        <f>M290-M290*H290</f>
        <v>21800.462</v>
      </c>
      <c r="O290" s="201">
        <f>N290/J290/12</f>
        <v>605.56838888888888</v>
      </c>
      <c r="P290" s="201">
        <f>+O290*12</f>
        <v>7266.8206666666665</v>
      </c>
      <c r="Q290" s="201">
        <f>+IF(L290&lt;=$N$5,0,IF(K290&gt;$N$4,P290,(O290*G290)))</f>
        <v>7266.8206666666665</v>
      </c>
      <c r="R290" s="201"/>
      <c r="S290" s="201">
        <f>+IF(Q290=0,M290,IF($N$3-F290&lt;1,0,(($N$3-F290)*P290)))</f>
        <v>0</v>
      </c>
      <c r="T290" s="201">
        <f>+IF(Q290=0,S290,S290+Q290)</f>
        <v>7266.8206666666665</v>
      </c>
      <c r="U290" s="201">
        <f>+IF(Q290=0,0,((M290-S290)+(M290-T290))/2)</f>
        <v>18167.051666666666</v>
      </c>
    </row>
    <row r="291" spans="1:21" s="197" customFormat="1">
      <c r="A291" s="197" t="s">
        <v>415</v>
      </c>
      <c r="B291" s="197">
        <v>173224</v>
      </c>
      <c r="C291" s="197" t="s">
        <v>92</v>
      </c>
      <c r="D291" s="197">
        <v>800</v>
      </c>
      <c r="E291" s="197" t="s">
        <v>455</v>
      </c>
      <c r="F291" s="197">
        <v>2004</v>
      </c>
      <c r="G291" s="197">
        <v>6</v>
      </c>
      <c r="H291" s="197">
        <v>0</v>
      </c>
      <c r="I291" s="197" t="s">
        <v>52</v>
      </c>
      <c r="J291" s="197">
        <v>7</v>
      </c>
      <c r="K291" s="197">
        <f t="shared" si="85"/>
        <v>2011</v>
      </c>
      <c r="L291" s="172">
        <f t="shared" si="86"/>
        <v>2011.5</v>
      </c>
      <c r="M291" s="230">
        <f>+'2131 Trks - Orig'!P53</f>
        <v>62379.383999999998</v>
      </c>
      <c r="N291" s="230">
        <f t="shared" si="88"/>
        <v>62379.383999999998</v>
      </c>
      <c r="O291" s="230">
        <f t="shared" si="89"/>
        <v>742.61171428571424</v>
      </c>
      <c r="P291" s="230">
        <f t="shared" si="87"/>
        <v>8911.3405714285709</v>
      </c>
      <c r="Q291" s="230">
        <f t="shared" si="90"/>
        <v>0</v>
      </c>
      <c r="R291" s="230"/>
      <c r="S291" s="230">
        <f t="shared" si="91"/>
        <v>62379.383999999998</v>
      </c>
      <c r="T291" s="230">
        <f t="shared" si="92"/>
        <v>62379.383999999998</v>
      </c>
      <c r="U291" s="230">
        <f t="shared" si="93"/>
        <v>0</v>
      </c>
    </row>
    <row r="292" spans="1:21" s="199" customFormat="1">
      <c r="A292" s="200"/>
      <c r="B292" s="200"/>
      <c r="C292" s="200"/>
      <c r="D292" s="200">
        <v>800</v>
      </c>
      <c r="E292" s="200" t="s">
        <v>651</v>
      </c>
      <c r="F292" s="200">
        <v>2017</v>
      </c>
      <c r="G292" s="200">
        <v>10</v>
      </c>
      <c r="H292" s="200">
        <v>0</v>
      </c>
      <c r="I292" s="200" t="s">
        <v>52</v>
      </c>
      <c r="J292" s="200">
        <f>+IF(K291-$N$3&gt;=3,K291-$N$3,3)</f>
        <v>3</v>
      </c>
      <c r="K292" s="200">
        <f>F292+J292</f>
        <v>2020</v>
      </c>
      <c r="L292" s="202">
        <f>+K292+(G292/12)</f>
        <v>2020.8333333333333</v>
      </c>
      <c r="M292" s="201">
        <f>+'2131 Trks - Orig'!N53-'2111 Trks'!M291</f>
        <v>15594.845999999998</v>
      </c>
      <c r="N292" s="201">
        <f>M292-M292*H292</f>
        <v>15594.845999999998</v>
      </c>
      <c r="O292" s="201">
        <f>N292/J292/12</f>
        <v>433.19016666666658</v>
      </c>
      <c r="P292" s="201">
        <f>+O292*12</f>
        <v>5198.2819999999992</v>
      </c>
      <c r="Q292" s="201">
        <f>+IF(L292&lt;=$N$5,0,IF(K292&gt;$N$4,P292,(O292*G292)))</f>
        <v>5198.2819999999992</v>
      </c>
      <c r="R292" s="201"/>
      <c r="S292" s="201">
        <f>+IF(Q292=0,M292,IF($N$3-F292&lt;1,0,(($N$3-F292)*P292)))</f>
        <v>0</v>
      </c>
      <c r="T292" s="201">
        <f>+IF(Q292=0,S292,S292+Q292)</f>
        <v>5198.2819999999992</v>
      </c>
      <c r="U292" s="201">
        <f>+IF(Q292=0,0,((M292-S292)+(M292-T292))/2)</f>
        <v>12995.704999999998</v>
      </c>
    </row>
    <row r="293" spans="1:21" s="197" customFormat="1">
      <c r="A293" s="197" t="s">
        <v>415</v>
      </c>
      <c r="B293" s="197" t="s">
        <v>494</v>
      </c>
      <c r="C293" s="197" t="s">
        <v>92</v>
      </c>
      <c r="D293" s="197">
        <v>802</v>
      </c>
      <c r="E293" s="197" t="s">
        <v>456</v>
      </c>
      <c r="F293" s="197">
        <v>2005</v>
      </c>
      <c r="G293" s="197">
        <v>3</v>
      </c>
      <c r="H293" s="197">
        <v>0</v>
      </c>
      <c r="I293" s="197" t="s">
        <v>52</v>
      </c>
      <c r="J293" s="197">
        <v>7</v>
      </c>
      <c r="K293" s="197">
        <f t="shared" si="85"/>
        <v>2012</v>
      </c>
      <c r="L293" s="172">
        <f t="shared" si="86"/>
        <v>2012.25</v>
      </c>
      <c r="M293" s="230">
        <f>+'2131 Trks - Orig'!P55</f>
        <v>161804.33600000001</v>
      </c>
      <c r="N293" s="230">
        <f t="shared" si="88"/>
        <v>161804.33600000001</v>
      </c>
      <c r="O293" s="230">
        <f t="shared" si="89"/>
        <v>1926.2420952380953</v>
      </c>
      <c r="P293" s="230">
        <f t="shared" si="87"/>
        <v>23114.905142857144</v>
      </c>
      <c r="Q293" s="230">
        <f t="shared" si="90"/>
        <v>0</v>
      </c>
      <c r="R293" s="230"/>
      <c r="S293" s="230">
        <f t="shared" si="91"/>
        <v>161804.33600000001</v>
      </c>
      <c r="T293" s="230">
        <f t="shared" si="92"/>
        <v>161804.33600000001</v>
      </c>
      <c r="U293" s="230">
        <f t="shared" si="93"/>
        <v>0</v>
      </c>
    </row>
    <row r="294" spans="1:21" s="199" customFormat="1">
      <c r="A294" s="200"/>
      <c r="B294" s="200"/>
      <c r="C294" s="200"/>
      <c r="D294" s="200">
        <v>802</v>
      </c>
      <c r="E294" s="200" t="s">
        <v>652</v>
      </c>
      <c r="F294" s="200">
        <v>2017</v>
      </c>
      <c r="G294" s="200">
        <v>10</v>
      </c>
      <c r="H294" s="200">
        <v>0</v>
      </c>
      <c r="I294" s="200" t="s">
        <v>52</v>
      </c>
      <c r="J294" s="200">
        <f>+IF(K293-$N$3&gt;=3,K293-$N$3,3)</f>
        <v>3</v>
      </c>
      <c r="K294" s="200">
        <f>F294+J294</f>
        <v>2020</v>
      </c>
      <c r="L294" s="202">
        <f>+K294+(G294/12)</f>
        <v>2020.8333333333333</v>
      </c>
      <c r="M294" s="201">
        <f>+'2131 Trks - Orig'!N55-'2111 Trks'!M293</f>
        <v>40451.084000000003</v>
      </c>
      <c r="N294" s="201">
        <f>M294-M294*H294</f>
        <v>40451.084000000003</v>
      </c>
      <c r="O294" s="201">
        <f>N294/J294/12</f>
        <v>1123.6412222222223</v>
      </c>
      <c r="P294" s="201">
        <f>+O294*12</f>
        <v>13483.694666666666</v>
      </c>
      <c r="Q294" s="201">
        <f>+IF(L294&lt;=$N$5,0,IF(K294&gt;$N$4,P294,(O294*G294)))</f>
        <v>13483.694666666666</v>
      </c>
      <c r="R294" s="201"/>
      <c r="S294" s="201">
        <f>+IF(Q294=0,M294,IF($N$3-F294&lt;1,0,(($N$3-F294)*P294)))</f>
        <v>0</v>
      </c>
      <c r="T294" s="201">
        <f>+IF(Q294=0,S294,S294+Q294)</f>
        <v>13483.694666666666</v>
      </c>
      <c r="U294" s="201">
        <f>+IF(Q294=0,0,((M294-S294)+(M294-T294))/2)</f>
        <v>33709.236666666671</v>
      </c>
    </row>
    <row r="295" spans="1:21" s="197" customFormat="1">
      <c r="A295" s="197" t="s">
        <v>40</v>
      </c>
      <c r="C295" s="197" t="s">
        <v>92</v>
      </c>
      <c r="E295" s="197" t="s">
        <v>165</v>
      </c>
      <c r="F295" s="197">
        <v>2008</v>
      </c>
      <c r="G295" s="197">
        <v>3</v>
      </c>
      <c r="H295" s="197">
        <v>0</v>
      </c>
      <c r="I295" s="197" t="s">
        <v>52</v>
      </c>
      <c r="J295" s="197">
        <v>7</v>
      </c>
      <c r="K295" s="197">
        <f t="shared" si="85"/>
        <v>2015</v>
      </c>
      <c r="L295" s="172">
        <f t="shared" si="86"/>
        <v>2015.25</v>
      </c>
      <c r="M295" s="230">
        <f>+'2111 Trks - Orig'!P145</f>
        <v>2384.6400000000003</v>
      </c>
      <c r="N295" s="230">
        <f t="shared" si="88"/>
        <v>2384.6400000000003</v>
      </c>
      <c r="O295" s="230">
        <f t="shared" si="89"/>
        <v>28.388571428571435</v>
      </c>
      <c r="P295" s="230">
        <f t="shared" si="87"/>
        <v>340.66285714285721</v>
      </c>
      <c r="Q295" s="230">
        <f t="shared" si="90"/>
        <v>0</v>
      </c>
      <c r="R295" s="230"/>
      <c r="S295" s="230">
        <f t="shared" si="91"/>
        <v>2384.6400000000003</v>
      </c>
      <c r="T295" s="230">
        <f t="shared" si="92"/>
        <v>2384.6400000000003</v>
      </c>
      <c r="U295" s="230">
        <f t="shared" si="93"/>
        <v>0</v>
      </c>
    </row>
    <row r="296" spans="1:21" s="197" customFormat="1">
      <c r="A296" s="197" t="s">
        <v>415</v>
      </c>
      <c r="B296" s="197" t="s">
        <v>503</v>
      </c>
      <c r="C296" s="197" t="s">
        <v>92</v>
      </c>
      <c r="E296" s="197" t="s">
        <v>457</v>
      </c>
      <c r="F296" s="197">
        <v>2008</v>
      </c>
      <c r="G296" s="197">
        <v>4</v>
      </c>
      <c r="H296" s="197">
        <v>0</v>
      </c>
      <c r="I296" s="197" t="s">
        <v>52</v>
      </c>
      <c r="J296" s="197">
        <v>7</v>
      </c>
      <c r="K296" s="197">
        <f t="shared" si="85"/>
        <v>2015</v>
      </c>
      <c r="L296" s="172">
        <f t="shared" si="86"/>
        <v>2015.3333333333333</v>
      </c>
      <c r="M296" s="230">
        <f>+'2131 Trks - Orig'!P56</f>
        <v>872.68799999999987</v>
      </c>
      <c r="N296" s="230">
        <f t="shared" si="88"/>
        <v>872.68799999999987</v>
      </c>
      <c r="O296" s="230">
        <f t="shared" si="89"/>
        <v>10.389142857142856</v>
      </c>
      <c r="P296" s="230">
        <f t="shared" si="87"/>
        <v>124.66971428571426</v>
      </c>
      <c r="Q296" s="230">
        <f t="shared" si="90"/>
        <v>0</v>
      </c>
      <c r="R296" s="230"/>
      <c r="S296" s="230">
        <f t="shared" si="91"/>
        <v>872.68799999999987</v>
      </c>
      <c r="T296" s="230">
        <f t="shared" si="92"/>
        <v>872.68799999999987</v>
      </c>
      <c r="U296" s="230">
        <f t="shared" si="93"/>
        <v>0</v>
      </c>
    </row>
    <row r="297" spans="1:21" s="199" customFormat="1">
      <c r="A297" s="200"/>
      <c r="B297" s="200"/>
      <c r="C297" s="200"/>
      <c r="D297" s="200"/>
      <c r="E297" s="200" t="s">
        <v>654</v>
      </c>
      <c r="F297" s="200">
        <v>2017</v>
      </c>
      <c r="G297" s="200">
        <v>10</v>
      </c>
      <c r="H297" s="200">
        <v>0</v>
      </c>
      <c r="I297" s="200" t="s">
        <v>52</v>
      </c>
      <c r="J297" s="200">
        <f>+IF(K296-$N$3&gt;=3,K296-$N$3,3)</f>
        <v>3</v>
      </c>
      <c r="K297" s="200">
        <f>F297+J297</f>
        <v>2020</v>
      </c>
      <c r="L297" s="202">
        <f>+K297+(G297/12)</f>
        <v>2020.8333333333333</v>
      </c>
      <c r="M297" s="201">
        <f>+'2131 Trks - Orig'!N56-'2111 Trks'!M296</f>
        <v>218.17200000000003</v>
      </c>
      <c r="N297" s="201">
        <f>M297-M297*H297</f>
        <v>218.17200000000003</v>
      </c>
      <c r="O297" s="201">
        <f>N297/J297/12</f>
        <v>6.0603333333333333</v>
      </c>
      <c r="P297" s="201">
        <f>+O297*12</f>
        <v>72.724000000000004</v>
      </c>
      <c r="Q297" s="201">
        <f>+IF(L297&lt;=$N$5,0,IF(K297&gt;$N$4,P297,(O297*G297)))</f>
        <v>72.724000000000004</v>
      </c>
      <c r="R297" s="201"/>
      <c r="S297" s="201">
        <f>+IF(Q297=0,M297,IF($N$3-F297&lt;1,0,(($N$3-F297)*P297)))</f>
        <v>0</v>
      </c>
      <c r="T297" s="201">
        <f>+IF(Q297=0,S297,S297+Q297)</f>
        <v>72.724000000000004</v>
      </c>
      <c r="U297" s="201">
        <f>+IF(Q297=0,0,((M297-S297)+(M297-T297))/2)</f>
        <v>181.81000000000003</v>
      </c>
    </row>
    <row r="298" spans="1:21" s="197" customFormat="1">
      <c r="A298" s="197" t="s">
        <v>40</v>
      </c>
      <c r="B298" s="197">
        <v>109254</v>
      </c>
      <c r="C298" s="197" t="s">
        <v>301</v>
      </c>
      <c r="D298" s="197">
        <v>132</v>
      </c>
      <c r="E298" s="197" t="s">
        <v>302</v>
      </c>
      <c r="F298" s="197">
        <v>2010</v>
      </c>
      <c r="G298" s="197">
        <v>7</v>
      </c>
      <c r="H298" s="197">
        <v>0</v>
      </c>
      <c r="I298" s="197" t="s">
        <v>52</v>
      </c>
      <c r="J298" s="197">
        <v>5</v>
      </c>
      <c r="K298" s="197">
        <f t="shared" si="85"/>
        <v>2015</v>
      </c>
      <c r="L298" s="172">
        <f t="shared" si="86"/>
        <v>2015.5833333333333</v>
      </c>
      <c r="M298" s="230">
        <f>+'2111 Trks - Orig'!P146</f>
        <v>31208.6</v>
      </c>
      <c r="N298" s="230">
        <f t="shared" si="88"/>
        <v>31208.6</v>
      </c>
      <c r="O298" s="230">
        <f t="shared" si="89"/>
        <v>520.14333333333332</v>
      </c>
      <c r="P298" s="230">
        <f t="shared" si="87"/>
        <v>6241.7199999999993</v>
      </c>
      <c r="Q298" s="230">
        <f t="shared" si="90"/>
        <v>0</v>
      </c>
      <c r="R298" s="230"/>
      <c r="S298" s="230">
        <f t="shared" si="91"/>
        <v>31208.6</v>
      </c>
      <c r="T298" s="230">
        <f t="shared" si="92"/>
        <v>31208.6</v>
      </c>
      <c r="U298" s="230">
        <f t="shared" si="93"/>
        <v>0</v>
      </c>
    </row>
    <row r="299" spans="1:21" s="199" customFormat="1">
      <c r="A299" s="200"/>
      <c r="B299" s="200"/>
      <c r="C299" s="200"/>
      <c r="D299" s="200">
        <v>132</v>
      </c>
      <c r="E299" s="200" t="s">
        <v>655</v>
      </c>
      <c r="F299" s="200">
        <v>2017</v>
      </c>
      <c r="G299" s="200">
        <v>10</v>
      </c>
      <c r="H299" s="200">
        <v>0</v>
      </c>
      <c r="I299" s="200" t="s">
        <v>52</v>
      </c>
      <c r="J299" s="200">
        <f>+IF(K298-$N$3&gt;=3,K298-$N$3,3)</f>
        <v>3</v>
      </c>
      <c r="K299" s="200">
        <f>F299+J299</f>
        <v>2020</v>
      </c>
      <c r="L299" s="202">
        <f>+K299+(G299/12)</f>
        <v>2020.8333333333333</v>
      </c>
      <c r="M299" s="201">
        <f>+'2111 Trks - Orig'!N146-'2111 Trks'!M298</f>
        <v>15371.400000000001</v>
      </c>
      <c r="N299" s="201">
        <f>M299-M299*H299</f>
        <v>15371.400000000001</v>
      </c>
      <c r="O299" s="201">
        <f>N299/J299/12</f>
        <v>426.98333333333335</v>
      </c>
      <c r="P299" s="201">
        <f>+O299*12</f>
        <v>5123.8</v>
      </c>
      <c r="Q299" s="201">
        <f>+IF(L299&lt;=$N$5,0,IF(K299&gt;$N$4,P299,(O299*G299)))</f>
        <v>5123.8</v>
      </c>
      <c r="R299" s="201"/>
      <c r="S299" s="201">
        <f>+IF(Q299=0,M299,IF($N$3-F299&lt;1,0,(($N$3-F299)*P299)))</f>
        <v>0</v>
      </c>
      <c r="T299" s="201">
        <f>+IF(Q299=0,S299,S299+Q299)</f>
        <v>5123.8</v>
      </c>
      <c r="U299" s="201">
        <f>+IF(Q299=0,0,((M299-S299)+(M299-T299))/2)</f>
        <v>12809.500000000002</v>
      </c>
    </row>
    <row r="300" spans="1:21" s="197" customFormat="1">
      <c r="A300" s="197" t="s">
        <v>40</v>
      </c>
      <c r="D300" s="197">
        <v>4</v>
      </c>
      <c r="E300" s="197" t="s">
        <v>214</v>
      </c>
      <c r="F300" s="197">
        <v>2010</v>
      </c>
      <c r="G300" s="197">
        <v>7</v>
      </c>
      <c r="H300" s="197">
        <v>0</v>
      </c>
      <c r="I300" s="197" t="s">
        <v>52</v>
      </c>
      <c r="J300" s="197">
        <v>7</v>
      </c>
      <c r="K300" s="197">
        <f t="shared" si="85"/>
        <v>2017</v>
      </c>
      <c r="L300" s="172">
        <f t="shared" si="86"/>
        <v>2017.5833333333333</v>
      </c>
      <c r="M300" s="230">
        <f>+'2111 Trks - Orig'!P147</f>
        <v>1791.712</v>
      </c>
      <c r="N300" s="230">
        <f t="shared" si="88"/>
        <v>1791.712</v>
      </c>
      <c r="O300" s="230">
        <f t="shared" si="89"/>
        <v>21.329904761904761</v>
      </c>
      <c r="P300" s="230">
        <f t="shared" si="87"/>
        <v>255.95885714285714</v>
      </c>
      <c r="Q300" s="230">
        <f t="shared" si="90"/>
        <v>0</v>
      </c>
      <c r="R300" s="230"/>
      <c r="S300" s="230">
        <f t="shared" si="91"/>
        <v>1791.712</v>
      </c>
      <c r="T300" s="230">
        <f t="shared" si="92"/>
        <v>1791.712</v>
      </c>
      <c r="U300" s="230">
        <f t="shared" si="93"/>
        <v>0</v>
      </c>
    </row>
    <row r="301" spans="1:21" s="199" customFormat="1">
      <c r="A301" s="200"/>
      <c r="B301" s="200"/>
      <c r="C301" s="200"/>
      <c r="D301" s="200">
        <v>4</v>
      </c>
      <c r="E301" s="200" t="s">
        <v>639</v>
      </c>
      <c r="F301" s="200">
        <v>2017</v>
      </c>
      <c r="G301" s="200">
        <v>10</v>
      </c>
      <c r="H301" s="200">
        <v>0</v>
      </c>
      <c r="I301" s="200" t="s">
        <v>52</v>
      </c>
      <c r="J301" s="200">
        <f>+IF(K300-$N$3&gt;=3,K300-$N$3,3)</f>
        <v>3</v>
      </c>
      <c r="K301" s="200">
        <f>F301+J301</f>
        <v>2020</v>
      </c>
      <c r="L301" s="202">
        <f>+K301+(G301/12)</f>
        <v>2020.8333333333333</v>
      </c>
      <c r="M301" s="201">
        <f>+'2111 Trks - Orig'!N147-'2111 Trks'!M300</f>
        <v>447.92799999999988</v>
      </c>
      <c r="N301" s="201">
        <f>M301-M301*H301</f>
        <v>447.92799999999988</v>
      </c>
      <c r="O301" s="201">
        <f>N301/J301/12</f>
        <v>12.44244444444444</v>
      </c>
      <c r="P301" s="201">
        <f>+O301*12</f>
        <v>149.30933333333329</v>
      </c>
      <c r="Q301" s="201">
        <f>+IF(L301&lt;=$N$5,0,IF(K301&gt;$N$4,P301,(O301*G301)))</f>
        <v>149.30933333333329</v>
      </c>
      <c r="R301" s="201"/>
      <c r="S301" s="201">
        <f>+IF(Q301=0,M301,IF($N$3-F301&lt;1,0,(($N$3-F301)*P301)))</f>
        <v>0</v>
      </c>
      <c r="T301" s="201">
        <f>+IF(Q301=0,S301,S301+Q301)</f>
        <v>149.30933333333329</v>
      </c>
      <c r="U301" s="201">
        <f>+IF(Q301=0,0,((M301-S301)+(M301-T301))/2)</f>
        <v>373.27333333333326</v>
      </c>
    </row>
    <row r="302" spans="1:21">
      <c r="A302" s="3" t="s">
        <v>415</v>
      </c>
      <c r="B302" s="3">
        <v>173284</v>
      </c>
      <c r="C302" s="3" t="s">
        <v>54</v>
      </c>
      <c r="D302" s="3">
        <v>139</v>
      </c>
      <c r="E302" s="3" t="s">
        <v>458</v>
      </c>
      <c r="F302" s="3">
        <v>2011</v>
      </c>
      <c r="G302" s="3">
        <v>12</v>
      </c>
      <c r="H302" s="3">
        <v>0</v>
      </c>
      <c r="I302" s="3" t="s">
        <v>52</v>
      </c>
      <c r="J302" s="3">
        <v>7</v>
      </c>
      <c r="K302" s="3">
        <f t="shared" si="85"/>
        <v>2018</v>
      </c>
      <c r="L302" s="3">
        <f t="shared" si="86"/>
        <v>2019</v>
      </c>
      <c r="M302" s="230">
        <f>+'2131 Trks - Orig'!P57</f>
        <v>84586.551999999996</v>
      </c>
      <c r="N302" s="230">
        <f t="shared" si="88"/>
        <v>84586.551999999996</v>
      </c>
      <c r="O302" s="230">
        <f t="shared" si="89"/>
        <v>1006.9827619047619</v>
      </c>
      <c r="P302" s="230">
        <f t="shared" si="87"/>
        <v>12083.793142857143</v>
      </c>
      <c r="Q302" s="230">
        <f t="shared" si="90"/>
        <v>0</v>
      </c>
      <c r="R302" s="230"/>
      <c r="S302" s="230">
        <f t="shared" si="91"/>
        <v>84586.551999999996</v>
      </c>
      <c r="T302" s="230">
        <f t="shared" si="92"/>
        <v>84586.551999999996</v>
      </c>
      <c r="U302" s="230">
        <f t="shared" si="93"/>
        <v>0</v>
      </c>
    </row>
    <row r="303" spans="1:21" s="197" customFormat="1">
      <c r="A303" s="197" t="s">
        <v>415</v>
      </c>
      <c r="B303" s="197" t="s">
        <v>565</v>
      </c>
      <c r="D303" s="197">
        <v>139</v>
      </c>
      <c r="E303" s="197" t="s">
        <v>459</v>
      </c>
      <c r="F303" s="197">
        <v>2011</v>
      </c>
      <c r="G303" s="197">
        <v>12</v>
      </c>
      <c r="H303" s="197">
        <v>0</v>
      </c>
      <c r="I303" s="197" t="s">
        <v>52</v>
      </c>
      <c r="J303" s="197">
        <v>7</v>
      </c>
      <c r="K303" s="197">
        <f t="shared" si="85"/>
        <v>2018</v>
      </c>
      <c r="L303" s="172">
        <f t="shared" si="86"/>
        <v>2019</v>
      </c>
      <c r="M303" s="230">
        <f>+'2131 Trks - Orig'!P58</f>
        <v>1027.2</v>
      </c>
      <c r="N303" s="230">
        <f t="shared" si="88"/>
        <v>1027.2</v>
      </c>
      <c r="O303" s="230">
        <f t="shared" si="89"/>
        <v>12.22857142857143</v>
      </c>
      <c r="P303" s="230">
        <f t="shared" si="87"/>
        <v>146.74285714285716</v>
      </c>
      <c r="Q303" s="230">
        <f t="shared" si="90"/>
        <v>0</v>
      </c>
      <c r="R303" s="230"/>
      <c r="S303" s="230">
        <f t="shared" si="91"/>
        <v>1027.2</v>
      </c>
      <c r="T303" s="230">
        <f t="shared" si="92"/>
        <v>1027.2</v>
      </c>
      <c r="U303" s="230">
        <f t="shared" si="93"/>
        <v>0</v>
      </c>
    </row>
    <row r="304" spans="1:21" s="199" customFormat="1">
      <c r="A304" s="200"/>
      <c r="B304" s="200"/>
      <c r="C304" s="200"/>
      <c r="D304" s="200">
        <v>139</v>
      </c>
      <c r="E304" s="200" t="s">
        <v>656</v>
      </c>
      <c r="F304" s="200">
        <v>2017</v>
      </c>
      <c r="G304" s="200">
        <v>10</v>
      </c>
      <c r="H304" s="200">
        <v>0</v>
      </c>
      <c r="I304" s="200" t="s">
        <v>52</v>
      </c>
      <c r="J304" s="200">
        <f>+IF(K303-$N$3&gt;=3,K303-$N$3,3)</f>
        <v>3</v>
      </c>
      <c r="K304" s="200">
        <f>F304+J304</f>
        <v>2020</v>
      </c>
      <c r="L304" s="202">
        <f>+K304+(G304/12)</f>
        <v>2020.8333333333333</v>
      </c>
      <c r="M304" s="201">
        <f>+SUM('2131 Trks - Orig'!N57:N58)-SUM('2111 Trks'!M302:M303)</f>
        <v>21403.438000000009</v>
      </c>
      <c r="N304" s="201">
        <f>M304-M304*H304</f>
        <v>21403.438000000009</v>
      </c>
      <c r="O304" s="201">
        <f>N304/J304/12</f>
        <v>594.5399444444447</v>
      </c>
      <c r="P304" s="201">
        <f>+O304*12</f>
        <v>7134.4793333333364</v>
      </c>
      <c r="Q304" s="201">
        <f>+IF(L304&lt;=$N$5,0,IF(K304&gt;$N$4,P304,(O304*G304)))</f>
        <v>7134.4793333333364</v>
      </c>
      <c r="R304" s="201"/>
      <c r="S304" s="201">
        <f>+IF(Q304=0,M304,IF($N$3-F304&lt;1,0,(($N$3-F304)*P304)))</f>
        <v>0</v>
      </c>
      <c r="T304" s="201">
        <f>+IF(Q304=0,S304,S304+Q304)</f>
        <v>7134.4793333333364</v>
      </c>
      <c r="U304" s="201">
        <f>+IF(Q304=0,0,((M304-S304)+(M304-T304))/2)</f>
        <v>17836.198333333341</v>
      </c>
    </row>
    <row r="305" spans="1:21">
      <c r="B305" s="3" t="s">
        <v>566</v>
      </c>
      <c r="E305" s="3" t="s">
        <v>564</v>
      </c>
      <c r="F305" s="3">
        <v>2011</v>
      </c>
      <c r="G305" s="3">
        <v>12</v>
      </c>
      <c r="H305" s="3">
        <v>0</v>
      </c>
      <c r="I305" s="3" t="s">
        <v>52</v>
      </c>
      <c r="J305" s="3">
        <v>5</v>
      </c>
      <c r="K305" s="3">
        <f t="shared" si="85"/>
        <v>2016</v>
      </c>
      <c r="L305" s="3">
        <f t="shared" si="86"/>
        <v>2017</v>
      </c>
      <c r="M305" s="230">
        <f>2568.41-M303</f>
        <v>1541.2099999999998</v>
      </c>
      <c r="N305" s="230">
        <f t="shared" si="88"/>
        <v>1541.2099999999998</v>
      </c>
      <c r="O305" s="230">
        <f t="shared" si="89"/>
        <v>25.686833333333329</v>
      </c>
      <c r="P305" s="230">
        <f t="shared" si="87"/>
        <v>308.24199999999996</v>
      </c>
      <c r="Q305" s="230">
        <f t="shared" si="90"/>
        <v>0</v>
      </c>
      <c r="R305" s="230"/>
      <c r="S305" s="230">
        <f t="shared" si="91"/>
        <v>1541.2099999999998</v>
      </c>
      <c r="T305" s="230">
        <f t="shared" si="92"/>
        <v>1541.2099999999998</v>
      </c>
      <c r="U305" s="230">
        <f t="shared" si="93"/>
        <v>0</v>
      </c>
    </row>
    <row r="306" spans="1:21" s="197" customFormat="1">
      <c r="A306" s="197" t="s">
        <v>40</v>
      </c>
      <c r="B306" s="197">
        <v>99657</v>
      </c>
      <c r="C306" s="197" t="s">
        <v>92</v>
      </c>
      <c r="D306" s="197">
        <v>822</v>
      </c>
      <c r="E306" s="197" t="s">
        <v>242</v>
      </c>
      <c r="F306" s="197">
        <v>2012</v>
      </c>
      <c r="G306" s="197">
        <v>12</v>
      </c>
      <c r="H306" s="197">
        <v>0</v>
      </c>
      <c r="I306" s="197" t="s">
        <v>52</v>
      </c>
      <c r="J306" s="197">
        <v>7</v>
      </c>
      <c r="K306" s="197">
        <f t="shared" si="85"/>
        <v>2019</v>
      </c>
      <c r="L306" s="172">
        <f t="shared" si="86"/>
        <v>2020</v>
      </c>
      <c r="M306" s="230">
        <f>+'2111 Trks - Orig'!P148</f>
        <v>250931.31200000001</v>
      </c>
      <c r="N306" s="230">
        <f t="shared" si="88"/>
        <v>250931.31200000001</v>
      </c>
      <c r="O306" s="230">
        <f t="shared" si="89"/>
        <v>2987.2775238095237</v>
      </c>
      <c r="P306" s="230">
        <f t="shared" si="87"/>
        <v>35847.330285714284</v>
      </c>
      <c r="Q306" s="230">
        <f t="shared" si="90"/>
        <v>35847.330285714284</v>
      </c>
      <c r="R306" s="230"/>
      <c r="S306" s="230">
        <f t="shared" si="91"/>
        <v>179236.65142857144</v>
      </c>
      <c r="T306" s="230">
        <f t="shared" si="92"/>
        <v>215083.98171428574</v>
      </c>
      <c r="U306" s="230">
        <f t="shared" si="93"/>
        <v>53770.995428571419</v>
      </c>
    </row>
    <row r="307" spans="1:21" s="199" customFormat="1">
      <c r="A307" s="200"/>
      <c r="B307" s="200"/>
      <c r="C307" s="200"/>
      <c r="D307" s="200">
        <v>822</v>
      </c>
      <c r="E307" s="200" t="s">
        <v>658</v>
      </c>
      <c r="F307" s="200">
        <v>2017</v>
      </c>
      <c r="G307" s="200">
        <v>10</v>
      </c>
      <c r="H307" s="200">
        <v>0</v>
      </c>
      <c r="I307" s="200" t="s">
        <v>52</v>
      </c>
      <c r="J307" s="200">
        <f>+IF(K306-$N$3&gt;=3,K306-$N$3,3)</f>
        <v>3</v>
      </c>
      <c r="K307" s="200">
        <f>F307+J307</f>
        <v>2020</v>
      </c>
      <c r="L307" s="202">
        <f>+K307+(G307/12)</f>
        <v>2020.8333333333333</v>
      </c>
      <c r="M307" s="201">
        <f>+'2111 Trks - Orig'!N148-'2111 Trks'!M306</f>
        <v>62732.828000000009</v>
      </c>
      <c r="N307" s="201">
        <f>M307-M307*H307</f>
        <v>62732.828000000009</v>
      </c>
      <c r="O307" s="201">
        <f>N307/J307/12</f>
        <v>1742.5785555555558</v>
      </c>
      <c r="P307" s="201">
        <f>+O307*12</f>
        <v>20910.94266666667</v>
      </c>
      <c r="Q307" s="201">
        <f>+IF(L307&lt;=$N$5,0,IF(K307&gt;$N$4,P307,(O307*G307)))</f>
        <v>20910.94266666667</v>
      </c>
      <c r="R307" s="201"/>
      <c r="S307" s="201">
        <f>+IF(Q307=0,M307,IF($N$3-F307&lt;1,0,(($N$3-F307)*P307)))</f>
        <v>0</v>
      </c>
      <c r="T307" s="201">
        <f>+IF(Q307=0,S307,S307+Q307)</f>
        <v>20910.94266666667</v>
      </c>
      <c r="U307" s="201">
        <f>+IF(Q307=0,0,((M307-S307)+(M307-T307))/2)</f>
        <v>52277.356666666674</v>
      </c>
    </row>
    <row r="308" spans="1:21" s="197" customFormat="1">
      <c r="A308" s="197" t="s">
        <v>40</v>
      </c>
      <c r="B308" s="197">
        <v>110968</v>
      </c>
      <c r="C308" s="197" t="s">
        <v>92</v>
      </c>
      <c r="D308" s="197">
        <v>825</v>
      </c>
      <c r="E308" s="197" t="s">
        <v>312</v>
      </c>
      <c r="F308" s="197">
        <v>2014</v>
      </c>
      <c r="G308" s="197">
        <v>2</v>
      </c>
      <c r="H308" s="197">
        <v>0</v>
      </c>
      <c r="I308" s="197" t="s">
        <v>52</v>
      </c>
      <c r="J308" s="197">
        <v>7</v>
      </c>
      <c r="K308" s="197">
        <f t="shared" si="85"/>
        <v>2021</v>
      </c>
      <c r="L308" s="172">
        <f t="shared" si="86"/>
        <v>2021.1666666666667</v>
      </c>
      <c r="M308" s="230">
        <f>+'2111 Trks - Orig'!P149</f>
        <v>255194.288</v>
      </c>
      <c r="N308" s="230">
        <f t="shared" si="88"/>
        <v>255194.288</v>
      </c>
      <c r="O308" s="230">
        <f t="shared" si="89"/>
        <v>3038.0272380952379</v>
      </c>
      <c r="P308" s="230">
        <f t="shared" si="87"/>
        <v>36456.326857142856</v>
      </c>
      <c r="Q308" s="230">
        <f t="shared" si="90"/>
        <v>36456.326857142856</v>
      </c>
      <c r="R308" s="230"/>
      <c r="S308" s="230">
        <f t="shared" si="91"/>
        <v>109368.98057142858</v>
      </c>
      <c r="T308" s="230">
        <f t="shared" si="92"/>
        <v>145825.30742857142</v>
      </c>
      <c r="U308" s="230">
        <f t="shared" si="93"/>
        <v>127597.144</v>
      </c>
    </row>
    <row r="309" spans="1:21" s="199" customFormat="1">
      <c r="A309" s="200"/>
      <c r="B309" s="200"/>
      <c r="C309" s="200"/>
      <c r="D309" s="200">
        <v>825</v>
      </c>
      <c r="E309" s="200" t="s">
        <v>657</v>
      </c>
      <c r="F309" s="200">
        <v>2017</v>
      </c>
      <c r="G309" s="200">
        <v>10</v>
      </c>
      <c r="H309" s="200">
        <v>0</v>
      </c>
      <c r="I309" s="200" t="s">
        <v>52</v>
      </c>
      <c r="J309" s="200">
        <f>+IF(K308-$N$3&gt;=3,K308-$N$3,3)</f>
        <v>4</v>
      </c>
      <c r="K309" s="200">
        <f>F309+J309</f>
        <v>2021</v>
      </c>
      <c r="L309" s="202">
        <f>+K309+(G309/12)</f>
        <v>2021.8333333333333</v>
      </c>
      <c r="M309" s="201">
        <f>+'2111 Trks - Orig'!N149-'2111 Trks'!M308</f>
        <v>63798.571999999986</v>
      </c>
      <c r="N309" s="201">
        <f>M309-M309*H309</f>
        <v>63798.571999999986</v>
      </c>
      <c r="O309" s="201">
        <f>N309/J309/12</f>
        <v>1329.1369166666664</v>
      </c>
      <c r="P309" s="201">
        <f>+O309*12</f>
        <v>15949.642999999996</v>
      </c>
      <c r="Q309" s="201">
        <f>+IF(L309&lt;=$N$5,0,IF(K309&gt;$N$4,P309,(O309*G309)))</f>
        <v>15949.642999999996</v>
      </c>
      <c r="R309" s="201"/>
      <c r="S309" s="201">
        <f>+IF(Q309=0,M309,IF($N$3-F309&lt;1,0,(($N$3-F309)*P309)))</f>
        <v>0</v>
      </c>
      <c r="T309" s="201">
        <f>+IF(Q309=0,S309,S309+Q309)</f>
        <v>15949.642999999996</v>
      </c>
      <c r="U309" s="201">
        <f>+IF(Q309=0,0,((M309-S309)+(M309-T309))/2)</f>
        <v>55823.750499999987</v>
      </c>
    </row>
    <row r="310" spans="1:21" s="197" customFormat="1">
      <c r="A310" s="197" t="s">
        <v>40</v>
      </c>
      <c r="B310" s="197">
        <v>116566</v>
      </c>
      <c r="C310" s="197" t="s">
        <v>92</v>
      </c>
      <c r="D310" s="197">
        <v>826</v>
      </c>
      <c r="E310" s="197" t="s">
        <v>318</v>
      </c>
      <c r="F310" s="197">
        <v>2014</v>
      </c>
      <c r="G310" s="197">
        <v>10</v>
      </c>
      <c r="H310" s="197">
        <v>0</v>
      </c>
      <c r="I310" s="197" t="s">
        <v>52</v>
      </c>
      <c r="J310" s="197">
        <v>7</v>
      </c>
      <c r="K310" s="197">
        <f t="shared" si="85"/>
        <v>2021</v>
      </c>
      <c r="L310" s="172">
        <f t="shared" si="86"/>
        <v>2021.8333333333333</v>
      </c>
      <c r="M310" s="230">
        <f>+'2111 Trks - Orig'!P150</f>
        <v>260026.92799999999</v>
      </c>
      <c r="N310" s="230">
        <f t="shared" si="88"/>
        <v>260026.92799999999</v>
      </c>
      <c r="O310" s="230">
        <f t="shared" si="89"/>
        <v>3095.5586666666663</v>
      </c>
      <c r="P310" s="230">
        <f t="shared" si="87"/>
        <v>37146.703999999998</v>
      </c>
      <c r="Q310" s="230">
        <f t="shared" si="90"/>
        <v>37146.703999999998</v>
      </c>
      <c r="R310" s="230"/>
      <c r="S310" s="230">
        <f t="shared" si="91"/>
        <v>111440.11199999999</v>
      </c>
      <c r="T310" s="230">
        <f t="shared" si="92"/>
        <v>148586.81599999999</v>
      </c>
      <c r="U310" s="230">
        <f t="shared" si="93"/>
        <v>130013.46399999999</v>
      </c>
    </row>
    <row r="311" spans="1:21" s="199" customFormat="1">
      <c r="A311" s="200"/>
      <c r="B311" s="200"/>
      <c r="C311" s="200"/>
      <c r="D311" s="200">
        <v>826</v>
      </c>
      <c r="E311" s="200" t="s">
        <v>659</v>
      </c>
      <c r="F311" s="200">
        <v>2017</v>
      </c>
      <c r="G311" s="200">
        <v>10</v>
      </c>
      <c r="H311" s="200">
        <v>0</v>
      </c>
      <c r="I311" s="200" t="s">
        <v>52</v>
      </c>
      <c r="J311" s="200">
        <f>+IF(K310-$N$3&gt;=3,K310-$N$3,3)</f>
        <v>4</v>
      </c>
      <c r="K311" s="200">
        <f>F311+J311</f>
        <v>2021</v>
      </c>
      <c r="L311" s="202">
        <f>+K311+(G311/12)</f>
        <v>2021.8333333333333</v>
      </c>
      <c r="M311" s="201">
        <f>+'2111 Trks - Orig'!N150-'2111 Trks'!M310</f>
        <v>65006.731999999989</v>
      </c>
      <c r="N311" s="201">
        <f>M311-M311*H311</f>
        <v>65006.731999999989</v>
      </c>
      <c r="O311" s="201">
        <f>N311/J311/12</f>
        <v>1354.3069166666664</v>
      </c>
      <c r="P311" s="201">
        <f>+O311*12</f>
        <v>16251.682999999997</v>
      </c>
      <c r="Q311" s="201">
        <f>+IF(L311&lt;=$N$5,0,IF(K311&gt;$N$4,P311,(O311*G311)))</f>
        <v>16251.682999999997</v>
      </c>
      <c r="R311" s="201"/>
      <c r="S311" s="201">
        <f>+IF(Q311=0,M311,IF($N$3-F311&lt;1,0,(($N$3-F311)*P311)))</f>
        <v>0</v>
      </c>
      <c r="T311" s="201">
        <f>+IF(Q311=0,S311,S311+Q311)</f>
        <v>16251.682999999997</v>
      </c>
      <c r="U311" s="201">
        <f>+IF(Q311=0,0,((M311-S311)+(M311-T311))/2)</f>
        <v>56880.890499999994</v>
      </c>
    </row>
    <row r="312" spans="1:21" s="197" customFormat="1">
      <c r="A312" s="197" t="s">
        <v>415</v>
      </c>
      <c r="B312" s="197">
        <v>173307</v>
      </c>
      <c r="D312" s="197">
        <v>829</v>
      </c>
      <c r="E312" s="197" t="s">
        <v>318</v>
      </c>
      <c r="F312" s="197">
        <v>2014</v>
      </c>
      <c r="G312" s="197">
        <v>10</v>
      </c>
      <c r="H312" s="197">
        <v>0</v>
      </c>
      <c r="I312" s="197" t="s">
        <v>52</v>
      </c>
      <c r="J312" s="197">
        <v>7</v>
      </c>
      <c r="K312" s="197">
        <f t="shared" si="85"/>
        <v>2021</v>
      </c>
      <c r="L312" s="172">
        <f t="shared" si="86"/>
        <v>2021.8333333333333</v>
      </c>
      <c r="M312" s="230">
        <f>+'2131 Trks - Orig'!P59</f>
        <v>259784.24</v>
      </c>
      <c r="N312" s="230">
        <f t="shared" si="88"/>
        <v>259784.24</v>
      </c>
      <c r="O312" s="230">
        <f t="shared" si="89"/>
        <v>3092.6695238095235</v>
      </c>
      <c r="P312" s="230">
        <f t="shared" si="87"/>
        <v>37112.034285714282</v>
      </c>
      <c r="Q312" s="230">
        <f t="shared" si="90"/>
        <v>37112.034285714282</v>
      </c>
      <c r="R312" s="230"/>
      <c r="S312" s="230">
        <f t="shared" si="91"/>
        <v>111336.10285714285</v>
      </c>
      <c r="T312" s="230">
        <f t="shared" si="92"/>
        <v>148448.13714285713</v>
      </c>
      <c r="U312" s="230">
        <f t="shared" si="93"/>
        <v>129892.12</v>
      </c>
    </row>
    <row r="313" spans="1:21" s="199" customFormat="1">
      <c r="A313" s="200"/>
      <c r="B313" s="200"/>
      <c r="C313" s="200"/>
      <c r="D313" s="200">
        <v>829</v>
      </c>
      <c r="E313" s="200" t="s">
        <v>660</v>
      </c>
      <c r="F313" s="200">
        <v>2017</v>
      </c>
      <c r="G313" s="200">
        <v>10</v>
      </c>
      <c r="H313" s="200">
        <v>0</v>
      </c>
      <c r="I313" s="200" t="s">
        <v>52</v>
      </c>
      <c r="J313" s="200">
        <f>+IF(K312-$N$3&gt;=3,K312-$N$3,3)</f>
        <v>4</v>
      </c>
      <c r="K313" s="200">
        <f>F313+J313</f>
        <v>2021</v>
      </c>
      <c r="L313" s="202">
        <f>+K313+(G313/12)</f>
        <v>2021.8333333333333</v>
      </c>
      <c r="M313" s="201">
        <f>+'2131 Trks - Orig'!N59-'2111 Trks'!M312</f>
        <v>64946.06</v>
      </c>
      <c r="N313" s="201">
        <f>M313-M313*H313</f>
        <v>64946.06</v>
      </c>
      <c r="O313" s="201">
        <f>N313/J313/12</f>
        <v>1353.0429166666665</v>
      </c>
      <c r="P313" s="201">
        <f>+O313*12</f>
        <v>16236.514999999999</v>
      </c>
      <c r="Q313" s="201">
        <f>+IF(L313&lt;=$N$5,0,IF(K313&gt;$N$4,P313,(O313*G313)))</f>
        <v>16236.514999999999</v>
      </c>
      <c r="R313" s="201"/>
      <c r="S313" s="201">
        <f>+IF(Q313=0,M313,IF($N$3-F313&lt;1,0,(($N$3-F313)*P313)))</f>
        <v>0</v>
      </c>
      <c r="T313" s="201">
        <f>+IF(Q313=0,S313,S313+Q313)</f>
        <v>16236.514999999999</v>
      </c>
      <c r="U313" s="201">
        <f>+IF(Q313=0,0,((M313-S313)+(M313-T313))/2)</f>
        <v>56827.802499999998</v>
      </c>
    </row>
    <row r="314" spans="1:21">
      <c r="A314" s="3" t="s">
        <v>40</v>
      </c>
      <c r="B314" s="3" t="s">
        <v>424</v>
      </c>
      <c r="E314" s="3" t="s">
        <v>428</v>
      </c>
      <c r="F314" s="3">
        <v>2016</v>
      </c>
      <c r="G314" s="3">
        <v>3</v>
      </c>
      <c r="H314" s="3">
        <v>0</v>
      </c>
      <c r="I314" s="3" t="s">
        <v>52</v>
      </c>
      <c r="J314" s="3">
        <v>1</v>
      </c>
      <c r="K314" s="3">
        <f t="shared" si="85"/>
        <v>2017</v>
      </c>
      <c r="L314" s="3">
        <f t="shared" si="86"/>
        <v>2017.25</v>
      </c>
      <c r="M314" s="230">
        <f>(25892.28+23056.62)/104*8</f>
        <v>3765.2999999999997</v>
      </c>
      <c r="N314" s="230">
        <f t="shared" si="88"/>
        <v>3765.2999999999997</v>
      </c>
      <c r="O314" s="230">
        <f t="shared" si="89"/>
        <v>313.77499999999998</v>
      </c>
      <c r="P314" s="230">
        <f t="shared" si="87"/>
        <v>3765.2999999999997</v>
      </c>
      <c r="Q314" s="230">
        <f t="shared" si="90"/>
        <v>0</v>
      </c>
      <c r="R314" s="230"/>
      <c r="S314" s="230">
        <f t="shared" si="91"/>
        <v>3765.2999999999997</v>
      </c>
      <c r="T314" s="230">
        <f t="shared" si="92"/>
        <v>3765.2999999999997</v>
      </c>
      <c r="U314" s="230">
        <f t="shared" si="93"/>
        <v>0</v>
      </c>
    </row>
    <row r="315" spans="1:21">
      <c r="A315" s="3" t="s">
        <v>415</v>
      </c>
      <c r="B315" s="3">
        <v>173318</v>
      </c>
      <c r="D315" s="3">
        <v>836</v>
      </c>
      <c r="E315" s="3" t="s">
        <v>460</v>
      </c>
      <c r="F315" s="3">
        <v>2016</v>
      </c>
      <c r="G315" s="3">
        <v>3</v>
      </c>
      <c r="H315" s="3">
        <v>0</v>
      </c>
      <c r="I315" s="3" t="s">
        <v>52</v>
      </c>
      <c r="J315" s="3">
        <v>10</v>
      </c>
      <c r="K315" s="3">
        <f t="shared" si="85"/>
        <v>2026</v>
      </c>
      <c r="L315" s="3">
        <f t="shared" si="86"/>
        <v>2026.25</v>
      </c>
      <c r="M315" s="230">
        <v>326844.58</v>
      </c>
      <c r="N315" s="230">
        <f t="shared" si="88"/>
        <v>326844.58</v>
      </c>
      <c r="O315" s="230">
        <f t="shared" si="89"/>
        <v>2723.7048333333337</v>
      </c>
      <c r="P315" s="230">
        <f t="shared" si="87"/>
        <v>32684.458000000006</v>
      </c>
      <c r="Q315" s="230">
        <f t="shared" si="90"/>
        <v>32684.458000000006</v>
      </c>
      <c r="R315" s="230"/>
      <c r="S315" s="230">
        <f t="shared" si="91"/>
        <v>32684.458000000006</v>
      </c>
      <c r="T315" s="230">
        <f t="shared" si="92"/>
        <v>65368.916000000012</v>
      </c>
      <c r="U315" s="230">
        <f t="shared" si="93"/>
        <v>277817.89300000004</v>
      </c>
    </row>
    <row r="316" spans="1:21">
      <c r="M316" s="230"/>
      <c r="N316" s="230"/>
      <c r="O316" s="230"/>
      <c r="P316" s="230"/>
      <c r="Q316" s="230"/>
      <c r="R316" s="230"/>
      <c r="S316" s="230"/>
      <c r="T316" s="230"/>
      <c r="U316" s="230"/>
    </row>
    <row r="317" spans="1:21">
      <c r="E317" s="169" t="s">
        <v>97</v>
      </c>
      <c r="F317" s="169"/>
      <c r="G317" s="169"/>
      <c r="H317" s="169"/>
      <c r="I317" s="169"/>
      <c r="J317" s="169"/>
      <c r="K317" s="169"/>
      <c r="L317" s="169"/>
      <c r="M317" s="171">
        <f>SUM(M285:M316)</f>
        <v>2296108.88</v>
      </c>
      <c r="N317" s="171">
        <f>SUM(N285:N316)</f>
        <v>2296108.88</v>
      </c>
      <c r="O317" s="171">
        <f>SUM(O285:O316)</f>
        <v>31585.210837301587</v>
      </c>
      <c r="P317" s="171">
        <f>SUM(P285:P316)</f>
        <v>379022.53004761902</v>
      </c>
      <c r="Q317" s="171">
        <f>SUM(Q285:Q316)</f>
        <v>295254.88176190475</v>
      </c>
      <c r="R317" s="171"/>
      <c r="S317" s="171">
        <f>SUM(S285:S316)</f>
        <v>1090931.9108571429</v>
      </c>
      <c r="T317" s="171">
        <f>SUM(T285:T316)</f>
        <v>1386186.7926190472</v>
      </c>
      <c r="U317" s="171">
        <f>SUM(U285:U316)</f>
        <v>1057549.5282619046</v>
      </c>
    </row>
    <row r="318" spans="1:21">
      <c r="M318" s="230"/>
      <c r="N318" s="230"/>
      <c r="O318" s="230"/>
      <c r="P318" s="230"/>
      <c r="Q318" s="230"/>
      <c r="R318" s="230"/>
      <c r="S318" s="230"/>
      <c r="T318" s="230"/>
      <c r="U318" s="230"/>
    </row>
    <row r="319" spans="1:21">
      <c r="E319" s="1" t="s">
        <v>98</v>
      </c>
      <c r="M319" s="230"/>
      <c r="N319" s="230"/>
      <c r="O319" s="230"/>
      <c r="P319" s="230"/>
      <c r="Q319" s="230"/>
      <c r="R319" s="230"/>
      <c r="S319" s="230"/>
      <c r="T319" s="230"/>
      <c r="U319" s="230"/>
    </row>
    <row r="320" spans="1:21">
      <c r="M320" s="230"/>
      <c r="N320" s="230"/>
      <c r="O320" s="230"/>
      <c r="P320" s="230"/>
      <c r="Q320" s="230"/>
      <c r="R320" s="230"/>
      <c r="S320" s="230"/>
      <c r="T320" s="230"/>
      <c r="U320" s="230"/>
    </row>
    <row r="321" spans="1:21" s="197" customFormat="1">
      <c r="A321" s="197" t="s">
        <v>40</v>
      </c>
      <c r="C321" s="197" t="s">
        <v>99</v>
      </c>
      <c r="E321" s="197" t="s">
        <v>168</v>
      </c>
      <c r="F321" s="197">
        <v>2008</v>
      </c>
      <c r="G321" s="197">
        <v>3</v>
      </c>
      <c r="H321" s="197">
        <v>0.2</v>
      </c>
      <c r="I321" s="197" t="s">
        <v>52</v>
      </c>
      <c r="J321" s="197">
        <v>7</v>
      </c>
      <c r="K321" s="197">
        <f t="shared" ref="K321:K339" si="94">F321+J321</f>
        <v>2015</v>
      </c>
      <c r="L321" s="172">
        <f t="shared" ref="L321:L339" si="95">+K321+(G321/12)</f>
        <v>2015.25</v>
      </c>
      <c r="M321" s="230">
        <f>+'2111 Trks - Orig'!P158</f>
        <v>1344.9360000000001</v>
      </c>
      <c r="N321" s="230">
        <f t="shared" ref="N321:N339" si="96">M321-M321*H321</f>
        <v>1075.9488000000001</v>
      </c>
      <c r="O321" s="230">
        <f t="shared" ref="O321:O339" si="97">N321/J321/12</f>
        <v>12.808914285714287</v>
      </c>
      <c r="P321" s="230">
        <f t="shared" ref="P321:P339" si="98">+O321*12</f>
        <v>153.70697142857145</v>
      </c>
      <c r="Q321" s="230">
        <f t="shared" ref="Q321:Q339" si="99">+IF(L321&lt;=$N$5,0,IF(K321&gt;$N$4,P321,(O321*G321)))</f>
        <v>0</v>
      </c>
      <c r="R321" s="230"/>
      <c r="S321" s="230">
        <f t="shared" ref="S321:S339" si="100">+IF(Q321=0,M321,IF($N$3-F321&lt;1,0,(($N$3-F321)*P321)))</f>
        <v>1344.9360000000001</v>
      </c>
      <c r="T321" s="230">
        <f t="shared" ref="T321:T339" si="101">+IF(Q321=0,S321,S321+Q321)</f>
        <v>1344.9360000000001</v>
      </c>
      <c r="U321" s="230">
        <f t="shared" ref="U321:U339" si="102">+IF(Q321=0,0,((M321-S321)+(M321-T321))/2)</f>
        <v>0</v>
      </c>
    </row>
    <row r="322" spans="1:21" s="199" customFormat="1">
      <c r="A322" s="200"/>
      <c r="B322" s="200"/>
      <c r="C322" s="200"/>
      <c r="D322" s="200"/>
      <c r="E322" s="200" t="s">
        <v>661</v>
      </c>
      <c r="F322" s="200">
        <v>2017</v>
      </c>
      <c r="G322" s="200">
        <v>10</v>
      </c>
      <c r="H322" s="200">
        <v>0</v>
      </c>
      <c r="I322" s="200" t="s">
        <v>52</v>
      </c>
      <c r="J322" s="200">
        <f>+IF(K321-$N$3&gt;=3,K321-$N$3,3)</f>
        <v>3</v>
      </c>
      <c r="K322" s="200">
        <f>F322+J322</f>
        <v>2020</v>
      </c>
      <c r="L322" s="202">
        <f>+K322+(G322/12)</f>
        <v>2020.8333333333333</v>
      </c>
      <c r="M322" s="201">
        <f>+'2111 Trks - Orig'!N158-'2111 Trks'!M321</f>
        <v>336.23399999999992</v>
      </c>
      <c r="N322" s="201">
        <f>M322-M322*H322</f>
        <v>336.23399999999992</v>
      </c>
      <c r="O322" s="201">
        <f>N322/J322/12</f>
        <v>9.3398333333333312</v>
      </c>
      <c r="P322" s="201">
        <f>+O322*12</f>
        <v>112.07799999999997</v>
      </c>
      <c r="Q322" s="201">
        <f>+IF(L322&lt;=$N$5,0,IF(K322&gt;$N$4,P322,(O322*G322)))</f>
        <v>112.07799999999997</v>
      </c>
      <c r="R322" s="201"/>
      <c r="S322" s="201">
        <f>+IF(Q322=0,M322,IF($N$3-F322&lt;1,0,(($N$3-F322)*P322)))</f>
        <v>0</v>
      </c>
      <c r="T322" s="201">
        <f>+IF(Q322=0,S322,S322+Q322)</f>
        <v>112.07799999999997</v>
      </c>
      <c r="U322" s="201">
        <f>+IF(Q322=0,0,((M322-S322)+(M322-T322))/2)</f>
        <v>280.19499999999994</v>
      </c>
    </row>
    <row r="323" spans="1:21" s="197" customFormat="1">
      <c r="A323" s="197" t="s">
        <v>40</v>
      </c>
      <c r="B323" s="197">
        <v>58436</v>
      </c>
      <c r="C323" s="197" t="s">
        <v>171</v>
      </c>
      <c r="D323" s="197">
        <v>814</v>
      </c>
      <c r="E323" s="197" t="s">
        <v>178</v>
      </c>
      <c r="F323" s="197">
        <v>2008</v>
      </c>
      <c r="G323" s="197">
        <v>6</v>
      </c>
      <c r="H323" s="197">
        <v>0</v>
      </c>
      <c r="I323" s="197" t="s">
        <v>52</v>
      </c>
      <c r="J323" s="197">
        <v>7</v>
      </c>
      <c r="K323" s="197">
        <f t="shared" si="94"/>
        <v>2015</v>
      </c>
      <c r="L323" s="172">
        <f t="shared" si="95"/>
        <v>2015.5</v>
      </c>
      <c r="M323" s="230">
        <f>+'2111 Trks - Orig'!P159</f>
        <v>186208.408</v>
      </c>
      <c r="N323" s="230">
        <f t="shared" si="96"/>
        <v>186208.408</v>
      </c>
      <c r="O323" s="230">
        <f t="shared" si="97"/>
        <v>2216.766761904762</v>
      </c>
      <c r="P323" s="230">
        <f t="shared" si="98"/>
        <v>26601.201142857142</v>
      </c>
      <c r="Q323" s="230">
        <f t="shared" si="99"/>
        <v>0</v>
      </c>
      <c r="R323" s="230"/>
      <c r="S323" s="230">
        <f t="shared" si="100"/>
        <v>186208.408</v>
      </c>
      <c r="T323" s="230">
        <f t="shared" si="101"/>
        <v>186208.408</v>
      </c>
      <c r="U323" s="230">
        <f t="shared" si="102"/>
        <v>0</v>
      </c>
    </row>
    <row r="324" spans="1:21" s="199" customFormat="1">
      <c r="A324" s="200"/>
      <c r="B324" s="200"/>
      <c r="C324" s="200"/>
      <c r="D324" s="200">
        <v>814</v>
      </c>
      <c r="E324" s="200" t="s">
        <v>662</v>
      </c>
      <c r="F324" s="200">
        <v>2017</v>
      </c>
      <c r="G324" s="200">
        <v>10</v>
      </c>
      <c r="H324" s="200">
        <v>0</v>
      </c>
      <c r="I324" s="200" t="s">
        <v>52</v>
      </c>
      <c r="J324" s="200">
        <f>+IF(K323-$N$3&gt;=3,K323-$N$3,3)</f>
        <v>3</v>
      </c>
      <c r="K324" s="200">
        <f>F324+J324</f>
        <v>2020</v>
      </c>
      <c r="L324" s="202">
        <f>+K324+(G324/12)</f>
        <v>2020.8333333333333</v>
      </c>
      <c r="M324" s="201">
        <f>+'2111 Trks - Orig'!N159-'2111 Trks'!M323</f>
        <v>46552.102000000014</v>
      </c>
      <c r="N324" s="201">
        <f>M324-M324*H324</f>
        <v>46552.102000000014</v>
      </c>
      <c r="O324" s="201">
        <f>N324/J324/12</f>
        <v>1293.1139444444448</v>
      </c>
      <c r="P324" s="201">
        <f>+O324*12</f>
        <v>15517.367333333337</v>
      </c>
      <c r="Q324" s="201">
        <f>+IF(L324&lt;=$N$5,0,IF(K324&gt;$N$4,P324,(O324*G324)))</f>
        <v>15517.367333333337</v>
      </c>
      <c r="R324" s="201"/>
      <c r="S324" s="201">
        <f>+IF(Q324=0,M324,IF($N$3-F324&lt;1,0,(($N$3-F324)*P324)))</f>
        <v>0</v>
      </c>
      <c r="T324" s="201">
        <f>+IF(Q324=0,S324,S324+Q324)</f>
        <v>15517.367333333337</v>
      </c>
      <c r="U324" s="201">
        <f>+IF(Q324=0,0,((M324-S324)+(M324-T324))/2)</f>
        <v>38793.418333333349</v>
      </c>
    </row>
    <row r="325" spans="1:21" s="197" customFormat="1">
      <c r="A325" s="197" t="s">
        <v>415</v>
      </c>
      <c r="C325" s="197" t="s">
        <v>99</v>
      </c>
      <c r="E325" s="197" t="s">
        <v>457</v>
      </c>
      <c r="F325" s="197">
        <v>2008</v>
      </c>
      <c r="G325" s="197">
        <v>4</v>
      </c>
      <c r="H325" s="197">
        <v>0.2</v>
      </c>
      <c r="I325" s="197" t="s">
        <v>52</v>
      </c>
      <c r="J325" s="197">
        <v>7</v>
      </c>
      <c r="K325" s="197">
        <f t="shared" si="94"/>
        <v>2015</v>
      </c>
      <c r="L325" s="172">
        <f t="shared" si="95"/>
        <v>2015.3333333333333</v>
      </c>
      <c r="M325" s="230">
        <f>+'2131 Trks - Orig'!P66</f>
        <v>896.62400000000002</v>
      </c>
      <c r="N325" s="230">
        <f t="shared" si="96"/>
        <v>717.29920000000004</v>
      </c>
      <c r="O325" s="230">
        <f t="shared" si="97"/>
        <v>8.5392761904761905</v>
      </c>
      <c r="P325" s="230">
        <f t="shared" si="98"/>
        <v>102.47131428571429</v>
      </c>
      <c r="Q325" s="230">
        <f t="shared" si="99"/>
        <v>0</v>
      </c>
      <c r="R325" s="230"/>
      <c r="S325" s="230">
        <f t="shared" si="100"/>
        <v>896.62400000000002</v>
      </c>
      <c r="T325" s="230">
        <f t="shared" si="101"/>
        <v>896.62400000000002</v>
      </c>
      <c r="U325" s="230">
        <f t="shared" si="102"/>
        <v>0</v>
      </c>
    </row>
    <row r="326" spans="1:21" s="199" customFormat="1">
      <c r="A326" s="200"/>
      <c r="B326" s="200"/>
      <c r="C326" s="200"/>
      <c r="D326" s="200"/>
      <c r="E326" s="200" t="s">
        <v>654</v>
      </c>
      <c r="F326" s="200">
        <v>2017</v>
      </c>
      <c r="G326" s="200">
        <v>10</v>
      </c>
      <c r="H326" s="200">
        <v>0</v>
      </c>
      <c r="I326" s="200" t="s">
        <v>52</v>
      </c>
      <c r="J326" s="200">
        <f>+IF(K325-$N$3&gt;=3,K325-$N$3,3)</f>
        <v>3</v>
      </c>
      <c r="K326" s="200">
        <f>F326+J326</f>
        <v>2020</v>
      </c>
      <c r="L326" s="202">
        <f>+K326+(G326/12)</f>
        <v>2020.8333333333333</v>
      </c>
      <c r="M326" s="201">
        <f>+'2131 Trks - Orig'!N66-'2111 Trks'!M325</f>
        <v>224.15599999999995</v>
      </c>
      <c r="N326" s="201">
        <f>M326-M326*H326</f>
        <v>224.15599999999995</v>
      </c>
      <c r="O326" s="201">
        <f>N326/J326/12</f>
        <v>6.2265555555555538</v>
      </c>
      <c r="P326" s="201">
        <f>+O326*12</f>
        <v>74.71866666666665</v>
      </c>
      <c r="Q326" s="201">
        <f>+IF(L326&lt;=$N$5,0,IF(K326&gt;$N$4,P326,(O326*G326)))</f>
        <v>74.71866666666665</v>
      </c>
      <c r="R326" s="201"/>
      <c r="S326" s="201">
        <f>+IF(Q326=0,M326,IF($N$3-F326&lt;1,0,(($N$3-F326)*P326)))</f>
        <v>0</v>
      </c>
      <c r="T326" s="201">
        <f>+IF(Q326=0,S326,S326+Q326)</f>
        <v>74.71866666666665</v>
      </c>
      <c r="U326" s="201">
        <f>+IF(Q326=0,0,((M326-S326)+(M326-T326))/2)</f>
        <v>186.79666666666662</v>
      </c>
    </row>
    <row r="327" spans="1:21" s="197" customFormat="1">
      <c r="A327" s="197" t="s">
        <v>415</v>
      </c>
      <c r="B327" s="197" t="s">
        <v>502</v>
      </c>
      <c r="C327" s="197" t="s">
        <v>99</v>
      </c>
      <c r="D327" s="197">
        <v>816</v>
      </c>
      <c r="E327" s="197" t="s">
        <v>462</v>
      </c>
      <c r="F327" s="197">
        <v>2009</v>
      </c>
      <c r="G327" s="197">
        <v>5</v>
      </c>
      <c r="H327" s="197">
        <v>0</v>
      </c>
      <c r="I327" s="197" t="s">
        <v>52</v>
      </c>
      <c r="J327" s="197">
        <v>5</v>
      </c>
      <c r="K327" s="197">
        <f t="shared" si="94"/>
        <v>2014</v>
      </c>
      <c r="L327" s="172">
        <f t="shared" si="95"/>
        <v>2014.4166666666667</v>
      </c>
      <c r="M327" s="230">
        <f>+'2131 Trks - Orig'!P67</f>
        <v>142244.04180000001</v>
      </c>
      <c r="N327" s="230">
        <f t="shared" si="96"/>
        <v>142244.04180000001</v>
      </c>
      <c r="O327" s="230">
        <f t="shared" si="97"/>
        <v>2370.7340300000001</v>
      </c>
      <c r="P327" s="230">
        <f t="shared" si="98"/>
        <v>28448.808360000003</v>
      </c>
      <c r="Q327" s="230">
        <f t="shared" si="99"/>
        <v>0</v>
      </c>
      <c r="R327" s="230"/>
      <c r="S327" s="230">
        <f t="shared" si="100"/>
        <v>142244.04180000001</v>
      </c>
      <c r="T327" s="230">
        <f t="shared" si="101"/>
        <v>142244.04180000001</v>
      </c>
      <c r="U327" s="230">
        <f t="shared" si="102"/>
        <v>0</v>
      </c>
    </row>
    <row r="328" spans="1:21" s="199" customFormat="1">
      <c r="A328" s="200"/>
      <c r="B328" s="200"/>
      <c r="C328" s="200"/>
      <c r="D328" s="200">
        <v>816</v>
      </c>
      <c r="E328" s="200" t="s">
        <v>663</v>
      </c>
      <c r="F328" s="200">
        <v>2017</v>
      </c>
      <c r="G328" s="200">
        <v>10</v>
      </c>
      <c r="H328" s="200">
        <v>0</v>
      </c>
      <c r="I328" s="200" t="s">
        <v>52</v>
      </c>
      <c r="J328" s="200">
        <f>+IF(K327-$N$3&gt;=3,K327-$N$3,3)</f>
        <v>3</v>
      </c>
      <c r="K328" s="200">
        <f>F328+J328</f>
        <v>2020</v>
      </c>
      <c r="L328" s="202">
        <f>+K328+(G328/12)</f>
        <v>2020.8333333333333</v>
      </c>
      <c r="M328" s="201">
        <f>+'2131 Trks - Orig'!N67-'2111 Trks'!M327</f>
        <v>70060.498200000002</v>
      </c>
      <c r="N328" s="201">
        <f>M328-M328*H328</f>
        <v>70060.498200000002</v>
      </c>
      <c r="O328" s="201">
        <f>N328/J328/12</f>
        <v>1946.1249500000001</v>
      </c>
      <c r="P328" s="201">
        <f>+O328*12</f>
        <v>23353.499400000001</v>
      </c>
      <c r="Q328" s="201">
        <f>+IF(L328&lt;=$N$5,0,IF(K328&gt;$N$4,P328,(O328*G328)))</f>
        <v>23353.499400000001</v>
      </c>
      <c r="R328" s="201"/>
      <c r="S328" s="201">
        <f>+IF(Q328=0,M328,IF($N$3-F328&lt;1,0,(($N$3-F328)*P328)))</f>
        <v>0</v>
      </c>
      <c r="T328" s="201">
        <f>+IF(Q328=0,S328,S328+Q328)</f>
        <v>23353.499400000001</v>
      </c>
      <c r="U328" s="201">
        <f>+IF(Q328=0,0,((M328-S328)+(M328-T328))/2)</f>
        <v>58383.748500000002</v>
      </c>
    </row>
    <row r="329" spans="1:21" s="4" customFormat="1">
      <c r="A329" s="4" t="s">
        <v>415</v>
      </c>
      <c r="B329" s="4" t="s">
        <v>495</v>
      </c>
      <c r="D329" s="4">
        <v>817</v>
      </c>
      <c r="E329" s="4" t="s">
        <v>463</v>
      </c>
      <c r="F329" s="4">
        <v>2010</v>
      </c>
      <c r="G329" s="4">
        <v>6</v>
      </c>
      <c r="H329" s="4">
        <v>0</v>
      </c>
      <c r="I329" s="4" t="s">
        <v>52</v>
      </c>
      <c r="J329" s="4">
        <v>10</v>
      </c>
      <c r="K329" s="4">
        <f>F329+J329</f>
        <v>2020</v>
      </c>
      <c r="L329" s="4">
        <f>+K329+(G329/12)</f>
        <v>2020.5</v>
      </c>
      <c r="M329" s="192">
        <f>138066.26+133793.45+137.06+1916.25</f>
        <v>273913.02</v>
      </c>
      <c r="N329" s="192">
        <f>M329-M329*H329</f>
        <v>273913.02</v>
      </c>
      <c r="O329" s="192">
        <f>N329/J329/12</f>
        <v>2282.6085000000003</v>
      </c>
      <c r="P329" s="192">
        <f>+O329*12</f>
        <v>27391.302000000003</v>
      </c>
      <c r="Q329" s="192">
        <f>+IF(L329&lt;=$N$5,0,IF(K329&gt;$N$4,P329,(O329*G329)))</f>
        <v>27391.302000000003</v>
      </c>
      <c r="R329" s="192"/>
      <c r="S329" s="192">
        <f>+IF(Q329=0,M329,IF($N$3-F329&lt;1,0,(($N$3-F329)*P329)))</f>
        <v>191739.11400000003</v>
      </c>
      <c r="T329" s="192">
        <f>+IF(Q329=0,S329,S329+Q329)</f>
        <v>219130.41600000003</v>
      </c>
      <c r="U329" s="192">
        <f>+IF(Q329=0,0,((M329-S329)+(M329-T329))/2)</f>
        <v>68478.25499999999</v>
      </c>
    </row>
    <row r="330" spans="1:21" s="197" customFormat="1">
      <c r="A330" s="197" t="s">
        <v>40</v>
      </c>
      <c r="C330" s="197" t="s">
        <v>99</v>
      </c>
      <c r="E330" s="197" t="s">
        <v>224</v>
      </c>
      <c r="F330" s="197">
        <v>2011</v>
      </c>
      <c r="G330" s="197">
        <v>1</v>
      </c>
      <c r="H330" s="197">
        <v>0</v>
      </c>
      <c r="I330" s="197" t="s">
        <v>52</v>
      </c>
      <c r="J330" s="197">
        <v>7</v>
      </c>
      <c r="K330" s="197">
        <f t="shared" si="94"/>
        <v>2018</v>
      </c>
      <c r="L330" s="172">
        <f t="shared" si="95"/>
        <v>2018.0833333333333</v>
      </c>
      <c r="M330" s="230">
        <f>+'2111 Trks - Orig'!P161</f>
        <v>2276.5418181818181</v>
      </c>
      <c r="N330" s="230">
        <f t="shared" si="96"/>
        <v>2276.5418181818181</v>
      </c>
      <c r="O330" s="230">
        <f t="shared" si="97"/>
        <v>27.10168831168831</v>
      </c>
      <c r="P330" s="230">
        <f t="shared" si="98"/>
        <v>325.22025974025973</v>
      </c>
      <c r="Q330" s="230">
        <f t="shared" si="99"/>
        <v>0</v>
      </c>
      <c r="R330" s="230"/>
      <c r="S330" s="230">
        <f t="shared" si="100"/>
        <v>2276.5418181818181</v>
      </c>
      <c r="T330" s="230">
        <f t="shared" si="101"/>
        <v>2276.5418181818181</v>
      </c>
      <c r="U330" s="230">
        <f t="shared" si="102"/>
        <v>0</v>
      </c>
    </row>
    <row r="331" spans="1:21" s="199" customFormat="1">
      <c r="A331" s="200"/>
      <c r="B331" s="200"/>
      <c r="C331" s="200"/>
      <c r="D331" s="200"/>
      <c r="E331" s="200" t="s">
        <v>664</v>
      </c>
      <c r="F331" s="200">
        <v>2017</v>
      </c>
      <c r="G331" s="200">
        <v>10</v>
      </c>
      <c r="H331" s="200">
        <v>0</v>
      </c>
      <c r="I331" s="200" t="s">
        <v>52</v>
      </c>
      <c r="J331" s="200">
        <f>+IF(K330-$N$3&gt;=3,K330-$N$3,3)</f>
        <v>3</v>
      </c>
      <c r="K331" s="200">
        <f>F331+J331</f>
        <v>2020</v>
      </c>
      <c r="L331" s="202">
        <f>+K331+(G331/12)</f>
        <v>2020.8333333333333</v>
      </c>
      <c r="M331" s="201">
        <f>+'2111 Trks - Orig'!N161-'2111 Trks'!M330</f>
        <v>569.13545454545465</v>
      </c>
      <c r="N331" s="201">
        <f>M331-M331*H331</f>
        <v>569.13545454545465</v>
      </c>
      <c r="O331" s="201">
        <f>N331/J331/12</f>
        <v>15.809318181818185</v>
      </c>
      <c r="P331" s="201">
        <f>+O331*12</f>
        <v>189.71181818181822</v>
      </c>
      <c r="Q331" s="201">
        <f>+IF(L331&lt;=$N$5,0,IF(K331&gt;$N$4,P331,(O331*G331)))</f>
        <v>189.71181818181822</v>
      </c>
      <c r="R331" s="201"/>
      <c r="S331" s="201">
        <f>+IF(Q331=0,M331,IF($N$3-F331&lt;1,0,(($N$3-F331)*P331)))</f>
        <v>0</v>
      </c>
      <c r="T331" s="201">
        <f>+IF(Q331=0,S331,S331+Q331)</f>
        <v>189.71181818181822</v>
      </c>
      <c r="U331" s="201">
        <f>+IF(Q331=0,0,((M331-S331)+(M331-T331))/2)</f>
        <v>474.27954545454554</v>
      </c>
    </row>
    <row r="332" spans="1:21" s="197" customFormat="1">
      <c r="A332" s="197" t="s">
        <v>415</v>
      </c>
      <c r="B332" s="197">
        <v>173300</v>
      </c>
      <c r="C332" s="197" t="s">
        <v>99</v>
      </c>
      <c r="D332" s="197">
        <v>823</v>
      </c>
      <c r="E332" s="197" t="s">
        <v>312</v>
      </c>
      <c r="F332" s="197">
        <v>2014</v>
      </c>
      <c r="G332" s="197">
        <v>1</v>
      </c>
      <c r="H332" s="197">
        <v>0</v>
      </c>
      <c r="I332" s="197" t="s">
        <v>52</v>
      </c>
      <c r="J332" s="197">
        <v>7</v>
      </c>
      <c r="K332" s="197">
        <f t="shared" si="94"/>
        <v>2021</v>
      </c>
      <c r="L332" s="172">
        <f t="shared" si="95"/>
        <v>2021.0833333333333</v>
      </c>
      <c r="M332" s="230">
        <f>+'2131 Trks - Orig'!P69</f>
        <v>255341.32</v>
      </c>
      <c r="N332" s="230">
        <f t="shared" si="96"/>
        <v>255341.32</v>
      </c>
      <c r="O332" s="230">
        <f t="shared" si="97"/>
        <v>3039.7776190476193</v>
      </c>
      <c r="P332" s="230">
        <f t="shared" si="98"/>
        <v>36477.33142857143</v>
      </c>
      <c r="Q332" s="230">
        <f t="shared" si="99"/>
        <v>36477.33142857143</v>
      </c>
      <c r="R332" s="230"/>
      <c r="S332" s="230">
        <f t="shared" si="100"/>
        <v>109431.99428571429</v>
      </c>
      <c r="T332" s="230">
        <f t="shared" si="101"/>
        <v>145909.32571428572</v>
      </c>
      <c r="U332" s="230">
        <f t="shared" si="102"/>
        <v>127670.66</v>
      </c>
    </row>
    <row r="333" spans="1:21" s="199" customFormat="1">
      <c r="A333" s="200"/>
      <c r="B333" s="200"/>
      <c r="C333" s="200"/>
      <c r="D333" s="200">
        <v>823</v>
      </c>
      <c r="E333" s="200" t="s">
        <v>665</v>
      </c>
      <c r="F333" s="200">
        <v>2017</v>
      </c>
      <c r="G333" s="200">
        <v>10</v>
      </c>
      <c r="H333" s="200">
        <v>0</v>
      </c>
      <c r="I333" s="200" t="s">
        <v>52</v>
      </c>
      <c r="J333" s="200">
        <f>+IF(K332-$N$3&gt;=3,K332-$N$3,3)</f>
        <v>4</v>
      </c>
      <c r="K333" s="200">
        <f>F333+J333</f>
        <v>2021</v>
      </c>
      <c r="L333" s="202">
        <f>+K333+(G333/12)</f>
        <v>2021.8333333333333</v>
      </c>
      <c r="M333" s="201">
        <f>+'2131 Trks - Orig'!N69-'2111 Trks'!M332</f>
        <v>63835.330000000016</v>
      </c>
      <c r="N333" s="201">
        <f>M333-M333*H333</f>
        <v>63835.330000000016</v>
      </c>
      <c r="O333" s="201">
        <f>N333/J333/12</f>
        <v>1329.9027083333337</v>
      </c>
      <c r="P333" s="201">
        <f>+O333*12</f>
        <v>15958.832500000004</v>
      </c>
      <c r="Q333" s="201">
        <f>+IF(L333&lt;=$N$5,0,IF(K333&gt;$N$4,P333,(O333*G333)))</f>
        <v>15958.832500000004</v>
      </c>
      <c r="R333" s="201"/>
      <c r="S333" s="201">
        <f>+IF(Q333=0,M333,IF($N$3-F333&lt;1,0,(($N$3-F333)*P333)))</f>
        <v>0</v>
      </c>
      <c r="T333" s="201">
        <f>+IF(Q333=0,S333,S333+Q333)</f>
        <v>15958.832500000004</v>
      </c>
      <c r="U333" s="201">
        <f>+IF(Q333=0,0,((M333-S333)+(M333-T333))/2)</f>
        <v>55855.913750000014</v>
      </c>
    </row>
    <row r="334" spans="1:21" s="197" customFormat="1">
      <c r="A334" s="197" t="s">
        <v>40</v>
      </c>
      <c r="B334" s="197">
        <v>122580</v>
      </c>
      <c r="C334" s="197" t="s">
        <v>99</v>
      </c>
      <c r="D334" s="197">
        <v>831</v>
      </c>
      <c r="E334" s="197" t="s">
        <v>332</v>
      </c>
      <c r="F334" s="197">
        <v>2015</v>
      </c>
      <c r="G334" s="197">
        <v>5</v>
      </c>
      <c r="H334" s="197">
        <v>0</v>
      </c>
      <c r="I334" s="197" t="s">
        <v>52</v>
      </c>
      <c r="J334" s="197">
        <v>7</v>
      </c>
      <c r="K334" s="197">
        <f t="shared" si="94"/>
        <v>2022</v>
      </c>
      <c r="L334" s="172">
        <f t="shared" si="95"/>
        <v>2022.4166666666667</v>
      </c>
      <c r="M334" s="230">
        <f>+'2111 Trks - Orig'!P162</f>
        <v>261069.42400000003</v>
      </c>
      <c r="N334" s="230">
        <f t="shared" si="96"/>
        <v>261069.42400000003</v>
      </c>
      <c r="O334" s="230">
        <f t="shared" si="97"/>
        <v>3107.9693333333339</v>
      </c>
      <c r="P334" s="230">
        <f t="shared" si="98"/>
        <v>37295.632000000005</v>
      </c>
      <c r="Q334" s="230">
        <f t="shared" si="99"/>
        <v>37295.632000000005</v>
      </c>
      <c r="R334" s="230"/>
      <c r="S334" s="230">
        <f t="shared" si="100"/>
        <v>74591.26400000001</v>
      </c>
      <c r="T334" s="230">
        <f t="shared" si="101"/>
        <v>111886.89600000001</v>
      </c>
      <c r="U334" s="230">
        <f t="shared" si="102"/>
        <v>167830.34400000004</v>
      </c>
    </row>
    <row r="335" spans="1:21" s="199" customFormat="1">
      <c r="A335" s="200"/>
      <c r="B335" s="200"/>
      <c r="C335" s="200"/>
      <c r="D335" s="200">
        <v>831</v>
      </c>
      <c r="E335" s="200" t="s">
        <v>666</v>
      </c>
      <c r="F335" s="200">
        <v>2017</v>
      </c>
      <c r="G335" s="200">
        <v>10</v>
      </c>
      <c r="H335" s="200">
        <v>0</v>
      </c>
      <c r="I335" s="200" t="s">
        <v>52</v>
      </c>
      <c r="J335" s="200">
        <f>+IF(K334-$N$3&gt;=3,K334-$N$3,3)</f>
        <v>5</v>
      </c>
      <c r="K335" s="200">
        <f>F335+J335</f>
        <v>2022</v>
      </c>
      <c r="L335" s="202">
        <f>+K335+(G335/12)</f>
        <v>2022.8333333333333</v>
      </c>
      <c r="M335" s="201">
        <f>+'2111 Trks - Orig'!N162-'2111 Trks'!M334</f>
        <v>65267.356</v>
      </c>
      <c r="N335" s="201">
        <f>M335-M335*H335</f>
        <v>65267.356</v>
      </c>
      <c r="O335" s="201">
        <f>N335/J335/12</f>
        <v>1087.7892666666667</v>
      </c>
      <c r="P335" s="201">
        <f>+O335*12</f>
        <v>13053.4712</v>
      </c>
      <c r="Q335" s="201">
        <f>+IF(L335&lt;=$N$5,0,IF(K335&gt;$N$4,P335,(O335*G335)))</f>
        <v>13053.4712</v>
      </c>
      <c r="R335" s="201"/>
      <c r="S335" s="201">
        <f>+IF(Q335=0,M335,IF($N$3-F335&lt;1,0,(($N$3-F335)*P335)))</f>
        <v>0</v>
      </c>
      <c r="T335" s="201">
        <f>+IF(Q335=0,S335,S335+Q335)</f>
        <v>13053.4712</v>
      </c>
      <c r="U335" s="201">
        <f>+IF(Q335=0,0,((M335-S335)+(M335-T335))/2)</f>
        <v>58740.6204</v>
      </c>
    </row>
    <row r="336" spans="1:21" s="197" customFormat="1">
      <c r="A336" s="197" t="s">
        <v>415</v>
      </c>
      <c r="B336" s="197">
        <v>173308</v>
      </c>
      <c r="C336" s="197" t="s">
        <v>99</v>
      </c>
      <c r="D336" s="197">
        <v>832</v>
      </c>
      <c r="E336" s="197" t="s">
        <v>464</v>
      </c>
      <c r="F336" s="197">
        <v>2015</v>
      </c>
      <c r="G336" s="197">
        <v>5</v>
      </c>
      <c r="H336" s="197">
        <v>0</v>
      </c>
      <c r="I336" s="197" t="s">
        <v>52</v>
      </c>
      <c r="J336" s="197">
        <v>7</v>
      </c>
      <c r="K336" s="197">
        <f t="shared" si="94"/>
        <v>2022</v>
      </c>
      <c r="L336" s="172">
        <f t="shared" si="95"/>
        <v>2022.4166666666667</v>
      </c>
      <c r="M336" s="230">
        <f>+'2131 Trks - Orig'!P70</f>
        <v>261069.42400000003</v>
      </c>
      <c r="N336" s="230">
        <f t="shared" si="96"/>
        <v>261069.42400000003</v>
      </c>
      <c r="O336" s="230">
        <f t="shared" si="97"/>
        <v>3107.9693333333339</v>
      </c>
      <c r="P336" s="230">
        <f t="shared" si="98"/>
        <v>37295.632000000005</v>
      </c>
      <c r="Q336" s="230">
        <f t="shared" si="99"/>
        <v>37295.632000000005</v>
      </c>
      <c r="R336" s="230"/>
      <c r="S336" s="230">
        <f t="shared" si="100"/>
        <v>74591.26400000001</v>
      </c>
      <c r="T336" s="230">
        <f t="shared" si="101"/>
        <v>111886.89600000001</v>
      </c>
      <c r="U336" s="230">
        <f t="shared" si="102"/>
        <v>167830.34400000004</v>
      </c>
    </row>
    <row r="337" spans="1:21" s="199" customFormat="1">
      <c r="A337" s="200"/>
      <c r="B337" s="200"/>
      <c r="C337" s="200"/>
      <c r="D337" s="200">
        <v>832</v>
      </c>
      <c r="E337" s="200" t="s">
        <v>667</v>
      </c>
      <c r="F337" s="200">
        <v>2017</v>
      </c>
      <c r="G337" s="200">
        <v>10</v>
      </c>
      <c r="H337" s="200">
        <v>0</v>
      </c>
      <c r="I337" s="200" t="s">
        <v>52</v>
      </c>
      <c r="J337" s="200">
        <f>+IF(K336-$N$3&gt;=3,K336-$N$3,3)</f>
        <v>5</v>
      </c>
      <c r="K337" s="200">
        <f>F337+J337</f>
        <v>2022</v>
      </c>
      <c r="L337" s="202">
        <f>+K337+(G337/12)</f>
        <v>2022.8333333333333</v>
      </c>
      <c r="M337" s="201">
        <f>+'2131 Trks - Orig'!N70-'2111 Trks'!M336</f>
        <v>65267.356</v>
      </c>
      <c r="N337" s="201">
        <f>M337-M337*H337</f>
        <v>65267.356</v>
      </c>
      <c r="O337" s="201">
        <f>N337/J337/12</f>
        <v>1087.7892666666667</v>
      </c>
      <c r="P337" s="201">
        <f>+O337*12</f>
        <v>13053.4712</v>
      </c>
      <c r="Q337" s="201">
        <f>+IF(L337&lt;=$N$5,0,IF(K337&gt;$N$4,P337,(O337*G337)))</f>
        <v>13053.4712</v>
      </c>
      <c r="R337" s="201"/>
      <c r="S337" s="201">
        <f>+IF(Q337=0,M337,IF($N$3-F337&lt;1,0,(($N$3-F337)*P337)))</f>
        <v>0</v>
      </c>
      <c r="T337" s="201">
        <f>+IF(Q337=0,S337,S337+Q337)</f>
        <v>13053.4712</v>
      </c>
      <c r="U337" s="201">
        <f>+IF(Q337=0,0,((M337-S337)+(M337-T337))/2)</f>
        <v>58740.6204</v>
      </c>
    </row>
    <row r="338" spans="1:21">
      <c r="A338" s="3" t="s">
        <v>40</v>
      </c>
      <c r="B338" s="3" t="s">
        <v>424</v>
      </c>
      <c r="E338" s="3" t="s">
        <v>426</v>
      </c>
      <c r="F338" s="3">
        <v>2016</v>
      </c>
      <c r="G338" s="3">
        <v>3</v>
      </c>
      <c r="H338" s="3">
        <v>0</v>
      </c>
      <c r="I338" s="3" t="s">
        <v>52</v>
      </c>
      <c r="J338" s="3">
        <v>1</v>
      </c>
      <c r="K338" s="3">
        <f t="shared" si="94"/>
        <v>2017</v>
      </c>
      <c r="L338" s="3">
        <f t="shared" si="95"/>
        <v>2017.25</v>
      </c>
      <c r="M338" s="230">
        <f>(25892.28+23056.62)/104*5</f>
        <v>2353.3125</v>
      </c>
      <c r="N338" s="230">
        <f t="shared" si="96"/>
        <v>2353.3125</v>
      </c>
      <c r="O338" s="230">
        <f t="shared" si="97"/>
        <v>196.109375</v>
      </c>
      <c r="P338" s="230">
        <f t="shared" si="98"/>
        <v>2353.3125</v>
      </c>
      <c r="Q338" s="230">
        <f t="shared" si="99"/>
        <v>0</v>
      </c>
      <c r="R338" s="230"/>
      <c r="S338" s="230">
        <f t="shared" si="100"/>
        <v>2353.3125</v>
      </c>
      <c r="T338" s="230">
        <f t="shared" si="101"/>
        <v>2353.3125</v>
      </c>
      <c r="U338" s="230">
        <f t="shared" si="102"/>
        <v>0</v>
      </c>
    </row>
    <row r="339" spans="1:21">
      <c r="A339" s="3" t="s">
        <v>40</v>
      </c>
      <c r="B339" s="3">
        <v>132074</v>
      </c>
      <c r="C339" s="3" t="s">
        <v>99</v>
      </c>
      <c r="D339" s="3">
        <v>837</v>
      </c>
      <c r="E339" s="3" t="s">
        <v>395</v>
      </c>
      <c r="F339" s="3">
        <v>2016</v>
      </c>
      <c r="G339" s="3">
        <v>4</v>
      </c>
      <c r="H339" s="3">
        <v>0</v>
      </c>
      <c r="I339" s="3" t="s">
        <v>52</v>
      </c>
      <c r="J339" s="3">
        <v>10</v>
      </c>
      <c r="K339" s="3">
        <f t="shared" si="94"/>
        <v>2026</v>
      </c>
      <c r="L339" s="3">
        <f t="shared" si="95"/>
        <v>2026.3333333333333</v>
      </c>
      <c r="M339" s="230">
        <v>327729.76</v>
      </c>
      <c r="N339" s="230">
        <f t="shared" si="96"/>
        <v>327729.76</v>
      </c>
      <c r="O339" s="230">
        <f t="shared" si="97"/>
        <v>2731.0813333333335</v>
      </c>
      <c r="P339" s="230">
        <f t="shared" si="98"/>
        <v>32772.976000000002</v>
      </c>
      <c r="Q339" s="230">
        <f t="shared" si="99"/>
        <v>32772.976000000002</v>
      </c>
      <c r="R339" s="230"/>
      <c r="S339" s="230">
        <f t="shared" si="100"/>
        <v>32772.976000000002</v>
      </c>
      <c r="T339" s="230">
        <f t="shared" si="101"/>
        <v>65545.952000000005</v>
      </c>
      <c r="U339" s="230">
        <f t="shared" si="102"/>
        <v>278570.29599999997</v>
      </c>
    </row>
    <row r="340" spans="1:21">
      <c r="M340" s="230"/>
      <c r="N340" s="230"/>
      <c r="O340" s="230"/>
      <c r="P340" s="230"/>
      <c r="Q340" s="230"/>
      <c r="R340" s="230"/>
      <c r="S340" s="230"/>
      <c r="T340" s="230"/>
      <c r="U340" s="230"/>
    </row>
    <row r="341" spans="1:21">
      <c r="E341" s="169" t="s">
        <v>100</v>
      </c>
      <c r="F341" s="169"/>
      <c r="G341" s="169"/>
      <c r="H341" s="169"/>
      <c r="I341" s="169"/>
      <c r="J341" s="169"/>
      <c r="K341" s="169"/>
      <c r="L341" s="169"/>
      <c r="M341" s="171">
        <f>SUM(M321:M340)</f>
        <v>2026558.9797727275</v>
      </c>
      <c r="N341" s="171">
        <f>SUM(N321:N340)</f>
        <v>2026110.6677727276</v>
      </c>
      <c r="O341" s="171">
        <f>SUM(O321:O340)</f>
        <v>25877.562007922083</v>
      </c>
      <c r="P341" s="171">
        <f>SUM(P321:P340)</f>
        <v>310530.74409506505</v>
      </c>
      <c r="Q341" s="171">
        <f>SUM(Q321:Q340)</f>
        <v>252546.02354675328</v>
      </c>
      <c r="R341" s="171"/>
      <c r="S341" s="171">
        <f>SUM(S321:S340)</f>
        <v>818450.47640389623</v>
      </c>
      <c r="T341" s="171">
        <f>SUM(T321:T340)</f>
        <v>1070996.4999506494</v>
      </c>
      <c r="U341" s="171">
        <f>SUM(U321:U340)</f>
        <v>1081835.4915954545</v>
      </c>
    </row>
    <row r="342" spans="1:21">
      <c r="M342" s="230"/>
      <c r="N342" s="230"/>
      <c r="O342" s="230"/>
      <c r="P342" s="230"/>
      <c r="Q342" s="230"/>
      <c r="R342" s="230"/>
      <c r="S342" s="230"/>
      <c r="T342" s="230"/>
      <c r="U342" s="230"/>
    </row>
    <row r="343" spans="1:21">
      <c r="E343" s="1" t="s">
        <v>161</v>
      </c>
      <c r="M343" s="230"/>
      <c r="N343" s="230"/>
      <c r="O343" s="230"/>
      <c r="P343" s="230"/>
      <c r="Q343" s="230"/>
      <c r="R343" s="230"/>
      <c r="S343" s="230"/>
      <c r="T343" s="230"/>
      <c r="U343" s="230"/>
    </row>
    <row r="344" spans="1:21">
      <c r="C344" s="3" t="s">
        <v>72</v>
      </c>
      <c r="E344" s="3" t="s">
        <v>148</v>
      </c>
      <c r="F344" s="3">
        <v>2006</v>
      </c>
      <c r="G344" s="3">
        <v>6</v>
      </c>
      <c r="H344" s="3">
        <v>0.33</v>
      </c>
      <c r="I344" s="3" t="s">
        <v>52</v>
      </c>
      <c r="J344" s="3">
        <v>5</v>
      </c>
      <c r="K344" s="3">
        <f>F344+J344</f>
        <v>2011</v>
      </c>
      <c r="L344" s="3">
        <f>+K344+(G344/12)</f>
        <v>2011.5</v>
      </c>
      <c r="M344" s="230">
        <v>2720</v>
      </c>
      <c r="N344" s="230">
        <f>M344-M344*H344</f>
        <v>1822.4</v>
      </c>
      <c r="O344" s="230">
        <f>N344/J344/12</f>
        <v>30.373333333333335</v>
      </c>
      <c r="P344" s="230">
        <f>+O344*12</f>
        <v>364.48</v>
      </c>
      <c r="Q344" s="230">
        <f>+IF(L344&lt;=$N$5,0,IF(K344&gt;$N$4,P344,(O344*G344)))</f>
        <v>0</v>
      </c>
      <c r="R344" s="230"/>
      <c r="S344" s="230">
        <f>+IF(Q344=0,M344,IF($N$3-F344&lt;1,0,(($N$3-F344)*P344)))</f>
        <v>2720</v>
      </c>
      <c r="T344" s="230">
        <f>+IF(Q344=0,S344,S344+Q344)</f>
        <v>2720</v>
      </c>
      <c r="U344" s="230">
        <f>+IF(Q344=0,0,((M344-S344)+(M344-T344))/2)</f>
        <v>0</v>
      </c>
    </row>
    <row r="345" spans="1:21" s="197" customFormat="1">
      <c r="C345" s="197" t="s">
        <v>72</v>
      </c>
      <c r="D345" s="197" t="s">
        <v>228</v>
      </c>
      <c r="E345" s="197" t="s">
        <v>248</v>
      </c>
      <c r="F345" s="197">
        <v>2010</v>
      </c>
      <c r="G345" s="197">
        <v>4</v>
      </c>
      <c r="H345" s="197">
        <v>0</v>
      </c>
      <c r="I345" s="197" t="s">
        <v>52</v>
      </c>
      <c r="J345" s="197">
        <v>7</v>
      </c>
      <c r="K345" s="197">
        <f>F345+J345</f>
        <v>2017</v>
      </c>
      <c r="L345" s="172">
        <f>+K345+(G345/12)</f>
        <v>2017.3333333333333</v>
      </c>
      <c r="M345" s="230">
        <f>+'2111 Trks - Orig'!P171</f>
        <v>28396.799999999999</v>
      </c>
      <c r="N345" s="230">
        <f>M345-M345*H345</f>
        <v>28396.799999999999</v>
      </c>
      <c r="O345" s="230">
        <f>N345/J345/12</f>
        <v>338.05714285714288</v>
      </c>
      <c r="P345" s="230">
        <f>+O345*12</f>
        <v>4056.6857142857143</v>
      </c>
      <c r="Q345" s="230">
        <f>+IF(L345&lt;=$N$5,0,IF(K345&gt;$N$4,P345,(O345*G345)))</f>
        <v>0</v>
      </c>
      <c r="R345" s="230"/>
      <c r="S345" s="230">
        <f>+IF(Q345=0,M345,IF($N$3-F345&lt;1,0,(($N$3-F345)*P345)))</f>
        <v>28396.799999999999</v>
      </c>
      <c r="T345" s="230">
        <f>+IF(Q345=0,S345,S345+Q345)</f>
        <v>28396.799999999999</v>
      </c>
      <c r="U345" s="230">
        <f>+IF(Q345=0,0,((M345-S345)+(M345-T345))/2)</f>
        <v>0</v>
      </c>
    </row>
    <row r="346" spans="1:21" s="199" customFormat="1">
      <c r="A346" s="200"/>
      <c r="B346" s="200"/>
      <c r="C346" s="200"/>
      <c r="D346" s="200" t="s">
        <v>228</v>
      </c>
      <c r="E346" s="200" t="s">
        <v>668</v>
      </c>
      <c r="F346" s="200">
        <v>2017</v>
      </c>
      <c r="G346" s="200">
        <v>10</v>
      </c>
      <c r="H346" s="200">
        <v>0</v>
      </c>
      <c r="I346" s="200" t="s">
        <v>52</v>
      </c>
      <c r="J346" s="200">
        <f>+IF(K345-$N$3&gt;=3,K345-$N$3,3)</f>
        <v>3</v>
      </c>
      <c r="K346" s="200">
        <f>F346+J346</f>
        <v>2020</v>
      </c>
      <c r="L346" s="202">
        <f>+K346+(G346/12)</f>
        <v>2020.8333333333333</v>
      </c>
      <c r="M346" s="201">
        <f>+'2111 Trks - Orig'!N171-'2111 Trks'!M345</f>
        <v>7099.2000000000007</v>
      </c>
      <c r="N346" s="201">
        <f>M346-M346*H346</f>
        <v>7099.2000000000007</v>
      </c>
      <c r="O346" s="201">
        <f>N346/J346/12</f>
        <v>197.20000000000002</v>
      </c>
      <c r="P346" s="201">
        <f>+O346*12</f>
        <v>2366.4</v>
      </c>
      <c r="Q346" s="201">
        <f>+IF(L346&lt;=$N$5,0,IF(K346&gt;$N$4,P346,(O346*G346)))</f>
        <v>2366.4</v>
      </c>
      <c r="R346" s="201"/>
      <c r="S346" s="201">
        <f>+IF(Q346=0,M346,IF($N$3-F346&lt;1,0,(($N$3-F346)*P346)))</f>
        <v>0</v>
      </c>
      <c r="T346" s="201">
        <f>+IF(Q346=0,S346,S346+Q346)</f>
        <v>2366.4</v>
      </c>
      <c r="U346" s="201">
        <f>+IF(Q346=0,0,((M346-S346)+(M346-T346))/2)</f>
        <v>5916.0000000000009</v>
      </c>
    </row>
    <row r="347" spans="1:21">
      <c r="B347" s="3" t="s">
        <v>424</v>
      </c>
      <c r="E347" s="3" t="s">
        <v>429</v>
      </c>
      <c r="F347" s="3">
        <v>2016</v>
      </c>
      <c r="G347" s="3">
        <v>3</v>
      </c>
      <c r="H347" s="3">
        <v>0</v>
      </c>
      <c r="I347" s="3" t="s">
        <v>52</v>
      </c>
      <c r="J347" s="3">
        <v>1</v>
      </c>
      <c r="K347" s="3">
        <f>F347+J347</f>
        <v>2017</v>
      </c>
      <c r="L347" s="3">
        <f>+K347+(G347/12)</f>
        <v>2017.25</v>
      </c>
      <c r="M347" s="230">
        <f>(25892.28+23056.62)/104*1</f>
        <v>470.66249999999997</v>
      </c>
      <c r="N347" s="230">
        <f>M347-M347*H347</f>
        <v>470.66249999999997</v>
      </c>
      <c r="O347" s="230">
        <f>N347/J347/12</f>
        <v>39.221874999999997</v>
      </c>
      <c r="P347" s="230">
        <f>+O347*12</f>
        <v>470.66249999999997</v>
      </c>
      <c r="Q347" s="230">
        <f>+IF(L347&lt;=$N$5,0,IF(K347&gt;$N$4,P347,(O347*G347)))</f>
        <v>0</v>
      </c>
      <c r="R347" s="230"/>
      <c r="S347" s="230">
        <f>+IF(Q347=0,M347,IF($N$3-F347&lt;1,0,(($N$3-F347)*P347)))</f>
        <v>470.66249999999997</v>
      </c>
      <c r="T347" s="230">
        <f>+IF(Q347=0,S347,S347+Q347)</f>
        <v>470.66249999999997</v>
      </c>
      <c r="U347" s="230">
        <f>+IF(Q347=0,0,((M347-S347)+(M347-T347))/2)</f>
        <v>0</v>
      </c>
    </row>
    <row r="348" spans="1:21">
      <c r="M348" s="230"/>
      <c r="N348" s="230"/>
      <c r="O348" s="230"/>
      <c r="P348" s="230"/>
      <c r="Q348" s="230"/>
      <c r="R348" s="230"/>
      <c r="S348" s="230"/>
      <c r="T348" s="230"/>
      <c r="U348" s="230"/>
    </row>
    <row r="349" spans="1:21">
      <c r="E349" s="169" t="s">
        <v>162</v>
      </c>
      <c r="F349" s="169"/>
      <c r="G349" s="169"/>
      <c r="H349" s="169"/>
      <c r="I349" s="169"/>
      <c r="J349" s="169"/>
      <c r="K349" s="169"/>
      <c r="L349" s="169"/>
      <c r="M349" s="171">
        <f>SUM(M344:M348)</f>
        <v>38686.662499999999</v>
      </c>
      <c r="N349" s="171">
        <f>SUM(N344:N348)</f>
        <v>37789.0625</v>
      </c>
      <c r="O349" s="171">
        <f>SUM(O344:O348)</f>
        <v>604.85235119047616</v>
      </c>
      <c r="P349" s="171">
        <f>SUM(P344:P348)</f>
        <v>7258.2282142857148</v>
      </c>
      <c r="Q349" s="171">
        <f>SUM(Q344:Q348)</f>
        <v>2366.4</v>
      </c>
      <c r="R349" s="171"/>
      <c r="S349" s="171">
        <f>SUM(S344:S348)</f>
        <v>31587.462499999998</v>
      </c>
      <c r="T349" s="171">
        <f>SUM(T344:T348)</f>
        <v>33953.862499999996</v>
      </c>
      <c r="U349" s="171">
        <f>SUM(U344:U348)</f>
        <v>5916.0000000000009</v>
      </c>
    </row>
    <row r="350" spans="1:21">
      <c r="M350" s="230"/>
      <c r="N350" s="230"/>
      <c r="O350" s="230"/>
      <c r="P350" s="230"/>
      <c r="Q350" s="230"/>
      <c r="R350" s="230"/>
      <c r="S350" s="230"/>
      <c r="T350" s="230"/>
      <c r="U350" s="230"/>
    </row>
    <row r="351" spans="1:21">
      <c r="E351" s="169" t="s">
        <v>339</v>
      </c>
      <c r="F351" s="169"/>
      <c r="G351" s="169"/>
      <c r="H351" s="169"/>
      <c r="I351" s="169"/>
      <c r="J351" s="169"/>
      <c r="K351" s="169"/>
      <c r="L351" s="169"/>
      <c r="M351" s="171">
        <f>+M349+M341+M317+M282+M273</f>
        <v>21261716.094772723</v>
      </c>
      <c r="N351" s="171">
        <f>+N349+N341+N317+N282+N273</f>
        <v>21259279.169972725</v>
      </c>
      <c r="O351" s="171">
        <f>+O349+O341+O317+O282+O273</f>
        <v>270434.56259749882</v>
      </c>
      <c r="P351" s="171">
        <f>+P349+P341+P317+P282+P273</f>
        <v>3245214.7511699861</v>
      </c>
      <c r="Q351" s="171">
        <f>+Q349+Q341+Q317+Q282+Q273</f>
        <v>2249945.0647816737</v>
      </c>
      <c r="R351" s="171"/>
      <c r="S351" s="171">
        <f>+S349+S341+S317+S282+S273</f>
        <v>8119298.8747467529</v>
      </c>
      <c r="T351" s="171"/>
      <c r="U351" s="171">
        <f>+U349+U341+U317+U282+U273</f>
        <v>12017444.687635137</v>
      </c>
    </row>
    <row r="352" spans="1:21">
      <c r="M352" s="230"/>
      <c r="N352" s="230"/>
      <c r="O352" s="230"/>
      <c r="P352" s="230"/>
      <c r="Q352" s="230"/>
      <c r="R352" s="230"/>
      <c r="S352" s="230"/>
      <c r="T352" s="230"/>
      <c r="U352" s="230"/>
    </row>
    <row r="353" spans="13:21">
      <c r="M353" s="170"/>
      <c r="N353" s="170"/>
      <c r="O353" s="170"/>
      <c r="P353" s="170"/>
      <c r="Q353" s="170"/>
      <c r="R353" s="170"/>
      <c r="S353" s="170"/>
      <c r="T353" s="170"/>
      <c r="U353" s="170"/>
    </row>
  </sheetData>
  <mergeCells count="1">
    <mergeCell ref="F9:G9"/>
  </mergeCells>
  <phoneticPr fontId="0" type="noConversion"/>
  <pageMargins left="0.5" right="0.5" top="0.5" bottom="0.55000000000000004" header="0.5" footer="0.5"/>
  <pageSetup scale="62" fitToHeight="0" orientation="landscape" r:id="rId1"/>
  <headerFooter alignWithMargins="0">
    <oddFooter>Page &amp;P of &amp;N</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9" tint="-0.249977111117893"/>
    <pageSetUpPr fitToPage="1"/>
  </sheetPr>
  <dimension ref="A1:U495"/>
  <sheetViews>
    <sheetView showGridLines="0" view="pageBreakPreview" zoomScale="60" zoomScaleNormal="85" workbookViewId="0">
      <pane xSplit="4" ySplit="11" topLeftCell="E160" activePane="bottomRight" state="frozen"/>
      <selection pane="topRight"/>
      <selection pane="bottomLeft"/>
      <selection pane="bottomRight"/>
    </sheetView>
  </sheetViews>
  <sheetFormatPr defaultRowHeight="15"/>
  <cols>
    <col min="1" max="1" width="9.109375" style="3" customWidth="1"/>
    <col min="2" max="2" width="5.21875" style="3" customWidth="1"/>
    <col min="3" max="3" width="9.88671875" style="32" customWidth="1"/>
    <col min="4" max="4" width="5.77734375" style="32" customWidth="1"/>
    <col min="5" max="5" width="33.109375" style="3" customWidth="1"/>
    <col min="6" max="9" width="8.77734375" style="3" customWidth="1"/>
    <col min="10" max="10" width="8.77734375" style="175" customWidth="1"/>
    <col min="11" max="11" width="8.77734375" style="3" customWidth="1"/>
    <col min="12" max="12" width="11.5546875" style="172" customWidth="1"/>
    <col min="13" max="13" width="11.5546875" style="3" customWidth="1"/>
    <col min="14" max="16" width="12.77734375" style="3" customWidth="1"/>
    <col min="17" max="17" width="11" style="3" customWidth="1"/>
    <col min="18" max="18" width="1.5546875" style="3" customWidth="1"/>
    <col min="19" max="21" width="12.21875" style="3" customWidth="1"/>
    <col min="22" max="16384" width="8.88671875" style="3"/>
  </cols>
  <sheetData>
    <row r="1" spans="1:21" s="182" customFormat="1" ht="15.75">
      <c r="A1" s="182" t="s">
        <v>101</v>
      </c>
      <c r="C1" s="188"/>
      <c r="D1" s="188"/>
      <c r="J1" s="187"/>
      <c r="L1" s="186"/>
    </row>
    <row r="2" spans="1:21" s="182" customFormat="1" ht="15.75">
      <c r="A2" s="182" t="s">
        <v>0</v>
      </c>
      <c r="C2" s="188"/>
      <c r="D2" s="188"/>
      <c r="I2" s="212" t="s">
        <v>608</v>
      </c>
      <c r="J2" s="198"/>
      <c r="K2" s="198"/>
      <c r="L2" s="186"/>
      <c r="N2" s="183">
        <f>'2111 Trks'!N2</f>
        <v>1</v>
      </c>
      <c r="O2" s="182" t="s">
        <v>1</v>
      </c>
    </row>
    <row r="3" spans="1:21" s="182" customFormat="1" ht="15.75">
      <c r="A3" s="184">
        <f>Summary!H5</f>
        <v>43373</v>
      </c>
      <c r="C3" s="188"/>
      <c r="D3" s="188"/>
      <c r="I3" s="198"/>
      <c r="J3" s="198"/>
      <c r="K3" s="198"/>
      <c r="L3" s="186"/>
      <c r="N3" s="183">
        <f>'2111 Trks'!N3</f>
        <v>2017</v>
      </c>
      <c r="O3" s="182" t="s">
        <v>3</v>
      </c>
    </row>
    <row r="4" spans="1:21" s="182" customFormat="1" ht="15.75">
      <c r="C4" s="188"/>
      <c r="D4" s="188"/>
      <c r="I4" s="198"/>
      <c r="J4" s="198"/>
      <c r="K4" s="198"/>
      <c r="L4" s="186"/>
      <c r="N4" s="183">
        <f>'2111 Trks'!N4</f>
        <v>2018</v>
      </c>
      <c r="O4" s="182" t="s">
        <v>6</v>
      </c>
    </row>
    <row r="5" spans="1:21" s="182" customFormat="1" ht="15.75">
      <c r="C5" s="188"/>
      <c r="D5" s="188"/>
      <c r="I5" s="198"/>
      <c r="J5" s="198"/>
      <c r="K5" s="198"/>
      <c r="L5" s="186"/>
      <c r="N5" s="183">
        <f>'2111 Trks'!N5</f>
        <v>2019</v>
      </c>
      <c r="O5" s="182" t="s">
        <v>11</v>
      </c>
    </row>
    <row r="6" spans="1:21" s="182" customFormat="1" ht="15.75">
      <c r="C6" s="188"/>
      <c r="D6" s="188"/>
      <c r="J6" s="187"/>
      <c r="L6" s="186"/>
    </row>
    <row r="7" spans="1:21" s="1" customFormat="1">
      <c r="C7" s="176"/>
      <c r="D7" s="176"/>
      <c r="J7" s="7"/>
      <c r="L7" s="177"/>
    </row>
    <row r="8" spans="1:21" s="1" customFormat="1">
      <c r="C8" s="176"/>
      <c r="D8" s="176"/>
      <c r="F8" s="232"/>
      <c r="G8" s="232"/>
      <c r="H8" s="232"/>
      <c r="I8" s="232"/>
      <c r="J8" s="232"/>
      <c r="K8" s="232"/>
      <c r="L8" s="234"/>
      <c r="M8" s="232"/>
      <c r="N8" s="232"/>
      <c r="O8" s="232"/>
      <c r="P8" s="232"/>
      <c r="Q8" s="232"/>
      <c r="R8" s="232"/>
      <c r="S8" s="232" t="s">
        <v>18</v>
      </c>
      <c r="T8" s="232" t="s">
        <v>118</v>
      </c>
      <c r="U8" s="232"/>
    </row>
    <row r="9" spans="1:21" s="1" customFormat="1">
      <c r="C9" s="176"/>
      <c r="D9" s="176" t="s">
        <v>57</v>
      </c>
      <c r="E9" s="1" t="s">
        <v>58</v>
      </c>
      <c r="F9" s="256" t="s">
        <v>603</v>
      </c>
      <c r="G9" s="256"/>
      <c r="H9" s="232" t="s">
        <v>23</v>
      </c>
      <c r="I9" s="232" t="s">
        <v>57</v>
      </c>
      <c r="J9" s="232"/>
      <c r="K9" s="232" t="s">
        <v>24</v>
      </c>
      <c r="L9" s="234"/>
      <c r="M9" s="232" t="s">
        <v>57</v>
      </c>
      <c r="N9" s="232" t="s">
        <v>57</v>
      </c>
      <c r="O9" s="232"/>
      <c r="P9" s="232"/>
      <c r="Q9" s="232"/>
      <c r="R9" s="232"/>
      <c r="S9" s="232" t="s">
        <v>117</v>
      </c>
      <c r="T9" s="232" t="s">
        <v>117</v>
      </c>
      <c r="U9" s="232" t="s">
        <v>38</v>
      </c>
    </row>
    <row r="10" spans="1:21" s="1" customFormat="1">
      <c r="C10" s="7"/>
      <c r="D10" s="7" t="s">
        <v>116</v>
      </c>
      <c r="F10" s="232"/>
      <c r="G10" s="232"/>
      <c r="H10" s="232" t="s">
        <v>29</v>
      </c>
      <c r="I10" s="232" t="s">
        <v>30</v>
      </c>
      <c r="J10" s="232" t="s">
        <v>64</v>
      </c>
      <c r="K10" s="232" t="s">
        <v>65</v>
      </c>
      <c r="L10" s="234" t="s">
        <v>605</v>
      </c>
      <c r="M10" s="232" t="s">
        <v>31</v>
      </c>
      <c r="N10" s="232" t="s">
        <v>67</v>
      </c>
      <c r="O10" s="232" t="s">
        <v>69</v>
      </c>
      <c r="P10" s="232" t="s">
        <v>604</v>
      </c>
      <c r="Q10" s="232" t="s">
        <v>33</v>
      </c>
      <c r="R10" s="232"/>
      <c r="S10" s="232" t="s">
        <v>67</v>
      </c>
      <c r="T10" s="232" t="s">
        <v>67</v>
      </c>
      <c r="U10" s="232" t="s">
        <v>45</v>
      </c>
    </row>
    <row r="11" spans="1:21" s="1" customFormat="1">
      <c r="A11" s="1" t="s">
        <v>841</v>
      </c>
      <c r="C11" s="7" t="s">
        <v>53</v>
      </c>
      <c r="D11" s="7" t="s">
        <v>62</v>
      </c>
      <c r="E11" s="1" t="s">
        <v>63</v>
      </c>
      <c r="F11" s="232" t="s">
        <v>24</v>
      </c>
      <c r="G11" s="232" t="s">
        <v>39</v>
      </c>
      <c r="H11" s="232" t="s">
        <v>34</v>
      </c>
      <c r="I11" s="232" t="s">
        <v>40</v>
      </c>
      <c r="J11" s="232" t="s">
        <v>66</v>
      </c>
      <c r="K11" s="232" t="s">
        <v>67</v>
      </c>
      <c r="L11" s="234" t="s">
        <v>606</v>
      </c>
      <c r="M11" s="232" t="s">
        <v>42</v>
      </c>
      <c r="N11" s="232" t="s">
        <v>42</v>
      </c>
      <c r="O11" s="232" t="s">
        <v>67</v>
      </c>
      <c r="P11" s="232" t="s">
        <v>67</v>
      </c>
      <c r="Q11" s="232" t="s">
        <v>44</v>
      </c>
      <c r="R11" s="232"/>
      <c r="S11" s="235">
        <v>43009</v>
      </c>
      <c r="T11" s="235">
        <v>43373</v>
      </c>
      <c r="U11" s="235">
        <f>T11</f>
        <v>43373</v>
      </c>
    </row>
    <row r="12" spans="1:21" ht="12" customHeight="1">
      <c r="A12" s="3" t="s">
        <v>40</v>
      </c>
      <c r="D12" s="32">
        <v>12</v>
      </c>
      <c r="E12" s="3" t="s">
        <v>102</v>
      </c>
      <c r="F12" s="3">
        <v>2005</v>
      </c>
      <c r="G12" s="3">
        <v>5</v>
      </c>
      <c r="H12" s="3">
        <v>0</v>
      </c>
      <c r="I12" s="3" t="s">
        <v>52</v>
      </c>
      <c r="J12" s="175">
        <v>10</v>
      </c>
      <c r="K12" s="3">
        <f t="shared" ref="K12:K75" si="0">F12+J12</f>
        <v>2015</v>
      </c>
      <c r="L12" s="172">
        <f t="shared" ref="L12:L75" si="1">+K12+(G12/12)</f>
        <v>2015.4166666666667</v>
      </c>
      <c r="M12" s="230">
        <v>5379.07</v>
      </c>
      <c r="N12" s="230">
        <f t="shared" ref="N12:N75" si="2">M12-M12*H12</f>
        <v>5379.07</v>
      </c>
      <c r="O12" s="230">
        <f t="shared" ref="O12:O75" si="3">N12/J12/12</f>
        <v>44.825583333333327</v>
      </c>
      <c r="P12" s="230">
        <f t="shared" ref="P12:P75" si="4">+O12*12</f>
        <v>537.90699999999993</v>
      </c>
      <c r="Q12" s="230">
        <f t="shared" ref="Q12:Q75" si="5">+IF(L12&lt;=$N$5,0,IF(K12&gt;$N$4,P12,(O12*G12)))</f>
        <v>0</v>
      </c>
      <c r="R12" s="230"/>
      <c r="S12" s="230">
        <f t="shared" ref="S12:S75" si="6">+IF(Q12=0,M12,IF($N$3-F12&lt;1,0,(($N$3-F12)*P12)))</f>
        <v>5379.07</v>
      </c>
      <c r="T12" s="230">
        <f t="shared" ref="T12:T75" si="7">+IF(Q12=0,S12,S12+Q12)</f>
        <v>5379.07</v>
      </c>
      <c r="U12" s="230">
        <f t="shared" ref="U12:U75" si="8">+IF(Q12=0,0,((M12-S12)+(M12-T12))/2)</f>
        <v>0</v>
      </c>
    </row>
    <row r="13" spans="1:21" ht="12" customHeight="1">
      <c r="A13" s="3" t="s">
        <v>40</v>
      </c>
      <c r="D13" s="32">
        <v>5</v>
      </c>
      <c r="E13" s="3" t="s">
        <v>102</v>
      </c>
      <c r="F13" s="3">
        <v>2005</v>
      </c>
      <c r="G13" s="3">
        <v>11</v>
      </c>
      <c r="H13" s="3">
        <v>0</v>
      </c>
      <c r="I13" s="3" t="s">
        <v>52</v>
      </c>
      <c r="J13" s="175">
        <v>10</v>
      </c>
      <c r="K13" s="3">
        <f t="shared" si="0"/>
        <v>2015</v>
      </c>
      <c r="L13" s="172">
        <f t="shared" si="1"/>
        <v>2015.9166666666667</v>
      </c>
      <c r="M13" s="230">
        <v>2148.8000000000002</v>
      </c>
      <c r="N13" s="230">
        <f t="shared" si="2"/>
        <v>2148.8000000000002</v>
      </c>
      <c r="O13" s="230">
        <f t="shared" si="3"/>
        <v>17.90666666666667</v>
      </c>
      <c r="P13" s="230">
        <f t="shared" si="4"/>
        <v>214.88000000000005</v>
      </c>
      <c r="Q13" s="230">
        <f t="shared" si="5"/>
        <v>0</v>
      </c>
      <c r="R13" s="230"/>
      <c r="S13" s="230">
        <f t="shared" si="6"/>
        <v>2148.8000000000002</v>
      </c>
      <c r="T13" s="230">
        <f t="shared" si="7"/>
        <v>2148.8000000000002</v>
      </c>
      <c r="U13" s="230">
        <f t="shared" si="8"/>
        <v>0</v>
      </c>
    </row>
    <row r="14" spans="1:21" ht="12" customHeight="1">
      <c r="A14" s="3" t="s">
        <v>40</v>
      </c>
      <c r="D14" s="32">
        <v>28</v>
      </c>
      <c r="E14" s="3" t="s">
        <v>103</v>
      </c>
      <c r="F14" s="3">
        <v>2005</v>
      </c>
      <c r="G14" s="3">
        <v>8</v>
      </c>
      <c r="H14" s="3">
        <v>0</v>
      </c>
      <c r="I14" s="3" t="s">
        <v>52</v>
      </c>
      <c r="J14" s="175">
        <v>10</v>
      </c>
      <c r="K14" s="3">
        <f t="shared" si="0"/>
        <v>2015</v>
      </c>
      <c r="L14" s="172">
        <f t="shared" si="1"/>
        <v>2015.6666666666667</v>
      </c>
      <c r="M14" s="230">
        <v>12855.81</v>
      </c>
      <c r="N14" s="230">
        <f t="shared" si="2"/>
        <v>12855.81</v>
      </c>
      <c r="O14" s="230">
        <f t="shared" si="3"/>
        <v>107.13175</v>
      </c>
      <c r="P14" s="230">
        <f t="shared" si="4"/>
        <v>1285.5809999999999</v>
      </c>
      <c r="Q14" s="230">
        <f t="shared" si="5"/>
        <v>0</v>
      </c>
      <c r="R14" s="230"/>
      <c r="S14" s="230">
        <f t="shared" si="6"/>
        <v>12855.81</v>
      </c>
      <c r="T14" s="230">
        <f t="shared" si="7"/>
        <v>12855.81</v>
      </c>
      <c r="U14" s="230">
        <f t="shared" si="8"/>
        <v>0</v>
      </c>
    </row>
    <row r="15" spans="1:21" ht="12" customHeight="1">
      <c r="A15" s="3" t="s">
        <v>40</v>
      </c>
      <c r="D15" s="32">
        <v>7</v>
      </c>
      <c r="E15" s="3" t="s">
        <v>104</v>
      </c>
      <c r="F15" s="3">
        <v>2005</v>
      </c>
      <c r="G15" s="3">
        <v>9</v>
      </c>
      <c r="H15" s="3">
        <v>0</v>
      </c>
      <c r="I15" s="3" t="s">
        <v>52</v>
      </c>
      <c r="J15" s="175">
        <v>10</v>
      </c>
      <c r="K15" s="3">
        <f t="shared" si="0"/>
        <v>2015</v>
      </c>
      <c r="L15" s="172">
        <f t="shared" si="1"/>
        <v>2015.75</v>
      </c>
      <c r="M15" s="230">
        <v>5940.48</v>
      </c>
      <c r="N15" s="230">
        <f t="shared" si="2"/>
        <v>5940.48</v>
      </c>
      <c r="O15" s="230">
        <f t="shared" si="3"/>
        <v>49.503999999999998</v>
      </c>
      <c r="P15" s="230">
        <f t="shared" si="4"/>
        <v>594.048</v>
      </c>
      <c r="Q15" s="230">
        <f t="shared" si="5"/>
        <v>0</v>
      </c>
      <c r="R15" s="230"/>
      <c r="S15" s="230">
        <f t="shared" si="6"/>
        <v>5940.48</v>
      </c>
      <c r="T15" s="230">
        <f t="shared" si="7"/>
        <v>5940.48</v>
      </c>
      <c r="U15" s="230">
        <f t="shared" si="8"/>
        <v>0</v>
      </c>
    </row>
    <row r="16" spans="1:21" ht="12" customHeight="1">
      <c r="A16" s="3" t="s">
        <v>40</v>
      </c>
      <c r="D16" s="32">
        <v>8</v>
      </c>
      <c r="E16" s="3" t="s">
        <v>104</v>
      </c>
      <c r="F16" s="3">
        <v>2005</v>
      </c>
      <c r="G16" s="3">
        <v>11</v>
      </c>
      <c r="H16" s="3">
        <v>0</v>
      </c>
      <c r="I16" s="3" t="s">
        <v>52</v>
      </c>
      <c r="J16" s="175">
        <v>10</v>
      </c>
      <c r="K16" s="3">
        <f t="shared" si="0"/>
        <v>2015</v>
      </c>
      <c r="L16" s="172">
        <f t="shared" si="1"/>
        <v>2015.9166666666667</v>
      </c>
      <c r="M16" s="230">
        <v>6789.12</v>
      </c>
      <c r="N16" s="230">
        <f t="shared" si="2"/>
        <v>6789.12</v>
      </c>
      <c r="O16" s="230">
        <f t="shared" si="3"/>
        <v>56.576000000000001</v>
      </c>
      <c r="P16" s="230">
        <f t="shared" si="4"/>
        <v>678.91200000000003</v>
      </c>
      <c r="Q16" s="230">
        <f t="shared" si="5"/>
        <v>0</v>
      </c>
      <c r="R16" s="230"/>
      <c r="S16" s="230">
        <f t="shared" si="6"/>
        <v>6789.12</v>
      </c>
      <c r="T16" s="230">
        <f t="shared" si="7"/>
        <v>6789.12</v>
      </c>
      <c r="U16" s="230">
        <f t="shared" si="8"/>
        <v>0</v>
      </c>
    </row>
    <row r="17" spans="1:21" ht="12" customHeight="1">
      <c r="A17" s="3" t="s">
        <v>415</v>
      </c>
      <c r="C17" s="32">
        <v>173206</v>
      </c>
      <c r="D17" s="32">
        <v>20</v>
      </c>
      <c r="E17" s="3" t="s">
        <v>466</v>
      </c>
      <c r="F17" s="3">
        <v>2005</v>
      </c>
      <c r="G17" s="3">
        <v>7</v>
      </c>
      <c r="H17" s="3">
        <v>0</v>
      </c>
      <c r="I17" s="3" t="s">
        <v>52</v>
      </c>
      <c r="J17" s="175">
        <v>10</v>
      </c>
      <c r="K17" s="3">
        <f t="shared" si="0"/>
        <v>2015</v>
      </c>
      <c r="L17" s="172">
        <f t="shared" si="1"/>
        <v>2015.5833333333333</v>
      </c>
      <c r="M17" s="230">
        <v>8268.7999999999993</v>
      </c>
      <c r="N17" s="230">
        <f t="shared" si="2"/>
        <v>8268.7999999999993</v>
      </c>
      <c r="O17" s="230">
        <f t="shared" si="3"/>
        <v>68.906666666666652</v>
      </c>
      <c r="P17" s="230">
        <f t="shared" si="4"/>
        <v>826.87999999999988</v>
      </c>
      <c r="Q17" s="230">
        <f t="shared" si="5"/>
        <v>0</v>
      </c>
      <c r="R17" s="230"/>
      <c r="S17" s="230">
        <f t="shared" si="6"/>
        <v>8268.7999999999993</v>
      </c>
      <c r="T17" s="230">
        <f t="shared" si="7"/>
        <v>8268.7999999999993</v>
      </c>
      <c r="U17" s="230">
        <f t="shared" si="8"/>
        <v>0</v>
      </c>
    </row>
    <row r="18" spans="1:21" ht="12" customHeight="1">
      <c r="A18" s="3" t="s">
        <v>415</v>
      </c>
      <c r="C18" s="32">
        <v>173200</v>
      </c>
      <c r="D18" s="32">
        <v>5</v>
      </c>
      <c r="E18" s="3" t="s">
        <v>467</v>
      </c>
      <c r="F18" s="3">
        <v>2005</v>
      </c>
      <c r="G18" s="3">
        <v>7</v>
      </c>
      <c r="H18" s="3">
        <v>0</v>
      </c>
      <c r="I18" s="3" t="s">
        <v>52</v>
      </c>
      <c r="J18" s="175">
        <v>10</v>
      </c>
      <c r="K18" s="3">
        <f t="shared" si="0"/>
        <v>2015</v>
      </c>
      <c r="L18" s="172">
        <f t="shared" si="1"/>
        <v>2015.5833333333333</v>
      </c>
      <c r="M18" s="230">
        <v>2148.8000000000002</v>
      </c>
      <c r="N18" s="230">
        <f t="shared" si="2"/>
        <v>2148.8000000000002</v>
      </c>
      <c r="O18" s="230">
        <f t="shared" si="3"/>
        <v>17.90666666666667</v>
      </c>
      <c r="P18" s="230">
        <f t="shared" si="4"/>
        <v>214.88000000000005</v>
      </c>
      <c r="Q18" s="230">
        <f t="shared" si="5"/>
        <v>0</v>
      </c>
      <c r="R18" s="230"/>
      <c r="S18" s="230">
        <f t="shared" si="6"/>
        <v>2148.8000000000002</v>
      </c>
      <c r="T18" s="230">
        <f t="shared" si="7"/>
        <v>2148.8000000000002</v>
      </c>
      <c r="U18" s="230">
        <f t="shared" si="8"/>
        <v>0</v>
      </c>
    </row>
    <row r="19" spans="1:21" ht="12" customHeight="1">
      <c r="A19" s="3" t="s">
        <v>415</v>
      </c>
      <c r="C19" s="32">
        <v>173220</v>
      </c>
      <c r="D19" s="32">
        <v>10</v>
      </c>
      <c r="E19" s="3" t="s">
        <v>468</v>
      </c>
      <c r="F19" s="3">
        <v>2005</v>
      </c>
      <c r="G19" s="3">
        <v>12</v>
      </c>
      <c r="H19" s="3">
        <v>0</v>
      </c>
      <c r="I19" s="3" t="s">
        <v>52</v>
      </c>
      <c r="J19" s="175">
        <v>10</v>
      </c>
      <c r="K19" s="3">
        <f t="shared" si="0"/>
        <v>2015</v>
      </c>
      <c r="L19" s="172">
        <f t="shared" si="1"/>
        <v>2016</v>
      </c>
      <c r="M19" s="230">
        <v>5222.3999999999996</v>
      </c>
      <c r="N19" s="230">
        <f t="shared" si="2"/>
        <v>5222.3999999999996</v>
      </c>
      <c r="O19" s="230">
        <f t="shared" si="3"/>
        <v>43.52</v>
      </c>
      <c r="P19" s="230">
        <f t="shared" si="4"/>
        <v>522.24</v>
      </c>
      <c r="Q19" s="230">
        <f t="shared" si="5"/>
        <v>0</v>
      </c>
      <c r="R19" s="230"/>
      <c r="S19" s="230">
        <f t="shared" si="6"/>
        <v>5222.3999999999996</v>
      </c>
      <c r="T19" s="230">
        <f t="shared" si="7"/>
        <v>5222.3999999999996</v>
      </c>
      <c r="U19" s="230">
        <f t="shared" si="8"/>
        <v>0</v>
      </c>
    </row>
    <row r="20" spans="1:21" ht="12" customHeight="1">
      <c r="A20" s="3" t="s">
        <v>415</v>
      </c>
      <c r="C20" s="32">
        <v>173211</v>
      </c>
      <c r="D20" s="32">
        <v>10</v>
      </c>
      <c r="E20" s="3" t="s">
        <v>469</v>
      </c>
      <c r="F20" s="3">
        <v>2005</v>
      </c>
      <c r="G20" s="3">
        <v>11</v>
      </c>
      <c r="H20" s="3">
        <v>0</v>
      </c>
      <c r="I20" s="3" t="s">
        <v>52</v>
      </c>
      <c r="J20" s="175">
        <v>10</v>
      </c>
      <c r="K20" s="3">
        <f t="shared" si="0"/>
        <v>2015</v>
      </c>
      <c r="L20" s="172">
        <f t="shared" si="1"/>
        <v>2015.9166666666667</v>
      </c>
      <c r="M20" s="230">
        <v>4308.4799999999996</v>
      </c>
      <c r="N20" s="230">
        <f t="shared" si="2"/>
        <v>4308.4799999999996</v>
      </c>
      <c r="O20" s="230">
        <f t="shared" si="3"/>
        <v>35.903999999999996</v>
      </c>
      <c r="P20" s="230">
        <f t="shared" si="4"/>
        <v>430.84799999999996</v>
      </c>
      <c r="Q20" s="230">
        <f t="shared" si="5"/>
        <v>0</v>
      </c>
      <c r="R20" s="230"/>
      <c r="S20" s="230">
        <f t="shared" si="6"/>
        <v>4308.4799999999996</v>
      </c>
      <c r="T20" s="230">
        <f t="shared" si="7"/>
        <v>4308.4799999999996</v>
      </c>
      <c r="U20" s="230">
        <f t="shared" si="8"/>
        <v>0</v>
      </c>
    </row>
    <row r="21" spans="1:21" ht="12" customHeight="1">
      <c r="A21" s="3" t="s">
        <v>415</v>
      </c>
      <c r="C21" s="32">
        <v>173212</v>
      </c>
      <c r="D21" s="32">
        <v>5</v>
      </c>
      <c r="E21" s="3" t="s">
        <v>470</v>
      </c>
      <c r="F21" s="3">
        <v>2005</v>
      </c>
      <c r="G21" s="3">
        <v>11</v>
      </c>
      <c r="H21" s="3">
        <v>0</v>
      </c>
      <c r="I21" s="3" t="s">
        <v>52</v>
      </c>
      <c r="J21" s="175">
        <v>10</v>
      </c>
      <c r="K21" s="3">
        <f t="shared" si="0"/>
        <v>2015</v>
      </c>
      <c r="L21" s="172">
        <f t="shared" si="1"/>
        <v>2015.9166666666667</v>
      </c>
      <c r="M21" s="230">
        <v>2904.96</v>
      </c>
      <c r="N21" s="230">
        <f t="shared" si="2"/>
        <v>2904.96</v>
      </c>
      <c r="O21" s="230">
        <f t="shared" si="3"/>
        <v>24.207999999999998</v>
      </c>
      <c r="P21" s="230">
        <f t="shared" si="4"/>
        <v>290.49599999999998</v>
      </c>
      <c r="Q21" s="230">
        <f t="shared" si="5"/>
        <v>0</v>
      </c>
      <c r="R21" s="230"/>
      <c r="S21" s="230">
        <f t="shared" si="6"/>
        <v>2904.96</v>
      </c>
      <c r="T21" s="230">
        <f t="shared" si="7"/>
        <v>2904.96</v>
      </c>
      <c r="U21" s="230">
        <f t="shared" si="8"/>
        <v>0</v>
      </c>
    </row>
    <row r="22" spans="1:21" ht="12" customHeight="1">
      <c r="A22" s="3" t="s">
        <v>415</v>
      </c>
      <c r="C22" s="32">
        <v>173201</v>
      </c>
      <c r="D22" s="32">
        <v>4</v>
      </c>
      <c r="E22" s="3" t="s">
        <v>471</v>
      </c>
      <c r="F22" s="3">
        <v>2005</v>
      </c>
      <c r="G22" s="3">
        <v>7</v>
      </c>
      <c r="H22" s="3">
        <v>0</v>
      </c>
      <c r="I22" s="3" t="s">
        <v>52</v>
      </c>
      <c r="J22" s="175">
        <v>10</v>
      </c>
      <c r="K22" s="3">
        <f t="shared" si="0"/>
        <v>2015</v>
      </c>
      <c r="L22" s="172">
        <f t="shared" si="1"/>
        <v>2015.5833333333333</v>
      </c>
      <c r="M22" s="230">
        <v>4186.62</v>
      </c>
      <c r="N22" s="230">
        <f t="shared" si="2"/>
        <v>4186.62</v>
      </c>
      <c r="O22" s="230">
        <f t="shared" si="3"/>
        <v>34.888500000000001</v>
      </c>
      <c r="P22" s="230">
        <f t="shared" si="4"/>
        <v>418.66200000000003</v>
      </c>
      <c r="Q22" s="230">
        <f t="shared" si="5"/>
        <v>0</v>
      </c>
      <c r="R22" s="230"/>
      <c r="S22" s="230">
        <f t="shared" si="6"/>
        <v>4186.62</v>
      </c>
      <c r="T22" s="230">
        <f t="shared" si="7"/>
        <v>4186.62</v>
      </c>
      <c r="U22" s="230">
        <f t="shared" si="8"/>
        <v>0</v>
      </c>
    </row>
    <row r="23" spans="1:21" ht="12" customHeight="1">
      <c r="C23" s="32" t="s">
        <v>597</v>
      </c>
      <c r="D23" s="32">
        <v>14</v>
      </c>
      <c r="E23" s="3" t="s">
        <v>598</v>
      </c>
      <c r="F23" s="3">
        <v>2005</v>
      </c>
      <c r="G23" s="3">
        <v>6</v>
      </c>
      <c r="H23" s="3">
        <v>0</v>
      </c>
      <c r="I23" s="3" t="s">
        <v>52</v>
      </c>
      <c r="J23" s="175">
        <v>3</v>
      </c>
      <c r="K23" s="3">
        <f t="shared" si="0"/>
        <v>2008</v>
      </c>
      <c r="L23" s="172">
        <f t="shared" si="1"/>
        <v>2008.5</v>
      </c>
      <c r="M23" s="230">
        <v>397.62</v>
      </c>
      <c r="N23" s="230">
        <f t="shared" si="2"/>
        <v>397.62</v>
      </c>
      <c r="O23" s="230">
        <f t="shared" si="3"/>
        <v>11.045</v>
      </c>
      <c r="P23" s="230">
        <f t="shared" si="4"/>
        <v>132.54</v>
      </c>
      <c r="Q23" s="230">
        <f t="shared" si="5"/>
        <v>0</v>
      </c>
      <c r="R23" s="230"/>
      <c r="S23" s="230">
        <f t="shared" si="6"/>
        <v>397.62</v>
      </c>
      <c r="T23" s="230">
        <f t="shared" si="7"/>
        <v>397.62</v>
      </c>
      <c r="U23" s="230">
        <f t="shared" si="8"/>
        <v>0</v>
      </c>
    </row>
    <row r="24" spans="1:21" ht="12" customHeight="1">
      <c r="A24" s="3" t="s">
        <v>679</v>
      </c>
      <c r="C24" s="32">
        <v>35120</v>
      </c>
      <c r="D24" s="32">
        <v>28</v>
      </c>
      <c r="E24" s="3" t="s">
        <v>683</v>
      </c>
      <c r="F24" s="3">
        <v>2005</v>
      </c>
      <c r="G24" s="3">
        <v>6</v>
      </c>
      <c r="H24" s="3">
        <v>0</v>
      </c>
      <c r="I24" s="3" t="s">
        <v>52</v>
      </c>
      <c r="J24" s="175" t="s">
        <v>754</v>
      </c>
      <c r="K24" s="3">
        <f t="shared" si="0"/>
        <v>2017</v>
      </c>
      <c r="L24" s="172">
        <f t="shared" si="1"/>
        <v>2017.5</v>
      </c>
      <c r="M24" s="230">
        <v>12855.81</v>
      </c>
      <c r="N24" s="230">
        <f t="shared" si="2"/>
        <v>12855.81</v>
      </c>
      <c r="O24" s="230">
        <f t="shared" si="3"/>
        <v>89.276458333333323</v>
      </c>
      <c r="P24" s="230">
        <f t="shared" si="4"/>
        <v>1071.3174999999999</v>
      </c>
      <c r="Q24" s="230">
        <f t="shared" si="5"/>
        <v>0</v>
      </c>
      <c r="R24" s="230"/>
      <c r="S24" s="230">
        <f t="shared" si="6"/>
        <v>12855.81</v>
      </c>
      <c r="T24" s="230">
        <f t="shared" si="7"/>
        <v>12855.81</v>
      </c>
      <c r="U24" s="230">
        <f t="shared" si="8"/>
        <v>0</v>
      </c>
    </row>
    <row r="25" spans="1:21" ht="12" customHeight="1">
      <c r="A25" s="3" t="s">
        <v>679</v>
      </c>
      <c r="C25" s="32">
        <v>37485</v>
      </c>
      <c r="D25" s="32">
        <v>14</v>
      </c>
      <c r="E25" s="3" t="s">
        <v>684</v>
      </c>
      <c r="F25" s="3">
        <v>2005</v>
      </c>
      <c r="G25" s="3">
        <v>9</v>
      </c>
      <c r="H25" s="3">
        <v>0</v>
      </c>
      <c r="I25" s="3" t="s">
        <v>52</v>
      </c>
      <c r="J25" s="175" t="s">
        <v>754</v>
      </c>
      <c r="K25" s="3">
        <f t="shared" si="0"/>
        <v>2017</v>
      </c>
      <c r="L25" s="172">
        <f t="shared" si="1"/>
        <v>2017.75</v>
      </c>
      <c r="M25" s="230">
        <v>8133.89</v>
      </c>
      <c r="N25" s="230">
        <f t="shared" si="2"/>
        <v>8133.89</v>
      </c>
      <c r="O25" s="230">
        <f t="shared" si="3"/>
        <v>56.485347222222224</v>
      </c>
      <c r="P25" s="230">
        <f t="shared" si="4"/>
        <v>677.82416666666666</v>
      </c>
      <c r="Q25" s="230">
        <f t="shared" si="5"/>
        <v>0</v>
      </c>
      <c r="R25" s="230"/>
      <c r="S25" s="230">
        <f t="shared" si="6"/>
        <v>8133.89</v>
      </c>
      <c r="T25" s="230">
        <f t="shared" si="7"/>
        <v>8133.89</v>
      </c>
      <c r="U25" s="230">
        <f t="shared" si="8"/>
        <v>0</v>
      </c>
    </row>
    <row r="26" spans="1:21" ht="12" customHeight="1">
      <c r="A26" s="3" t="s">
        <v>679</v>
      </c>
      <c r="C26" s="32">
        <v>37486</v>
      </c>
      <c r="D26" s="32">
        <v>1</v>
      </c>
      <c r="E26" s="3" t="s">
        <v>684</v>
      </c>
      <c r="F26" s="3">
        <v>2005</v>
      </c>
      <c r="G26" s="3">
        <v>9</v>
      </c>
      <c r="H26" s="3">
        <v>0</v>
      </c>
      <c r="I26" s="3" t="s">
        <v>52</v>
      </c>
      <c r="J26" s="175" t="s">
        <v>754</v>
      </c>
      <c r="K26" s="3">
        <f t="shared" si="0"/>
        <v>2017</v>
      </c>
      <c r="L26" s="172">
        <f t="shared" si="1"/>
        <v>2017.75</v>
      </c>
      <c r="M26" s="230">
        <v>580.99</v>
      </c>
      <c r="N26" s="230">
        <f t="shared" si="2"/>
        <v>580.99</v>
      </c>
      <c r="O26" s="230">
        <f t="shared" si="3"/>
        <v>4.0346527777777776</v>
      </c>
      <c r="P26" s="230">
        <f t="shared" si="4"/>
        <v>48.415833333333332</v>
      </c>
      <c r="Q26" s="230">
        <f t="shared" si="5"/>
        <v>0</v>
      </c>
      <c r="R26" s="230"/>
      <c r="S26" s="230">
        <f t="shared" si="6"/>
        <v>580.99</v>
      </c>
      <c r="T26" s="230">
        <f t="shared" si="7"/>
        <v>580.99</v>
      </c>
      <c r="U26" s="230">
        <f t="shared" si="8"/>
        <v>0</v>
      </c>
    </row>
    <row r="27" spans="1:21" ht="12" customHeight="1">
      <c r="A27" s="3" t="s">
        <v>679</v>
      </c>
      <c r="C27" s="32">
        <v>38171</v>
      </c>
      <c r="D27" s="32">
        <v>2</v>
      </c>
      <c r="E27" s="3" t="s">
        <v>685</v>
      </c>
      <c r="F27" s="3">
        <v>2005</v>
      </c>
      <c r="G27" s="3">
        <v>10</v>
      </c>
      <c r="H27" s="3">
        <v>0</v>
      </c>
      <c r="I27" s="3" t="s">
        <v>52</v>
      </c>
      <c r="J27" s="175" t="s">
        <v>754</v>
      </c>
      <c r="K27" s="3">
        <f t="shared" si="0"/>
        <v>2017</v>
      </c>
      <c r="L27" s="172">
        <f t="shared" si="1"/>
        <v>2017.8333333333333</v>
      </c>
      <c r="M27" s="230">
        <v>859.52</v>
      </c>
      <c r="N27" s="230">
        <f t="shared" si="2"/>
        <v>859.52</v>
      </c>
      <c r="O27" s="230">
        <f t="shared" si="3"/>
        <v>5.9688888888888885</v>
      </c>
      <c r="P27" s="230">
        <f t="shared" si="4"/>
        <v>71.626666666666665</v>
      </c>
      <c r="Q27" s="230">
        <f t="shared" si="5"/>
        <v>0</v>
      </c>
      <c r="R27" s="230"/>
      <c r="S27" s="230">
        <f t="shared" si="6"/>
        <v>859.52</v>
      </c>
      <c r="T27" s="230">
        <f t="shared" si="7"/>
        <v>859.52</v>
      </c>
      <c r="U27" s="230">
        <f t="shared" si="8"/>
        <v>0</v>
      </c>
    </row>
    <row r="28" spans="1:21" ht="12" customHeight="1">
      <c r="A28" s="3" t="s">
        <v>679</v>
      </c>
      <c r="C28" s="32">
        <v>38172</v>
      </c>
      <c r="D28" s="32">
        <v>3</v>
      </c>
      <c r="E28" s="3" t="s">
        <v>686</v>
      </c>
      <c r="F28" s="3">
        <v>2005</v>
      </c>
      <c r="G28" s="3">
        <v>10</v>
      </c>
      <c r="H28" s="3">
        <v>0</v>
      </c>
      <c r="I28" s="3" t="s">
        <v>52</v>
      </c>
      <c r="J28" s="175" t="s">
        <v>754</v>
      </c>
      <c r="K28" s="3">
        <f t="shared" si="0"/>
        <v>2017</v>
      </c>
      <c r="L28" s="172">
        <f t="shared" si="1"/>
        <v>2017.8333333333333</v>
      </c>
      <c r="M28" s="230">
        <v>1289.28</v>
      </c>
      <c r="N28" s="230">
        <f t="shared" si="2"/>
        <v>1289.28</v>
      </c>
      <c r="O28" s="230">
        <f t="shared" si="3"/>
        <v>8.9533333333333331</v>
      </c>
      <c r="P28" s="230">
        <f t="shared" si="4"/>
        <v>107.44</v>
      </c>
      <c r="Q28" s="230">
        <f t="shared" si="5"/>
        <v>0</v>
      </c>
      <c r="R28" s="230"/>
      <c r="S28" s="230">
        <f t="shared" si="6"/>
        <v>1289.28</v>
      </c>
      <c r="T28" s="230">
        <f t="shared" si="7"/>
        <v>1289.28</v>
      </c>
      <c r="U28" s="230">
        <f t="shared" si="8"/>
        <v>0</v>
      </c>
    </row>
    <row r="29" spans="1:21" ht="12" customHeight="1">
      <c r="A29" s="3" t="s">
        <v>40</v>
      </c>
      <c r="D29" s="32">
        <v>10</v>
      </c>
      <c r="E29" s="3" t="s">
        <v>149</v>
      </c>
      <c r="F29" s="3">
        <v>2006</v>
      </c>
      <c r="G29" s="3">
        <v>10</v>
      </c>
      <c r="H29" s="3">
        <v>0</v>
      </c>
      <c r="I29" s="3" t="s">
        <v>52</v>
      </c>
      <c r="J29" s="175">
        <v>10</v>
      </c>
      <c r="K29" s="3">
        <f t="shared" si="0"/>
        <v>2016</v>
      </c>
      <c r="L29" s="172">
        <f t="shared" si="1"/>
        <v>2016.8333333333333</v>
      </c>
      <c r="M29" s="230">
        <v>4406.3999999999996</v>
      </c>
      <c r="N29" s="230">
        <f t="shared" si="2"/>
        <v>4406.3999999999996</v>
      </c>
      <c r="O29" s="230">
        <f t="shared" si="3"/>
        <v>36.72</v>
      </c>
      <c r="P29" s="230">
        <f t="shared" si="4"/>
        <v>440.64</v>
      </c>
      <c r="Q29" s="230">
        <f t="shared" si="5"/>
        <v>0</v>
      </c>
      <c r="R29" s="230"/>
      <c r="S29" s="230">
        <f t="shared" si="6"/>
        <v>4406.3999999999996</v>
      </c>
      <c r="T29" s="230">
        <f t="shared" si="7"/>
        <v>4406.3999999999996</v>
      </c>
      <c r="U29" s="230">
        <f t="shared" si="8"/>
        <v>0</v>
      </c>
    </row>
    <row r="30" spans="1:21" ht="12" customHeight="1">
      <c r="A30" s="3" t="s">
        <v>40</v>
      </c>
      <c r="D30" s="32">
        <v>15</v>
      </c>
      <c r="E30" s="3" t="s">
        <v>151</v>
      </c>
      <c r="F30" s="3">
        <v>2006</v>
      </c>
      <c r="G30" s="3">
        <v>12</v>
      </c>
      <c r="H30" s="3">
        <v>0</v>
      </c>
      <c r="I30" s="3" t="s">
        <v>52</v>
      </c>
      <c r="J30" s="175">
        <v>10</v>
      </c>
      <c r="K30" s="3">
        <f t="shared" si="0"/>
        <v>2016</v>
      </c>
      <c r="L30" s="172">
        <f t="shared" si="1"/>
        <v>2017</v>
      </c>
      <c r="M30" s="230">
        <v>7539.84</v>
      </c>
      <c r="N30" s="230">
        <f t="shared" si="2"/>
        <v>7539.84</v>
      </c>
      <c r="O30" s="230">
        <f t="shared" si="3"/>
        <v>62.832000000000001</v>
      </c>
      <c r="P30" s="230">
        <f t="shared" si="4"/>
        <v>753.98400000000004</v>
      </c>
      <c r="Q30" s="230">
        <f t="shared" si="5"/>
        <v>0</v>
      </c>
      <c r="R30" s="230"/>
      <c r="S30" s="230">
        <f t="shared" si="6"/>
        <v>7539.84</v>
      </c>
      <c r="T30" s="230">
        <f t="shared" si="7"/>
        <v>7539.84</v>
      </c>
      <c r="U30" s="230">
        <f t="shared" si="8"/>
        <v>0</v>
      </c>
    </row>
    <row r="31" spans="1:21" ht="12" customHeight="1">
      <c r="A31" s="3" t="s">
        <v>40</v>
      </c>
      <c r="D31" s="32">
        <v>10</v>
      </c>
      <c r="E31" s="3" t="s">
        <v>103</v>
      </c>
      <c r="F31" s="3">
        <v>2006</v>
      </c>
      <c r="G31" s="3">
        <v>3</v>
      </c>
      <c r="H31" s="3">
        <v>0</v>
      </c>
      <c r="I31" s="3" t="s">
        <v>52</v>
      </c>
      <c r="J31" s="175">
        <v>10</v>
      </c>
      <c r="K31" s="3">
        <f t="shared" si="0"/>
        <v>2016</v>
      </c>
      <c r="L31" s="172">
        <f t="shared" si="1"/>
        <v>2016.25</v>
      </c>
      <c r="M31" s="230">
        <v>4591.3599999999997</v>
      </c>
      <c r="N31" s="230">
        <f t="shared" si="2"/>
        <v>4591.3599999999997</v>
      </c>
      <c r="O31" s="230">
        <f t="shared" si="3"/>
        <v>38.261333333333333</v>
      </c>
      <c r="P31" s="230">
        <f t="shared" si="4"/>
        <v>459.13599999999997</v>
      </c>
      <c r="Q31" s="230">
        <f t="shared" si="5"/>
        <v>0</v>
      </c>
      <c r="R31" s="230"/>
      <c r="S31" s="230">
        <f t="shared" si="6"/>
        <v>4591.3599999999997</v>
      </c>
      <c r="T31" s="230">
        <f t="shared" si="7"/>
        <v>4591.3599999999997</v>
      </c>
      <c r="U31" s="230">
        <f t="shared" si="8"/>
        <v>0</v>
      </c>
    </row>
    <row r="32" spans="1:21" ht="12" customHeight="1">
      <c r="A32" s="3" t="s">
        <v>40</v>
      </c>
      <c r="D32" s="32">
        <v>35</v>
      </c>
      <c r="E32" s="3" t="s">
        <v>103</v>
      </c>
      <c r="F32" s="3">
        <v>2006</v>
      </c>
      <c r="G32" s="3">
        <v>5</v>
      </c>
      <c r="H32" s="3">
        <v>0</v>
      </c>
      <c r="I32" s="3" t="s">
        <v>52</v>
      </c>
      <c r="J32" s="175">
        <v>10</v>
      </c>
      <c r="K32" s="3">
        <f t="shared" si="0"/>
        <v>2016</v>
      </c>
      <c r="L32" s="172">
        <f t="shared" si="1"/>
        <v>2016.4166666666667</v>
      </c>
      <c r="M32" s="230">
        <v>16564.8</v>
      </c>
      <c r="N32" s="230">
        <f t="shared" si="2"/>
        <v>16564.8</v>
      </c>
      <c r="O32" s="230">
        <f t="shared" si="3"/>
        <v>138.04</v>
      </c>
      <c r="P32" s="230">
        <f t="shared" si="4"/>
        <v>1656.48</v>
      </c>
      <c r="Q32" s="230">
        <f t="shared" si="5"/>
        <v>0</v>
      </c>
      <c r="R32" s="230"/>
      <c r="S32" s="230">
        <f t="shared" si="6"/>
        <v>16564.8</v>
      </c>
      <c r="T32" s="230">
        <f t="shared" si="7"/>
        <v>16564.8</v>
      </c>
      <c r="U32" s="230">
        <f t="shared" si="8"/>
        <v>0</v>
      </c>
    </row>
    <row r="33" spans="1:21" ht="12" customHeight="1">
      <c r="A33" s="3" t="s">
        <v>40</v>
      </c>
      <c r="D33" s="32">
        <v>15</v>
      </c>
      <c r="E33" s="3" t="s">
        <v>103</v>
      </c>
      <c r="F33" s="3">
        <v>2006</v>
      </c>
      <c r="G33" s="3">
        <v>12</v>
      </c>
      <c r="H33" s="3">
        <v>0</v>
      </c>
      <c r="I33" s="3" t="s">
        <v>52</v>
      </c>
      <c r="J33" s="175">
        <v>10</v>
      </c>
      <c r="K33" s="3">
        <f t="shared" si="0"/>
        <v>2016</v>
      </c>
      <c r="L33" s="172">
        <f t="shared" si="1"/>
        <v>2017</v>
      </c>
      <c r="M33" s="230">
        <v>7050.24</v>
      </c>
      <c r="N33" s="230">
        <f t="shared" si="2"/>
        <v>7050.24</v>
      </c>
      <c r="O33" s="230">
        <f t="shared" si="3"/>
        <v>58.752000000000002</v>
      </c>
      <c r="P33" s="230">
        <f t="shared" si="4"/>
        <v>705.024</v>
      </c>
      <c r="Q33" s="230">
        <f t="shared" si="5"/>
        <v>0</v>
      </c>
      <c r="R33" s="230"/>
      <c r="S33" s="230">
        <f t="shared" si="6"/>
        <v>7050.24</v>
      </c>
      <c r="T33" s="230">
        <f t="shared" si="7"/>
        <v>7050.24</v>
      </c>
      <c r="U33" s="230">
        <f t="shared" si="8"/>
        <v>0</v>
      </c>
    </row>
    <row r="34" spans="1:21" ht="12" customHeight="1">
      <c r="A34" s="3" t="s">
        <v>40</v>
      </c>
      <c r="D34" s="32">
        <v>10</v>
      </c>
      <c r="E34" s="3" t="s">
        <v>150</v>
      </c>
      <c r="F34" s="3">
        <v>2006</v>
      </c>
      <c r="G34" s="3">
        <v>12</v>
      </c>
      <c r="H34" s="3">
        <v>0</v>
      </c>
      <c r="I34" s="3" t="s">
        <v>52</v>
      </c>
      <c r="J34" s="175">
        <v>10</v>
      </c>
      <c r="K34" s="3">
        <f t="shared" si="0"/>
        <v>2016</v>
      </c>
      <c r="L34" s="172">
        <f t="shared" si="1"/>
        <v>2017</v>
      </c>
      <c r="M34" s="230">
        <v>6299.52</v>
      </c>
      <c r="N34" s="230">
        <f t="shared" si="2"/>
        <v>6299.52</v>
      </c>
      <c r="O34" s="230">
        <f t="shared" si="3"/>
        <v>52.496000000000002</v>
      </c>
      <c r="P34" s="230">
        <f t="shared" si="4"/>
        <v>629.952</v>
      </c>
      <c r="Q34" s="230">
        <f t="shared" si="5"/>
        <v>0</v>
      </c>
      <c r="R34" s="230"/>
      <c r="S34" s="230">
        <f t="shared" si="6"/>
        <v>6299.52</v>
      </c>
      <c r="T34" s="230">
        <f t="shared" si="7"/>
        <v>6299.52</v>
      </c>
      <c r="U34" s="230">
        <f t="shared" si="8"/>
        <v>0</v>
      </c>
    </row>
    <row r="35" spans="1:21" ht="12" customHeight="1">
      <c r="A35" s="3" t="s">
        <v>40</v>
      </c>
      <c r="D35" s="32">
        <v>5</v>
      </c>
      <c r="E35" s="3" t="s">
        <v>104</v>
      </c>
      <c r="F35" s="3">
        <v>2006</v>
      </c>
      <c r="G35" s="3">
        <v>3</v>
      </c>
      <c r="H35" s="3">
        <v>0</v>
      </c>
      <c r="I35" s="3" t="s">
        <v>52</v>
      </c>
      <c r="J35" s="175">
        <v>10</v>
      </c>
      <c r="K35" s="3">
        <f t="shared" si="0"/>
        <v>2016</v>
      </c>
      <c r="L35" s="172">
        <f t="shared" si="1"/>
        <v>2016.25</v>
      </c>
      <c r="M35" s="230">
        <v>4020.16</v>
      </c>
      <c r="N35" s="230">
        <f t="shared" si="2"/>
        <v>4020.16</v>
      </c>
      <c r="O35" s="230">
        <f t="shared" si="3"/>
        <v>33.501333333333328</v>
      </c>
      <c r="P35" s="230">
        <f t="shared" si="4"/>
        <v>402.01599999999996</v>
      </c>
      <c r="Q35" s="230">
        <f t="shared" si="5"/>
        <v>0</v>
      </c>
      <c r="R35" s="230"/>
      <c r="S35" s="230">
        <f t="shared" si="6"/>
        <v>4020.16</v>
      </c>
      <c r="T35" s="230">
        <f t="shared" si="7"/>
        <v>4020.16</v>
      </c>
      <c r="U35" s="230">
        <f t="shared" si="8"/>
        <v>0</v>
      </c>
    </row>
    <row r="36" spans="1:21" ht="12" customHeight="1">
      <c r="A36" s="3" t="s">
        <v>40</v>
      </c>
      <c r="D36" s="32">
        <v>10</v>
      </c>
      <c r="E36" s="3" t="s">
        <v>104</v>
      </c>
      <c r="F36" s="3">
        <v>2006</v>
      </c>
      <c r="G36" s="3">
        <v>8</v>
      </c>
      <c r="H36" s="3">
        <v>0</v>
      </c>
      <c r="I36" s="3" t="s">
        <v>52</v>
      </c>
      <c r="J36" s="175">
        <v>10</v>
      </c>
      <c r="K36" s="3">
        <f t="shared" si="0"/>
        <v>2016</v>
      </c>
      <c r="L36" s="172">
        <f t="shared" si="1"/>
        <v>2016.6666666666667</v>
      </c>
      <c r="M36" s="230">
        <v>8432</v>
      </c>
      <c r="N36" s="230">
        <f t="shared" si="2"/>
        <v>8432</v>
      </c>
      <c r="O36" s="230">
        <f t="shared" si="3"/>
        <v>70.266666666666666</v>
      </c>
      <c r="P36" s="230">
        <f t="shared" si="4"/>
        <v>843.2</v>
      </c>
      <c r="Q36" s="230">
        <f t="shared" si="5"/>
        <v>0</v>
      </c>
      <c r="R36" s="230"/>
      <c r="S36" s="230">
        <f t="shared" si="6"/>
        <v>8432</v>
      </c>
      <c r="T36" s="230">
        <f t="shared" si="7"/>
        <v>8432</v>
      </c>
      <c r="U36" s="230">
        <f t="shared" si="8"/>
        <v>0</v>
      </c>
    </row>
    <row r="37" spans="1:21" ht="12" customHeight="1">
      <c r="A37" s="3" t="s">
        <v>415</v>
      </c>
      <c r="C37" s="32">
        <v>173238</v>
      </c>
      <c r="D37" s="32">
        <v>10</v>
      </c>
      <c r="E37" s="3" t="s">
        <v>472</v>
      </c>
      <c r="F37" s="3">
        <v>2006</v>
      </c>
      <c r="G37" s="3">
        <v>12</v>
      </c>
      <c r="H37" s="3">
        <v>0</v>
      </c>
      <c r="I37" s="3" t="s">
        <v>52</v>
      </c>
      <c r="J37" s="175">
        <v>10</v>
      </c>
      <c r="K37" s="3">
        <f t="shared" si="0"/>
        <v>2016</v>
      </c>
      <c r="L37" s="172">
        <f t="shared" si="1"/>
        <v>2017</v>
      </c>
      <c r="M37" s="230">
        <v>4308.4799999999996</v>
      </c>
      <c r="N37" s="230">
        <f t="shared" si="2"/>
        <v>4308.4799999999996</v>
      </c>
      <c r="O37" s="230">
        <f t="shared" si="3"/>
        <v>35.903999999999996</v>
      </c>
      <c r="P37" s="230">
        <f t="shared" si="4"/>
        <v>430.84799999999996</v>
      </c>
      <c r="Q37" s="230">
        <f t="shared" si="5"/>
        <v>0</v>
      </c>
      <c r="R37" s="230"/>
      <c r="S37" s="230">
        <f t="shared" si="6"/>
        <v>4308.4799999999996</v>
      </c>
      <c r="T37" s="230">
        <f t="shared" si="7"/>
        <v>4308.4799999999996</v>
      </c>
      <c r="U37" s="230">
        <f t="shared" si="8"/>
        <v>0</v>
      </c>
    </row>
    <row r="38" spans="1:21" ht="12" customHeight="1">
      <c r="A38" s="3" t="s">
        <v>415</v>
      </c>
      <c r="C38" s="32">
        <v>173237</v>
      </c>
      <c r="D38" s="32">
        <v>22</v>
      </c>
      <c r="E38" s="3" t="s">
        <v>473</v>
      </c>
      <c r="F38" s="3">
        <v>2006</v>
      </c>
      <c r="G38" s="3">
        <v>12</v>
      </c>
      <c r="H38" s="3">
        <v>0</v>
      </c>
      <c r="I38" s="3" t="s">
        <v>52</v>
      </c>
      <c r="J38" s="175">
        <v>10</v>
      </c>
      <c r="K38" s="3">
        <f t="shared" si="0"/>
        <v>2016</v>
      </c>
      <c r="L38" s="172">
        <f t="shared" si="1"/>
        <v>2017</v>
      </c>
      <c r="M38" s="230">
        <v>10340.35</v>
      </c>
      <c r="N38" s="230">
        <f t="shared" si="2"/>
        <v>10340.35</v>
      </c>
      <c r="O38" s="230">
        <f t="shared" si="3"/>
        <v>86.169583333333335</v>
      </c>
      <c r="P38" s="230">
        <f t="shared" si="4"/>
        <v>1034.0350000000001</v>
      </c>
      <c r="Q38" s="230">
        <f t="shared" si="5"/>
        <v>0</v>
      </c>
      <c r="R38" s="230"/>
      <c r="S38" s="230">
        <f t="shared" si="6"/>
        <v>10340.35</v>
      </c>
      <c r="T38" s="230">
        <f t="shared" si="7"/>
        <v>10340.35</v>
      </c>
      <c r="U38" s="230">
        <f t="shared" si="8"/>
        <v>0</v>
      </c>
    </row>
    <row r="39" spans="1:21" ht="12" customHeight="1">
      <c r="A39" s="3" t="s">
        <v>415</v>
      </c>
      <c r="C39" s="32">
        <v>173226</v>
      </c>
      <c r="D39" s="32">
        <v>5</v>
      </c>
      <c r="E39" s="3" t="s">
        <v>470</v>
      </c>
      <c r="F39" s="3">
        <v>2006</v>
      </c>
      <c r="G39" s="3">
        <v>3</v>
      </c>
      <c r="H39" s="3">
        <v>0</v>
      </c>
      <c r="I39" s="3" t="s">
        <v>52</v>
      </c>
      <c r="J39" s="175">
        <v>10</v>
      </c>
      <c r="K39" s="3">
        <f t="shared" si="0"/>
        <v>2016</v>
      </c>
      <c r="L39" s="172">
        <f t="shared" si="1"/>
        <v>2016.25</v>
      </c>
      <c r="M39" s="230">
        <v>2970.24</v>
      </c>
      <c r="N39" s="230">
        <f t="shared" si="2"/>
        <v>2970.24</v>
      </c>
      <c r="O39" s="230">
        <f t="shared" si="3"/>
        <v>24.751999999999999</v>
      </c>
      <c r="P39" s="230">
        <f t="shared" si="4"/>
        <v>297.024</v>
      </c>
      <c r="Q39" s="230">
        <f t="shared" si="5"/>
        <v>0</v>
      </c>
      <c r="R39" s="230"/>
      <c r="S39" s="230">
        <f t="shared" si="6"/>
        <v>2970.24</v>
      </c>
      <c r="T39" s="230">
        <f t="shared" si="7"/>
        <v>2970.24</v>
      </c>
      <c r="U39" s="230">
        <f t="shared" si="8"/>
        <v>0</v>
      </c>
    </row>
    <row r="40" spans="1:21" ht="12" customHeight="1">
      <c r="C40" s="32">
        <v>173228</v>
      </c>
      <c r="D40" s="32">
        <v>10</v>
      </c>
      <c r="E40" s="3" t="s">
        <v>595</v>
      </c>
      <c r="F40" s="3">
        <v>2006</v>
      </c>
      <c r="G40" s="3">
        <v>3</v>
      </c>
      <c r="H40" s="3">
        <v>0</v>
      </c>
      <c r="I40" s="3" t="s">
        <v>52</v>
      </c>
      <c r="J40" s="175">
        <v>10</v>
      </c>
      <c r="K40" s="3">
        <f t="shared" si="0"/>
        <v>2016</v>
      </c>
      <c r="L40" s="172">
        <f t="shared" si="1"/>
        <v>2016.25</v>
      </c>
      <c r="M40" s="230">
        <v>8040.32</v>
      </c>
      <c r="N40" s="230">
        <f t="shared" si="2"/>
        <v>8040.32</v>
      </c>
      <c r="O40" s="230">
        <f t="shared" si="3"/>
        <v>67.002666666666656</v>
      </c>
      <c r="P40" s="230">
        <f t="shared" si="4"/>
        <v>804.03199999999993</v>
      </c>
      <c r="Q40" s="230">
        <f t="shared" si="5"/>
        <v>0</v>
      </c>
      <c r="R40" s="230"/>
      <c r="S40" s="230">
        <f t="shared" si="6"/>
        <v>8040.32</v>
      </c>
      <c r="T40" s="230">
        <f t="shared" si="7"/>
        <v>8040.32</v>
      </c>
      <c r="U40" s="230">
        <f t="shared" si="8"/>
        <v>0</v>
      </c>
    </row>
    <row r="41" spans="1:21" ht="12" customHeight="1">
      <c r="A41" s="3" t="s">
        <v>679</v>
      </c>
      <c r="C41" s="32">
        <v>42250</v>
      </c>
      <c r="D41" s="32">
        <v>5</v>
      </c>
      <c r="E41" s="3" t="s">
        <v>476</v>
      </c>
      <c r="F41" s="3">
        <v>2006</v>
      </c>
      <c r="G41" s="3">
        <v>4</v>
      </c>
      <c r="H41" s="3">
        <v>0</v>
      </c>
      <c r="I41" s="3" t="s">
        <v>52</v>
      </c>
      <c r="J41" s="175" t="s">
        <v>754</v>
      </c>
      <c r="K41" s="3">
        <f t="shared" si="0"/>
        <v>2018</v>
      </c>
      <c r="L41" s="172">
        <f t="shared" si="1"/>
        <v>2018.3333333333333</v>
      </c>
      <c r="M41" s="230">
        <v>3046.4</v>
      </c>
      <c r="N41" s="230">
        <f t="shared" si="2"/>
        <v>3046.4</v>
      </c>
      <c r="O41" s="230">
        <f t="shared" si="3"/>
        <v>21.155555555555555</v>
      </c>
      <c r="P41" s="230">
        <f t="shared" si="4"/>
        <v>253.86666666666667</v>
      </c>
      <c r="Q41" s="230">
        <f t="shared" si="5"/>
        <v>0</v>
      </c>
      <c r="R41" s="230"/>
      <c r="S41" s="230">
        <f t="shared" si="6"/>
        <v>3046.4</v>
      </c>
      <c r="T41" s="230">
        <f t="shared" si="7"/>
        <v>3046.4</v>
      </c>
      <c r="U41" s="230">
        <f t="shared" si="8"/>
        <v>0</v>
      </c>
    </row>
    <row r="42" spans="1:21" ht="12" customHeight="1">
      <c r="A42" s="3" t="s">
        <v>679</v>
      </c>
      <c r="C42" s="32">
        <v>43055</v>
      </c>
      <c r="D42" s="32">
        <v>8</v>
      </c>
      <c r="E42" s="3" t="s">
        <v>687</v>
      </c>
      <c r="F42" s="3">
        <v>2006</v>
      </c>
      <c r="G42" s="3">
        <v>4</v>
      </c>
      <c r="H42" s="3">
        <v>0</v>
      </c>
      <c r="I42" s="3" t="s">
        <v>52</v>
      </c>
      <c r="J42" s="175" t="s">
        <v>754</v>
      </c>
      <c r="K42" s="3">
        <f t="shared" si="0"/>
        <v>2018</v>
      </c>
      <c r="L42" s="172">
        <f t="shared" si="1"/>
        <v>2018.3333333333333</v>
      </c>
      <c r="M42" s="230">
        <v>3464.19</v>
      </c>
      <c r="N42" s="230">
        <f t="shared" si="2"/>
        <v>3464.19</v>
      </c>
      <c r="O42" s="230">
        <f t="shared" si="3"/>
        <v>24.056875000000002</v>
      </c>
      <c r="P42" s="230">
        <f t="shared" si="4"/>
        <v>288.6825</v>
      </c>
      <c r="Q42" s="230">
        <f t="shared" si="5"/>
        <v>0</v>
      </c>
      <c r="R42" s="230"/>
      <c r="S42" s="230">
        <f t="shared" si="6"/>
        <v>3464.19</v>
      </c>
      <c r="T42" s="230">
        <f t="shared" si="7"/>
        <v>3464.19</v>
      </c>
      <c r="U42" s="230">
        <f t="shared" si="8"/>
        <v>0</v>
      </c>
    </row>
    <row r="43" spans="1:21" ht="12" customHeight="1">
      <c r="A43" s="3" t="s">
        <v>679</v>
      </c>
      <c r="C43" s="32">
        <v>43056</v>
      </c>
      <c r="D43" s="32">
        <v>7</v>
      </c>
      <c r="E43" s="3" t="s">
        <v>687</v>
      </c>
      <c r="F43" s="3">
        <v>2006</v>
      </c>
      <c r="G43" s="3">
        <v>4</v>
      </c>
      <c r="H43" s="3">
        <v>0</v>
      </c>
      <c r="I43" s="3" t="s">
        <v>52</v>
      </c>
      <c r="J43" s="175" t="s">
        <v>754</v>
      </c>
      <c r="K43" s="3">
        <f t="shared" si="0"/>
        <v>2018</v>
      </c>
      <c r="L43" s="172">
        <f t="shared" si="1"/>
        <v>2018.3333333333333</v>
      </c>
      <c r="M43" s="230">
        <v>3031.17</v>
      </c>
      <c r="N43" s="230">
        <f t="shared" si="2"/>
        <v>3031.17</v>
      </c>
      <c r="O43" s="230">
        <f t="shared" si="3"/>
        <v>21.049791666666668</v>
      </c>
      <c r="P43" s="230">
        <f t="shared" si="4"/>
        <v>252.59750000000003</v>
      </c>
      <c r="Q43" s="230">
        <f t="shared" si="5"/>
        <v>0</v>
      </c>
      <c r="R43" s="230"/>
      <c r="S43" s="230">
        <f t="shared" si="6"/>
        <v>3031.17</v>
      </c>
      <c r="T43" s="230">
        <f t="shared" si="7"/>
        <v>3031.17</v>
      </c>
      <c r="U43" s="230">
        <f t="shared" si="8"/>
        <v>0</v>
      </c>
    </row>
    <row r="44" spans="1:21" ht="12" customHeight="1">
      <c r="A44" s="3" t="s">
        <v>679</v>
      </c>
      <c r="C44" s="32">
        <v>45288</v>
      </c>
      <c r="D44" s="32">
        <v>10</v>
      </c>
      <c r="E44" s="3" t="s">
        <v>688</v>
      </c>
      <c r="F44" s="3">
        <v>2006</v>
      </c>
      <c r="G44" s="3">
        <v>8</v>
      </c>
      <c r="H44" s="3">
        <v>0</v>
      </c>
      <c r="I44" s="3" t="s">
        <v>52</v>
      </c>
      <c r="J44" s="175" t="s">
        <v>754</v>
      </c>
      <c r="K44" s="3">
        <f t="shared" si="0"/>
        <v>2018</v>
      </c>
      <c r="L44" s="172">
        <f t="shared" si="1"/>
        <v>2018.6666666666667</v>
      </c>
      <c r="M44" s="230">
        <v>4700.16</v>
      </c>
      <c r="N44" s="230">
        <f t="shared" si="2"/>
        <v>4700.16</v>
      </c>
      <c r="O44" s="230">
        <f t="shared" si="3"/>
        <v>32.64</v>
      </c>
      <c r="P44" s="230">
        <f t="shared" si="4"/>
        <v>391.68</v>
      </c>
      <c r="Q44" s="230">
        <f t="shared" si="5"/>
        <v>0</v>
      </c>
      <c r="R44" s="230"/>
      <c r="S44" s="230">
        <f t="shared" si="6"/>
        <v>4700.16</v>
      </c>
      <c r="T44" s="230">
        <f t="shared" si="7"/>
        <v>4700.16</v>
      </c>
      <c r="U44" s="230">
        <f t="shared" si="8"/>
        <v>0</v>
      </c>
    </row>
    <row r="45" spans="1:21" ht="12" customHeight="1">
      <c r="A45" s="3" t="s">
        <v>679</v>
      </c>
      <c r="C45" s="32">
        <v>47387</v>
      </c>
      <c r="D45" s="32">
        <v>10</v>
      </c>
      <c r="E45" s="3" t="s">
        <v>688</v>
      </c>
      <c r="F45" s="3">
        <v>2006</v>
      </c>
      <c r="G45" s="3">
        <v>8</v>
      </c>
      <c r="H45" s="3">
        <v>0</v>
      </c>
      <c r="I45" s="3" t="s">
        <v>52</v>
      </c>
      <c r="J45" s="175" t="s">
        <v>754</v>
      </c>
      <c r="K45" s="3">
        <f t="shared" si="0"/>
        <v>2018</v>
      </c>
      <c r="L45" s="172">
        <f t="shared" si="1"/>
        <v>2018.6666666666667</v>
      </c>
      <c r="M45" s="230">
        <v>4700.16</v>
      </c>
      <c r="N45" s="230">
        <f t="shared" si="2"/>
        <v>4700.16</v>
      </c>
      <c r="O45" s="230">
        <f t="shared" si="3"/>
        <v>32.64</v>
      </c>
      <c r="P45" s="230">
        <f t="shared" si="4"/>
        <v>391.68</v>
      </c>
      <c r="Q45" s="230">
        <f t="shared" si="5"/>
        <v>0</v>
      </c>
      <c r="R45" s="230"/>
      <c r="S45" s="230">
        <f t="shared" si="6"/>
        <v>4700.16</v>
      </c>
      <c r="T45" s="230">
        <f t="shared" si="7"/>
        <v>4700.16</v>
      </c>
      <c r="U45" s="230">
        <f t="shared" si="8"/>
        <v>0</v>
      </c>
    </row>
    <row r="46" spans="1:21" ht="12" customHeight="1">
      <c r="A46" s="3" t="s">
        <v>679</v>
      </c>
      <c r="C46" s="32">
        <v>47402</v>
      </c>
      <c r="D46" s="32">
        <v>5</v>
      </c>
      <c r="E46" s="3" t="s">
        <v>689</v>
      </c>
      <c r="F46" s="3">
        <v>2006</v>
      </c>
      <c r="G46" s="3">
        <v>12</v>
      </c>
      <c r="H46" s="3">
        <v>0</v>
      </c>
      <c r="I46" s="3" t="s">
        <v>52</v>
      </c>
      <c r="J46" s="175" t="s">
        <v>754</v>
      </c>
      <c r="K46" s="3">
        <f t="shared" si="0"/>
        <v>2018</v>
      </c>
      <c r="L46" s="172">
        <f t="shared" si="1"/>
        <v>2019</v>
      </c>
      <c r="M46" s="230">
        <v>3149.76</v>
      </c>
      <c r="N46" s="230">
        <f t="shared" si="2"/>
        <v>3149.76</v>
      </c>
      <c r="O46" s="230">
        <f t="shared" si="3"/>
        <v>21.873333333333335</v>
      </c>
      <c r="P46" s="230">
        <f t="shared" si="4"/>
        <v>262.48</v>
      </c>
      <c r="Q46" s="230">
        <f t="shared" si="5"/>
        <v>0</v>
      </c>
      <c r="R46" s="230"/>
      <c r="S46" s="230">
        <f t="shared" si="6"/>
        <v>3149.76</v>
      </c>
      <c r="T46" s="230">
        <f t="shared" si="7"/>
        <v>3149.76</v>
      </c>
      <c r="U46" s="230">
        <f t="shared" si="8"/>
        <v>0</v>
      </c>
    </row>
    <row r="47" spans="1:21" ht="12" customHeight="1">
      <c r="A47" s="3" t="s">
        <v>679</v>
      </c>
      <c r="C47" s="32">
        <v>47403</v>
      </c>
      <c r="D47" s="32">
        <v>5</v>
      </c>
      <c r="E47" s="3" t="s">
        <v>690</v>
      </c>
      <c r="F47" s="3">
        <v>2006</v>
      </c>
      <c r="G47" s="3">
        <v>12</v>
      </c>
      <c r="H47" s="3">
        <v>0</v>
      </c>
      <c r="I47" s="3" t="s">
        <v>52</v>
      </c>
      <c r="J47" s="175" t="s">
        <v>754</v>
      </c>
      <c r="K47" s="3">
        <f t="shared" si="0"/>
        <v>2018</v>
      </c>
      <c r="L47" s="172">
        <f t="shared" si="1"/>
        <v>2019</v>
      </c>
      <c r="M47" s="230">
        <v>4270.3999999999996</v>
      </c>
      <c r="N47" s="230">
        <f t="shared" si="2"/>
        <v>4270.3999999999996</v>
      </c>
      <c r="O47" s="230">
        <f t="shared" si="3"/>
        <v>29.655555555555551</v>
      </c>
      <c r="P47" s="230">
        <f t="shared" si="4"/>
        <v>355.86666666666662</v>
      </c>
      <c r="Q47" s="230">
        <f t="shared" si="5"/>
        <v>0</v>
      </c>
      <c r="R47" s="230"/>
      <c r="S47" s="230">
        <f t="shared" si="6"/>
        <v>4270.3999999999996</v>
      </c>
      <c r="T47" s="230">
        <f t="shared" si="7"/>
        <v>4270.3999999999996</v>
      </c>
      <c r="U47" s="230">
        <f t="shared" si="8"/>
        <v>0</v>
      </c>
    </row>
    <row r="48" spans="1:21" ht="12" customHeight="1">
      <c r="A48" s="3" t="s">
        <v>679</v>
      </c>
      <c r="C48" s="32">
        <v>47555</v>
      </c>
      <c r="D48" s="32">
        <v>10</v>
      </c>
      <c r="E48" s="3" t="s">
        <v>691</v>
      </c>
      <c r="F48" s="3">
        <v>2006</v>
      </c>
      <c r="G48" s="3">
        <v>12</v>
      </c>
      <c r="H48" s="3">
        <v>0</v>
      </c>
      <c r="I48" s="3" t="s">
        <v>52</v>
      </c>
      <c r="J48" s="175" t="s">
        <v>754</v>
      </c>
      <c r="K48" s="3">
        <f t="shared" si="0"/>
        <v>2018</v>
      </c>
      <c r="L48" s="172">
        <f t="shared" si="1"/>
        <v>2019</v>
      </c>
      <c r="M48" s="230">
        <v>4700.16</v>
      </c>
      <c r="N48" s="230">
        <f t="shared" si="2"/>
        <v>4700.16</v>
      </c>
      <c r="O48" s="230">
        <f t="shared" si="3"/>
        <v>32.64</v>
      </c>
      <c r="P48" s="230">
        <f t="shared" si="4"/>
        <v>391.68</v>
      </c>
      <c r="Q48" s="230">
        <f t="shared" si="5"/>
        <v>0</v>
      </c>
      <c r="R48" s="230"/>
      <c r="S48" s="230">
        <f t="shared" si="6"/>
        <v>4700.16</v>
      </c>
      <c r="T48" s="230">
        <f t="shared" si="7"/>
        <v>4700.16</v>
      </c>
      <c r="U48" s="230">
        <f t="shared" si="8"/>
        <v>0</v>
      </c>
    </row>
    <row r="49" spans="1:21" ht="12" customHeight="1">
      <c r="A49" s="3" t="s">
        <v>679</v>
      </c>
      <c r="C49" s="32">
        <v>173505</v>
      </c>
      <c r="D49" s="32">
        <v>10</v>
      </c>
      <c r="E49" s="3" t="s">
        <v>716</v>
      </c>
      <c r="F49" s="3">
        <v>2006</v>
      </c>
      <c r="G49" s="3">
        <v>3</v>
      </c>
      <c r="H49" s="3">
        <v>0</v>
      </c>
      <c r="I49" s="3" t="s">
        <v>52</v>
      </c>
      <c r="J49" s="175" t="s">
        <v>754</v>
      </c>
      <c r="K49" s="3">
        <f t="shared" si="0"/>
        <v>2018</v>
      </c>
      <c r="L49" s="172">
        <f t="shared" si="1"/>
        <v>2018.25</v>
      </c>
      <c r="M49" s="230">
        <v>6125.44</v>
      </c>
      <c r="N49" s="230">
        <f t="shared" si="2"/>
        <v>6125.44</v>
      </c>
      <c r="O49" s="230">
        <f t="shared" si="3"/>
        <v>42.537777777777777</v>
      </c>
      <c r="P49" s="230">
        <f t="shared" si="4"/>
        <v>510.45333333333332</v>
      </c>
      <c r="Q49" s="230">
        <f t="shared" si="5"/>
        <v>0</v>
      </c>
      <c r="R49" s="230"/>
      <c r="S49" s="230">
        <f t="shared" si="6"/>
        <v>6125.44</v>
      </c>
      <c r="T49" s="230">
        <f t="shared" si="7"/>
        <v>6125.44</v>
      </c>
      <c r="U49" s="230">
        <f t="shared" si="8"/>
        <v>0</v>
      </c>
    </row>
    <row r="50" spans="1:21" ht="12" customHeight="1">
      <c r="A50" s="3" t="s">
        <v>679</v>
      </c>
      <c r="C50" s="32">
        <v>173509</v>
      </c>
      <c r="D50" s="32">
        <v>10</v>
      </c>
      <c r="E50" s="3" t="s">
        <v>702</v>
      </c>
      <c r="F50" s="3">
        <v>2006</v>
      </c>
      <c r="G50" s="3">
        <v>8</v>
      </c>
      <c r="H50" s="3">
        <v>0</v>
      </c>
      <c r="I50" s="3" t="s">
        <v>52</v>
      </c>
      <c r="J50" s="175" t="s">
        <v>754</v>
      </c>
      <c r="K50" s="3">
        <f t="shared" si="0"/>
        <v>2018</v>
      </c>
      <c r="L50" s="172">
        <f t="shared" si="1"/>
        <v>2018.6666666666667</v>
      </c>
      <c r="M50" s="230">
        <v>6266.88</v>
      </c>
      <c r="N50" s="230">
        <f t="shared" si="2"/>
        <v>6266.88</v>
      </c>
      <c r="O50" s="230">
        <f t="shared" si="3"/>
        <v>43.52</v>
      </c>
      <c r="P50" s="230">
        <f t="shared" si="4"/>
        <v>522.24</v>
      </c>
      <c r="Q50" s="230">
        <f t="shared" si="5"/>
        <v>0</v>
      </c>
      <c r="R50" s="230"/>
      <c r="S50" s="230">
        <f t="shared" si="6"/>
        <v>6266.88</v>
      </c>
      <c r="T50" s="230">
        <f t="shared" si="7"/>
        <v>6266.88</v>
      </c>
      <c r="U50" s="230">
        <f t="shared" si="8"/>
        <v>0</v>
      </c>
    </row>
    <row r="51" spans="1:21" ht="12" customHeight="1">
      <c r="A51" s="3" t="s">
        <v>679</v>
      </c>
      <c r="C51" s="32">
        <v>173511</v>
      </c>
      <c r="D51" s="32">
        <v>10</v>
      </c>
      <c r="E51" s="3" t="s">
        <v>702</v>
      </c>
      <c r="F51" s="3">
        <v>2006</v>
      </c>
      <c r="G51" s="3">
        <v>8</v>
      </c>
      <c r="H51" s="3">
        <v>0</v>
      </c>
      <c r="I51" s="3" t="s">
        <v>52</v>
      </c>
      <c r="J51" s="175" t="s">
        <v>754</v>
      </c>
      <c r="K51" s="3">
        <f t="shared" si="0"/>
        <v>2018</v>
      </c>
      <c r="L51" s="172">
        <f t="shared" si="1"/>
        <v>2018.6666666666667</v>
      </c>
      <c r="M51" s="230">
        <v>6266.88</v>
      </c>
      <c r="N51" s="230">
        <f t="shared" si="2"/>
        <v>6266.88</v>
      </c>
      <c r="O51" s="230">
        <f t="shared" si="3"/>
        <v>43.52</v>
      </c>
      <c r="P51" s="230">
        <f t="shared" si="4"/>
        <v>522.24</v>
      </c>
      <c r="Q51" s="230">
        <f t="shared" si="5"/>
        <v>0</v>
      </c>
      <c r="R51" s="230"/>
      <c r="S51" s="230">
        <f t="shared" si="6"/>
        <v>6266.88</v>
      </c>
      <c r="T51" s="230">
        <f t="shared" si="7"/>
        <v>6266.88</v>
      </c>
      <c r="U51" s="230">
        <f t="shared" si="8"/>
        <v>0</v>
      </c>
    </row>
    <row r="52" spans="1:21" ht="12" customHeight="1">
      <c r="A52" s="3" t="s">
        <v>40</v>
      </c>
      <c r="D52" s="32">
        <v>20</v>
      </c>
      <c r="E52" s="3" t="s">
        <v>149</v>
      </c>
      <c r="F52" s="3">
        <v>2007</v>
      </c>
      <c r="G52" s="3">
        <v>5</v>
      </c>
      <c r="H52" s="3">
        <v>0</v>
      </c>
      <c r="I52" s="3" t="s">
        <v>52</v>
      </c>
      <c r="J52" s="175">
        <v>10</v>
      </c>
      <c r="K52" s="3">
        <f t="shared" si="0"/>
        <v>2017</v>
      </c>
      <c r="L52" s="172">
        <f t="shared" si="1"/>
        <v>2017.4166666666667</v>
      </c>
      <c r="M52" s="230">
        <v>8820.9</v>
      </c>
      <c r="N52" s="230">
        <f t="shared" si="2"/>
        <v>8820.9</v>
      </c>
      <c r="O52" s="230">
        <f t="shared" si="3"/>
        <v>73.507499999999993</v>
      </c>
      <c r="P52" s="230">
        <f t="shared" si="4"/>
        <v>882.08999999999992</v>
      </c>
      <c r="Q52" s="230">
        <f t="shared" si="5"/>
        <v>0</v>
      </c>
      <c r="R52" s="230"/>
      <c r="S52" s="230">
        <f t="shared" si="6"/>
        <v>8820.9</v>
      </c>
      <c r="T52" s="230">
        <f t="shared" si="7"/>
        <v>8820.9</v>
      </c>
      <c r="U52" s="230">
        <f t="shared" si="8"/>
        <v>0</v>
      </c>
    </row>
    <row r="53" spans="1:21" ht="12" customHeight="1">
      <c r="A53" s="3" t="s">
        <v>40</v>
      </c>
      <c r="D53" s="32">
        <v>10</v>
      </c>
      <c r="E53" s="3" t="s">
        <v>163</v>
      </c>
      <c r="F53" s="3">
        <v>2007</v>
      </c>
      <c r="G53" s="3">
        <v>12</v>
      </c>
      <c r="H53" s="3">
        <v>0</v>
      </c>
      <c r="I53" s="3" t="s">
        <v>52</v>
      </c>
      <c r="J53" s="175">
        <v>10</v>
      </c>
      <c r="K53" s="3">
        <f t="shared" si="0"/>
        <v>2017</v>
      </c>
      <c r="L53" s="172">
        <f t="shared" si="1"/>
        <v>2018</v>
      </c>
      <c r="M53" s="230">
        <v>4580.4799999999996</v>
      </c>
      <c r="N53" s="230">
        <f t="shared" si="2"/>
        <v>4580.4799999999996</v>
      </c>
      <c r="O53" s="230">
        <f t="shared" si="3"/>
        <v>38.170666666666662</v>
      </c>
      <c r="P53" s="230">
        <f t="shared" si="4"/>
        <v>458.04799999999994</v>
      </c>
      <c r="Q53" s="230">
        <f t="shared" si="5"/>
        <v>0</v>
      </c>
      <c r="R53" s="230"/>
      <c r="S53" s="230">
        <f t="shared" si="6"/>
        <v>4580.4799999999996</v>
      </c>
      <c r="T53" s="230">
        <f t="shared" si="7"/>
        <v>4580.4799999999996</v>
      </c>
      <c r="U53" s="230">
        <f t="shared" si="8"/>
        <v>0</v>
      </c>
    </row>
    <row r="54" spans="1:21" ht="12" customHeight="1">
      <c r="A54" s="3" t="s">
        <v>40</v>
      </c>
      <c r="D54" s="32">
        <v>20</v>
      </c>
      <c r="E54" s="3" t="s">
        <v>103</v>
      </c>
      <c r="F54" s="3">
        <v>2007</v>
      </c>
      <c r="G54" s="3">
        <v>5</v>
      </c>
      <c r="H54" s="3">
        <v>0</v>
      </c>
      <c r="I54" s="3" t="s">
        <v>52</v>
      </c>
      <c r="J54" s="175">
        <v>10</v>
      </c>
      <c r="K54" s="3">
        <f t="shared" si="0"/>
        <v>2017</v>
      </c>
      <c r="L54" s="172">
        <f t="shared" si="1"/>
        <v>2017.4166666666667</v>
      </c>
      <c r="M54" s="230">
        <v>9474.2999999999993</v>
      </c>
      <c r="N54" s="230">
        <f t="shared" si="2"/>
        <v>9474.2999999999993</v>
      </c>
      <c r="O54" s="230">
        <f t="shared" si="3"/>
        <v>78.952500000000001</v>
      </c>
      <c r="P54" s="230">
        <f t="shared" si="4"/>
        <v>947.43000000000006</v>
      </c>
      <c r="Q54" s="230">
        <f t="shared" si="5"/>
        <v>0</v>
      </c>
      <c r="R54" s="230"/>
      <c r="S54" s="230">
        <f t="shared" si="6"/>
        <v>9474.2999999999993</v>
      </c>
      <c r="T54" s="230">
        <f t="shared" si="7"/>
        <v>9474.2999999999993</v>
      </c>
      <c r="U54" s="230">
        <f t="shared" si="8"/>
        <v>0</v>
      </c>
    </row>
    <row r="55" spans="1:21" ht="12" customHeight="1">
      <c r="A55" s="3" t="s">
        <v>40</v>
      </c>
      <c r="D55" s="32">
        <v>35</v>
      </c>
      <c r="E55" s="4" t="s">
        <v>103</v>
      </c>
      <c r="F55" s="3">
        <v>2007</v>
      </c>
      <c r="G55" s="3">
        <v>9</v>
      </c>
      <c r="H55" s="3">
        <v>0</v>
      </c>
      <c r="I55" s="3" t="s">
        <v>52</v>
      </c>
      <c r="J55" s="175">
        <v>10</v>
      </c>
      <c r="K55" s="3">
        <f t="shared" si="0"/>
        <v>2017</v>
      </c>
      <c r="L55" s="172">
        <f t="shared" si="1"/>
        <v>2017.75</v>
      </c>
      <c r="M55" s="230">
        <v>16450.560000000001</v>
      </c>
      <c r="N55" s="230">
        <f t="shared" si="2"/>
        <v>16450.560000000001</v>
      </c>
      <c r="O55" s="230">
        <f t="shared" si="3"/>
        <v>137.08799999999999</v>
      </c>
      <c r="P55" s="230">
        <f t="shared" si="4"/>
        <v>1645.056</v>
      </c>
      <c r="Q55" s="230">
        <f t="shared" si="5"/>
        <v>0</v>
      </c>
      <c r="R55" s="230"/>
      <c r="S55" s="230">
        <f t="shared" si="6"/>
        <v>16450.560000000001</v>
      </c>
      <c r="T55" s="230">
        <f t="shared" si="7"/>
        <v>16450.560000000001</v>
      </c>
      <c r="U55" s="230">
        <f t="shared" si="8"/>
        <v>0</v>
      </c>
    </row>
    <row r="56" spans="1:21" ht="12" customHeight="1">
      <c r="A56" s="3" t="s">
        <v>40</v>
      </c>
      <c r="D56" s="32">
        <v>5</v>
      </c>
      <c r="E56" s="4" t="s">
        <v>104</v>
      </c>
      <c r="F56" s="3">
        <v>2007</v>
      </c>
      <c r="G56" s="3">
        <v>6</v>
      </c>
      <c r="H56" s="3">
        <v>0</v>
      </c>
      <c r="I56" s="3" t="s">
        <v>52</v>
      </c>
      <c r="J56" s="175">
        <v>10</v>
      </c>
      <c r="K56" s="3">
        <f t="shared" si="0"/>
        <v>2017</v>
      </c>
      <c r="L56" s="172">
        <f t="shared" si="1"/>
        <v>2017.5</v>
      </c>
      <c r="M56" s="230">
        <v>4056.53</v>
      </c>
      <c r="N56" s="230">
        <f t="shared" si="2"/>
        <v>4056.53</v>
      </c>
      <c r="O56" s="230">
        <f t="shared" si="3"/>
        <v>33.804416666666668</v>
      </c>
      <c r="P56" s="230">
        <f t="shared" si="4"/>
        <v>405.65300000000002</v>
      </c>
      <c r="Q56" s="230">
        <f t="shared" si="5"/>
        <v>0</v>
      </c>
      <c r="R56" s="230"/>
      <c r="S56" s="230">
        <f t="shared" si="6"/>
        <v>4056.53</v>
      </c>
      <c r="T56" s="230">
        <f t="shared" si="7"/>
        <v>4056.53</v>
      </c>
      <c r="U56" s="230">
        <f t="shared" si="8"/>
        <v>0</v>
      </c>
    </row>
    <row r="57" spans="1:21" ht="12" customHeight="1">
      <c r="A57" s="3" t="s">
        <v>415</v>
      </c>
      <c r="C57" s="32">
        <v>173239</v>
      </c>
      <c r="D57" s="32">
        <v>5</v>
      </c>
      <c r="E57" s="4" t="s">
        <v>470</v>
      </c>
      <c r="F57" s="3">
        <v>2007</v>
      </c>
      <c r="G57" s="3">
        <v>5</v>
      </c>
      <c r="H57" s="3">
        <v>0</v>
      </c>
      <c r="I57" s="3" t="s">
        <v>52</v>
      </c>
      <c r="J57" s="175">
        <v>10</v>
      </c>
      <c r="K57" s="3">
        <f t="shared" si="0"/>
        <v>2017</v>
      </c>
      <c r="L57" s="172">
        <f t="shared" si="1"/>
        <v>2017.4166666666667</v>
      </c>
      <c r="M57" s="230">
        <v>2885.85</v>
      </c>
      <c r="N57" s="230">
        <f t="shared" si="2"/>
        <v>2885.85</v>
      </c>
      <c r="O57" s="230">
        <f t="shared" si="3"/>
        <v>24.048749999999998</v>
      </c>
      <c r="P57" s="230">
        <f t="shared" si="4"/>
        <v>288.58499999999998</v>
      </c>
      <c r="Q57" s="230">
        <f t="shared" si="5"/>
        <v>0</v>
      </c>
      <c r="R57" s="230"/>
      <c r="S57" s="230">
        <f t="shared" si="6"/>
        <v>2885.85</v>
      </c>
      <c r="T57" s="230">
        <f t="shared" si="7"/>
        <v>2885.85</v>
      </c>
      <c r="U57" s="230">
        <f t="shared" si="8"/>
        <v>0</v>
      </c>
    </row>
    <row r="58" spans="1:21" ht="12" customHeight="1">
      <c r="A58" s="3" t="s">
        <v>415</v>
      </c>
      <c r="C58" s="32" t="s">
        <v>596</v>
      </c>
      <c r="D58" s="32">
        <v>15</v>
      </c>
      <c r="E58" s="4" t="s">
        <v>471</v>
      </c>
      <c r="F58" s="3">
        <v>2007</v>
      </c>
      <c r="G58" s="3">
        <v>6</v>
      </c>
      <c r="H58" s="3">
        <v>0</v>
      </c>
      <c r="I58" s="3" t="s">
        <v>52</v>
      </c>
      <c r="J58" s="175">
        <v>10</v>
      </c>
      <c r="K58" s="3">
        <f t="shared" si="0"/>
        <v>2017</v>
      </c>
      <c r="L58" s="172">
        <f t="shared" si="1"/>
        <v>2017.5</v>
      </c>
      <c r="M58" s="230">
        <f>4867.83+7301.75</f>
        <v>12169.58</v>
      </c>
      <c r="N58" s="230">
        <f t="shared" si="2"/>
        <v>12169.58</v>
      </c>
      <c r="O58" s="230">
        <f t="shared" si="3"/>
        <v>101.41316666666667</v>
      </c>
      <c r="P58" s="230">
        <f t="shared" si="4"/>
        <v>1216.9580000000001</v>
      </c>
      <c r="Q58" s="230">
        <f t="shared" si="5"/>
        <v>0</v>
      </c>
      <c r="R58" s="230"/>
      <c r="S58" s="230">
        <f t="shared" si="6"/>
        <v>12169.58</v>
      </c>
      <c r="T58" s="230">
        <f t="shared" si="7"/>
        <v>12169.58</v>
      </c>
      <c r="U58" s="230">
        <f t="shared" si="8"/>
        <v>0</v>
      </c>
    </row>
    <row r="59" spans="1:21" ht="12" customHeight="1">
      <c r="A59" s="3" t="s">
        <v>679</v>
      </c>
      <c r="C59" s="32">
        <v>50152</v>
      </c>
      <c r="D59" s="32">
        <v>10</v>
      </c>
      <c r="E59" s="4" t="s">
        <v>689</v>
      </c>
      <c r="F59" s="3">
        <v>2007</v>
      </c>
      <c r="G59" s="3">
        <v>5</v>
      </c>
      <c r="H59" s="3">
        <v>0</v>
      </c>
      <c r="I59" s="3" t="s">
        <v>52</v>
      </c>
      <c r="J59" s="175" t="s">
        <v>754</v>
      </c>
      <c r="K59" s="3">
        <f t="shared" si="0"/>
        <v>2019</v>
      </c>
      <c r="L59" s="172">
        <f t="shared" si="1"/>
        <v>2019.4166666666667</v>
      </c>
      <c r="M59" s="230">
        <v>5771.7</v>
      </c>
      <c r="N59" s="230">
        <f t="shared" si="2"/>
        <v>5771.7</v>
      </c>
      <c r="O59" s="230">
        <f t="shared" si="3"/>
        <v>40.081249999999997</v>
      </c>
      <c r="P59" s="230">
        <f t="shared" si="4"/>
        <v>480.97499999999997</v>
      </c>
      <c r="Q59" s="230">
        <f t="shared" si="5"/>
        <v>480.97499999999997</v>
      </c>
      <c r="R59" s="230"/>
      <c r="S59" s="230">
        <f t="shared" si="6"/>
        <v>4809.75</v>
      </c>
      <c r="T59" s="230">
        <f t="shared" si="7"/>
        <v>5290.7250000000004</v>
      </c>
      <c r="U59" s="230">
        <f t="shared" si="8"/>
        <v>721.46249999999964</v>
      </c>
    </row>
    <row r="60" spans="1:21" ht="12" customHeight="1">
      <c r="A60" s="3" t="s">
        <v>679</v>
      </c>
      <c r="C60" s="32">
        <v>50279</v>
      </c>
      <c r="D60" s="32">
        <v>15</v>
      </c>
      <c r="E60" s="4" t="s">
        <v>687</v>
      </c>
      <c r="F60" s="3">
        <v>2007</v>
      </c>
      <c r="G60" s="3">
        <v>5</v>
      </c>
      <c r="H60" s="3">
        <v>0</v>
      </c>
      <c r="I60" s="3" t="s">
        <v>52</v>
      </c>
      <c r="J60" s="175" t="s">
        <v>754</v>
      </c>
      <c r="K60" s="3">
        <f t="shared" si="0"/>
        <v>2019</v>
      </c>
      <c r="L60" s="172">
        <f t="shared" si="1"/>
        <v>2019.4166666666667</v>
      </c>
      <c r="M60" s="230">
        <v>6615.68</v>
      </c>
      <c r="N60" s="230">
        <f t="shared" si="2"/>
        <v>6615.68</v>
      </c>
      <c r="O60" s="230">
        <f t="shared" si="3"/>
        <v>45.942222222222227</v>
      </c>
      <c r="P60" s="230">
        <f t="shared" si="4"/>
        <v>551.30666666666673</v>
      </c>
      <c r="Q60" s="230">
        <f t="shared" si="5"/>
        <v>551.30666666666673</v>
      </c>
      <c r="R60" s="230"/>
      <c r="S60" s="230">
        <f t="shared" si="6"/>
        <v>5513.0666666666675</v>
      </c>
      <c r="T60" s="230">
        <f t="shared" si="7"/>
        <v>6064.3733333333339</v>
      </c>
      <c r="U60" s="230">
        <f t="shared" si="8"/>
        <v>826.95999999999958</v>
      </c>
    </row>
    <row r="61" spans="1:21" ht="12" customHeight="1">
      <c r="A61" s="3" t="s">
        <v>679</v>
      </c>
      <c r="C61" s="32">
        <v>50280</v>
      </c>
      <c r="D61" s="32">
        <v>3</v>
      </c>
      <c r="E61" s="4" t="s">
        <v>687</v>
      </c>
      <c r="F61" s="3">
        <v>2007</v>
      </c>
      <c r="G61" s="3">
        <v>5</v>
      </c>
      <c r="H61" s="3">
        <v>0</v>
      </c>
      <c r="I61" s="3" t="s">
        <v>52</v>
      </c>
      <c r="J61" s="175" t="s">
        <v>754</v>
      </c>
      <c r="K61" s="3">
        <f t="shared" si="0"/>
        <v>2019</v>
      </c>
      <c r="L61" s="172">
        <f t="shared" si="1"/>
        <v>2019.4166666666667</v>
      </c>
      <c r="M61" s="230">
        <v>1323.14</v>
      </c>
      <c r="N61" s="230">
        <f t="shared" si="2"/>
        <v>1323.14</v>
      </c>
      <c r="O61" s="230">
        <f t="shared" si="3"/>
        <v>9.1884722222222219</v>
      </c>
      <c r="P61" s="230">
        <f t="shared" si="4"/>
        <v>110.26166666666666</v>
      </c>
      <c r="Q61" s="230">
        <f t="shared" si="5"/>
        <v>110.26166666666666</v>
      </c>
      <c r="R61" s="230"/>
      <c r="S61" s="230">
        <f t="shared" si="6"/>
        <v>1102.6166666666666</v>
      </c>
      <c r="T61" s="230">
        <f t="shared" si="7"/>
        <v>1212.8783333333331</v>
      </c>
      <c r="U61" s="230">
        <f t="shared" si="8"/>
        <v>165.39250000000027</v>
      </c>
    </row>
    <row r="62" spans="1:21" ht="12" customHeight="1">
      <c r="A62" s="3" t="s">
        <v>679</v>
      </c>
      <c r="C62" s="32">
        <v>50281</v>
      </c>
      <c r="D62" s="32">
        <v>2</v>
      </c>
      <c r="E62" s="4" t="s">
        <v>687</v>
      </c>
      <c r="F62" s="3">
        <v>2007</v>
      </c>
      <c r="G62" s="3">
        <v>5</v>
      </c>
      <c r="H62" s="3">
        <v>0</v>
      </c>
      <c r="I62" s="3" t="s">
        <v>52</v>
      </c>
      <c r="J62" s="175" t="s">
        <v>754</v>
      </c>
      <c r="K62" s="3">
        <f t="shared" si="0"/>
        <v>2019</v>
      </c>
      <c r="L62" s="172">
        <f t="shared" si="1"/>
        <v>2019.4166666666667</v>
      </c>
      <c r="M62" s="230">
        <v>882.09</v>
      </c>
      <c r="N62" s="230">
        <f t="shared" si="2"/>
        <v>882.09</v>
      </c>
      <c r="O62" s="230">
        <f t="shared" si="3"/>
        <v>6.1256250000000003</v>
      </c>
      <c r="P62" s="230">
        <f t="shared" si="4"/>
        <v>73.507500000000007</v>
      </c>
      <c r="Q62" s="230">
        <f t="shared" si="5"/>
        <v>73.507500000000007</v>
      </c>
      <c r="R62" s="230"/>
      <c r="S62" s="230">
        <f t="shared" si="6"/>
        <v>735.07500000000005</v>
      </c>
      <c r="T62" s="230">
        <f t="shared" si="7"/>
        <v>808.5825000000001</v>
      </c>
      <c r="U62" s="230">
        <f t="shared" si="8"/>
        <v>110.26124999999996</v>
      </c>
    </row>
    <row r="63" spans="1:21" ht="12" customHeight="1">
      <c r="A63" s="3" t="s">
        <v>679</v>
      </c>
      <c r="C63" s="32">
        <v>53659</v>
      </c>
      <c r="D63" s="32">
        <v>5</v>
      </c>
      <c r="E63" s="4" t="s">
        <v>688</v>
      </c>
      <c r="F63" s="3">
        <v>2007</v>
      </c>
      <c r="G63" s="3">
        <v>10</v>
      </c>
      <c r="H63" s="3">
        <v>0</v>
      </c>
      <c r="I63" s="3" t="s">
        <v>52</v>
      </c>
      <c r="J63" s="175" t="s">
        <v>754</v>
      </c>
      <c r="K63" s="3">
        <f t="shared" si="0"/>
        <v>2019</v>
      </c>
      <c r="L63" s="172">
        <f t="shared" si="1"/>
        <v>2019.8333333333333</v>
      </c>
      <c r="M63" s="230">
        <v>2395.8000000000002</v>
      </c>
      <c r="N63" s="230">
        <f t="shared" si="2"/>
        <v>2395.8000000000002</v>
      </c>
      <c r="O63" s="230">
        <f t="shared" si="3"/>
        <v>16.637499999999999</v>
      </c>
      <c r="P63" s="230">
        <f t="shared" si="4"/>
        <v>199.64999999999998</v>
      </c>
      <c r="Q63" s="230">
        <f t="shared" si="5"/>
        <v>199.64999999999998</v>
      </c>
      <c r="R63" s="230"/>
      <c r="S63" s="230">
        <f t="shared" si="6"/>
        <v>1996.4999999999998</v>
      </c>
      <c r="T63" s="230">
        <f t="shared" si="7"/>
        <v>2196.1499999999996</v>
      </c>
      <c r="U63" s="230">
        <f t="shared" si="8"/>
        <v>299.47500000000048</v>
      </c>
    </row>
    <row r="64" spans="1:21" ht="12" customHeight="1">
      <c r="A64" s="3" t="s">
        <v>679</v>
      </c>
      <c r="C64" s="32">
        <v>53660</v>
      </c>
      <c r="D64" s="32">
        <v>15</v>
      </c>
      <c r="E64" s="3" t="s">
        <v>688</v>
      </c>
      <c r="F64" s="3">
        <v>2007</v>
      </c>
      <c r="G64" s="3">
        <v>10</v>
      </c>
      <c r="H64" s="3">
        <v>0</v>
      </c>
      <c r="I64" s="3" t="s">
        <v>52</v>
      </c>
      <c r="J64" s="175" t="s">
        <v>754</v>
      </c>
      <c r="K64" s="3">
        <f t="shared" si="0"/>
        <v>2019</v>
      </c>
      <c r="L64" s="172">
        <f t="shared" si="1"/>
        <v>2019.8333333333333</v>
      </c>
      <c r="M64" s="230">
        <v>7187.4</v>
      </c>
      <c r="N64" s="230">
        <f t="shared" si="2"/>
        <v>7187.4</v>
      </c>
      <c r="O64" s="230">
        <f t="shared" si="3"/>
        <v>49.912499999999994</v>
      </c>
      <c r="P64" s="230">
        <f t="shared" si="4"/>
        <v>598.94999999999993</v>
      </c>
      <c r="Q64" s="230">
        <f t="shared" si="5"/>
        <v>598.94999999999993</v>
      </c>
      <c r="R64" s="230"/>
      <c r="S64" s="230">
        <f t="shared" si="6"/>
        <v>5989.4999999999991</v>
      </c>
      <c r="T64" s="230">
        <f t="shared" si="7"/>
        <v>6588.4499999999989</v>
      </c>
      <c r="U64" s="230">
        <f t="shared" si="8"/>
        <v>898.42500000000064</v>
      </c>
    </row>
    <row r="65" spans="1:21" ht="12" customHeight="1">
      <c r="A65" s="3" t="s">
        <v>679</v>
      </c>
      <c r="C65" s="32">
        <v>54696</v>
      </c>
      <c r="D65" s="32">
        <v>10</v>
      </c>
      <c r="E65" s="3" t="s">
        <v>692</v>
      </c>
      <c r="F65" s="3">
        <v>2007</v>
      </c>
      <c r="G65" s="3">
        <v>12</v>
      </c>
      <c r="H65" s="3">
        <v>0</v>
      </c>
      <c r="I65" s="3" t="s">
        <v>52</v>
      </c>
      <c r="J65" s="175" t="s">
        <v>754</v>
      </c>
      <c r="K65" s="3">
        <f t="shared" si="0"/>
        <v>2019</v>
      </c>
      <c r="L65" s="172">
        <f t="shared" si="1"/>
        <v>2020</v>
      </c>
      <c r="M65" s="230">
        <v>4765.4399999999996</v>
      </c>
      <c r="N65" s="230">
        <f t="shared" si="2"/>
        <v>4765.4399999999996</v>
      </c>
      <c r="O65" s="230">
        <f t="shared" si="3"/>
        <v>33.093333333333327</v>
      </c>
      <c r="P65" s="230">
        <f t="shared" si="4"/>
        <v>397.11999999999989</v>
      </c>
      <c r="Q65" s="230">
        <f t="shared" si="5"/>
        <v>397.11999999999989</v>
      </c>
      <c r="R65" s="230"/>
      <c r="S65" s="230">
        <f t="shared" si="6"/>
        <v>3971.1999999999989</v>
      </c>
      <c r="T65" s="230">
        <f t="shared" si="7"/>
        <v>4368.3199999999988</v>
      </c>
      <c r="U65" s="230">
        <f t="shared" si="8"/>
        <v>595.68000000000075</v>
      </c>
    </row>
    <row r="66" spans="1:21" ht="12" customHeight="1">
      <c r="A66" s="3" t="s">
        <v>679</v>
      </c>
      <c r="C66" s="32">
        <v>54697</v>
      </c>
      <c r="D66" s="32">
        <v>20</v>
      </c>
      <c r="E66" s="3" t="s">
        <v>693</v>
      </c>
      <c r="F66" s="3">
        <v>2007</v>
      </c>
      <c r="G66" s="3">
        <v>12</v>
      </c>
      <c r="H66" s="3">
        <v>0</v>
      </c>
      <c r="I66" s="3" t="s">
        <v>52</v>
      </c>
      <c r="J66" s="175" t="s">
        <v>754</v>
      </c>
      <c r="K66" s="3">
        <f t="shared" si="0"/>
        <v>2019</v>
      </c>
      <c r="L66" s="172">
        <f t="shared" si="1"/>
        <v>2020</v>
      </c>
      <c r="M66" s="230">
        <v>16102.4</v>
      </c>
      <c r="N66" s="230">
        <f t="shared" si="2"/>
        <v>16102.4</v>
      </c>
      <c r="O66" s="230">
        <f t="shared" si="3"/>
        <v>111.82222222222221</v>
      </c>
      <c r="P66" s="230">
        <f t="shared" si="4"/>
        <v>1341.8666666666666</v>
      </c>
      <c r="Q66" s="230">
        <f t="shared" si="5"/>
        <v>1341.8666666666666</v>
      </c>
      <c r="R66" s="230"/>
      <c r="S66" s="230">
        <f t="shared" si="6"/>
        <v>13418.666666666666</v>
      </c>
      <c r="T66" s="230">
        <f t="shared" si="7"/>
        <v>14760.533333333333</v>
      </c>
      <c r="U66" s="230">
        <f t="shared" si="8"/>
        <v>2012.8000000000002</v>
      </c>
    </row>
    <row r="67" spans="1:21" ht="12" customHeight="1">
      <c r="A67" s="3" t="s">
        <v>679</v>
      </c>
      <c r="C67" s="32">
        <v>73526</v>
      </c>
      <c r="D67" s="32">
        <v>10</v>
      </c>
      <c r="E67" s="3" t="s">
        <v>702</v>
      </c>
      <c r="F67" s="3">
        <v>2007</v>
      </c>
      <c r="G67" s="3">
        <v>2</v>
      </c>
      <c r="H67" s="3">
        <v>0</v>
      </c>
      <c r="I67" s="3" t="s">
        <v>52</v>
      </c>
      <c r="J67" s="175" t="s">
        <v>754</v>
      </c>
      <c r="K67" s="3">
        <f t="shared" si="0"/>
        <v>2019</v>
      </c>
      <c r="L67" s="172">
        <f t="shared" si="1"/>
        <v>2019.1666666666667</v>
      </c>
      <c r="M67" s="230">
        <v>5929.6</v>
      </c>
      <c r="N67" s="230">
        <f t="shared" si="2"/>
        <v>5929.6</v>
      </c>
      <c r="O67" s="230">
        <f t="shared" si="3"/>
        <v>41.177777777777784</v>
      </c>
      <c r="P67" s="230">
        <f t="shared" si="4"/>
        <v>494.13333333333344</v>
      </c>
      <c r="Q67" s="230">
        <f t="shared" si="5"/>
        <v>494.13333333333344</v>
      </c>
      <c r="R67" s="230"/>
      <c r="S67" s="230">
        <f t="shared" si="6"/>
        <v>4941.3333333333339</v>
      </c>
      <c r="T67" s="230">
        <f t="shared" si="7"/>
        <v>5435.4666666666672</v>
      </c>
      <c r="U67" s="230">
        <f t="shared" si="8"/>
        <v>741.19999999999982</v>
      </c>
    </row>
    <row r="68" spans="1:21" ht="12" customHeight="1">
      <c r="A68" s="3" t="s">
        <v>679</v>
      </c>
      <c r="C68" s="32">
        <v>73527</v>
      </c>
      <c r="D68" s="32">
        <v>10</v>
      </c>
      <c r="E68" s="3" t="s">
        <v>702</v>
      </c>
      <c r="F68" s="3">
        <v>2007</v>
      </c>
      <c r="G68" s="3">
        <v>2</v>
      </c>
      <c r="H68" s="3">
        <v>0</v>
      </c>
      <c r="I68" s="3" t="s">
        <v>52</v>
      </c>
      <c r="J68" s="175" t="s">
        <v>754</v>
      </c>
      <c r="K68" s="3">
        <f t="shared" si="0"/>
        <v>2019</v>
      </c>
      <c r="L68" s="172">
        <f t="shared" si="1"/>
        <v>2019.1666666666667</v>
      </c>
      <c r="M68" s="230">
        <v>5929.6</v>
      </c>
      <c r="N68" s="230">
        <f t="shared" si="2"/>
        <v>5929.6</v>
      </c>
      <c r="O68" s="230">
        <f t="shared" si="3"/>
        <v>41.177777777777784</v>
      </c>
      <c r="P68" s="230">
        <f t="shared" si="4"/>
        <v>494.13333333333344</v>
      </c>
      <c r="Q68" s="230">
        <f t="shared" si="5"/>
        <v>494.13333333333344</v>
      </c>
      <c r="R68" s="230"/>
      <c r="S68" s="230">
        <f t="shared" si="6"/>
        <v>4941.3333333333339</v>
      </c>
      <c r="T68" s="230">
        <f t="shared" si="7"/>
        <v>5435.4666666666672</v>
      </c>
      <c r="U68" s="230">
        <f t="shared" si="8"/>
        <v>741.19999999999982</v>
      </c>
    </row>
    <row r="69" spans="1:21" ht="12" customHeight="1">
      <c r="A69" s="3" t="s">
        <v>40</v>
      </c>
      <c r="D69" s="32">
        <v>12</v>
      </c>
      <c r="E69" s="3" t="s">
        <v>149</v>
      </c>
      <c r="F69" s="3">
        <v>2008</v>
      </c>
      <c r="G69" s="3">
        <v>10</v>
      </c>
      <c r="H69" s="3">
        <v>0</v>
      </c>
      <c r="I69" s="3" t="s">
        <v>52</v>
      </c>
      <c r="J69" s="175">
        <v>10</v>
      </c>
      <c r="K69" s="3">
        <f t="shared" si="0"/>
        <v>2018</v>
      </c>
      <c r="L69" s="172">
        <f t="shared" si="1"/>
        <v>2018.8333333333333</v>
      </c>
      <c r="M69" s="230">
        <f>990.08+4950.4</f>
        <v>5940.48</v>
      </c>
      <c r="N69" s="230">
        <f t="shared" si="2"/>
        <v>5940.48</v>
      </c>
      <c r="O69" s="230">
        <f t="shared" si="3"/>
        <v>49.503999999999998</v>
      </c>
      <c r="P69" s="230">
        <f t="shared" si="4"/>
        <v>594.048</v>
      </c>
      <c r="Q69" s="230">
        <f t="shared" si="5"/>
        <v>0</v>
      </c>
      <c r="R69" s="230"/>
      <c r="S69" s="230">
        <f t="shared" si="6"/>
        <v>5940.48</v>
      </c>
      <c r="T69" s="230">
        <f t="shared" si="7"/>
        <v>5940.48</v>
      </c>
      <c r="U69" s="230">
        <f t="shared" si="8"/>
        <v>0</v>
      </c>
    </row>
    <row r="70" spans="1:21" ht="12" customHeight="1">
      <c r="A70" s="3" t="s">
        <v>40</v>
      </c>
      <c r="D70" s="32">
        <v>7</v>
      </c>
      <c r="E70" s="3" t="s">
        <v>163</v>
      </c>
      <c r="F70" s="3">
        <v>2008</v>
      </c>
      <c r="G70" s="3">
        <v>10</v>
      </c>
      <c r="H70" s="3">
        <v>0</v>
      </c>
      <c r="I70" s="3" t="s">
        <v>52</v>
      </c>
      <c r="J70" s="175">
        <v>10</v>
      </c>
      <c r="K70" s="3">
        <f t="shared" si="0"/>
        <v>2018</v>
      </c>
      <c r="L70" s="172">
        <f t="shared" si="1"/>
        <v>2018.8333333333333</v>
      </c>
      <c r="M70" s="230">
        <f>3655.68</f>
        <v>3655.68</v>
      </c>
      <c r="N70" s="230">
        <f t="shared" si="2"/>
        <v>3655.68</v>
      </c>
      <c r="O70" s="230">
        <f t="shared" si="3"/>
        <v>30.463999999999999</v>
      </c>
      <c r="P70" s="230">
        <f t="shared" si="4"/>
        <v>365.56799999999998</v>
      </c>
      <c r="Q70" s="230">
        <f t="shared" si="5"/>
        <v>0</v>
      </c>
      <c r="R70" s="230"/>
      <c r="S70" s="230">
        <f t="shared" si="6"/>
        <v>3655.68</v>
      </c>
      <c r="T70" s="230">
        <f t="shared" si="7"/>
        <v>3655.68</v>
      </c>
      <c r="U70" s="230">
        <f t="shared" si="8"/>
        <v>0</v>
      </c>
    </row>
    <row r="71" spans="1:21" ht="12" customHeight="1">
      <c r="A71" s="3" t="s">
        <v>40</v>
      </c>
      <c r="D71" s="32">
        <v>30</v>
      </c>
      <c r="E71" s="3" t="s">
        <v>103</v>
      </c>
      <c r="F71" s="3">
        <v>2008</v>
      </c>
      <c r="G71" s="3">
        <v>3</v>
      </c>
      <c r="H71" s="3">
        <v>0</v>
      </c>
      <c r="I71" s="3" t="s">
        <v>52</v>
      </c>
      <c r="J71" s="175">
        <v>10</v>
      </c>
      <c r="K71" s="3">
        <f t="shared" si="0"/>
        <v>2018</v>
      </c>
      <c r="L71" s="172">
        <f t="shared" si="1"/>
        <v>2018.25</v>
      </c>
      <c r="M71" s="230">
        <v>14100.48</v>
      </c>
      <c r="N71" s="230">
        <f t="shared" si="2"/>
        <v>14100.48</v>
      </c>
      <c r="O71" s="230">
        <f t="shared" si="3"/>
        <v>117.504</v>
      </c>
      <c r="P71" s="230">
        <f t="shared" si="4"/>
        <v>1410.048</v>
      </c>
      <c r="Q71" s="230">
        <f t="shared" si="5"/>
        <v>0</v>
      </c>
      <c r="R71" s="230"/>
      <c r="S71" s="230">
        <f t="shared" si="6"/>
        <v>14100.48</v>
      </c>
      <c r="T71" s="230">
        <f t="shared" si="7"/>
        <v>14100.48</v>
      </c>
      <c r="U71" s="230">
        <f t="shared" si="8"/>
        <v>0</v>
      </c>
    </row>
    <row r="72" spans="1:21" ht="12" customHeight="1">
      <c r="A72" s="3" t="s">
        <v>40</v>
      </c>
      <c r="D72" s="32">
        <v>13</v>
      </c>
      <c r="E72" s="3" t="s">
        <v>103</v>
      </c>
      <c r="F72" s="3">
        <v>2008</v>
      </c>
      <c r="G72" s="3">
        <v>10</v>
      </c>
      <c r="H72" s="3">
        <v>0</v>
      </c>
      <c r="I72" s="3" t="s">
        <v>52</v>
      </c>
      <c r="J72" s="175">
        <v>10</v>
      </c>
      <c r="K72" s="3">
        <f t="shared" si="0"/>
        <v>2018</v>
      </c>
      <c r="L72" s="172">
        <f t="shared" si="1"/>
        <v>2018.8333333333333</v>
      </c>
      <c r="M72" s="230">
        <v>7468.03</v>
      </c>
      <c r="N72" s="230">
        <f t="shared" si="2"/>
        <v>7468.03</v>
      </c>
      <c r="O72" s="230">
        <f t="shared" si="3"/>
        <v>62.233583333333335</v>
      </c>
      <c r="P72" s="230">
        <f t="shared" si="4"/>
        <v>746.803</v>
      </c>
      <c r="Q72" s="230">
        <f t="shared" si="5"/>
        <v>0</v>
      </c>
      <c r="R72" s="230"/>
      <c r="S72" s="230">
        <f t="shared" si="6"/>
        <v>7468.03</v>
      </c>
      <c r="T72" s="230">
        <f t="shared" si="7"/>
        <v>7468.03</v>
      </c>
      <c r="U72" s="230">
        <f t="shared" si="8"/>
        <v>0</v>
      </c>
    </row>
    <row r="73" spans="1:21" ht="12" customHeight="1">
      <c r="A73" s="3" t="s">
        <v>40</v>
      </c>
      <c r="D73" s="32">
        <v>5</v>
      </c>
      <c r="E73" s="3" t="s">
        <v>150</v>
      </c>
      <c r="F73" s="3">
        <v>2008</v>
      </c>
      <c r="G73" s="3">
        <v>9</v>
      </c>
      <c r="H73" s="3">
        <v>0</v>
      </c>
      <c r="I73" s="3" t="s">
        <v>52</v>
      </c>
      <c r="J73" s="175">
        <v>10</v>
      </c>
      <c r="K73" s="3">
        <f t="shared" si="0"/>
        <v>2018</v>
      </c>
      <c r="L73" s="172">
        <f t="shared" si="1"/>
        <v>2018.75</v>
      </c>
      <c r="M73" s="230">
        <v>3726.4</v>
      </c>
      <c r="N73" s="230">
        <f t="shared" si="2"/>
        <v>3726.4</v>
      </c>
      <c r="O73" s="230">
        <f t="shared" si="3"/>
        <v>31.053333333333331</v>
      </c>
      <c r="P73" s="230">
        <f t="shared" si="4"/>
        <v>372.64</v>
      </c>
      <c r="Q73" s="230">
        <f t="shared" si="5"/>
        <v>0</v>
      </c>
      <c r="R73" s="230"/>
      <c r="S73" s="230">
        <f t="shared" si="6"/>
        <v>3726.4</v>
      </c>
      <c r="T73" s="230">
        <f t="shared" si="7"/>
        <v>3726.4</v>
      </c>
      <c r="U73" s="230">
        <f t="shared" si="8"/>
        <v>0</v>
      </c>
    </row>
    <row r="74" spans="1:21" ht="12" customHeight="1">
      <c r="A74" s="3" t="s">
        <v>40</v>
      </c>
      <c r="D74" s="32">
        <v>10</v>
      </c>
      <c r="E74" s="3" t="s">
        <v>104</v>
      </c>
      <c r="F74" s="3">
        <v>2008</v>
      </c>
      <c r="G74" s="3">
        <v>3</v>
      </c>
      <c r="H74" s="3">
        <v>0</v>
      </c>
      <c r="I74" s="3" t="s">
        <v>52</v>
      </c>
      <c r="J74" s="175">
        <v>10</v>
      </c>
      <c r="K74" s="3">
        <f t="shared" si="0"/>
        <v>2018</v>
      </c>
      <c r="L74" s="172">
        <f t="shared" si="1"/>
        <v>2018.25</v>
      </c>
      <c r="M74" s="230">
        <v>8051.2</v>
      </c>
      <c r="N74" s="230">
        <f t="shared" si="2"/>
        <v>8051.2</v>
      </c>
      <c r="O74" s="230">
        <f t="shared" si="3"/>
        <v>67.093333333333334</v>
      </c>
      <c r="P74" s="230">
        <f t="shared" si="4"/>
        <v>805.12</v>
      </c>
      <c r="Q74" s="230">
        <f t="shared" si="5"/>
        <v>0</v>
      </c>
      <c r="R74" s="230"/>
      <c r="S74" s="230">
        <f t="shared" si="6"/>
        <v>8051.2</v>
      </c>
      <c r="T74" s="230">
        <f t="shared" si="7"/>
        <v>8051.2</v>
      </c>
      <c r="U74" s="230">
        <f t="shared" si="8"/>
        <v>0</v>
      </c>
    </row>
    <row r="75" spans="1:21" ht="12" customHeight="1">
      <c r="A75" s="3" t="s">
        <v>40</v>
      </c>
      <c r="D75" s="32">
        <v>5</v>
      </c>
      <c r="E75" s="3" t="s">
        <v>104</v>
      </c>
      <c r="F75" s="3">
        <v>2008</v>
      </c>
      <c r="G75" s="3">
        <v>9</v>
      </c>
      <c r="H75" s="3">
        <v>0</v>
      </c>
      <c r="I75" s="3" t="s">
        <v>52</v>
      </c>
      <c r="J75" s="175">
        <v>10</v>
      </c>
      <c r="K75" s="3">
        <f t="shared" si="0"/>
        <v>2018</v>
      </c>
      <c r="L75" s="172">
        <f t="shared" si="1"/>
        <v>2018.75</v>
      </c>
      <c r="M75" s="230">
        <v>4977.6000000000004</v>
      </c>
      <c r="N75" s="230">
        <f t="shared" si="2"/>
        <v>4977.6000000000004</v>
      </c>
      <c r="O75" s="230">
        <f t="shared" si="3"/>
        <v>41.480000000000004</v>
      </c>
      <c r="P75" s="230">
        <f t="shared" si="4"/>
        <v>497.76000000000005</v>
      </c>
      <c r="Q75" s="230">
        <f t="shared" si="5"/>
        <v>0</v>
      </c>
      <c r="R75" s="230"/>
      <c r="S75" s="230">
        <f t="shared" si="6"/>
        <v>4977.6000000000004</v>
      </c>
      <c r="T75" s="230">
        <f t="shared" si="7"/>
        <v>4977.6000000000004</v>
      </c>
      <c r="U75" s="230">
        <f t="shared" si="8"/>
        <v>0</v>
      </c>
    </row>
    <row r="76" spans="1:21" ht="12" customHeight="1">
      <c r="A76" s="3" t="s">
        <v>415</v>
      </c>
      <c r="C76" s="32">
        <v>173260</v>
      </c>
      <c r="D76" s="32">
        <v>5</v>
      </c>
      <c r="E76" s="3" t="s">
        <v>472</v>
      </c>
      <c r="F76" s="3">
        <v>2008</v>
      </c>
      <c r="G76" s="3">
        <v>10</v>
      </c>
      <c r="H76" s="3">
        <v>0</v>
      </c>
      <c r="I76" s="3" t="s">
        <v>52</v>
      </c>
      <c r="J76" s="175">
        <v>10</v>
      </c>
      <c r="K76" s="3">
        <f t="shared" ref="K76:K139" si="9">F76+J76</f>
        <v>2018</v>
      </c>
      <c r="L76" s="172">
        <f t="shared" ref="L76:L139" si="10">+K76+(G76/12)</f>
        <v>2018.8333333333333</v>
      </c>
      <c r="M76" s="230">
        <v>2475.1999999999998</v>
      </c>
      <c r="N76" s="230">
        <f t="shared" ref="N76:N139" si="11">M76-M76*H76</f>
        <v>2475.1999999999998</v>
      </c>
      <c r="O76" s="230">
        <f t="shared" ref="O76:O139" si="12">N76/J76/12</f>
        <v>20.626666666666665</v>
      </c>
      <c r="P76" s="230">
        <f t="shared" ref="P76:P139" si="13">+O76*12</f>
        <v>247.51999999999998</v>
      </c>
      <c r="Q76" s="230">
        <f t="shared" ref="Q76:Q139" si="14">+IF(L76&lt;=$N$5,0,IF(K76&gt;$N$4,P76,(O76*G76)))</f>
        <v>0</v>
      </c>
      <c r="R76" s="230"/>
      <c r="S76" s="230">
        <f t="shared" ref="S76:S139" si="15">+IF(Q76=0,M76,IF($N$3-F76&lt;1,0,(($N$3-F76)*P76)))</f>
        <v>2475.1999999999998</v>
      </c>
      <c r="T76" s="230">
        <f t="shared" ref="T76:T139" si="16">+IF(Q76=0,S76,S76+Q76)</f>
        <v>2475.1999999999998</v>
      </c>
      <c r="U76" s="230">
        <f t="shared" ref="U76:U139" si="17">+IF(Q76=0,0,((M76-S76)+(M76-T76))/2)</f>
        <v>0</v>
      </c>
    </row>
    <row r="77" spans="1:21" ht="12" customHeight="1">
      <c r="A77" s="3" t="s">
        <v>415</v>
      </c>
      <c r="D77" s="32">
        <v>3</v>
      </c>
      <c r="E77" s="3" t="s">
        <v>468</v>
      </c>
      <c r="F77" s="3">
        <v>2008</v>
      </c>
      <c r="G77" s="3">
        <v>10</v>
      </c>
      <c r="H77" s="3">
        <v>0</v>
      </c>
      <c r="I77" s="3" t="s">
        <v>52</v>
      </c>
      <c r="J77" s="175">
        <v>10</v>
      </c>
      <c r="K77" s="3">
        <f t="shared" si="9"/>
        <v>2018</v>
      </c>
      <c r="L77" s="172">
        <f t="shared" si="10"/>
        <v>2018.8333333333333</v>
      </c>
      <c r="M77" s="230">
        <v>1566.72</v>
      </c>
      <c r="N77" s="230">
        <f t="shared" si="11"/>
        <v>1566.72</v>
      </c>
      <c r="O77" s="230">
        <f t="shared" si="12"/>
        <v>13.055999999999999</v>
      </c>
      <c r="P77" s="230">
        <f t="shared" si="13"/>
        <v>156.672</v>
      </c>
      <c r="Q77" s="230">
        <f t="shared" si="14"/>
        <v>0</v>
      </c>
      <c r="R77" s="230"/>
      <c r="S77" s="230">
        <f t="shared" si="15"/>
        <v>1566.72</v>
      </c>
      <c r="T77" s="230">
        <f t="shared" si="16"/>
        <v>1566.72</v>
      </c>
      <c r="U77" s="230">
        <f t="shared" si="17"/>
        <v>0</v>
      </c>
    </row>
    <row r="78" spans="1:21" ht="12" customHeight="1">
      <c r="A78" s="3" t="s">
        <v>415</v>
      </c>
      <c r="C78" s="32">
        <v>173261</v>
      </c>
      <c r="D78" s="32">
        <v>5</v>
      </c>
      <c r="E78" s="3" t="s">
        <v>474</v>
      </c>
      <c r="F78" s="3">
        <v>2008</v>
      </c>
      <c r="G78" s="3">
        <v>10</v>
      </c>
      <c r="H78" s="3">
        <v>0</v>
      </c>
      <c r="I78" s="3" t="s">
        <v>52</v>
      </c>
      <c r="J78" s="175">
        <v>10</v>
      </c>
      <c r="K78" s="3">
        <f t="shared" si="9"/>
        <v>2018</v>
      </c>
      <c r="L78" s="172">
        <f t="shared" si="10"/>
        <v>2018.8333333333333</v>
      </c>
      <c r="M78" s="230">
        <v>2872.32</v>
      </c>
      <c r="N78" s="230">
        <f t="shared" si="11"/>
        <v>2872.32</v>
      </c>
      <c r="O78" s="230">
        <f t="shared" si="12"/>
        <v>23.936000000000003</v>
      </c>
      <c r="P78" s="230">
        <f t="shared" si="13"/>
        <v>287.23200000000003</v>
      </c>
      <c r="Q78" s="230">
        <f t="shared" si="14"/>
        <v>0</v>
      </c>
      <c r="R78" s="230"/>
      <c r="S78" s="230">
        <f t="shared" si="15"/>
        <v>2872.32</v>
      </c>
      <c r="T78" s="230">
        <f t="shared" si="16"/>
        <v>2872.32</v>
      </c>
      <c r="U78" s="230">
        <f t="shared" si="17"/>
        <v>0</v>
      </c>
    </row>
    <row r="79" spans="1:21" ht="12" customHeight="1">
      <c r="A79" s="3" t="s">
        <v>415</v>
      </c>
      <c r="C79" s="32">
        <v>173255</v>
      </c>
      <c r="D79" s="32">
        <v>2</v>
      </c>
      <c r="E79" s="3" t="s">
        <v>475</v>
      </c>
      <c r="F79" s="3">
        <v>2008</v>
      </c>
      <c r="G79" s="3">
        <v>9</v>
      </c>
      <c r="H79" s="3">
        <v>0</v>
      </c>
      <c r="I79" s="3" t="s">
        <v>52</v>
      </c>
      <c r="J79" s="175">
        <v>10</v>
      </c>
      <c r="K79" s="3">
        <f t="shared" si="9"/>
        <v>2018</v>
      </c>
      <c r="L79" s="172">
        <f t="shared" si="10"/>
        <v>2018.75</v>
      </c>
      <c r="M79" s="230">
        <v>1490.56</v>
      </c>
      <c r="N79" s="230">
        <f t="shared" si="11"/>
        <v>1490.56</v>
      </c>
      <c r="O79" s="230">
        <f t="shared" si="12"/>
        <v>12.421333333333331</v>
      </c>
      <c r="P79" s="230">
        <f t="shared" si="13"/>
        <v>149.05599999999998</v>
      </c>
      <c r="Q79" s="230">
        <f t="shared" si="14"/>
        <v>0</v>
      </c>
      <c r="R79" s="230"/>
      <c r="S79" s="230">
        <f t="shared" si="15"/>
        <v>1490.56</v>
      </c>
      <c r="T79" s="230">
        <f t="shared" si="16"/>
        <v>1490.56</v>
      </c>
      <c r="U79" s="230">
        <f t="shared" si="17"/>
        <v>0</v>
      </c>
    </row>
    <row r="80" spans="1:21" ht="12" customHeight="1">
      <c r="A80" s="3" t="s">
        <v>415</v>
      </c>
      <c r="C80" s="32">
        <v>173256</v>
      </c>
      <c r="D80" s="32">
        <v>2</v>
      </c>
      <c r="E80" s="3" t="s">
        <v>471</v>
      </c>
      <c r="F80" s="3">
        <v>2008</v>
      </c>
      <c r="G80" s="3">
        <v>9</v>
      </c>
      <c r="H80" s="3">
        <v>0</v>
      </c>
      <c r="I80" s="3" t="s">
        <v>52</v>
      </c>
      <c r="J80" s="175">
        <v>10</v>
      </c>
      <c r="K80" s="3">
        <f t="shared" si="9"/>
        <v>2018</v>
      </c>
      <c r="L80" s="172">
        <f t="shared" si="10"/>
        <v>2018.75</v>
      </c>
      <c r="M80" s="230">
        <v>1991.04</v>
      </c>
      <c r="N80" s="230">
        <f t="shared" si="11"/>
        <v>1991.04</v>
      </c>
      <c r="O80" s="230">
        <f t="shared" si="12"/>
        <v>16.591999999999999</v>
      </c>
      <c r="P80" s="230">
        <f t="shared" si="13"/>
        <v>199.10399999999998</v>
      </c>
      <c r="Q80" s="230">
        <f t="shared" si="14"/>
        <v>0</v>
      </c>
      <c r="R80" s="230"/>
      <c r="S80" s="230">
        <f t="shared" si="15"/>
        <v>1991.04</v>
      </c>
      <c r="T80" s="230">
        <f t="shared" si="16"/>
        <v>1991.04</v>
      </c>
      <c r="U80" s="230">
        <f t="shared" si="17"/>
        <v>0</v>
      </c>
    </row>
    <row r="81" spans="1:21" ht="12" customHeight="1">
      <c r="A81" s="3" t="s">
        <v>415</v>
      </c>
      <c r="C81" s="32">
        <v>173251</v>
      </c>
      <c r="D81" s="32">
        <v>30</v>
      </c>
      <c r="E81" s="3" t="s">
        <v>329</v>
      </c>
      <c r="F81" s="3">
        <v>2008</v>
      </c>
      <c r="G81" s="3">
        <v>1</v>
      </c>
      <c r="H81" s="3">
        <v>0</v>
      </c>
      <c r="I81" s="3" t="s">
        <v>52</v>
      </c>
      <c r="J81" s="175">
        <v>12</v>
      </c>
      <c r="K81" s="3">
        <f t="shared" si="9"/>
        <v>2020</v>
      </c>
      <c r="L81" s="172">
        <f t="shared" si="10"/>
        <v>2020.0833333333333</v>
      </c>
      <c r="M81" s="230">
        <v>14100.48</v>
      </c>
      <c r="N81" s="230">
        <f t="shared" si="11"/>
        <v>14100.48</v>
      </c>
      <c r="O81" s="230">
        <f t="shared" si="12"/>
        <v>97.92</v>
      </c>
      <c r="P81" s="230">
        <f t="shared" si="13"/>
        <v>1175.04</v>
      </c>
      <c r="Q81" s="230">
        <f t="shared" si="14"/>
        <v>1175.04</v>
      </c>
      <c r="R81" s="230"/>
      <c r="S81" s="230">
        <f t="shared" si="15"/>
        <v>10575.36</v>
      </c>
      <c r="T81" s="230">
        <f t="shared" si="16"/>
        <v>11750.400000000001</v>
      </c>
      <c r="U81" s="230">
        <f t="shared" si="17"/>
        <v>2937.5999999999985</v>
      </c>
    </row>
    <row r="82" spans="1:21" ht="12" customHeight="1">
      <c r="A82" s="3" t="s">
        <v>679</v>
      </c>
      <c r="C82" s="32">
        <v>55948</v>
      </c>
      <c r="D82" s="32">
        <v>25</v>
      </c>
      <c r="E82" s="3" t="s">
        <v>694</v>
      </c>
      <c r="F82" s="3">
        <v>2008</v>
      </c>
      <c r="G82" s="3">
        <v>1</v>
      </c>
      <c r="H82" s="3">
        <v>0</v>
      </c>
      <c r="I82" s="3" t="s">
        <v>52</v>
      </c>
      <c r="J82" s="175" t="s">
        <v>754</v>
      </c>
      <c r="K82" s="3">
        <f t="shared" si="9"/>
        <v>2020</v>
      </c>
      <c r="L82" s="172">
        <f t="shared" si="10"/>
        <v>2020.0833333333333</v>
      </c>
      <c r="M82" s="230">
        <v>10771</v>
      </c>
      <c r="N82" s="230">
        <f t="shared" si="11"/>
        <v>10771</v>
      </c>
      <c r="O82" s="230">
        <f t="shared" si="12"/>
        <v>74.798611111111114</v>
      </c>
      <c r="P82" s="230">
        <f t="shared" si="13"/>
        <v>897.58333333333337</v>
      </c>
      <c r="Q82" s="230">
        <f t="shared" si="14"/>
        <v>897.58333333333337</v>
      </c>
      <c r="R82" s="230"/>
      <c r="S82" s="230">
        <f t="shared" si="15"/>
        <v>8078.25</v>
      </c>
      <c r="T82" s="230">
        <f t="shared" si="16"/>
        <v>8975.8333333333339</v>
      </c>
      <c r="U82" s="230">
        <f t="shared" si="17"/>
        <v>2243.958333333333</v>
      </c>
    </row>
    <row r="83" spans="1:21" ht="12" customHeight="1">
      <c r="A83" s="3" t="s">
        <v>679</v>
      </c>
      <c r="C83" s="32">
        <v>56571</v>
      </c>
      <c r="D83" s="32">
        <v>2</v>
      </c>
      <c r="E83" s="3" t="s">
        <v>695</v>
      </c>
      <c r="F83" s="3">
        <v>2008</v>
      </c>
      <c r="G83" s="3">
        <v>3</v>
      </c>
      <c r="H83" s="3">
        <v>0</v>
      </c>
      <c r="I83" s="3" t="s">
        <v>52</v>
      </c>
      <c r="J83" s="175" t="s">
        <v>754</v>
      </c>
      <c r="K83" s="3">
        <f t="shared" si="9"/>
        <v>2020</v>
      </c>
      <c r="L83" s="172">
        <f t="shared" si="10"/>
        <v>2020.25</v>
      </c>
      <c r="M83" s="230">
        <v>10759.32</v>
      </c>
      <c r="N83" s="230">
        <f t="shared" si="11"/>
        <v>10759.32</v>
      </c>
      <c r="O83" s="230">
        <f t="shared" si="12"/>
        <v>74.717500000000001</v>
      </c>
      <c r="P83" s="230">
        <f t="shared" si="13"/>
        <v>896.61</v>
      </c>
      <c r="Q83" s="230">
        <f t="shared" si="14"/>
        <v>896.61</v>
      </c>
      <c r="R83" s="230"/>
      <c r="S83" s="230">
        <f t="shared" si="15"/>
        <v>8069.49</v>
      </c>
      <c r="T83" s="230">
        <f t="shared" si="16"/>
        <v>8966.1</v>
      </c>
      <c r="U83" s="230">
        <f t="shared" si="17"/>
        <v>2241.5249999999996</v>
      </c>
    </row>
    <row r="84" spans="1:21" ht="12" customHeight="1">
      <c r="A84" s="3" t="s">
        <v>679</v>
      </c>
      <c r="C84" s="32">
        <v>56643</v>
      </c>
      <c r="D84" s="32">
        <v>3</v>
      </c>
      <c r="E84" s="3" t="s">
        <v>695</v>
      </c>
      <c r="F84" s="3">
        <v>2008</v>
      </c>
      <c r="G84" s="3">
        <v>3</v>
      </c>
      <c r="H84" s="3">
        <v>0</v>
      </c>
      <c r="I84" s="3" t="s">
        <v>52</v>
      </c>
      <c r="J84" s="175" t="s">
        <v>754</v>
      </c>
      <c r="K84" s="3">
        <f t="shared" si="9"/>
        <v>2020</v>
      </c>
      <c r="L84" s="172">
        <f t="shared" si="10"/>
        <v>2020.25</v>
      </c>
      <c r="M84" s="230">
        <v>16138.98</v>
      </c>
      <c r="N84" s="230">
        <f t="shared" si="11"/>
        <v>16138.98</v>
      </c>
      <c r="O84" s="230">
        <f t="shared" si="12"/>
        <v>112.07625</v>
      </c>
      <c r="P84" s="230">
        <f t="shared" si="13"/>
        <v>1344.915</v>
      </c>
      <c r="Q84" s="230">
        <f t="shared" si="14"/>
        <v>1344.915</v>
      </c>
      <c r="R84" s="230"/>
      <c r="S84" s="230">
        <f t="shared" si="15"/>
        <v>12104.235000000001</v>
      </c>
      <c r="T84" s="230">
        <f t="shared" si="16"/>
        <v>13449.150000000001</v>
      </c>
      <c r="U84" s="230">
        <f t="shared" si="17"/>
        <v>3362.2874999999985</v>
      </c>
    </row>
    <row r="85" spans="1:21" ht="12" customHeight="1">
      <c r="A85" s="3" t="s">
        <v>679</v>
      </c>
      <c r="C85" s="32">
        <v>59451</v>
      </c>
      <c r="D85" s="32">
        <v>3</v>
      </c>
      <c r="E85" s="3" t="s">
        <v>696</v>
      </c>
      <c r="F85" s="3">
        <v>2008</v>
      </c>
      <c r="G85" s="3">
        <v>9</v>
      </c>
      <c r="H85" s="3">
        <v>0</v>
      </c>
      <c r="I85" s="3" t="s">
        <v>52</v>
      </c>
      <c r="J85" s="175" t="s">
        <v>754</v>
      </c>
      <c r="K85" s="3">
        <f t="shared" si="9"/>
        <v>2020</v>
      </c>
      <c r="L85" s="172">
        <f t="shared" si="10"/>
        <v>2020.75</v>
      </c>
      <c r="M85" s="230">
        <v>2235.84</v>
      </c>
      <c r="N85" s="230">
        <f t="shared" si="11"/>
        <v>2235.84</v>
      </c>
      <c r="O85" s="230">
        <f t="shared" si="12"/>
        <v>15.526666666666669</v>
      </c>
      <c r="P85" s="230">
        <f t="shared" si="13"/>
        <v>186.32000000000002</v>
      </c>
      <c r="Q85" s="230">
        <f t="shared" si="14"/>
        <v>186.32000000000002</v>
      </c>
      <c r="R85" s="230"/>
      <c r="S85" s="230">
        <f t="shared" si="15"/>
        <v>1676.88</v>
      </c>
      <c r="T85" s="230">
        <f t="shared" si="16"/>
        <v>1863.2</v>
      </c>
      <c r="U85" s="230">
        <f t="shared" si="17"/>
        <v>465.80000000000007</v>
      </c>
    </row>
    <row r="86" spans="1:21" ht="12" customHeight="1">
      <c r="A86" s="3" t="s">
        <v>679</v>
      </c>
      <c r="C86" s="32">
        <v>59452</v>
      </c>
      <c r="D86" s="32">
        <v>3</v>
      </c>
      <c r="E86" s="3" t="s">
        <v>697</v>
      </c>
      <c r="F86" s="3">
        <v>2008</v>
      </c>
      <c r="G86" s="3">
        <v>9</v>
      </c>
      <c r="H86" s="3">
        <v>0</v>
      </c>
      <c r="I86" s="3" t="s">
        <v>52</v>
      </c>
      <c r="J86" s="175" t="s">
        <v>754</v>
      </c>
      <c r="K86" s="3">
        <f t="shared" si="9"/>
        <v>2020</v>
      </c>
      <c r="L86" s="172">
        <f t="shared" si="10"/>
        <v>2020.75</v>
      </c>
      <c r="M86" s="230">
        <v>2986.56</v>
      </c>
      <c r="N86" s="230">
        <f t="shared" si="11"/>
        <v>2986.56</v>
      </c>
      <c r="O86" s="230">
        <f t="shared" si="12"/>
        <v>20.74</v>
      </c>
      <c r="P86" s="230">
        <f t="shared" si="13"/>
        <v>248.88</v>
      </c>
      <c r="Q86" s="230">
        <f t="shared" si="14"/>
        <v>248.88</v>
      </c>
      <c r="R86" s="230"/>
      <c r="S86" s="230">
        <f t="shared" si="15"/>
        <v>2239.92</v>
      </c>
      <c r="T86" s="230">
        <f t="shared" si="16"/>
        <v>2488.8000000000002</v>
      </c>
      <c r="U86" s="230">
        <f t="shared" si="17"/>
        <v>622.19999999999982</v>
      </c>
    </row>
    <row r="87" spans="1:21" ht="12" customHeight="1">
      <c r="A87" s="3" t="s">
        <v>679</v>
      </c>
      <c r="C87" s="32">
        <v>60153</v>
      </c>
      <c r="D87" s="32">
        <v>5</v>
      </c>
      <c r="E87" s="3" t="s">
        <v>698</v>
      </c>
      <c r="F87" s="3">
        <v>2008</v>
      </c>
      <c r="G87" s="3">
        <v>10</v>
      </c>
      <c r="H87" s="3">
        <v>0</v>
      </c>
      <c r="I87" s="3" t="s">
        <v>52</v>
      </c>
      <c r="J87" s="175" t="s">
        <v>754</v>
      </c>
      <c r="K87" s="3">
        <f t="shared" si="9"/>
        <v>2020</v>
      </c>
      <c r="L87" s="172">
        <f t="shared" si="10"/>
        <v>2020.8333333333333</v>
      </c>
      <c r="M87" s="230">
        <v>2611.1999999999998</v>
      </c>
      <c r="N87" s="230">
        <f t="shared" si="11"/>
        <v>2611.1999999999998</v>
      </c>
      <c r="O87" s="230">
        <f t="shared" si="12"/>
        <v>18.133333333333333</v>
      </c>
      <c r="P87" s="230">
        <f t="shared" si="13"/>
        <v>217.6</v>
      </c>
      <c r="Q87" s="230">
        <f t="shared" si="14"/>
        <v>217.6</v>
      </c>
      <c r="R87" s="230"/>
      <c r="S87" s="230">
        <f t="shared" si="15"/>
        <v>1958.3999999999999</v>
      </c>
      <c r="T87" s="230">
        <f t="shared" si="16"/>
        <v>2176</v>
      </c>
      <c r="U87" s="230">
        <f t="shared" si="17"/>
        <v>543.99999999999989</v>
      </c>
    </row>
    <row r="88" spans="1:21" ht="12" customHeight="1">
      <c r="A88" s="3" t="s">
        <v>679</v>
      </c>
      <c r="C88" s="32">
        <v>60155</v>
      </c>
      <c r="D88" s="32">
        <v>8</v>
      </c>
      <c r="E88" s="3" t="s">
        <v>699</v>
      </c>
      <c r="F88" s="3">
        <v>2008</v>
      </c>
      <c r="G88" s="3">
        <v>10</v>
      </c>
      <c r="H88" s="3">
        <v>0</v>
      </c>
      <c r="I88" s="3" t="s">
        <v>52</v>
      </c>
      <c r="J88" s="175" t="s">
        <v>754</v>
      </c>
      <c r="K88" s="3">
        <f t="shared" si="9"/>
        <v>2020</v>
      </c>
      <c r="L88" s="172">
        <f t="shared" si="10"/>
        <v>2020.8333333333333</v>
      </c>
      <c r="M88" s="230">
        <v>3960.32</v>
      </c>
      <c r="N88" s="230">
        <f t="shared" si="11"/>
        <v>3960.32</v>
      </c>
      <c r="O88" s="230">
        <f t="shared" si="12"/>
        <v>27.502222222222226</v>
      </c>
      <c r="P88" s="230">
        <f t="shared" si="13"/>
        <v>330.0266666666667</v>
      </c>
      <c r="Q88" s="230">
        <f t="shared" si="14"/>
        <v>330.0266666666667</v>
      </c>
      <c r="R88" s="230"/>
      <c r="S88" s="230">
        <f t="shared" si="15"/>
        <v>2970.2400000000002</v>
      </c>
      <c r="T88" s="230">
        <f t="shared" si="16"/>
        <v>3300.2666666666669</v>
      </c>
      <c r="U88" s="230">
        <f t="shared" si="17"/>
        <v>825.06666666666661</v>
      </c>
    </row>
    <row r="89" spans="1:21" ht="12" customHeight="1">
      <c r="A89" s="3" t="s">
        <v>679</v>
      </c>
      <c r="C89" s="32">
        <v>60156</v>
      </c>
      <c r="D89" s="32">
        <v>1</v>
      </c>
      <c r="E89" s="3" t="s">
        <v>700</v>
      </c>
      <c r="F89" s="3">
        <v>2008</v>
      </c>
      <c r="G89" s="3">
        <v>10</v>
      </c>
      <c r="H89" s="3">
        <v>0</v>
      </c>
      <c r="I89" s="3" t="s">
        <v>52</v>
      </c>
      <c r="J89" s="175" t="s">
        <v>754</v>
      </c>
      <c r="K89" s="3">
        <f t="shared" si="9"/>
        <v>2020</v>
      </c>
      <c r="L89" s="172">
        <f t="shared" si="10"/>
        <v>2020.8333333333333</v>
      </c>
      <c r="M89" s="230">
        <v>574.46</v>
      </c>
      <c r="N89" s="230">
        <f t="shared" si="11"/>
        <v>574.46</v>
      </c>
      <c r="O89" s="230">
        <f t="shared" si="12"/>
        <v>3.9893055555555557</v>
      </c>
      <c r="P89" s="230">
        <f t="shared" si="13"/>
        <v>47.87166666666667</v>
      </c>
      <c r="Q89" s="230">
        <f t="shared" si="14"/>
        <v>47.87166666666667</v>
      </c>
      <c r="R89" s="230"/>
      <c r="S89" s="230">
        <f t="shared" si="15"/>
        <v>430.84500000000003</v>
      </c>
      <c r="T89" s="230">
        <f t="shared" si="16"/>
        <v>478.7166666666667</v>
      </c>
      <c r="U89" s="230">
        <f t="shared" si="17"/>
        <v>119.67916666666667</v>
      </c>
    </row>
    <row r="90" spans="1:21" ht="12" customHeight="1">
      <c r="A90" s="3" t="s">
        <v>679</v>
      </c>
      <c r="C90" s="32">
        <v>60157</v>
      </c>
      <c r="D90" s="32">
        <v>6</v>
      </c>
      <c r="E90" s="3" t="s">
        <v>701</v>
      </c>
      <c r="F90" s="3">
        <v>2008</v>
      </c>
      <c r="G90" s="3">
        <v>10</v>
      </c>
      <c r="H90" s="3">
        <v>0</v>
      </c>
      <c r="I90" s="3" t="s">
        <v>52</v>
      </c>
      <c r="J90" s="175" t="s">
        <v>754</v>
      </c>
      <c r="K90" s="3">
        <f t="shared" si="9"/>
        <v>2020</v>
      </c>
      <c r="L90" s="172">
        <f t="shared" si="10"/>
        <v>2020.8333333333333</v>
      </c>
      <c r="M90" s="230">
        <v>3446.78</v>
      </c>
      <c r="N90" s="230">
        <f t="shared" si="11"/>
        <v>3446.78</v>
      </c>
      <c r="O90" s="230">
        <f t="shared" si="12"/>
        <v>23.935972222222222</v>
      </c>
      <c r="P90" s="230">
        <f t="shared" si="13"/>
        <v>287.23166666666668</v>
      </c>
      <c r="Q90" s="230">
        <f t="shared" si="14"/>
        <v>287.23166666666668</v>
      </c>
      <c r="R90" s="230"/>
      <c r="S90" s="230">
        <f t="shared" si="15"/>
        <v>2585.085</v>
      </c>
      <c r="T90" s="230">
        <f t="shared" si="16"/>
        <v>2872.3166666666666</v>
      </c>
      <c r="U90" s="230">
        <f t="shared" si="17"/>
        <v>718.07916666666688</v>
      </c>
    </row>
    <row r="91" spans="1:21" ht="12" customHeight="1">
      <c r="A91" s="3" t="s">
        <v>679</v>
      </c>
      <c r="C91" s="32">
        <v>128809</v>
      </c>
      <c r="D91" s="32">
        <v>5</v>
      </c>
      <c r="E91" s="3" t="s">
        <v>715</v>
      </c>
      <c r="F91" s="3">
        <v>2008</v>
      </c>
      <c r="G91" s="3">
        <v>11</v>
      </c>
      <c r="H91" s="3">
        <v>0</v>
      </c>
      <c r="I91" s="3" t="s">
        <v>52</v>
      </c>
      <c r="J91" s="175" t="s">
        <v>754</v>
      </c>
      <c r="K91" s="3">
        <f t="shared" si="9"/>
        <v>2020</v>
      </c>
      <c r="L91" s="172">
        <f t="shared" si="10"/>
        <v>2020.9166666666667</v>
      </c>
      <c r="M91" s="230">
        <v>452.27</v>
      </c>
      <c r="N91" s="230">
        <f t="shared" si="11"/>
        <v>452.27</v>
      </c>
      <c r="O91" s="230">
        <f t="shared" si="12"/>
        <v>3.1407638888888889</v>
      </c>
      <c r="P91" s="230">
        <f t="shared" si="13"/>
        <v>37.689166666666665</v>
      </c>
      <c r="Q91" s="230">
        <f t="shared" si="14"/>
        <v>37.689166666666665</v>
      </c>
      <c r="R91" s="230"/>
      <c r="S91" s="230">
        <f t="shared" si="15"/>
        <v>339.20249999999999</v>
      </c>
      <c r="T91" s="230">
        <f t="shared" si="16"/>
        <v>376.89166666666665</v>
      </c>
      <c r="U91" s="230">
        <f t="shared" si="17"/>
        <v>94.222916666666663</v>
      </c>
    </row>
    <row r="92" spans="1:21" ht="12" customHeight="1">
      <c r="A92" s="3" t="s">
        <v>679</v>
      </c>
      <c r="C92" s="32">
        <v>173522</v>
      </c>
      <c r="D92" s="32">
        <v>20</v>
      </c>
      <c r="E92" s="3" t="s">
        <v>717</v>
      </c>
      <c r="F92" s="3">
        <v>2008</v>
      </c>
      <c r="G92" s="3">
        <v>1</v>
      </c>
      <c r="H92" s="3">
        <v>0</v>
      </c>
      <c r="I92" s="3" t="s">
        <v>52</v>
      </c>
      <c r="J92" s="175" t="s">
        <v>754</v>
      </c>
      <c r="K92" s="3">
        <f t="shared" si="9"/>
        <v>2020</v>
      </c>
      <c r="L92" s="172">
        <f t="shared" si="10"/>
        <v>2020.0833333333333</v>
      </c>
      <c r="M92" s="230">
        <v>12250.88</v>
      </c>
      <c r="N92" s="230">
        <f t="shared" si="11"/>
        <v>12250.88</v>
      </c>
      <c r="O92" s="230">
        <f t="shared" si="12"/>
        <v>85.075555555555553</v>
      </c>
      <c r="P92" s="230">
        <f t="shared" si="13"/>
        <v>1020.9066666666666</v>
      </c>
      <c r="Q92" s="230">
        <f t="shared" si="14"/>
        <v>1020.9066666666666</v>
      </c>
      <c r="R92" s="230"/>
      <c r="S92" s="230">
        <f t="shared" si="15"/>
        <v>9188.16</v>
      </c>
      <c r="T92" s="230">
        <f t="shared" si="16"/>
        <v>10209.066666666666</v>
      </c>
      <c r="U92" s="230">
        <f t="shared" si="17"/>
        <v>2552.2666666666664</v>
      </c>
    </row>
    <row r="93" spans="1:21" ht="12" customHeight="1">
      <c r="A93" s="3" t="s">
        <v>679</v>
      </c>
      <c r="C93" s="32">
        <v>173538</v>
      </c>
      <c r="D93" s="32">
        <v>36</v>
      </c>
      <c r="E93" s="3" t="s">
        <v>718</v>
      </c>
      <c r="F93" s="3">
        <v>2008</v>
      </c>
      <c r="G93" s="3">
        <v>7</v>
      </c>
      <c r="H93" s="3">
        <v>0</v>
      </c>
      <c r="I93" s="3" t="s">
        <v>52</v>
      </c>
      <c r="J93" s="175" t="s">
        <v>754</v>
      </c>
      <c r="K93" s="3">
        <f t="shared" si="9"/>
        <v>2020</v>
      </c>
      <c r="L93" s="172">
        <f t="shared" si="10"/>
        <v>2020.5833333333333</v>
      </c>
      <c r="M93" s="230">
        <v>26712.58</v>
      </c>
      <c r="N93" s="230">
        <f t="shared" si="11"/>
        <v>26712.58</v>
      </c>
      <c r="O93" s="230">
        <f t="shared" si="12"/>
        <v>185.50402777777779</v>
      </c>
      <c r="P93" s="230">
        <f t="shared" si="13"/>
        <v>2226.0483333333336</v>
      </c>
      <c r="Q93" s="230">
        <f t="shared" si="14"/>
        <v>2226.0483333333336</v>
      </c>
      <c r="R93" s="230"/>
      <c r="S93" s="230">
        <f t="shared" si="15"/>
        <v>20034.435000000001</v>
      </c>
      <c r="T93" s="230">
        <f t="shared" si="16"/>
        <v>22260.483333333334</v>
      </c>
      <c r="U93" s="230">
        <f t="shared" si="17"/>
        <v>5565.1208333333343</v>
      </c>
    </row>
    <row r="94" spans="1:21" ht="12" customHeight="1">
      <c r="A94" s="3" t="s">
        <v>40</v>
      </c>
      <c r="D94" s="32">
        <v>40</v>
      </c>
      <c r="E94" s="3" t="s">
        <v>103</v>
      </c>
      <c r="F94" s="3">
        <v>2009</v>
      </c>
      <c r="G94" s="3">
        <v>12</v>
      </c>
      <c r="H94" s="3">
        <v>0</v>
      </c>
      <c r="I94" s="3" t="s">
        <v>52</v>
      </c>
      <c r="J94" s="175">
        <v>10</v>
      </c>
      <c r="K94" s="3">
        <f t="shared" si="9"/>
        <v>2019</v>
      </c>
      <c r="L94" s="172">
        <f t="shared" si="10"/>
        <v>2020</v>
      </c>
      <c r="M94" s="230">
        <v>20723.28</v>
      </c>
      <c r="N94" s="230">
        <f t="shared" si="11"/>
        <v>20723.28</v>
      </c>
      <c r="O94" s="230">
        <f t="shared" si="12"/>
        <v>172.69399999999999</v>
      </c>
      <c r="P94" s="230">
        <f t="shared" si="13"/>
        <v>2072.328</v>
      </c>
      <c r="Q94" s="230">
        <f t="shared" si="14"/>
        <v>2072.328</v>
      </c>
      <c r="R94" s="230"/>
      <c r="S94" s="230">
        <f t="shared" si="15"/>
        <v>16578.624</v>
      </c>
      <c r="T94" s="230">
        <f t="shared" si="16"/>
        <v>18650.952000000001</v>
      </c>
      <c r="U94" s="230">
        <f t="shared" si="17"/>
        <v>3108.4919999999984</v>
      </c>
    </row>
    <row r="95" spans="1:21" ht="12" customHeight="1">
      <c r="A95" s="3" t="s">
        <v>40</v>
      </c>
      <c r="D95" s="32">
        <v>40</v>
      </c>
      <c r="E95" s="3" t="s">
        <v>104</v>
      </c>
      <c r="F95" s="3">
        <v>2009</v>
      </c>
      <c r="G95" s="3">
        <v>12</v>
      </c>
      <c r="H95" s="3">
        <v>0</v>
      </c>
      <c r="I95" s="3" t="s">
        <v>52</v>
      </c>
      <c r="J95" s="175">
        <v>10</v>
      </c>
      <c r="K95" s="3">
        <f t="shared" si="9"/>
        <v>2019</v>
      </c>
      <c r="L95" s="172">
        <f t="shared" si="10"/>
        <v>2020</v>
      </c>
      <c r="M95" s="230">
        <v>34626.239999999998</v>
      </c>
      <c r="N95" s="230">
        <f t="shared" si="11"/>
        <v>34626.239999999998</v>
      </c>
      <c r="O95" s="230">
        <f t="shared" si="12"/>
        <v>288.55199999999996</v>
      </c>
      <c r="P95" s="230">
        <f t="shared" si="13"/>
        <v>3462.6239999999998</v>
      </c>
      <c r="Q95" s="230">
        <f t="shared" si="14"/>
        <v>3462.6239999999998</v>
      </c>
      <c r="R95" s="230"/>
      <c r="S95" s="230">
        <f t="shared" si="15"/>
        <v>27700.991999999998</v>
      </c>
      <c r="T95" s="230">
        <f t="shared" si="16"/>
        <v>31163.615999999998</v>
      </c>
      <c r="U95" s="230">
        <f t="shared" si="17"/>
        <v>5193.9359999999997</v>
      </c>
    </row>
    <row r="96" spans="1:21" ht="12" customHeight="1">
      <c r="A96" s="3" t="s">
        <v>40</v>
      </c>
      <c r="D96" s="32">
        <v>30</v>
      </c>
      <c r="E96" s="3" t="s">
        <v>149</v>
      </c>
      <c r="F96" s="3">
        <v>2010</v>
      </c>
      <c r="G96" s="3">
        <v>6</v>
      </c>
      <c r="H96" s="3">
        <v>0</v>
      </c>
      <c r="I96" s="3" t="s">
        <v>52</v>
      </c>
      <c r="J96" s="175">
        <v>10</v>
      </c>
      <c r="K96" s="3">
        <f t="shared" si="9"/>
        <v>2020</v>
      </c>
      <c r="L96" s="172">
        <f t="shared" si="10"/>
        <v>2020.5</v>
      </c>
      <c r="M96" s="230">
        <f>448.13+6721.95+6273.82+0.7</f>
        <v>13444.6</v>
      </c>
      <c r="N96" s="230">
        <f t="shared" si="11"/>
        <v>13444.6</v>
      </c>
      <c r="O96" s="230">
        <f t="shared" si="12"/>
        <v>112.03833333333334</v>
      </c>
      <c r="P96" s="230">
        <f t="shared" si="13"/>
        <v>1344.46</v>
      </c>
      <c r="Q96" s="230">
        <f t="shared" si="14"/>
        <v>1344.46</v>
      </c>
      <c r="R96" s="230"/>
      <c r="S96" s="230">
        <f t="shared" si="15"/>
        <v>9411.2200000000012</v>
      </c>
      <c r="T96" s="230">
        <f t="shared" si="16"/>
        <v>10755.68</v>
      </c>
      <c r="U96" s="230">
        <f t="shared" si="17"/>
        <v>3361.1499999999996</v>
      </c>
    </row>
    <row r="97" spans="1:21" ht="12" customHeight="1">
      <c r="A97" s="3" t="s">
        <v>40</v>
      </c>
      <c r="D97" s="32">
        <v>18</v>
      </c>
      <c r="E97" s="3" t="s">
        <v>193</v>
      </c>
      <c r="F97" s="3">
        <v>2010</v>
      </c>
      <c r="G97" s="3">
        <v>12</v>
      </c>
      <c r="H97" s="3">
        <v>0</v>
      </c>
      <c r="I97" s="3" t="s">
        <v>52</v>
      </c>
      <c r="J97" s="175">
        <v>10</v>
      </c>
      <c r="K97" s="3">
        <f t="shared" si="9"/>
        <v>2020</v>
      </c>
      <c r="L97" s="172">
        <f t="shared" si="10"/>
        <v>2021</v>
      </c>
      <c r="M97" s="230">
        <f>4131.54+4131.54</f>
        <v>8263.08</v>
      </c>
      <c r="N97" s="230">
        <f t="shared" si="11"/>
        <v>8263.08</v>
      </c>
      <c r="O97" s="230">
        <f t="shared" si="12"/>
        <v>68.858999999999995</v>
      </c>
      <c r="P97" s="230">
        <f t="shared" si="13"/>
        <v>826.30799999999999</v>
      </c>
      <c r="Q97" s="230">
        <f t="shared" si="14"/>
        <v>826.30799999999999</v>
      </c>
      <c r="R97" s="230"/>
      <c r="S97" s="230">
        <f t="shared" si="15"/>
        <v>5784.1559999999999</v>
      </c>
      <c r="T97" s="230">
        <f t="shared" si="16"/>
        <v>6610.4639999999999</v>
      </c>
      <c r="U97" s="230">
        <f t="shared" si="17"/>
        <v>2065.77</v>
      </c>
    </row>
    <row r="98" spans="1:21" ht="12" customHeight="1">
      <c r="A98" s="3" t="s">
        <v>40</v>
      </c>
      <c r="D98" s="32">
        <v>15</v>
      </c>
      <c r="E98" s="3" t="s">
        <v>163</v>
      </c>
      <c r="F98" s="3">
        <v>2010</v>
      </c>
      <c r="G98" s="3">
        <v>5</v>
      </c>
      <c r="H98" s="3">
        <v>0</v>
      </c>
      <c r="I98" s="3" t="s">
        <v>52</v>
      </c>
      <c r="J98" s="175">
        <v>10</v>
      </c>
      <c r="K98" s="3">
        <f t="shared" si="9"/>
        <v>2020</v>
      </c>
      <c r="L98" s="172">
        <f t="shared" si="10"/>
        <v>2020.4166666666667</v>
      </c>
      <c r="M98" s="230">
        <f>4645.25+1393.58+929.05</f>
        <v>6967.88</v>
      </c>
      <c r="N98" s="230">
        <f t="shared" si="11"/>
        <v>6967.88</v>
      </c>
      <c r="O98" s="230">
        <f t="shared" si="12"/>
        <v>58.065666666666665</v>
      </c>
      <c r="P98" s="230">
        <f t="shared" si="13"/>
        <v>696.78800000000001</v>
      </c>
      <c r="Q98" s="230">
        <f t="shared" si="14"/>
        <v>696.78800000000001</v>
      </c>
      <c r="R98" s="230"/>
      <c r="S98" s="230">
        <f t="shared" si="15"/>
        <v>4877.5159999999996</v>
      </c>
      <c r="T98" s="230">
        <f t="shared" si="16"/>
        <v>5574.3040000000001</v>
      </c>
      <c r="U98" s="230">
        <f t="shared" si="17"/>
        <v>1741.9700000000003</v>
      </c>
    </row>
    <row r="99" spans="1:21" ht="12" customHeight="1">
      <c r="A99" s="3" t="s">
        <v>40</v>
      </c>
      <c r="C99" s="32" t="s">
        <v>223</v>
      </c>
      <c r="D99" s="32">
        <v>10</v>
      </c>
      <c r="E99" s="3" t="s">
        <v>222</v>
      </c>
      <c r="F99" s="3">
        <v>2010</v>
      </c>
      <c r="G99" s="3">
        <v>6</v>
      </c>
      <c r="H99" s="3">
        <v>0</v>
      </c>
      <c r="I99" s="3" t="s">
        <v>52</v>
      </c>
      <c r="J99" s="175">
        <v>10</v>
      </c>
      <c r="K99" s="3">
        <f t="shared" si="9"/>
        <v>2020</v>
      </c>
      <c r="L99" s="172">
        <f t="shared" si="10"/>
        <v>2020.5</v>
      </c>
      <c r="M99" s="230">
        <v>5027.8</v>
      </c>
      <c r="N99" s="230">
        <f t="shared" si="11"/>
        <v>5027.8</v>
      </c>
      <c r="O99" s="230">
        <f t="shared" si="12"/>
        <v>41.898333333333333</v>
      </c>
      <c r="P99" s="230">
        <f t="shared" si="13"/>
        <v>502.78</v>
      </c>
      <c r="Q99" s="230">
        <f t="shared" si="14"/>
        <v>502.78</v>
      </c>
      <c r="R99" s="230"/>
      <c r="S99" s="230">
        <f t="shared" si="15"/>
        <v>3519.46</v>
      </c>
      <c r="T99" s="230">
        <f t="shared" si="16"/>
        <v>4022.24</v>
      </c>
      <c r="U99" s="230">
        <f t="shared" si="17"/>
        <v>1256.9500000000003</v>
      </c>
    </row>
    <row r="100" spans="1:21" ht="12" customHeight="1">
      <c r="A100" s="3" t="s">
        <v>40</v>
      </c>
      <c r="D100" s="32">
        <v>30</v>
      </c>
      <c r="E100" s="3" t="s">
        <v>103</v>
      </c>
      <c r="F100" s="3">
        <v>2010</v>
      </c>
      <c r="G100" s="3">
        <v>5</v>
      </c>
      <c r="H100" s="3">
        <v>0</v>
      </c>
      <c r="I100" s="3" t="s">
        <v>52</v>
      </c>
      <c r="J100" s="175">
        <v>10</v>
      </c>
      <c r="K100" s="3">
        <f t="shared" si="9"/>
        <v>2020</v>
      </c>
      <c r="L100" s="172">
        <f t="shared" si="10"/>
        <v>2020.4166666666667</v>
      </c>
      <c r="M100" s="230">
        <f>2032.98+5584+508.25+7115.43</f>
        <v>15240.66</v>
      </c>
      <c r="N100" s="230">
        <f t="shared" si="11"/>
        <v>15240.66</v>
      </c>
      <c r="O100" s="230">
        <f t="shared" si="12"/>
        <v>127.0055</v>
      </c>
      <c r="P100" s="230">
        <f t="shared" si="13"/>
        <v>1524.066</v>
      </c>
      <c r="Q100" s="230">
        <f t="shared" si="14"/>
        <v>1524.066</v>
      </c>
      <c r="R100" s="230"/>
      <c r="S100" s="230">
        <f t="shared" si="15"/>
        <v>10668.462</v>
      </c>
      <c r="T100" s="230">
        <f t="shared" si="16"/>
        <v>12192.528</v>
      </c>
      <c r="U100" s="230">
        <f t="shared" si="17"/>
        <v>3810.165</v>
      </c>
    </row>
    <row r="101" spans="1:21" ht="12" customHeight="1">
      <c r="A101" s="3" t="s">
        <v>40</v>
      </c>
      <c r="D101" s="32">
        <v>28</v>
      </c>
      <c r="E101" s="3" t="s">
        <v>194</v>
      </c>
      <c r="F101" s="3">
        <v>2010</v>
      </c>
      <c r="G101" s="3">
        <v>12</v>
      </c>
      <c r="H101" s="3">
        <v>0</v>
      </c>
      <c r="I101" s="3" t="s">
        <v>52</v>
      </c>
      <c r="J101" s="175">
        <v>10</v>
      </c>
      <c r="K101" s="3">
        <f t="shared" si="9"/>
        <v>2020</v>
      </c>
      <c r="L101" s="172">
        <f t="shared" si="10"/>
        <v>2021</v>
      </c>
      <c r="M101" s="230">
        <v>8394.24</v>
      </c>
      <c r="N101" s="230">
        <f t="shared" si="11"/>
        <v>8394.24</v>
      </c>
      <c r="O101" s="230">
        <f t="shared" si="12"/>
        <v>69.951999999999998</v>
      </c>
      <c r="P101" s="230">
        <f t="shared" si="13"/>
        <v>839.42399999999998</v>
      </c>
      <c r="Q101" s="230">
        <f t="shared" si="14"/>
        <v>839.42399999999998</v>
      </c>
      <c r="R101" s="230"/>
      <c r="S101" s="230">
        <f t="shared" si="15"/>
        <v>5875.9679999999998</v>
      </c>
      <c r="T101" s="230">
        <f t="shared" si="16"/>
        <v>6715.3919999999998</v>
      </c>
      <c r="U101" s="230">
        <f t="shared" si="17"/>
        <v>2098.56</v>
      </c>
    </row>
    <row r="102" spans="1:21" ht="12" customHeight="1">
      <c r="A102" s="3" t="s">
        <v>40</v>
      </c>
      <c r="D102" s="32">
        <f>14+13+9+14</f>
        <v>50</v>
      </c>
      <c r="E102" s="3" t="s">
        <v>192</v>
      </c>
      <c r="F102" s="3">
        <v>2010</v>
      </c>
      <c r="G102" s="3">
        <v>9</v>
      </c>
      <c r="H102" s="3">
        <v>0</v>
      </c>
      <c r="I102" s="3" t="s">
        <v>52</v>
      </c>
      <c r="J102" s="175">
        <v>10</v>
      </c>
      <c r="K102" s="3">
        <f t="shared" si="9"/>
        <v>2020</v>
      </c>
      <c r="L102" s="172">
        <f t="shared" si="10"/>
        <v>2020.75</v>
      </c>
      <c r="M102" s="230">
        <f>8875.16+8241.22+5705.46+8875.16</f>
        <v>31696.999999999996</v>
      </c>
      <c r="N102" s="230">
        <f t="shared" si="11"/>
        <v>31696.999999999996</v>
      </c>
      <c r="O102" s="230">
        <f t="shared" si="12"/>
        <v>264.14166666666665</v>
      </c>
      <c r="P102" s="230">
        <f t="shared" si="13"/>
        <v>3169.7</v>
      </c>
      <c r="Q102" s="230">
        <f t="shared" si="14"/>
        <v>3169.7</v>
      </c>
      <c r="R102" s="230"/>
      <c r="S102" s="230">
        <f t="shared" si="15"/>
        <v>22187.899999999998</v>
      </c>
      <c r="T102" s="230">
        <f t="shared" si="16"/>
        <v>25357.599999999999</v>
      </c>
      <c r="U102" s="230">
        <f t="shared" si="17"/>
        <v>7924.2499999999982</v>
      </c>
    </row>
    <row r="103" spans="1:21" ht="12" customHeight="1">
      <c r="A103" s="3" t="s">
        <v>415</v>
      </c>
      <c r="C103" s="32">
        <v>173277</v>
      </c>
      <c r="D103" s="32">
        <v>10</v>
      </c>
      <c r="E103" s="3" t="s">
        <v>472</v>
      </c>
      <c r="F103" s="3">
        <v>2010</v>
      </c>
      <c r="G103" s="3">
        <v>6</v>
      </c>
      <c r="H103" s="3">
        <v>0</v>
      </c>
      <c r="I103" s="3" t="s">
        <v>52</v>
      </c>
      <c r="J103" s="175">
        <v>10</v>
      </c>
      <c r="K103" s="3">
        <f t="shared" si="9"/>
        <v>2020</v>
      </c>
      <c r="L103" s="172">
        <f t="shared" si="10"/>
        <v>2020.5</v>
      </c>
      <c r="M103" s="230">
        <v>4109.68</v>
      </c>
      <c r="N103" s="230">
        <f t="shared" si="11"/>
        <v>4109.68</v>
      </c>
      <c r="O103" s="230">
        <f t="shared" si="12"/>
        <v>34.247333333333337</v>
      </c>
      <c r="P103" s="230">
        <f t="shared" si="13"/>
        <v>410.96800000000007</v>
      </c>
      <c r="Q103" s="230">
        <f t="shared" si="14"/>
        <v>410.96800000000007</v>
      </c>
      <c r="R103" s="230"/>
      <c r="S103" s="230">
        <f t="shared" si="15"/>
        <v>2876.7760000000007</v>
      </c>
      <c r="T103" s="230">
        <f t="shared" si="16"/>
        <v>3287.7440000000006</v>
      </c>
      <c r="U103" s="230">
        <f t="shared" si="17"/>
        <v>1027.4199999999996</v>
      </c>
    </row>
    <row r="104" spans="1:21" ht="12" customHeight="1">
      <c r="A104" s="3" t="s">
        <v>415</v>
      </c>
      <c r="C104" s="32">
        <v>173278</v>
      </c>
      <c r="D104" s="32">
        <v>9</v>
      </c>
      <c r="E104" s="3" t="s">
        <v>468</v>
      </c>
      <c r="F104" s="3">
        <v>2010</v>
      </c>
      <c r="G104" s="3">
        <v>6</v>
      </c>
      <c r="H104" s="3">
        <v>0</v>
      </c>
      <c r="I104" s="3" t="s">
        <v>52</v>
      </c>
      <c r="J104" s="175">
        <v>10</v>
      </c>
      <c r="K104" s="3">
        <f t="shared" si="9"/>
        <v>2020</v>
      </c>
      <c r="L104" s="172">
        <f t="shared" si="10"/>
        <v>2020.5</v>
      </c>
      <c r="M104" s="230">
        <v>4033.17</v>
      </c>
      <c r="N104" s="230">
        <f t="shared" si="11"/>
        <v>4033.17</v>
      </c>
      <c r="O104" s="230">
        <f t="shared" si="12"/>
        <v>33.609749999999998</v>
      </c>
      <c r="P104" s="230">
        <f t="shared" si="13"/>
        <v>403.31700000000001</v>
      </c>
      <c r="Q104" s="230">
        <f t="shared" si="14"/>
        <v>403.31700000000001</v>
      </c>
      <c r="R104" s="230"/>
      <c r="S104" s="230">
        <f t="shared" si="15"/>
        <v>2823.2190000000001</v>
      </c>
      <c r="T104" s="230">
        <f t="shared" si="16"/>
        <v>3226.5360000000001</v>
      </c>
      <c r="U104" s="230">
        <f t="shared" si="17"/>
        <v>1008.2925</v>
      </c>
    </row>
    <row r="105" spans="1:21" ht="12" customHeight="1">
      <c r="A105" s="3" t="s">
        <v>415</v>
      </c>
      <c r="C105" s="32" t="s">
        <v>497</v>
      </c>
      <c r="D105" s="32">
        <v>16</v>
      </c>
      <c r="E105" s="3" t="s">
        <v>471</v>
      </c>
      <c r="F105" s="3">
        <v>2010</v>
      </c>
      <c r="G105" s="3">
        <v>5</v>
      </c>
      <c r="H105" s="3">
        <v>0</v>
      </c>
      <c r="I105" s="3" t="s">
        <v>52</v>
      </c>
      <c r="J105" s="175">
        <v>10</v>
      </c>
      <c r="K105" s="3">
        <f t="shared" si="9"/>
        <v>2020</v>
      </c>
      <c r="L105" s="172">
        <f t="shared" si="10"/>
        <v>2020.4166666666667</v>
      </c>
      <c r="M105" s="230">
        <v>13640.64</v>
      </c>
      <c r="N105" s="230">
        <f t="shared" si="11"/>
        <v>13640.64</v>
      </c>
      <c r="O105" s="230">
        <f t="shared" si="12"/>
        <v>113.67199999999998</v>
      </c>
      <c r="P105" s="230">
        <f t="shared" si="13"/>
        <v>1364.0639999999999</v>
      </c>
      <c r="Q105" s="230">
        <f t="shared" si="14"/>
        <v>1364.0639999999999</v>
      </c>
      <c r="R105" s="230"/>
      <c r="S105" s="230">
        <f t="shared" si="15"/>
        <v>9548.4479999999985</v>
      </c>
      <c r="T105" s="230">
        <f t="shared" si="16"/>
        <v>10912.511999999999</v>
      </c>
      <c r="U105" s="230">
        <f t="shared" si="17"/>
        <v>3410.1600000000008</v>
      </c>
    </row>
    <row r="106" spans="1:21" ht="12" customHeight="1">
      <c r="A106" s="3" t="s">
        <v>679</v>
      </c>
      <c r="C106" s="32">
        <v>75235</v>
      </c>
      <c r="D106" s="32">
        <v>13</v>
      </c>
      <c r="E106" s="3" t="s">
        <v>703</v>
      </c>
      <c r="F106" s="3">
        <v>2010</v>
      </c>
      <c r="G106" s="3">
        <v>6</v>
      </c>
      <c r="H106" s="3">
        <v>0</v>
      </c>
      <c r="I106" s="3" t="s">
        <v>52</v>
      </c>
      <c r="J106" s="175" t="s">
        <v>754</v>
      </c>
      <c r="K106" s="3">
        <f t="shared" si="9"/>
        <v>2022</v>
      </c>
      <c r="L106" s="172">
        <f t="shared" si="10"/>
        <v>2022.5</v>
      </c>
      <c r="M106" s="230">
        <v>6607.19</v>
      </c>
      <c r="N106" s="230">
        <f t="shared" si="11"/>
        <v>6607.19</v>
      </c>
      <c r="O106" s="230">
        <f t="shared" si="12"/>
        <v>45.883263888888884</v>
      </c>
      <c r="P106" s="230">
        <f t="shared" si="13"/>
        <v>550.59916666666663</v>
      </c>
      <c r="Q106" s="230">
        <f t="shared" si="14"/>
        <v>550.59916666666663</v>
      </c>
      <c r="R106" s="230"/>
      <c r="S106" s="230">
        <f t="shared" si="15"/>
        <v>3854.1941666666662</v>
      </c>
      <c r="T106" s="230">
        <f t="shared" si="16"/>
        <v>4404.7933333333331</v>
      </c>
      <c r="U106" s="230">
        <f t="shared" si="17"/>
        <v>2477.69625</v>
      </c>
    </row>
    <row r="107" spans="1:21" ht="12" customHeight="1">
      <c r="A107" s="3" t="s">
        <v>679</v>
      </c>
      <c r="C107" s="32">
        <v>75236</v>
      </c>
      <c r="D107" s="32">
        <v>7</v>
      </c>
      <c r="E107" s="3" t="s">
        <v>703</v>
      </c>
      <c r="F107" s="3">
        <v>2010</v>
      </c>
      <c r="G107" s="3">
        <v>6</v>
      </c>
      <c r="H107" s="3">
        <v>0</v>
      </c>
      <c r="I107" s="3" t="s">
        <v>52</v>
      </c>
      <c r="J107" s="175" t="s">
        <v>754</v>
      </c>
      <c r="K107" s="3">
        <f t="shared" si="9"/>
        <v>2022</v>
      </c>
      <c r="L107" s="172">
        <f t="shared" si="10"/>
        <v>2022.5</v>
      </c>
      <c r="M107" s="230">
        <v>3557.72</v>
      </c>
      <c r="N107" s="230">
        <f t="shared" si="11"/>
        <v>3557.72</v>
      </c>
      <c r="O107" s="230">
        <f t="shared" si="12"/>
        <v>24.706388888888885</v>
      </c>
      <c r="P107" s="230">
        <f t="shared" si="13"/>
        <v>296.47666666666663</v>
      </c>
      <c r="Q107" s="230">
        <f t="shared" si="14"/>
        <v>296.47666666666663</v>
      </c>
      <c r="R107" s="230"/>
      <c r="S107" s="230">
        <f t="shared" si="15"/>
        <v>2075.3366666666666</v>
      </c>
      <c r="T107" s="230">
        <f t="shared" si="16"/>
        <v>2371.813333333333</v>
      </c>
      <c r="U107" s="230">
        <f t="shared" si="17"/>
        <v>1334.145</v>
      </c>
    </row>
    <row r="108" spans="1:21" ht="12" customHeight="1">
      <c r="A108" s="3" t="s">
        <v>679</v>
      </c>
      <c r="C108" s="32">
        <v>77222</v>
      </c>
      <c r="D108" s="32">
        <v>13</v>
      </c>
      <c r="E108" s="3" t="s">
        <v>704</v>
      </c>
      <c r="F108" s="3">
        <v>2010</v>
      </c>
      <c r="G108" s="3">
        <v>9</v>
      </c>
      <c r="H108" s="3">
        <v>0</v>
      </c>
      <c r="I108" s="3" t="s">
        <v>52</v>
      </c>
      <c r="J108" s="175" t="s">
        <v>754</v>
      </c>
      <c r="K108" s="3">
        <f t="shared" si="9"/>
        <v>2022</v>
      </c>
      <c r="L108" s="172">
        <f t="shared" si="10"/>
        <v>2022.75</v>
      </c>
      <c r="M108" s="230">
        <v>9804.2099999999991</v>
      </c>
      <c r="N108" s="230">
        <f t="shared" si="11"/>
        <v>9804.2099999999991</v>
      </c>
      <c r="O108" s="230">
        <f t="shared" si="12"/>
        <v>68.084791666666661</v>
      </c>
      <c r="P108" s="230">
        <f t="shared" si="13"/>
        <v>817.01749999999993</v>
      </c>
      <c r="Q108" s="230">
        <f t="shared" si="14"/>
        <v>817.01749999999993</v>
      </c>
      <c r="R108" s="230"/>
      <c r="S108" s="230">
        <f t="shared" si="15"/>
        <v>5719.1224999999995</v>
      </c>
      <c r="T108" s="230">
        <f t="shared" si="16"/>
        <v>6536.1399999999994</v>
      </c>
      <c r="U108" s="230">
        <f t="shared" si="17"/>
        <v>3676.5787499999997</v>
      </c>
    </row>
    <row r="109" spans="1:21" ht="12" customHeight="1">
      <c r="A109" s="3" t="s">
        <v>679</v>
      </c>
      <c r="C109" s="32">
        <v>77223</v>
      </c>
      <c r="D109" s="32">
        <v>13</v>
      </c>
      <c r="E109" s="3" t="s">
        <v>705</v>
      </c>
      <c r="F109" s="3">
        <v>2010</v>
      </c>
      <c r="G109" s="3">
        <v>9</v>
      </c>
      <c r="H109" s="3">
        <v>0</v>
      </c>
      <c r="I109" s="3" t="s">
        <v>52</v>
      </c>
      <c r="J109" s="175" t="s">
        <v>754</v>
      </c>
      <c r="K109" s="3">
        <f t="shared" si="9"/>
        <v>2022</v>
      </c>
      <c r="L109" s="172">
        <f t="shared" si="10"/>
        <v>2022.75</v>
      </c>
      <c r="M109" s="230">
        <v>9804.2099999999991</v>
      </c>
      <c r="N109" s="230">
        <f t="shared" si="11"/>
        <v>9804.2099999999991</v>
      </c>
      <c r="O109" s="230">
        <f t="shared" si="12"/>
        <v>68.084791666666661</v>
      </c>
      <c r="P109" s="230">
        <f t="shared" si="13"/>
        <v>817.01749999999993</v>
      </c>
      <c r="Q109" s="230">
        <f t="shared" si="14"/>
        <v>817.01749999999993</v>
      </c>
      <c r="R109" s="230"/>
      <c r="S109" s="230">
        <f t="shared" si="15"/>
        <v>5719.1224999999995</v>
      </c>
      <c r="T109" s="230">
        <f t="shared" si="16"/>
        <v>6536.1399999999994</v>
      </c>
      <c r="U109" s="230">
        <f t="shared" si="17"/>
        <v>3676.5787499999997</v>
      </c>
    </row>
    <row r="110" spans="1:21" ht="12" customHeight="1">
      <c r="A110" s="3" t="s">
        <v>679</v>
      </c>
      <c r="C110" s="32">
        <v>77224</v>
      </c>
      <c r="D110" s="32">
        <v>4</v>
      </c>
      <c r="E110" s="3" t="s">
        <v>706</v>
      </c>
      <c r="F110" s="3">
        <v>2010</v>
      </c>
      <c r="G110" s="3">
        <v>9</v>
      </c>
      <c r="H110" s="3">
        <v>0</v>
      </c>
      <c r="I110" s="3" t="s">
        <v>52</v>
      </c>
      <c r="J110" s="175" t="s">
        <v>754</v>
      </c>
      <c r="K110" s="3">
        <f t="shared" si="9"/>
        <v>2022</v>
      </c>
      <c r="L110" s="172">
        <f t="shared" si="10"/>
        <v>2022.75</v>
      </c>
      <c r="M110" s="230">
        <v>3016.68</v>
      </c>
      <c r="N110" s="230">
        <f t="shared" si="11"/>
        <v>3016.68</v>
      </c>
      <c r="O110" s="230">
        <f t="shared" si="12"/>
        <v>20.949166666666667</v>
      </c>
      <c r="P110" s="230">
        <f t="shared" si="13"/>
        <v>251.39</v>
      </c>
      <c r="Q110" s="230">
        <f t="shared" si="14"/>
        <v>251.39</v>
      </c>
      <c r="R110" s="230"/>
      <c r="S110" s="230">
        <f t="shared" si="15"/>
        <v>1759.73</v>
      </c>
      <c r="T110" s="230">
        <f t="shared" si="16"/>
        <v>2011.12</v>
      </c>
      <c r="U110" s="230">
        <f t="shared" si="17"/>
        <v>1131.2549999999999</v>
      </c>
    </row>
    <row r="111" spans="1:21" ht="12" customHeight="1">
      <c r="A111" s="3" t="s">
        <v>679</v>
      </c>
      <c r="C111" s="32">
        <v>173558</v>
      </c>
      <c r="D111" s="32">
        <v>4</v>
      </c>
      <c r="E111" s="3" t="s">
        <v>719</v>
      </c>
      <c r="F111" s="3">
        <v>2010</v>
      </c>
      <c r="G111" s="3">
        <v>8</v>
      </c>
      <c r="H111" s="3">
        <v>0</v>
      </c>
      <c r="I111" s="3" t="s">
        <v>52</v>
      </c>
      <c r="J111" s="175" t="s">
        <v>754</v>
      </c>
      <c r="K111" s="3">
        <f t="shared" si="9"/>
        <v>2022</v>
      </c>
      <c r="L111" s="172">
        <f t="shared" si="10"/>
        <v>2022.6666666666667</v>
      </c>
      <c r="M111" s="230">
        <v>3410.16</v>
      </c>
      <c r="N111" s="230">
        <f t="shared" si="11"/>
        <v>3410.16</v>
      </c>
      <c r="O111" s="230">
        <f t="shared" si="12"/>
        <v>23.681666666666668</v>
      </c>
      <c r="P111" s="230">
        <f t="shared" si="13"/>
        <v>284.18</v>
      </c>
      <c r="Q111" s="230">
        <f t="shared" si="14"/>
        <v>284.18</v>
      </c>
      <c r="R111" s="230"/>
      <c r="S111" s="230">
        <f t="shared" si="15"/>
        <v>1989.26</v>
      </c>
      <c r="T111" s="230">
        <f t="shared" si="16"/>
        <v>2273.44</v>
      </c>
      <c r="U111" s="230">
        <f t="shared" si="17"/>
        <v>1278.81</v>
      </c>
    </row>
    <row r="112" spans="1:21" ht="12" customHeight="1">
      <c r="A112" s="3" t="s">
        <v>679</v>
      </c>
      <c r="C112" s="32">
        <v>173559</v>
      </c>
      <c r="D112" s="32">
        <v>6</v>
      </c>
      <c r="E112" s="3" t="s">
        <v>719</v>
      </c>
      <c r="F112" s="3">
        <v>2010</v>
      </c>
      <c r="G112" s="3">
        <v>8</v>
      </c>
      <c r="H112" s="3">
        <v>0</v>
      </c>
      <c r="I112" s="3" t="s">
        <v>52</v>
      </c>
      <c r="J112" s="175" t="s">
        <v>754</v>
      </c>
      <c r="K112" s="3">
        <f t="shared" si="9"/>
        <v>2022</v>
      </c>
      <c r="L112" s="172">
        <f t="shared" si="10"/>
        <v>2022.6666666666667</v>
      </c>
      <c r="M112" s="230">
        <v>5115.24</v>
      </c>
      <c r="N112" s="230">
        <f t="shared" si="11"/>
        <v>5115.24</v>
      </c>
      <c r="O112" s="230">
        <f t="shared" si="12"/>
        <v>35.522500000000001</v>
      </c>
      <c r="P112" s="230">
        <f t="shared" si="13"/>
        <v>426.27</v>
      </c>
      <c r="Q112" s="230">
        <f t="shared" si="14"/>
        <v>426.27</v>
      </c>
      <c r="R112" s="230"/>
      <c r="S112" s="230">
        <f t="shared" si="15"/>
        <v>2983.89</v>
      </c>
      <c r="T112" s="230">
        <f t="shared" si="16"/>
        <v>3410.16</v>
      </c>
      <c r="U112" s="230">
        <f t="shared" si="17"/>
        <v>1918.2149999999999</v>
      </c>
    </row>
    <row r="113" spans="1:21" ht="12" customHeight="1">
      <c r="A113" s="3" t="s">
        <v>679</v>
      </c>
      <c r="C113" s="32">
        <v>173560</v>
      </c>
      <c r="D113" s="32">
        <v>1</v>
      </c>
      <c r="E113" s="3" t="s">
        <v>719</v>
      </c>
      <c r="F113" s="3">
        <v>2010</v>
      </c>
      <c r="G113" s="3">
        <v>8</v>
      </c>
      <c r="H113" s="3">
        <v>0</v>
      </c>
      <c r="I113" s="3" t="s">
        <v>52</v>
      </c>
      <c r="J113" s="175" t="s">
        <v>754</v>
      </c>
      <c r="K113" s="3">
        <f t="shared" si="9"/>
        <v>2022</v>
      </c>
      <c r="L113" s="172">
        <f t="shared" si="10"/>
        <v>2022.6666666666667</v>
      </c>
      <c r="M113" s="230">
        <v>852.54</v>
      </c>
      <c r="N113" s="230">
        <f t="shared" si="11"/>
        <v>852.54</v>
      </c>
      <c r="O113" s="230">
        <f t="shared" si="12"/>
        <v>5.9204166666666671</v>
      </c>
      <c r="P113" s="230">
        <f t="shared" si="13"/>
        <v>71.045000000000002</v>
      </c>
      <c r="Q113" s="230">
        <f t="shared" si="14"/>
        <v>71.045000000000002</v>
      </c>
      <c r="R113" s="230"/>
      <c r="S113" s="230">
        <f t="shared" si="15"/>
        <v>497.315</v>
      </c>
      <c r="T113" s="230">
        <f t="shared" si="16"/>
        <v>568.36</v>
      </c>
      <c r="U113" s="230">
        <f t="shared" si="17"/>
        <v>319.70249999999999</v>
      </c>
    </row>
    <row r="114" spans="1:21" ht="12" customHeight="1">
      <c r="A114" s="3" t="s">
        <v>679</v>
      </c>
      <c r="C114" s="32">
        <v>173561</v>
      </c>
      <c r="D114" s="32">
        <v>9</v>
      </c>
      <c r="E114" s="3" t="s">
        <v>720</v>
      </c>
      <c r="F114" s="3">
        <v>2010</v>
      </c>
      <c r="G114" s="3">
        <v>8</v>
      </c>
      <c r="H114" s="3">
        <v>0</v>
      </c>
      <c r="I114" s="3" t="s">
        <v>52</v>
      </c>
      <c r="J114" s="175" t="s">
        <v>754</v>
      </c>
      <c r="K114" s="3">
        <f t="shared" si="9"/>
        <v>2022</v>
      </c>
      <c r="L114" s="172">
        <f t="shared" si="10"/>
        <v>2022.6666666666667</v>
      </c>
      <c r="M114" s="230">
        <v>7672.86</v>
      </c>
      <c r="N114" s="230">
        <f t="shared" si="11"/>
        <v>7672.86</v>
      </c>
      <c r="O114" s="230">
        <f t="shared" si="12"/>
        <v>53.283749999999998</v>
      </c>
      <c r="P114" s="230">
        <f t="shared" si="13"/>
        <v>639.40499999999997</v>
      </c>
      <c r="Q114" s="230">
        <f t="shared" si="14"/>
        <v>639.40499999999997</v>
      </c>
      <c r="R114" s="230"/>
      <c r="S114" s="230">
        <f t="shared" si="15"/>
        <v>4475.835</v>
      </c>
      <c r="T114" s="230">
        <f t="shared" si="16"/>
        <v>5115.24</v>
      </c>
      <c r="U114" s="230">
        <f t="shared" si="17"/>
        <v>2877.3224999999998</v>
      </c>
    </row>
    <row r="115" spans="1:21" ht="12" customHeight="1">
      <c r="A115" s="3" t="s">
        <v>679</v>
      </c>
      <c r="C115" s="32">
        <v>173562</v>
      </c>
      <c r="D115" s="32">
        <v>14</v>
      </c>
      <c r="E115" s="3" t="s">
        <v>721</v>
      </c>
      <c r="F115" s="3">
        <v>2010</v>
      </c>
      <c r="G115" s="3">
        <v>8</v>
      </c>
      <c r="H115" s="3">
        <v>0</v>
      </c>
      <c r="I115" s="3" t="s">
        <v>52</v>
      </c>
      <c r="J115" s="175" t="s">
        <v>754</v>
      </c>
      <c r="K115" s="3">
        <f t="shared" si="9"/>
        <v>2022</v>
      </c>
      <c r="L115" s="172">
        <f t="shared" si="10"/>
        <v>2022.6666666666667</v>
      </c>
      <c r="M115" s="230">
        <v>8875.16</v>
      </c>
      <c r="N115" s="230">
        <f t="shared" si="11"/>
        <v>8875.16</v>
      </c>
      <c r="O115" s="230">
        <f t="shared" si="12"/>
        <v>61.633055555555558</v>
      </c>
      <c r="P115" s="230">
        <f t="shared" si="13"/>
        <v>739.59666666666669</v>
      </c>
      <c r="Q115" s="230">
        <f t="shared" si="14"/>
        <v>739.59666666666669</v>
      </c>
      <c r="R115" s="230"/>
      <c r="S115" s="230">
        <f t="shared" si="15"/>
        <v>5177.1766666666672</v>
      </c>
      <c r="T115" s="230">
        <f t="shared" si="16"/>
        <v>5916.7733333333335</v>
      </c>
      <c r="U115" s="230">
        <f t="shared" si="17"/>
        <v>3328.1849999999995</v>
      </c>
    </row>
    <row r="116" spans="1:21" ht="12" customHeight="1">
      <c r="A116" s="3" t="s">
        <v>679</v>
      </c>
      <c r="C116" s="32">
        <v>173563</v>
      </c>
      <c r="D116" s="32">
        <v>1</v>
      </c>
      <c r="E116" s="3" t="s">
        <v>721</v>
      </c>
      <c r="F116" s="3">
        <v>2010</v>
      </c>
      <c r="G116" s="3">
        <v>8</v>
      </c>
      <c r="H116" s="3">
        <v>0</v>
      </c>
      <c r="I116" s="3" t="s">
        <v>52</v>
      </c>
      <c r="J116" s="175" t="s">
        <v>754</v>
      </c>
      <c r="K116" s="3">
        <f t="shared" si="9"/>
        <v>2022</v>
      </c>
      <c r="L116" s="172">
        <f t="shared" si="10"/>
        <v>2022.6666666666667</v>
      </c>
      <c r="M116" s="230">
        <v>633.94000000000005</v>
      </c>
      <c r="N116" s="230">
        <f t="shared" si="11"/>
        <v>633.94000000000005</v>
      </c>
      <c r="O116" s="230">
        <f t="shared" si="12"/>
        <v>4.4023611111111114</v>
      </c>
      <c r="P116" s="230">
        <f t="shared" si="13"/>
        <v>52.828333333333333</v>
      </c>
      <c r="Q116" s="230">
        <f t="shared" si="14"/>
        <v>52.828333333333333</v>
      </c>
      <c r="R116" s="230"/>
      <c r="S116" s="230">
        <f t="shared" si="15"/>
        <v>369.79833333333335</v>
      </c>
      <c r="T116" s="230">
        <f t="shared" si="16"/>
        <v>422.62666666666667</v>
      </c>
      <c r="U116" s="230">
        <f t="shared" si="17"/>
        <v>237.72750000000005</v>
      </c>
    </row>
    <row r="117" spans="1:21" ht="12" customHeight="1">
      <c r="A117" s="3" t="s">
        <v>40</v>
      </c>
      <c r="D117" s="32">
        <v>12</v>
      </c>
      <c r="E117" s="3" t="s">
        <v>195</v>
      </c>
      <c r="F117" s="3">
        <v>2011</v>
      </c>
      <c r="G117" s="3">
        <v>1</v>
      </c>
      <c r="H117" s="3">
        <v>0</v>
      </c>
      <c r="I117" s="3" t="s">
        <v>52</v>
      </c>
      <c r="J117" s="175">
        <v>10</v>
      </c>
      <c r="K117" s="3">
        <f t="shared" si="9"/>
        <v>2021</v>
      </c>
      <c r="L117" s="172">
        <f t="shared" si="10"/>
        <v>2021.0833333333333</v>
      </c>
      <c r="M117" s="230">
        <f>4886+590</f>
        <v>5476</v>
      </c>
      <c r="N117" s="230">
        <f t="shared" si="11"/>
        <v>5476</v>
      </c>
      <c r="O117" s="230">
        <f t="shared" si="12"/>
        <v>45.633333333333333</v>
      </c>
      <c r="P117" s="230">
        <f t="shared" si="13"/>
        <v>547.6</v>
      </c>
      <c r="Q117" s="230">
        <f t="shared" si="14"/>
        <v>547.6</v>
      </c>
      <c r="R117" s="230"/>
      <c r="S117" s="230">
        <f t="shared" si="15"/>
        <v>3285.6000000000004</v>
      </c>
      <c r="T117" s="230">
        <f t="shared" si="16"/>
        <v>3833.2000000000003</v>
      </c>
      <c r="U117" s="230">
        <f t="shared" si="17"/>
        <v>1916.5999999999997</v>
      </c>
    </row>
    <row r="118" spans="1:21" ht="12" customHeight="1">
      <c r="A118" s="3" t="s">
        <v>40</v>
      </c>
      <c r="D118" s="32">
        <v>15</v>
      </c>
      <c r="E118" s="3" t="s">
        <v>163</v>
      </c>
      <c r="F118" s="3">
        <v>2011</v>
      </c>
      <c r="G118" s="3">
        <v>10</v>
      </c>
      <c r="H118" s="3">
        <v>0</v>
      </c>
      <c r="I118" s="3" t="s">
        <v>52</v>
      </c>
      <c r="J118" s="175">
        <v>10</v>
      </c>
      <c r="K118" s="3">
        <f t="shared" si="9"/>
        <v>2021</v>
      </c>
      <c r="L118" s="172">
        <f t="shared" si="10"/>
        <v>2021.8333333333333</v>
      </c>
      <c r="M118" s="230">
        <v>7295.78</v>
      </c>
      <c r="N118" s="230">
        <f t="shared" si="11"/>
        <v>7295.78</v>
      </c>
      <c r="O118" s="230">
        <f t="shared" si="12"/>
        <v>60.798166666666667</v>
      </c>
      <c r="P118" s="230">
        <f t="shared" si="13"/>
        <v>729.57799999999997</v>
      </c>
      <c r="Q118" s="230">
        <f t="shared" si="14"/>
        <v>729.57799999999997</v>
      </c>
      <c r="R118" s="230"/>
      <c r="S118" s="230">
        <f t="shared" si="15"/>
        <v>4377.4679999999998</v>
      </c>
      <c r="T118" s="230">
        <f t="shared" si="16"/>
        <v>5107.0460000000003</v>
      </c>
      <c r="U118" s="230">
        <f t="shared" si="17"/>
        <v>2553.5229999999997</v>
      </c>
    </row>
    <row r="119" spans="1:21" ht="12" customHeight="1">
      <c r="A119" s="3" t="s">
        <v>40</v>
      </c>
      <c r="D119" s="32">
        <v>45</v>
      </c>
      <c r="E119" s="3" t="s">
        <v>216</v>
      </c>
      <c r="F119" s="3">
        <v>2011</v>
      </c>
      <c r="G119" s="3">
        <v>6</v>
      </c>
      <c r="H119" s="3">
        <v>0</v>
      </c>
      <c r="I119" s="3" t="s">
        <v>52</v>
      </c>
      <c r="J119" s="175">
        <v>10</v>
      </c>
      <c r="K119" s="3">
        <f t="shared" si="9"/>
        <v>2021</v>
      </c>
      <c r="L119" s="172">
        <f t="shared" si="10"/>
        <v>2021.5</v>
      </c>
      <c r="M119" s="230">
        <v>35855.870000000003</v>
      </c>
      <c r="N119" s="230">
        <f t="shared" si="11"/>
        <v>35855.870000000003</v>
      </c>
      <c r="O119" s="230">
        <f t="shared" si="12"/>
        <v>298.79891666666668</v>
      </c>
      <c r="P119" s="230">
        <f t="shared" si="13"/>
        <v>3585.5870000000004</v>
      </c>
      <c r="Q119" s="230">
        <f t="shared" si="14"/>
        <v>3585.5870000000004</v>
      </c>
      <c r="R119" s="230"/>
      <c r="S119" s="230">
        <f t="shared" si="15"/>
        <v>21513.522000000004</v>
      </c>
      <c r="T119" s="230">
        <f t="shared" si="16"/>
        <v>25099.109000000004</v>
      </c>
      <c r="U119" s="230">
        <f t="shared" si="17"/>
        <v>12549.554499999998</v>
      </c>
    </row>
    <row r="120" spans="1:21" ht="12" customHeight="1">
      <c r="A120" s="3" t="s">
        <v>40</v>
      </c>
      <c r="D120" s="32">
        <v>30</v>
      </c>
      <c r="E120" s="3" t="s">
        <v>217</v>
      </c>
      <c r="F120" s="3">
        <v>2011</v>
      </c>
      <c r="G120" s="3">
        <v>11</v>
      </c>
      <c r="H120" s="3">
        <v>0</v>
      </c>
      <c r="I120" s="3" t="s">
        <v>52</v>
      </c>
      <c r="J120" s="175">
        <v>10</v>
      </c>
      <c r="K120" s="3">
        <f t="shared" si="9"/>
        <v>2021</v>
      </c>
      <c r="L120" s="172">
        <f t="shared" si="10"/>
        <v>2021.9166666666667</v>
      </c>
      <c r="M120" s="230">
        <f>5891.27+1683.22+5891.27+5891.27+5891.27</f>
        <v>25248.300000000003</v>
      </c>
      <c r="N120" s="230">
        <f t="shared" si="11"/>
        <v>25248.300000000003</v>
      </c>
      <c r="O120" s="230">
        <f t="shared" si="12"/>
        <v>210.40250000000003</v>
      </c>
      <c r="P120" s="230">
        <f t="shared" si="13"/>
        <v>2524.8300000000004</v>
      </c>
      <c r="Q120" s="230">
        <f t="shared" si="14"/>
        <v>2524.8300000000004</v>
      </c>
      <c r="R120" s="230"/>
      <c r="S120" s="230">
        <f t="shared" si="15"/>
        <v>15148.980000000003</v>
      </c>
      <c r="T120" s="230">
        <f t="shared" si="16"/>
        <v>17673.810000000005</v>
      </c>
      <c r="U120" s="230">
        <f t="shared" si="17"/>
        <v>8836.9049999999988</v>
      </c>
    </row>
    <row r="121" spans="1:21" ht="12" customHeight="1">
      <c r="A121" s="3" t="s">
        <v>679</v>
      </c>
      <c r="C121" s="32">
        <v>86796</v>
      </c>
      <c r="D121" s="32">
        <v>33</v>
      </c>
      <c r="E121" s="3" t="s">
        <v>681</v>
      </c>
      <c r="F121" s="3">
        <v>2011</v>
      </c>
      <c r="G121" s="3">
        <v>9</v>
      </c>
      <c r="H121" s="3">
        <v>0</v>
      </c>
      <c r="I121" s="3" t="s">
        <v>52</v>
      </c>
      <c r="J121" s="175" t="s">
        <v>754</v>
      </c>
      <c r="K121" s="3">
        <f t="shared" si="9"/>
        <v>2023</v>
      </c>
      <c r="L121" s="172">
        <f t="shared" si="10"/>
        <v>2023.75</v>
      </c>
      <c r="M121" s="230">
        <v>15076.84</v>
      </c>
      <c r="N121" s="230">
        <f t="shared" si="11"/>
        <v>15076.84</v>
      </c>
      <c r="O121" s="230">
        <f t="shared" si="12"/>
        <v>104.70027777777779</v>
      </c>
      <c r="P121" s="230">
        <f t="shared" si="13"/>
        <v>1256.4033333333334</v>
      </c>
      <c r="Q121" s="230">
        <f t="shared" si="14"/>
        <v>1256.4033333333334</v>
      </c>
      <c r="R121" s="230"/>
      <c r="S121" s="230">
        <f t="shared" si="15"/>
        <v>7538.42</v>
      </c>
      <c r="T121" s="230">
        <f t="shared" si="16"/>
        <v>8794.8233333333337</v>
      </c>
      <c r="U121" s="230">
        <f t="shared" si="17"/>
        <v>6910.2183333333332</v>
      </c>
    </row>
    <row r="122" spans="1:21" ht="12" customHeight="1">
      <c r="A122" s="3" t="s">
        <v>679</v>
      </c>
      <c r="C122" s="32">
        <v>86797</v>
      </c>
      <c r="D122" s="32">
        <v>8</v>
      </c>
      <c r="E122" s="3" t="s">
        <v>707</v>
      </c>
      <c r="F122" s="3">
        <v>2011</v>
      </c>
      <c r="G122" s="3">
        <v>10</v>
      </c>
      <c r="H122" s="3">
        <v>0</v>
      </c>
      <c r="I122" s="3" t="s">
        <v>52</v>
      </c>
      <c r="J122" s="175" t="s">
        <v>754</v>
      </c>
      <c r="K122" s="3">
        <f t="shared" si="9"/>
        <v>2023</v>
      </c>
      <c r="L122" s="172">
        <f t="shared" si="10"/>
        <v>2023.8333333333333</v>
      </c>
      <c r="M122" s="230">
        <v>3654.99</v>
      </c>
      <c r="N122" s="230">
        <f t="shared" si="11"/>
        <v>3654.99</v>
      </c>
      <c r="O122" s="230">
        <f t="shared" si="12"/>
        <v>25.381874999999997</v>
      </c>
      <c r="P122" s="230">
        <f t="shared" si="13"/>
        <v>304.58249999999998</v>
      </c>
      <c r="Q122" s="230">
        <f t="shared" si="14"/>
        <v>304.58249999999998</v>
      </c>
      <c r="R122" s="230"/>
      <c r="S122" s="230">
        <f t="shared" si="15"/>
        <v>1827.4949999999999</v>
      </c>
      <c r="T122" s="230">
        <f t="shared" si="16"/>
        <v>2132.0774999999999</v>
      </c>
      <c r="U122" s="230">
        <f t="shared" si="17"/>
        <v>1675.2037499999999</v>
      </c>
    </row>
    <row r="123" spans="1:21" ht="12" customHeight="1">
      <c r="A123" s="3" t="s">
        <v>679</v>
      </c>
      <c r="C123" s="32">
        <v>86798</v>
      </c>
      <c r="D123" s="32">
        <v>15</v>
      </c>
      <c r="E123" s="3" t="s">
        <v>681</v>
      </c>
      <c r="F123" s="3">
        <v>2011</v>
      </c>
      <c r="G123" s="3">
        <v>9</v>
      </c>
      <c r="H123" s="3">
        <v>0</v>
      </c>
      <c r="I123" s="3" t="s">
        <v>52</v>
      </c>
      <c r="J123" s="175" t="s">
        <v>754</v>
      </c>
      <c r="K123" s="3">
        <f t="shared" si="9"/>
        <v>2023</v>
      </c>
      <c r="L123" s="172">
        <f t="shared" si="10"/>
        <v>2023.75</v>
      </c>
      <c r="M123" s="230">
        <v>6857.68</v>
      </c>
      <c r="N123" s="230">
        <f t="shared" si="11"/>
        <v>6857.68</v>
      </c>
      <c r="O123" s="230">
        <f t="shared" si="12"/>
        <v>47.622777777777777</v>
      </c>
      <c r="P123" s="230">
        <f t="shared" si="13"/>
        <v>571.47333333333336</v>
      </c>
      <c r="Q123" s="230">
        <f t="shared" si="14"/>
        <v>571.47333333333336</v>
      </c>
      <c r="R123" s="230"/>
      <c r="S123" s="230">
        <f t="shared" si="15"/>
        <v>3428.84</v>
      </c>
      <c r="T123" s="230">
        <f t="shared" si="16"/>
        <v>4000.3133333333335</v>
      </c>
      <c r="U123" s="230">
        <f t="shared" si="17"/>
        <v>3143.1033333333335</v>
      </c>
    </row>
    <row r="124" spans="1:21" ht="12" customHeight="1">
      <c r="A124" s="3" t="s">
        <v>679</v>
      </c>
      <c r="C124" s="32">
        <v>87395</v>
      </c>
      <c r="D124" s="32">
        <v>9</v>
      </c>
      <c r="E124" s="3" t="s">
        <v>708</v>
      </c>
      <c r="F124" s="3">
        <v>2011</v>
      </c>
      <c r="G124" s="3">
        <v>10</v>
      </c>
      <c r="H124" s="3">
        <v>0</v>
      </c>
      <c r="I124" s="3" t="s">
        <v>52</v>
      </c>
      <c r="J124" s="175" t="s">
        <v>754</v>
      </c>
      <c r="K124" s="3">
        <f t="shared" si="9"/>
        <v>2023</v>
      </c>
      <c r="L124" s="172">
        <f t="shared" si="10"/>
        <v>2023.8333333333333</v>
      </c>
      <c r="M124" s="230">
        <v>5902.2</v>
      </c>
      <c r="N124" s="230">
        <f t="shared" si="11"/>
        <v>5902.2</v>
      </c>
      <c r="O124" s="230">
        <f t="shared" si="12"/>
        <v>40.987499999999997</v>
      </c>
      <c r="P124" s="230">
        <f t="shared" si="13"/>
        <v>491.84999999999997</v>
      </c>
      <c r="Q124" s="230">
        <f t="shared" si="14"/>
        <v>491.84999999999997</v>
      </c>
      <c r="R124" s="230"/>
      <c r="S124" s="230">
        <f t="shared" si="15"/>
        <v>2951.1</v>
      </c>
      <c r="T124" s="230">
        <f t="shared" si="16"/>
        <v>3442.95</v>
      </c>
      <c r="U124" s="230">
        <f t="shared" si="17"/>
        <v>2705.1750000000002</v>
      </c>
    </row>
    <row r="125" spans="1:21" ht="12" customHeight="1">
      <c r="A125" s="3" t="s">
        <v>679</v>
      </c>
      <c r="C125" s="32">
        <v>87396</v>
      </c>
      <c r="D125" s="32">
        <v>9</v>
      </c>
      <c r="E125" s="3" t="s">
        <v>708</v>
      </c>
      <c r="F125" s="3">
        <v>2011</v>
      </c>
      <c r="G125" s="3">
        <v>10</v>
      </c>
      <c r="H125" s="3">
        <v>0</v>
      </c>
      <c r="I125" s="3" t="s">
        <v>52</v>
      </c>
      <c r="J125" s="175" t="s">
        <v>754</v>
      </c>
      <c r="K125" s="3">
        <f t="shared" si="9"/>
        <v>2023</v>
      </c>
      <c r="L125" s="172">
        <f t="shared" si="10"/>
        <v>2023.8333333333333</v>
      </c>
      <c r="M125" s="230">
        <v>5902.2</v>
      </c>
      <c r="N125" s="230">
        <f t="shared" si="11"/>
        <v>5902.2</v>
      </c>
      <c r="O125" s="230">
        <f t="shared" si="12"/>
        <v>40.987499999999997</v>
      </c>
      <c r="P125" s="230">
        <f t="shared" si="13"/>
        <v>491.84999999999997</v>
      </c>
      <c r="Q125" s="230">
        <f t="shared" si="14"/>
        <v>491.84999999999997</v>
      </c>
      <c r="R125" s="230"/>
      <c r="S125" s="230">
        <f t="shared" si="15"/>
        <v>2951.1</v>
      </c>
      <c r="T125" s="230">
        <f t="shared" si="16"/>
        <v>3442.95</v>
      </c>
      <c r="U125" s="230">
        <f t="shared" si="17"/>
        <v>2705.1750000000002</v>
      </c>
    </row>
    <row r="126" spans="1:21" ht="12" customHeight="1">
      <c r="A126" s="3" t="s">
        <v>679</v>
      </c>
      <c r="C126" s="32">
        <v>87397</v>
      </c>
      <c r="D126" s="32">
        <v>2</v>
      </c>
      <c r="E126" s="3" t="s">
        <v>708</v>
      </c>
      <c r="F126" s="3">
        <v>2011</v>
      </c>
      <c r="G126" s="3">
        <v>10</v>
      </c>
      <c r="H126" s="3">
        <v>0</v>
      </c>
      <c r="I126" s="3" t="s">
        <v>52</v>
      </c>
      <c r="J126" s="175" t="s">
        <v>754</v>
      </c>
      <c r="K126" s="3">
        <f t="shared" si="9"/>
        <v>2023</v>
      </c>
      <c r="L126" s="172">
        <f t="shared" si="10"/>
        <v>2023.8333333333333</v>
      </c>
      <c r="M126" s="230">
        <v>1311.6</v>
      </c>
      <c r="N126" s="230">
        <f t="shared" si="11"/>
        <v>1311.6</v>
      </c>
      <c r="O126" s="230">
        <f t="shared" si="12"/>
        <v>9.1083333333333325</v>
      </c>
      <c r="P126" s="230">
        <f t="shared" si="13"/>
        <v>109.29999999999998</v>
      </c>
      <c r="Q126" s="230">
        <f t="shared" si="14"/>
        <v>109.29999999999998</v>
      </c>
      <c r="R126" s="230"/>
      <c r="S126" s="230">
        <f t="shared" si="15"/>
        <v>655.8</v>
      </c>
      <c r="T126" s="230">
        <f t="shared" si="16"/>
        <v>765.09999999999991</v>
      </c>
      <c r="U126" s="230">
        <f t="shared" si="17"/>
        <v>601.15</v>
      </c>
    </row>
    <row r="127" spans="1:21" ht="12" customHeight="1">
      <c r="A127" s="3" t="s">
        <v>679</v>
      </c>
      <c r="C127" s="32">
        <v>87398</v>
      </c>
      <c r="D127" s="32">
        <v>8</v>
      </c>
      <c r="E127" s="3" t="s">
        <v>709</v>
      </c>
      <c r="F127" s="3">
        <v>2011</v>
      </c>
      <c r="G127" s="3">
        <v>10</v>
      </c>
      <c r="H127" s="3">
        <v>0</v>
      </c>
      <c r="I127" s="3" t="s">
        <v>52</v>
      </c>
      <c r="J127" s="175" t="s">
        <v>754</v>
      </c>
      <c r="K127" s="3">
        <f t="shared" si="9"/>
        <v>2023</v>
      </c>
      <c r="L127" s="172">
        <f t="shared" si="10"/>
        <v>2023.8333333333333</v>
      </c>
      <c r="M127" s="230">
        <v>4153.3999999999996</v>
      </c>
      <c r="N127" s="230">
        <f t="shared" si="11"/>
        <v>4153.3999999999996</v>
      </c>
      <c r="O127" s="230">
        <f t="shared" si="12"/>
        <v>28.843055555555551</v>
      </c>
      <c r="P127" s="230">
        <f t="shared" si="13"/>
        <v>346.11666666666662</v>
      </c>
      <c r="Q127" s="230">
        <f t="shared" si="14"/>
        <v>346.11666666666662</v>
      </c>
      <c r="R127" s="230"/>
      <c r="S127" s="230">
        <f t="shared" si="15"/>
        <v>2076.6999999999998</v>
      </c>
      <c r="T127" s="230">
        <f t="shared" si="16"/>
        <v>2422.8166666666666</v>
      </c>
      <c r="U127" s="230">
        <f t="shared" si="17"/>
        <v>1903.6416666666664</v>
      </c>
    </row>
    <row r="128" spans="1:21" ht="12" customHeight="1">
      <c r="A128" s="3" t="s">
        <v>679</v>
      </c>
      <c r="C128" s="32">
        <v>87399</v>
      </c>
      <c r="D128" s="32">
        <v>16</v>
      </c>
      <c r="E128" s="3" t="s">
        <v>709</v>
      </c>
      <c r="F128" s="3">
        <v>2011</v>
      </c>
      <c r="G128" s="3">
        <v>10</v>
      </c>
      <c r="H128" s="3">
        <v>0</v>
      </c>
      <c r="I128" s="3" t="s">
        <v>52</v>
      </c>
      <c r="J128" s="175" t="s">
        <v>754</v>
      </c>
      <c r="K128" s="3">
        <f t="shared" si="9"/>
        <v>2023</v>
      </c>
      <c r="L128" s="172">
        <f t="shared" si="10"/>
        <v>2023.8333333333333</v>
      </c>
      <c r="M128" s="230">
        <v>8306.7999999999993</v>
      </c>
      <c r="N128" s="230">
        <f t="shared" si="11"/>
        <v>8306.7999999999993</v>
      </c>
      <c r="O128" s="230">
        <f t="shared" si="12"/>
        <v>57.686111111111103</v>
      </c>
      <c r="P128" s="230">
        <f t="shared" si="13"/>
        <v>692.23333333333323</v>
      </c>
      <c r="Q128" s="230">
        <f t="shared" si="14"/>
        <v>692.23333333333323</v>
      </c>
      <c r="R128" s="230"/>
      <c r="S128" s="230">
        <f t="shared" si="15"/>
        <v>4153.3999999999996</v>
      </c>
      <c r="T128" s="230">
        <f t="shared" si="16"/>
        <v>4845.6333333333332</v>
      </c>
      <c r="U128" s="230">
        <f t="shared" si="17"/>
        <v>3807.2833333333328</v>
      </c>
    </row>
    <row r="129" spans="1:21" ht="12" customHeight="1">
      <c r="A129" s="3" t="s">
        <v>679</v>
      </c>
      <c r="C129" s="32">
        <v>87400</v>
      </c>
      <c r="D129" s="32">
        <v>20</v>
      </c>
      <c r="E129" s="3" t="s">
        <v>709</v>
      </c>
      <c r="F129" s="3">
        <v>2011</v>
      </c>
      <c r="G129" s="3">
        <v>10</v>
      </c>
      <c r="H129" s="3">
        <v>0</v>
      </c>
      <c r="I129" s="3" t="s">
        <v>52</v>
      </c>
      <c r="J129" s="175" t="s">
        <v>754</v>
      </c>
      <c r="K129" s="3">
        <f t="shared" si="9"/>
        <v>2023</v>
      </c>
      <c r="L129" s="172">
        <f t="shared" si="10"/>
        <v>2023.8333333333333</v>
      </c>
      <c r="M129" s="230">
        <v>10383.5</v>
      </c>
      <c r="N129" s="230">
        <f t="shared" si="11"/>
        <v>10383.5</v>
      </c>
      <c r="O129" s="230">
        <f t="shared" si="12"/>
        <v>72.107638888888886</v>
      </c>
      <c r="P129" s="230">
        <f t="shared" si="13"/>
        <v>865.29166666666663</v>
      </c>
      <c r="Q129" s="230">
        <f t="shared" si="14"/>
        <v>865.29166666666663</v>
      </c>
      <c r="R129" s="230"/>
      <c r="S129" s="230">
        <f t="shared" si="15"/>
        <v>5191.75</v>
      </c>
      <c r="T129" s="230">
        <f t="shared" si="16"/>
        <v>6057.041666666667</v>
      </c>
      <c r="U129" s="230">
        <f t="shared" si="17"/>
        <v>4759.1041666666661</v>
      </c>
    </row>
    <row r="130" spans="1:21" ht="12" customHeight="1">
      <c r="A130" s="3" t="s">
        <v>679</v>
      </c>
      <c r="C130" s="32">
        <v>87401</v>
      </c>
      <c r="D130" s="32">
        <v>16</v>
      </c>
      <c r="E130" s="3" t="s">
        <v>709</v>
      </c>
      <c r="F130" s="3">
        <v>2011</v>
      </c>
      <c r="G130" s="3">
        <v>10</v>
      </c>
      <c r="H130" s="3">
        <v>0</v>
      </c>
      <c r="I130" s="3" t="s">
        <v>52</v>
      </c>
      <c r="J130" s="175" t="s">
        <v>754</v>
      </c>
      <c r="K130" s="3">
        <f t="shared" si="9"/>
        <v>2023</v>
      </c>
      <c r="L130" s="172">
        <f t="shared" si="10"/>
        <v>2023.8333333333333</v>
      </c>
      <c r="M130" s="230">
        <v>8306.7999999999993</v>
      </c>
      <c r="N130" s="230">
        <f t="shared" si="11"/>
        <v>8306.7999999999993</v>
      </c>
      <c r="O130" s="230">
        <f t="shared" si="12"/>
        <v>57.686111111111103</v>
      </c>
      <c r="P130" s="230">
        <f t="shared" si="13"/>
        <v>692.23333333333323</v>
      </c>
      <c r="Q130" s="230">
        <f t="shared" si="14"/>
        <v>692.23333333333323</v>
      </c>
      <c r="R130" s="230"/>
      <c r="S130" s="230">
        <f t="shared" si="15"/>
        <v>4153.3999999999996</v>
      </c>
      <c r="T130" s="230">
        <f t="shared" si="16"/>
        <v>4845.6333333333332</v>
      </c>
      <c r="U130" s="230">
        <f t="shared" si="17"/>
        <v>3807.2833333333328</v>
      </c>
    </row>
    <row r="131" spans="1:21" ht="12" customHeight="1">
      <c r="A131" s="3" t="s">
        <v>679</v>
      </c>
      <c r="C131" s="32">
        <v>173606</v>
      </c>
      <c r="D131" s="32">
        <v>15</v>
      </c>
      <c r="E131" s="3" t="s">
        <v>681</v>
      </c>
      <c r="F131" s="3">
        <v>2011</v>
      </c>
      <c r="G131" s="3">
        <v>9</v>
      </c>
      <c r="H131" s="3">
        <v>0</v>
      </c>
      <c r="I131" s="3" t="s">
        <v>52</v>
      </c>
      <c r="J131" s="175" t="s">
        <v>754</v>
      </c>
      <c r="K131" s="3">
        <f t="shared" si="9"/>
        <v>2023</v>
      </c>
      <c r="L131" s="172">
        <f t="shared" si="10"/>
        <v>2023.75</v>
      </c>
      <c r="M131" s="230">
        <v>7156.09</v>
      </c>
      <c r="N131" s="230">
        <f t="shared" si="11"/>
        <v>7156.09</v>
      </c>
      <c r="O131" s="230">
        <f t="shared" si="12"/>
        <v>49.695069444444442</v>
      </c>
      <c r="P131" s="230">
        <f t="shared" si="13"/>
        <v>596.34083333333331</v>
      </c>
      <c r="Q131" s="230">
        <f t="shared" si="14"/>
        <v>596.34083333333331</v>
      </c>
      <c r="R131" s="230"/>
      <c r="S131" s="230">
        <f t="shared" si="15"/>
        <v>3578.0450000000001</v>
      </c>
      <c r="T131" s="230">
        <f t="shared" si="16"/>
        <v>4174.3858333333337</v>
      </c>
      <c r="U131" s="230">
        <f t="shared" si="17"/>
        <v>3279.8745833333332</v>
      </c>
    </row>
    <row r="132" spans="1:21" ht="12" customHeight="1">
      <c r="A132" s="3" t="s">
        <v>679</v>
      </c>
      <c r="C132" s="32">
        <v>95844</v>
      </c>
      <c r="D132" s="32">
        <v>18</v>
      </c>
      <c r="E132" s="3" t="s">
        <v>710</v>
      </c>
      <c r="F132" s="3">
        <v>2012</v>
      </c>
      <c r="G132" s="3">
        <v>8</v>
      </c>
      <c r="H132" s="3">
        <v>0</v>
      </c>
      <c r="I132" s="3" t="s">
        <v>52</v>
      </c>
      <c r="J132" s="175" t="s">
        <v>754</v>
      </c>
      <c r="K132" s="3">
        <f t="shared" si="9"/>
        <v>2024</v>
      </c>
      <c r="L132" s="172">
        <f t="shared" si="10"/>
        <v>2024.6666666666667</v>
      </c>
      <c r="M132" s="230">
        <v>9353.7000000000007</v>
      </c>
      <c r="N132" s="230">
        <f t="shared" si="11"/>
        <v>9353.7000000000007</v>
      </c>
      <c r="O132" s="230">
        <f t="shared" si="12"/>
        <v>64.956249999999997</v>
      </c>
      <c r="P132" s="230">
        <f t="shared" si="13"/>
        <v>779.47499999999991</v>
      </c>
      <c r="Q132" s="230">
        <f t="shared" si="14"/>
        <v>779.47499999999991</v>
      </c>
      <c r="R132" s="230"/>
      <c r="S132" s="230">
        <f t="shared" si="15"/>
        <v>3897.3749999999995</v>
      </c>
      <c r="T132" s="230">
        <f t="shared" si="16"/>
        <v>4676.8499999999995</v>
      </c>
      <c r="U132" s="230">
        <f t="shared" si="17"/>
        <v>5066.5875000000015</v>
      </c>
    </row>
    <row r="133" spans="1:21" ht="12" customHeight="1">
      <c r="A133" s="3" t="s">
        <v>679</v>
      </c>
      <c r="C133" s="32">
        <v>95845</v>
      </c>
      <c r="D133" s="32">
        <v>15</v>
      </c>
      <c r="E133" s="3" t="s">
        <v>711</v>
      </c>
      <c r="F133" s="3">
        <v>2012</v>
      </c>
      <c r="G133" s="3">
        <v>8</v>
      </c>
      <c r="H133" s="3">
        <v>0</v>
      </c>
      <c r="I133" s="3" t="s">
        <v>52</v>
      </c>
      <c r="J133" s="175" t="s">
        <v>754</v>
      </c>
      <c r="K133" s="3">
        <f t="shared" si="9"/>
        <v>2024</v>
      </c>
      <c r="L133" s="172">
        <f t="shared" si="10"/>
        <v>2024.6666666666667</v>
      </c>
      <c r="M133" s="230">
        <v>6810.15</v>
      </c>
      <c r="N133" s="230">
        <f t="shared" si="11"/>
        <v>6810.15</v>
      </c>
      <c r="O133" s="230">
        <f t="shared" si="12"/>
        <v>47.29270833333333</v>
      </c>
      <c r="P133" s="230">
        <f t="shared" si="13"/>
        <v>567.51249999999993</v>
      </c>
      <c r="Q133" s="230">
        <f t="shared" si="14"/>
        <v>567.51249999999993</v>
      </c>
      <c r="R133" s="230"/>
      <c r="S133" s="230">
        <f t="shared" si="15"/>
        <v>2837.5624999999995</v>
      </c>
      <c r="T133" s="230">
        <f t="shared" si="16"/>
        <v>3405.0749999999994</v>
      </c>
      <c r="U133" s="230">
        <f t="shared" si="17"/>
        <v>3688.8312500000002</v>
      </c>
    </row>
    <row r="134" spans="1:21" ht="12" customHeight="1">
      <c r="A134" s="3" t="s">
        <v>679</v>
      </c>
      <c r="C134" s="32">
        <v>95846</v>
      </c>
      <c r="D134" s="32">
        <v>3</v>
      </c>
      <c r="E134" s="3" t="s">
        <v>712</v>
      </c>
      <c r="F134" s="3">
        <v>2012</v>
      </c>
      <c r="G134" s="3">
        <v>8</v>
      </c>
      <c r="H134" s="3">
        <v>0</v>
      </c>
      <c r="I134" s="3" t="s">
        <v>52</v>
      </c>
      <c r="J134" s="175" t="s">
        <v>754</v>
      </c>
      <c r="K134" s="3">
        <f t="shared" si="9"/>
        <v>2024</v>
      </c>
      <c r="L134" s="172">
        <f t="shared" si="10"/>
        <v>2024.6666666666667</v>
      </c>
      <c r="M134" s="230">
        <v>1444.08</v>
      </c>
      <c r="N134" s="230">
        <f t="shared" si="11"/>
        <v>1444.08</v>
      </c>
      <c r="O134" s="230">
        <f t="shared" si="12"/>
        <v>10.028333333333332</v>
      </c>
      <c r="P134" s="230">
        <f t="shared" si="13"/>
        <v>120.33999999999999</v>
      </c>
      <c r="Q134" s="230">
        <f t="shared" si="14"/>
        <v>120.33999999999999</v>
      </c>
      <c r="R134" s="230"/>
      <c r="S134" s="230">
        <f t="shared" si="15"/>
        <v>601.69999999999993</v>
      </c>
      <c r="T134" s="230">
        <f t="shared" si="16"/>
        <v>722.04</v>
      </c>
      <c r="U134" s="230">
        <f t="shared" si="17"/>
        <v>782.21</v>
      </c>
    </row>
    <row r="135" spans="1:21" ht="12" customHeight="1">
      <c r="A135" s="3" t="s">
        <v>679</v>
      </c>
      <c r="C135" s="32">
        <v>95847</v>
      </c>
      <c r="D135" s="32">
        <v>2</v>
      </c>
      <c r="E135" s="3" t="s">
        <v>712</v>
      </c>
      <c r="F135" s="3">
        <v>2012</v>
      </c>
      <c r="G135" s="3">
        <v>8</v>
      </c>
      <c r="H135" s="3">
        <v>0</v>
      </c>
      <c r="I135" s="3" t="s">
        <v>52</v>
      </c>
      <c r="J135" s="175" t="s">
        <v>754</v>
      </c>
      <c r="K135" s="3">
        <f t="shared" si="9"/>
        <v>2024</v>
      </c>
      <c r="L135" s="172">
        <f t="shared" si="10"/>
        <v>2024.6666666666667</v>
      </c>
      <c r="M135" s="230">
        <v>962.72</v>
      </c>
      <c r="N135" s="230">
        <f t="shared" si="11"/>
        <v>962.72</v>
      </c>
      <c r="O135" s="230">
        <f t="shared" si="12"/>
        <v>6.6855555555555561</v>
      </c>
      <c r="P135" s="230">
        <f t="shared" si="13"/>
        <v>80.226666666666674</v>
      </c>
      <c r="Q135" s="230">
        <f t="shared" si="14"/>
        <v>80.226666666666674</v>
      </c>
      <c r="R135" s="230"/>
      <c r="S135" s="230">
        <f t="shared" si="15"/>
        <v>401.13333333333338</v>
      </c>
      <c r="T135" s="230">
        <f t="shared" si="16"/>
        <v>481.36000000000007</v>
      </c>
      <c r="U135" s="230">
        <f t="shared" si="17"/>
        <v>521.47333333333324</v>
      </c>
    </row>
    <row r="136" spans="1:21" ht="12" customHeight="1">
      <c r="A136" s="3" t="s">
        <v>679</v>
      </c>
      <c r="C136" s="32">
        <v>173570</v>
      </c>
      <c r="D136" s="32">
        <v>5</v>
      </c>
      <c r="E136" s="3" t="s">
        <v>722</v>
      </c>
      <c r="F136" s="3">
        <v>2012</v>
      </c>
      <c r="G136" s="3">
        <v>6</v>
      </c>
      <c r="H136" s="3">
        <v>0</v>
      </c>
      <c r="I136" s="3" t="s">
        <v>52</v>
      </c>
      <c r="J136" s="175" t="s">
        <v>754</v>
      </c>
      <c r="K136" s="3">
        <f t="shared" si="9"/>
        <v>2024</v>
      </c>
      <c r="L136" s="172">
        <f t="shared" si="10"/>
        <v>2024.5</v>
      </c>
      <c r="M136" s="230">
        <v>4758.8999999999996</v>
      </c>
      <c r="N136" s="230">
        <f t="shared" si="11"/>
        <v>4758.8999999999996</v>
      </c>
      <c r="O136" s="230">
        <f t="shared" si="12"/>
        <v>33.047916666666666</v>
      </c>
      <c r="P136" s="230">
        <f t="shared" si="13"/>
        <v>396.57499999999999</v>
      </c>
      <c r="Q136" s="230">
        <f t="shared" si="14"/>
        <v>396.57499999999999</v>
      </c>
      <c r="R136" s="230"/>
      <c r="S136" s="230">
        <f t="shared" si="15"/>
        <v>1982.875</v>
      </c>
      <c r="T136" s="230">
        <f t="shared" si="16"/>
        <v>2379.4499999999998</v>
      </c>
      <c r="U136" s="230">
        <f t="shared" si="17"/>
        <v>2577.7374999999997</v>
      </c>
    </row>
    <row r="137" spans="1:21" ht="12" customHeight="1">
      <c r="A137" s="3" t="s">
        <v>679</v>
      </c>
      <c r="C137" s="32">
        <v>173571</v>
      </c>
      <c r="D137" s="32">
        <v>6</v>
      </c>
      <c r="E137" s="3" t="s">
        <v>722</v>
      </c>
      <c r="F137" s="3">
        <v>2012</v>
      </c>
      <c r="G137" s="3">
        <v>6</v>
      </c>
      <c r="H137" s="3">
        <v>0</v>
      </c>
      <c r="I137" s="3" t="s">
        <v>52</v>
      </c>
      <c r="J137" s="175" t="s">
        <v>754</v>
      </c>
      <c r="K137" s="3">
        <f t="shared" si="9"/>
        <v>2024</v>
      </c>
      <c r="L137" s="172">
        <f t="shared" si="10"/>
        <v>2024.5</v>
      </c>
      <c r="M137" s="230">
        <v>5710.68</v>
      </c>
      <c r="N137" s="230">
        <f t="shared" si="11"/>
        <v>5710.68</v>
      </c>
      <c r="O137" s="230">
        <f t="shared" si="12"/>
        <v>39.657500000000006</v>
      </c>
      <c r="P137" s="230">
        <f t="shared" si="13"/>
        <v>475.8900000000001</v>
      </c>
      <c r="Q137" s="230">
        <f t="shared" si="14"/>
        <v>475.8900000000001</v>
      </c>
      <c r="R137" s="230"/>
      <c r="S137" s="230">
        <f t="shared" si="15"/>
        <v>2379.4500000000007</v>
      </c>
      <c r="T137" s="230">
        <f t="shared" si="16"/>
        <v>2855.3400000000011</v>
      </c>
      <c r="U137" s="230">
        <f t="shared" si="17"/>
        <v>3093.2849999999994</v>
      </c>
    </row>
    <row r="138" spans="1:21" ht="12" customHeight="1">
      <c r="A138" s="3" t="s">
        <v>679</v>
      </c>
      <c r="C138" s="32">
        <v>173572</v>
      </c>
      <c r="D138" s="32">
        <v>4</v>
      </c>
      <c r="E138" s="3" t="s">
        <v>722</v>
      </c>
      <c r="F138" s="3">
        <v>2012</v>
      </c>
      <c r="G138" s="3">
        <v>6</v>
      </c>
      <c r="H138" s="3">
        <v>0</v>
      </c>
      <c r="I138" s="3" t="s">
        <v>52</v>
      </c>
      <c r="J138" s="175" t="s">
        <v>754</v>
      </c>
      <c r="K138" s="3">
        <f t="shared" si="9"/>
        <v>2024</v>
      </c>
      <c r="L138" s="172">
        <f t="shared" si="10"/>
        <v>2024.5</v>
      </c>
      <c r="M138" s="230">
        <v>3807.12</v>
      </c>
      <c r="N138" s="230">
        <f t="shared" si="11"/>
        <v>3807.12</v>
      </c>
      <c r="O138" s="230">
        <f t="shared" si="12"/>
        <v>26.438333333333333</v>
      </c>
      <c r="P138" s="230">
        <f t="shared" si="13"/>
        <v>317.26</v>
      </c>
      <c r="Q138" s="230">
        <f t="shared" si="14"/>
        <v>317.26</v>
      </c>
      <c r="R138" s="230"/>
      <c r="S138" s="230">
        <f t="shared" si="15"/>
        <v>1586.3</v>
      </c>
      <c r="T138" s="230">
        <f t="shared" si="16"/>
        <v>1903.56</v>
      </c>
      <c r="U138" s="230">
        <f t="shared" si="17"/>
        <v>2062.1899999999996</v>
      </c>
    </row>
    <row r="139" spans="1:21" ht="12" customHeight="1">
      <c r="A139" s="3" t="s">
        <v>679</v>
      </c>
      <c r="C139" s="32">
        <v>173573</v>
      </c>
      <c r="D139" s="32">
        <v>5</v>
      </c>
      <c r="E139" s="3" t="s">
        <v>723</v>
      </c>
      <c r="F139" s="3">
        <v>2012</v>
      </c>
      <c r="G139" s="3">
        <v>6</v>
      </c>
      <c r="H139" s="3">
        <v>0</v>
      </c>
      <c r="I139" s="3" t="s">
        <v>52</v>
      </c>
      <c r="J139" s="175" t="s">
        <v>754</v>
      </c>
      <c r="K139" s="3">
        <f t="shared" si="9"/>
        <v>2024</v>
      </c>
      <c r="L139" s="172">
        <f t="shared" si="10"/>
        <v>2024.5</v>
      </c>
      <c r="M139" s="230">
        <v>2598.25</v>
      </c>
      <c r="N139" s="230">
        <f t="shared" si="11"/>
        <v>2598.25</v>
      </c>
      <c r="O139" s="230">
        <f t="shared" si="12"/>
        <v>18.043402777777779</v>
      </c>
      <c r="P139" s="230">
        <f t="shared" si="13"/>
        <v>216.52083333333334</v>
      </c>
      <c r="Q139" s="230">
        <f t="shared" si="14"/>
        <v>216.52083333333334</v>
      </c>
      <c r="R139" s="230"/>
      <c r="S139" s="230">
        <f t="shared" si="15"/>
        <v>1082.6041666666667</v>
      </c>
      <c r="T139" s="230">
        <f t="shared" si="16"/>
        <v>1299.125</v>
      </c>
      <c r="U139" s="230">
        <f t="shared" si="17"/>
        <v>1407.3854166666665</v>
      </c>
    </row>
    <row r="140" spans="1:21" ht="12" customHeight="1">
      <c r="A140" s="3" t="s">
        <v>679</v>
      </c>
      <c r="C140" s="32">
        <v>173574</v>
      </c>
      <c r="D140" s="32">
        <v>10</v>
      </c>
      <c r="E140" s="3" t="s">
        <v>724</v>
      </c>
      <c r="F140" s="3">
        <v>2012</v>
      </c>
      <c r="G140" s="3">
        <v>6</v>
      </c>
      <c r="H140" s="3">
        <v>0</v>
      </c>
      <c r="I140" s="3" t="s">
        <v>52</v>
      </c>
      <c r="J140" s="175" t="s">
        <v>754</v>
      </c>
      <c r="K140" s="3">
        <f t="shared" ref="K140:K203" si="18">F140+J140</f>
        <v>2024</v>
      </c>
      <c r="L140" s="172">
        <f t="shared" ref="L140:L203" si="19">+K140+(G140/12)</f>
        <v>2024.5</v>
      </c>
      <c r="M140" s="230">
        <v>5196.5</v>
      </c>
      <c r="N140" s="230">
        <f t="shared" ref="N140:N203" si="20">M140-M140*H140</f>
        <v>5196.5</v>
      </c>
      <c r="O140" s="230">
        <f t="shared" ref="O140:O203" si="21">N140/J140/12</f>
        <v>36.086805555555557</v>
      </c>
      <c r="P140" s="230">
        <f t="shared" ref="P140:P203" si="22">+O140*12</f>
        <v>433.04166666666669</v>
      </c>
      <c r="Q140" s="230">
        <f t="shared" ref="Q140:Q203" si="23">+IF(L140&lt;=$N$5,0,IF(K140&gt;$N$4,P140,(O140*G140)))</f>
        <v>433.04166666666669</v>
      </c>
      <c r="R140" s="230"/>
      <c r="S140" s="230">
        <f t="shared" ref="S140:S203" si="24">+IF(Q140=0,M140,IF($N$3-F140&lt;1,0,(($N$3-F140)*P140)))</f>
        <v>2165.2083333333335</v>
      </c>
      <c r="T140" s="230">
        <f t="shared" ref="T140:T203" si="25">+IF(Q140=0,S140,S140+Q140)</f>
        <v>2598.25</v>
      </c>
      <c r="U140" s="230">
        <f t="shared" ref="U140:U203" si="26">+IF(Q140=0,0,((M140-S140)+(M140-T140))/2)</f>
        <v>2814.770833333333</v>
      </c>
    </row>
    <row r="141" spans="1:21" ht="12" customHeight="1">
      <c r="A141" s="3" t="s">
        <v>679</v>
      </c>
      <c r="C141" s="32">
        <v>173575</v>
      </c>
      <c r="D141" s="32">
        <v>4</v>
      </c>
      <c r="E141" s="3" t="s">
        <v>721</v>
      </c>
      <c r="F141" s="3">
        <v>2012</v>
      </c>
      <c r="G141" s="3">
        <v>6</v>
      </c>
      <c r="H141" s="3">
        <v>0</v>
      </c>
      <c r="I141" s="3" t="s">
        <v>52</v>
      </c>
      <c r="J141" s="175" t="s">
        <v>754</v>
      </c>
      <c r="K141" s="3">
        <f t="shared" si="18"/>
        <v>2024</v>
      </c>
      <c r="L141" s="172">
        <f t="shared" si="19"/>
        <v>2024.5</v>
      </c>
      <c r="M141" s="230">
        <v>2669.36</v>
      </c>
      <c r="N141" s="230">
        <f t="shared" si="20"/>
        <v>2669.36</v>
      </c>
      <c r="O141" s="230">
        <f t="shared" si="21"/>
        <v>18.537222222222223</v>
      </c>
      <c r="P141" s="230">
        <f t="shared" si="22"/>
        <v>222.44666666666666</v>
      </c>
      <c r="Q141" s="230">
        <f t="shared" si="23"/>
        <v>222.44666666666666</v>
      </c>
      <c r="R141" s="230"/>
      <c r="S141" s="230">
        <f t="shared" si="24"/>
        <v>1112.2333333333333</v>
      </c>
      <c r="T141" s="230">
        <f t="shared" si="25"/>
        <v>1334.68</v>
      </c>
      <c r="U141" s="230">
        <f t="shared" si="26"/>
        <v>1445.9033333333334</v>
      </c>
    </row>
    <row r="142" spans="1:21" ht="12" customHeight="1">
      <c r="A142" s="3" t="s">
        <v>679</v>
      </c>
      <c r="C142" s="32">
        <v>173576</v>
      </c>
      <c r="D142" s="32">
        <v>8</v>
      </c>
      <c r="E142" s="3" t="s">
        <v>725</v>
      </c>
      <c r="F142" s="3">
        <v>2012</v>
      </c>
      <c r="G142" s="3">
        <v>6</v>
      </c>
      <c r="H142" s="3">
        <v>0</v>
      </c>
      <c r="I142" s="3" t="s">
        <v>52</v>
      </c>
      <c r="J142" s="175" t="s">
        <v>754</v>
      </c>
      <c r="K142" s="3">
        <f t="shared" si="18"/>
        <v>2024</v>
      </c>
      <c r="L142" s="172">
        <f t="shared" si="19"/>
        <v>2024.5</v>
      </c>
      <c r="M142" s="230">
        <v>5338.72</v>
      </c>
      <c r="N142" s="230">
        <f t="shared" si="20"/>
        <v>5338.72</v>
      </c>
      <c r="O142" s="230">
        <f t="shared" si="21"/>
        <v>37.074444444444445</v>
      </c>
      <c r="P142" s="230">
        <f t="shared" si="22"/>
        <v>444.89333333333332</v>
      </c>
      <c r="Q142" s="230">
        <f t="shared" si="23"/>
        <v>444.89333333333332</v>
      </c>
      <c r="R142" s="230"/>
      <c r="S142" s="230">
        <f t="shared" si="24"/>
        <v>2224.4666666666667</v>
      </c>
      <c r="T142" s="230">
        <f t="shared" si="25"/>
        <v>2669.36</v>
      </c>
      <c r="U142" s="230">
        <f t="shared" si="26"/>
        <v>2891.8066666666668</v>
      </c>
    </row>
    <row r="143" spans="1:21" ht="12" customHeight="1">
      <c r="A143" s="3" t="s">
        <v>679</v>
      </c>
      <c r="C143" s="32">
        <v>173577</v>
      </c>
      <c r="D143" s="32">
        <v>3</v>
      </c>
      <c r="E143" s="3" t="s">
        <v>721</v>
      </c>
      <c r="F143" s="3">
        <v>2012</v>
      </c>
      <c r="G143" s="3">
        <v>6</v>
      </c>
      <c r="H143" s="3">
        <v>0</v>
      </c>
      <c r="I143" s="3" t="s">
        <v>52</v>
      </c>
      <c r="J143" s="175" t="s">
        <v>754</v>
      </c>
      <c r="K143" s="3">
        <f t="shared" si="18"/>
        <v>2024</v>
      </c>
      <c r="L143" s="172">
        <f t="shared" si="19"/>
        <v>2024.5</v>
      </c>
      <c r="M143" s="230">
        <v>2002.02</v>
      </c>
      <c r="N143" s="230">
        <f t="shared" si="20"/>
        <v>2002.02</v>
      </c>
      <c r="O143" s="230">
        <f t="shared" si="21"/>
        <v>13.902916666666668</v>
      </c>
      <c r="P143" s="230">
        <f t="shared" si="22"/>
        <v>166.83500000000001</v>
      </c>
      <c r="Q143" s="230">
        <f t="shared" si="23"/>
        <v>166.83500000000001</v>
      </c>
      <c r="R143" s="230"/>
      <c r="S143" s="230">
        <f t="shared" si="24"/>
        <v>834.17500000000007</v>
      </c>
      <c r="T143" s="230">
        <f t="shared" si="25"/>
        <v>1001.0100000000001</v>
      </c>
      <c r="U143" s="230">
        <f t="shared" si="26"/>
        <v>1084.4274999999998</v>
      </c>
    </row>
    <row r="144" spans="1:21" ht="12" customHeight="1">
      <c r="A144" s="3" t="s">
        <v>679</v>
      </c>
      <c r="C144" s="32">
        <v>173578</v>
      </c>
      <c r="D144" s="32">
        <v>21</v>
      </c>
      <c r="E144" s="3" t="s">
        <v>726</v>
      </c>
      <c r="F144" s="3">
        <v>2012</v>
      </c>
      <c r="G144" s="3">
        <v>8</v>
      </c>
      <c r="H144" s="3">
        <v>0</v>
      </c>
      <c r="I144" s="3" t="s">
        <v>52</v>
      </c>
      <c r="J144" s="175" t="s">
        <v>754</v>
      </c>
      <c r="K144" s="3">
        <f t="shared" si="18"/>
        <v>2024</v>
      </c>
      <c r="L144" s="172">
        <f t="shared" si="19"/>
        <v>2024.6666666666667</v>
      </c>
      <c r="M144" s="230">
        <v>11257.26</v>
      </c>
      <c r="N144" s="230">
        <f t="shared" si="20"/>
        <v>11257.26</v>
      </c>
      <c r="O144" s="230">
        <f t="shared" si="21"/>
        <v>78.175416666666663</v>
      </c>
      <c r="P144" s="230">
        <f t="shared" si="22"/>
        <v>938.10500000000002</v>
      </c>
      <c r="Q144" s="230">
        <f t="shared" si="23"/>
        <v>938.10500000000002</v>
      </c>
      <c r="R144" s="230"/>
      <c r="S144" s="230">
        <f t="shared" si="24"/>
        <v>4690.5249999999996</v>
      </c>
      <c r="T144" s="230">
        <f t="shared" si="25"/>
        <v>5628.6299999999992</v>
      </c>
      <c r="U144" s="230">
        <f t="shared" si="26"/>
        <v>6097.6825000000008</v>
      </c>
    </row>
    <row r="145" spans="1:21" ht="12" customHeight="1">
      <c r="A145" s="3" t="s">
        <v>679</v>
      </c>
      <c r="C145" s="32">
        <v>173579</v>
      </c>
      <c r="D145" s="32">
        <v>22</v>
      </c>
      <c r="E145" s="3" t="s">
        <v>727</v>
      </c>
      <c r="F145" s="3">
        <v>2012</v>
      </c>
      <c r="G145" s="3">
        <v>8</v>
      </c>
      <c r="H145" s="3">
        <v>0</v>
      </c>
      <c r="I145" s="3" t="s">
        <v>52</v>
      </c>
      <c r="J145" s="175" t="s">
        <v>754</v>
      </c>
      <c r="K145" s="3">
        <f t="shared" si="18"/>
        <v>2024</v>
      </c>
      <c r="L145" s="172">
        <f t="shared" si="19"/>
        <v>2024.6666666666667</v>
      </c>
      <c r="M145" s="230">
        <v>11793.32</v>
      </c>
      <c r="N145" s="230">
        <f t="shared" si="20"/>
        <v>11793.32</v>
      </c>
      <c r="O145" s="230">
        <f t="shared" si="21"/>
        <v>81.898055555555558</v>
      </c>
      <c r="P145" s="230">
        <f t="shared" si="22"/>
        <v>982.77666666666664</v>
      </c>
      <c r="Q145" s="230">
        <f t="shared" si="23"/>
        <v>982.77666666666664</v>
      </c>
      <c r="R145" s="230"/>
      <c r="S145" s="230">
        <f t="shared" si="24"/>
        <v>4913.8833333333332</v>
      </c>
      <c r="T145" s="230">
        <f t="shared" si="25"/>
        <v>5896.66</v>
      </c>
      <c r="U145" s="230">
        <f t="shared" si="26"/>
        <v>6388.0483333333332</v>
      </c>
    </row>
    <row r="146" spans="1:21" ht="12" customHeight="1">
      <c r="A146" s="3" t="s">
        <v>679</v>
      </c>
      <c r="C146" s="32">
        <v>173584</v>
      </c>
      <c r="D146" s="32">
        <v>22</v>
      </c>
      <c r="E146" s="3" t="s">
        <v>728</v>
      </c>
      <c r="F146" s="3">
        <v>2012</v>
      </c>
      <c r="G146" s="3">
        <v>8</v>
      </c>
      <c r="H146" s="3">
        <v>0</v>
      </c>
      <c r="I146" s="3" t="s">
        <v>52</v>
      </c>
      <c r="J146" s="175" t="s">
        <v>754</v>
      </c>
      <c r="K146" s="3">
        <f t="shared" si="18"/>
        <v>2024</v>
      </c>
      <c r="L146" s="172">
        <f t="shared" si="19"/>
        <v>2024.6666666666667</v>
      </c>
      <c r="M146" s="230">
        <v>11793.32</v>
      </c>
      <c r="N146" s="230">
        <f t="shared" si="20"/>
        <v>11793.32</v>
      </c>
      <c r="O146" s="230">
        <f t="shared" si="21"/>
        <v>81.898055555555558</v>
      </c>
      <c r="P146" s="230">
        <f t="shared" si="22"/>
        <v>982.77666666666664</v>
      </c>
      <c r="Q146" s="230">
        <f t="shared" si="23"/>
        <v>982.77666666666664</v>
      </c>
      <c r="R146" s="230"/>
      <c r="S146" s="230">
        <f t="shared" si="24"/>
        <v>4913.8833333333332</v>
      </c>
      <c r="T146" s="230">
        <f t="shared" si="25"/>
        <v>5896.66</v>
      </c>
      <c r="U146" s="230">
        <f t="shared" si="26"/>
        <v>6388.0483333333332</v>
      </c>
    </row>
    <row r="147" spans="1:21" ht="12" customHeight="1">
      <c r="A147" s="3" t="s">
        <v>40</v>
      </c>
      <c r="C147" s="32">
        <v>102853</v>
      </c>
      <c r="D147" s="32">
        <v>20</v>
      </c>
      <c r="E147" s="3" t="s">
        <v>268</v>
      </c>
      <c r="F147" s="3">
        <v>2013</v>
      </c>
      <c r="G147" s="3">
        <v>3</v>
      </c>
      <c r="H147" s="3">
        <v>0</v>
      </c>
      <c r="I147" s="3" t="s">
        <v>52</v>
      </c>
      <c r="J147" s="175">
        <v>10</v>
      </c>
      <c r="K147" s="3">
        <f t="shared" si="18"/>
        <v>2023</v>
      </c>
      <c r="L147" s="172">
        <f t="shared" si="19"/>
        <v>2023.25</v>
      </c>
      <c r="M147" s="230">
        <v>9189.6</v>
      </c>
      <c r="N147" s="230">
        <f t="shared" si="20"/>
        <v>9189.6</v>
      </c>
      <c r="O147" s="230">
        <f t="shared" si="21"/>
        <v>76.58</v>
      </c>
      <c r="P147" s="230">
        <f t="shared" si="22"/>
        <v>918.96</v>
      </c>
      <c r="Q147" s="230">
        <f t="shared" si="23"/>
        <v>918.96</v>
      </c>
      <c r="R147" s="230"/>
      <c r="S147" s="230">
        <f t="shared" si="24"/>
        <v>3675.84</v>
      </c>
      <c r="T147" s="230">
        <f t="shared" si="25"/>
        <v>4594.8</v>
      </c>
      <c r="U147" s="230">
        <f t="shared" si="26"/>
        <v>5054.2800000000007</v>
      </c>
    </row>
    <row r="148" spans="1:21" ht="12" customHeight="1">
      <c r="A148" s="3" t="s">
        <v>40</v>
      </c>
      <c r="C148" s="32">
        <v>103267</v>
      </c>
      <c r="D148" s="32">
        <v>10</v>
      </c>
      <c r="E148" s="3" t="s">
        <v>272</v>
      </c>
      <c r="F148" s="3">
        <v>2013</v>
      </c>
      <c r="G148" s="3">
        <v>3</v>
      </c>
      <c r="H148" s="3">
        <v>0</v>
      </c>
      <c r="I148" s="3" t="s">
        <v>52</v>
      </c>
      <c r="J148" s="175">
        <v>10</v>
      </c>
      <c r="K148" s="3">
        <f t="shared" si="18"/>
        <v>2023</v>
      </c>
      <c r="L148" s="172">
        <f t="shared" si="19"/>
        <v>2023.25</v>
      </c>
      <c r="M148" s="230">
        <v>4649.5</v>
      </c>
      <c r="N148" s="230">
        <f t="shared" si="20"/>
        <v>4649.5</v>
      </c>
      <c r="O148" s="230">
        <f t="shared" si="21"/>
        <v>38.74583333333333</v>
      </c>
      <c r="P148" s="230">
        <f t="shared" si="22"/>
        <v>464.94999999999993</v>
      </c>
      <c r="Q148" s="230">
        <f t="shared" si="23"/>
        <v>464.94999999999993</v>
      </c>
      <c r="R148" s="230"/>
      <c r="S148" s="230">
        <f t="shared" si="24"/>
        <v>1859.7999999999997</v>
      </c>
      <c r="T148" s="230">
        <f t="shared" si="25"/>
        <v>2324.7499999999995</v>
      </c>
      <c r="U148" s="230">
        <f t="shared" si="26"/>
        <v>2557.2250000000004</v>
      </c>
    </row>
    <row r="149" spans="1:21" ht="12" customHeight="1">
      <c r="A149" s="3" t="s">
        <v>40</v>
      </c>
      <c r="C149" s="32">
        <v>102964</v>
      </c>
      <c r="D149" s="32">
        <v>20</v>
      </c>
      <c r="E149" s="3" t="s">
        <v>267</v>
      </c>
      <c r="F149" s="3">
        <v>2013</v>
      </c>
      <c r="G149" s="3">
        <v>3</v>
      </c>
      <c r="H149" s="3">
        <v>0</v>
      </c>
      <c r="I149" s="3" t="s">
        <v>52</v>
      </c>
      <c r="J149" s="175">
        <v>10</v>
      </c>
      <c r="K149" s="3">
        <f t="shared" si="18"/>
        <v>2023</v>
      </c>
      <c r="L149" s="172">
        <f t="shared" si="19"/>
        <v>2023.25</v>
      </c>
      <c r="M149" s="230">
        <v>11815.2</v>
      </c>
      <c r="N149" s="230">
        <f t="shared" si="20"/>
        <v>11815.2</v>
      </c>
      <c r="O149" s="230">
        <f t="shared" si="21"/>
        <v>98.46</v>
      </c>
      <c r="P149" s="230">
        <f t="shared" si="22"/>
        <v>1181.52</v>
      </c>
      <c r="Q149" s="230">
        <f t="shared" si="23"/>
        <v>1181.52</v>
      </c>
      <c r="R149" s="230"/>
      <c r="S149" s="230">
        <f t="shared" si="24"/>
        <v>4726.08</v>
      </c>
      <c r="T149" s="230">
        <f t="shared" si="25"/>
        <v>5907.6</v>
      </c>
      <c r="U149" s="230">
        <f t="shared" si="26"/>
        <v>6498.3600000000006</v>
      </c>
    </row>
    <row r="150" spans="1:21" ht="12" customHeight="1">
      <c r="A150" s="3" t="s">
        <v>40</v>
      </c>
      <c r="C150" s="32">
        <v>102854</v>
      </c>
      <c r="D150" s="32">
        <v>5</v>
      </c>
      <c r="E150" s="3" t="s">
        <v>267</v>
      </c>
      <c r="F150" s="3">
        <v>2013</v>
      </c>
      <c r="G150" s="3">
        <v>3</v>
      </c>
      <c r="H150" s="3">
        <v>0</v>
      </c>
      <c r="I150" s="3" t="s">
        <v>52</v>
      </c>
      <c r="J150" s="175">
        <v>10</v>
      </c>
      <c r="K150" s="3">
        <f t="shared" si="18"/>
        <v>2023</v>
      </c>
      <c r="L150" s="172">
        <f t="shared" si="19"/>
        <v>2023.25</v>
      </c>
      <c r="M150" s="230">
        <v>2953.8</v>
      </c>
      <c r="N150" s="230">
        <f t="shared" si="20"/>
        <v>2953.8</v>
      </c>
      <c r="O150" s="230">
        <f t="shared" si="21"/>
        <v>24.614999999999998</v>
      </c>
      <c r="P150" s="230">
        <f t="shared" si="22"/>
        <v>295.38</v>
      </c>
      <c r="Q150" s="230">
        <f t="shared" si="23"/>
        <v>295.38</v>
      </c>
      <c r="R150" s="230"/>
      <c r="S150" s="230">
        <f t="shared" si="24"/>
        <v>1181.52</v>
      </c>
      <c r="T150" s="230">
        <f t="shared" si="25"/>
        <v>1476.9</v>
      </c>
      <c r="U150" s="230">
        <f t="shared" si="26"/>
        <v>1624.5900000000001</v>
      </c>
    </row>
    <row r="151" spans="1:21" ht="12" customHeight="1">
      <c r="A151" s="3" t="s">
        <v>40</v>
      </c>
      <c r="C151" s="32">
        <v>103580</v>
      </c>
      <c r="D151" s="32">
        <v>10</v>
      </c>
      <c r="E151" s="3" t="s">
        <v>274</v>
      </c>
      <c r="F151" s="3">
        <v>2013</v>
      </c>
      <c r="G151" s="3">
        <v>4</v>
      </c>
      <c r="H151" s="3">
        <v>0</v>
      </c>
      <c r="I151" s="3" t="s">
        <v>52</v>
      </c>
      <c r="J151" s="175">
        <v>10</v>
      </c>
      <c r="K151" s="3">
        <f t="shared" si="18"/>
        <v>2023</v>
      </c>
      <c r="L151" s="172">
        <f t="shared" si="19"/>
        <v>2023.3333333333333</v>
      </c>
      <c r="M151" s="230">
        <v>6782.8</v>
      </c>
      <c r="N151" s="230">
        <f t="shared" si="20"/>
        <v>6782.8</v>
      </c>
      <c r="O151" s="230">
        <f t="shared" si="21"/>
        <v>56.523333333333333</v>
      </c>
      <c r="P151" s="230">
        <f t="shared" si="22"/>
        <v>678.28</v>
      </c>
      <c r="Q151" s="230">
        <f t="shared" si="23"/>
        <v>678.28</v>
      </c>
      <c r="R151" s="230"/>
      <c r="S151" s="230">
        <f t="shared" si="24"/>
        <v>2713.12</v>
      </c>
      <c r="T151" s="230">
        <f t="shared" si="25"/>
        <v>3391.3999999999996</v>
      </c>
      <c r="U151" s="230">
        <f t="shared" si="26"/>
        <v>3730.5400000000004</v>
      </c>
    </row>
    <row r="152" spans="1:21" ht="12" customHeight="1">
      <c r="A152" s="3" t="s">
        <v>40</v>
      </c>
      <c r="C152" s="32">
        <v>103334</v>
      </c>
      <c r="D152" s="32">
        <v>8</v>
      </c>
      <c r="E152" s="3" t="s">
        <v>273</v>
      </c>
      <c r="F152" s="3">
        <v>2013</v>
      </c>
      <c r="G152" s="3">
        <v>3</v>
      </c>
      <c r="H152" s="3">
        <v>0</v>
      </c>
      <c r="I152" s="3" t="s">
        <v>52</v>
      </c>
      <c r="J152" s="175">
        <v>10</v>
      </c>
      <c r="K152" s="3">
        <f t="shared" si="18"/>
        <v>2023</v>
      </c>
      <c r="L152" s="172">
        <f t="shared" si="19"/>
        <v>2023.25</v>
      </c>
      <c r="M152" s="230">
        <v>6957.84</v>
      </c>
      <c r="N152" s="230">
        <f t="shared" si="20"/>
        <v>6957.84</v>
      </c>
      <c r="O152" s="230">
        <f t="shared" si="21"/>
        <v>57.981999999999999</v>
      </c>
      <c r="P152" s="230">
        <f t="shared" si="22"/>
        <v>695.78399999999999</v>
      </c>
      <c r="Q152" s="230">
        <f t="shared" si="23"/>
        <v>695.78399999999999</v>
      </c>
      <c r="R152" s="230"/>
      <c r="S152" s="230">
        <f t="shared" si="24"/>
        <v>2783.136</v>
      </c>
      <c r="T152" s="230">
        <f t="shared" si="25"/>
        <v>3478.92</v>
      </c>
      <c r="U152" s="230">
        <f t="shared" si="26"/>
        <v>3826.8119999999999</v>
      </c>
    </row>
    <row r="153" spans="1:21" ht="12" customHeight="1">
      <c r="A153" s="3" t="s">
        <v>40</v>
      </c>
      <c r="C153" s="32">
        <v>103335</v>
      </c>
      <c r="D153" s="32">
        <v>11</v>
      </c>
      <c r="E153" s="3" t="s">
        <v>273</v>
      </c>
      <c r="F153" s="3">
        <v>2013</v>
      </c>
      <c r="G153" s="3">
        <v>3</v>
      </c>
      <c r="H153" s="3">
        <v>0</v>
      </c>
      <c r="I153" s="3" t="s">
        <v>52</v>
      </c>
      <c r="J153" s="175">
        <v>10</v>
      </c>
      <c r="K153" s="3">
        <f t="shared" si="18"/>
        <v>2023</v>
      </c>
      <c r="L153" s="172">
        <f t="shared" si="19"/>
        <v>2023.25</v>
      </c>
      <c r="M153" s="230">
        <v>9567.0300000000007</v>
      </c>
      <c r="N153" s="230">
        <f t="shared" si="20"/>
        <v>9567.0300000000007</v>
      </c>
      <c r="O153" s="230">
        <f t="shared" si="21"/>
        <v>79.725250000000003</v>
      </c>
      <c r="P153" s="230">
        <f t="shared" si="22"/>
        <v>956.70299999999997</v>
      </c>
      <c r="Q153" s="230">
        <f t="shared" si="23"/>
        <v>956.70299999999997</v>
      </c>
      <c r="R153" s="230"/>
      <c r="S153" s="230">
        <f t="shared" si="24"/>
        <v>3826.8119999999999</v>
      </c>
      <c r="T153" s="230">
        <f t="shared" si="25"/>
        <v>4783.5149999999994</v>
      </c>
      <c r="U153" s="230">
        <f t="shared" si="26"/>
        <v>5261.866500000001</v>
      </c>
    </row>
    <row r="154" spans="1:21" ht="12" customHeight="1">
      <c r="A154" s="3" t="s">
        <v>40</v>
      </c>
      <c r="C154" s="32">
        <v>103336</v>
      </c>
      <c r="D154" s="32">
        <v>6</v>
      </c>
      <c r="E154" s="3" t="s">
        <v>273</v>
      </c>
      <c r="F154" s="3">
        <v>2013</v>
      </c>
      <c r="G154" s="3">
        <v>3</v>
      </c>
      <c r="H154" s="3">
        <v>0</v>
      </c>
      <c r="I154" s="3" t="s">
        <v>52</v>
      </c>
      <c r="J154" s="175">
        <v>10</v>
      </c>
      <c r="K154" s="3">
        <f t="shared" si="18"/>
        <v>2023</v>
      </c>
      <c r="L154" s="172">
        <f t="shared" si="19"/>
        <v>2023.25</v>
      </c>
      <c r="M154" s="230">
        <v>5218.38</v>
      </c>
      <c r="N154" s="230">
        <f t="shared" si="20"/>
        <v>5218.38</v>
      </c>
      <c r="O154" s="230">
        <f t="shared" si="21"/>
        <v>43.486499999999999</v>
      </c>
      <c r="P154" s="230">
        <f t="shared" si="22"/>
        <v>521.83799999999997</v>
      </c>
      <c r="Q154" s="230">
        <f t="shared" si="23"/>
        <v>521.83799999999997</v>
      </c>
      <c r="R154" s="230"/>
      <c r="S154" s="230">
        <f t="shared" si="24"/>
        <v>2087.3519999999999</v>
      </c>
      <c r="T154" s="230">
        <f t="shared" si="25"/>
        <v>2609.1899999999996</v>
      </c>
      <c r="U154" s="230">
        <f t="shared" si="26"/>
        <v>2870.1090000000004</v>
      </c>
    </row>
    <row r="155" spans="1:21" ht="12" customHeight="1">
      <c r="A155" s="3" t="s">
        <v>415</v>
      </c>
      <c r="C155" s="32">
        <v>173315</v>
      </c>
      <c r="D155" s="32">
        <v>4</v>
      </c>
      <c r="E155" s="3" t="s">
        <v>476</v>
      </c>
      <c r="F155" s="3">
        <v>2013</v>
      </c>
      <c r="G155" s="3">
        <v>6</v>
      </c>
      <c r="H155" s="3">
        <v>0</v>
      </c>
      <c r="I155" s="3" t="s">
        <v>52</v>
      </c>
      <c r="J155" s="175">
        <v>12</v>
      </c>
      <c r="K155" s="3">
        <f t="shared" si="18"/>
        <v>2025</v>
      </c>
      <c r="L155" s="172">
        <f t="shared" si="19"/>
        <v>2025.5</v>
      </c>
      <c r="M155" s="230">
        <v>2713.12</v>
      </c>
      <c r="N155" s="230">
        <f t="shared" si="20"/>
        <v>2713.12</v>
      </c>
      <c r="O155" s="230">
        <f t="shared" si="21"/>
        <v>18.841111111111111</v>
      </c>
      <c r="P155" s="230">
        <f t="shared" si="22"/>
        <v>226.09333333333333</v>
      </c>
      <c r="Q155" s="230">
        <f t="shared" si="23"/>
        <v>226.09333333333333</v>
      </c>
      <c r="R155" s="230"/>
      <c r="S155" s="230">
        <f t="shared" si="24"/>
        <v>904.37333333333333</v>
      </c>
      <c r="T155" s="230">
        <f t="shared" si="25"/>
        <v>1130.4666666666667</v>
      </c>
      <c r="U155" s="230">
        <f t="shared" si="26"/>
        <v>1695.6999999999998</v>
      </c>
    </row>
    <row r="156" spans="1:21" ht="12" customHeight="1">
      <c r="A156" s="3" t="s">
        <v>679</v>
      </c>
      <c r="C156" s="32">
        <v>128803</v>
      </c>
      <c r="D156" s="32">
        <v>6</v>
      </c>
      <c r="E156" s="3" t="s">
        <v>476</v>
      </c>
      <c r="F156" s="3">
        <v>2013</v>
      </c>
      <c r="G156" s="3">
        <v>6</v>
      </c>
      <c r="H156" s="3">
        <v>0</v>
      </c>
      <c r="I156" s="3" t="s">
        <v>52</v>
      </c>
      <c r="J156" s="175" t="s">
        <v>754</v>
      </c>
      <c r="K156" s="3">
        <f t="shared" si="18"/>
        <v>2025</v>
      </c>
      <c r="L156" s="172">
        <f t="shared" si="19"/>
        <v>2025.5</v>
      </c>
      <c r="M156" s="230">
        <v>4069.68</v>
      </c>
      <c r="N156" s="230">
        <f t="shared" si="20"/>
        <v>4069.68</v>
      </c>
      <c r="O156" s="230">
        <f t="shared" si="21"/>
        <v>28.261666666666667</v>
      </c>
      <c r="P156" s="230">
        <f t="shared" si="22"/>
        <v>339.14</v>
      </c>
      <c r="Q156" s="230">
        <f t="shared" si="23"/>
        <v>339.14</v>
      </c>
      <c r="R156" s="230"/>
      <c r="S156" s="230">
        <f t="shared" si="24"/>
        <v>1356.56</v>
      </c>
      <c r="T156" s="230">
        <f t="shared" si="25"/>
        <v>1695.6999999999998</v>
      </c>
      <c r="U156" s="230">
        <f t="shared" si="26"/>
        <v>2543.5500000000002</v>
      </c>
    </row>
    <row r="157" spans="1:21" ht="12" customHeight="1">
      <c r="A157" s="3" t="s">
        <v>679</v>
      </c>
      <c r="C157" s="32">
        <v>128807</v>
      </c>
      <c r="D157" s="32">
        <v>20</v>
      </c>
      <c r="E157" s="3" t="s">
        <v>714</v>
      </c>
      <c r="F157" s="3">
        <v>2013</v>
      </c>
      <c r="G157" s="3">
        <v>5</v>
      </c>
      <c r="H157" s="3">
        <v>0</v>
      </c>
      <c r="I157" s="3" t="s">
        <v>52</v>
      </c>
      <c r="J157" s="175" t="s">
        <v>754</v>
      </c>
      <c r="K157" s="3">
        <f t="shared" si="18"/>
        <v>2025</v>
      </c>
      <c r="L157" s="172">
        <f t="shared" si="19"/>
        <v>2025.4166666666667</v>
      </c>
      <c r="M157" s="230">
        <v>9189.6</v>
      </c>
      <c r="N157" s="230">
        <f t="shared" si="20"/>
        <v>9189.6</v>
      </c>
      <c r="O157" s="230">
        <f t="shared" si="21"/>
        <v>63.81666666666667</v>
      </c>
      <c r="P157" s="230">
        <f t="shared" si="22"/>
        <v>765.80000000000007</v>
      </c>
      <c r="Q157" s="230">
        <f t="shared" si="23"/>
        <v>765.80000000000007</v>
      </c>
      <c r="R157" s="230"/>
      <c r="S157" s="230">
        <f t="shared" si="24"/>
        <v>3063.2000000000003</v>
      </c>
      <c r="T157" s="230">
        <f t="shared" si="25"/>
        <v>3829.0000000000005</v>
      </c>
      <c r="U157" s="230">
        <f t="shared" si="26"/>
        <v>5743.5</v>
      </c>
    </row>
    <row r="158" spans="1:21" ht="12" customHeight="1">
      <c r="A158" s="3" t="s">
        <v>679</v>
      </c>
      <c r="C158" s="32">
        <v>173589</v>
      </c>
      <c r="D158" s="32">
        <v>8</v>
      </c>
      <c r="E158" s="3" t="s">
        <v>729</v>
      </c>
      <c r="F158" s="3">
        <v>2013</v>
      </c>
      <c r="G158" s="3">
        <v>4</v>
      </c>
      <c r="H158" s="3">
        <v>0</v>
      </c>
      <c r="I158" s="3" t="s">
        <v>52</v>
      </c>
      <c r="J158" s="175" t="s">
        <v>754</v>
      </c>
      <c r="K158" s="3">
        <f t="shared" si="18"/>
        <v>2025</v>
      </c>
      <c r="L158" s="172">
        <f t="shared" si="19"/>
        <v>2025.3333333333333</v>
      </c>
      <c r="M158" s="230">
        <v>7307.92</v>
      </c>
      <c r="N158" s="230">
        <f t="shared" si="20"/>
        <v>7307.92</v>
      </c>
      <c r="O158" s="230">
        <f t="shared" si="21"/>
        <v>50.749444444444443</v>
      </c>
      <c r="P158" s="230">
        <f t="shared" si="22"/>
        <v>608.99333333333334</v>
      </c>
      <c r="Q158" s="230">
        <f t="shared" si="23"/>
        <v>608.99333333333334</v>
      </c>
      <c r="R158" s="230"/>
      <c r="S158" s="230">
        <f t="shared" si="24"/>
        <v>2435.9733333333334</v>
      </c>
      <c r="T158" s="230">
        <f t="shared" si="25"/>
        <v>3044.9666666666667</v>
      </c>
      <c r="U158" s="230">
        <f t="shared" si="26"/>
        <v>4567.45</v>
      </c>
    </row>
    <row r="159" spans="1:21" ht="12" customHeight="1">
      <c r="A159" s="3" t="s">
        <v>679</v>
      </c>
      <c r="C159" s="32">
        <v>173590</v>
      </c>
      <c r="D159" s="32">
        <v>8</v>
      </c>
      <c r="E159" s="3" t="s">
        <v>729</v>
      </c>
      <c r="F159" s="3">
        <v>2013</v>
      </c>
      <c r="G159" s="3">
        <v>4</v>
      </c>
      <c r="H159" s="3">
        <v>0</v>
      </c>
      <c r="I159" s="3" t="s">
        <v>52</v>
      </c>
      <c r="J159" s="175" t="s">
        <v>754</v>
      </c>
      <c r="K159" s="3">
        <f t="shared" si="18"/>
        <v>2025</v>
      </c>
      <c r="L159" s="172">
        <f t="shared" si="19"/>
        <v>2025.3333333333333</v>
      </c>
      <c r="M159" s="230">
        <v>7307.92</v>
      </c>
      <c r="N159" s="230">
        <f t="shared" si="20"/>
        <v>7307.92</v>
      </c>
      <c r="O159" s="230">
        <f t="shared" si="21"/>
        <v>50.749444444444443</v>
      </c>
      <c r="P159" s="230">
        <f t="shared" si="22"/>
        <v>608.99333333333334</v>
      </c>
      <c r="Q159" s="230">
        <f t="shared" si="23"/>
        <v>608.99333333333334</v>
      </c>
      <c r="R159" s="230"/>
      <c r="S159" s="230">
        <f t="shared" si="24"/>
        <v>2435.9733333333334</v>
      </c>
      <c r="T159" s="230">
        <f t="shared" si="25"/>
        <v>3044.9666666666667</v>
      </c>
      <c r="U159" s="230">
        <f t="shared" si="26"/>
        <v>4567.45</v>
      </c>
    </row>
    <row r="160" spans="1:21" ht="12" customHeight="1">
      <c r="A160" s="3" t="s">
        <v>679</v>
      </c>
      <c r="C160" s="32">
        <v>173591</v>
      </c>
      <c r="D160" s="32">
        <v>4</v>
      </c>
      <c r="E160" s="3" t="s">
        <v>730</v>
      </c>
      <c r="F160" s="3">
        <v>2013</v>
      </c>
      <c r="G160" s="3">
        <v>4</v>
      </c>
      <c r="H160" s="3">
        <v>0</v>
      </c>
      <c r="I160" s="3" t="s">
        <v>52</v>
      </c>
      <c r="J160" s="175" t="s">
        <v>754</v>
      </c>
      <c r="K160" s="3">
        <f t="shared" si="18"/>
        <v>2025</v>
      </c>
      <c r="L160" s="172">
        <f t="shared" si="19"/>
        <v>2025.3333333333333</v>
      </c>
      <c r="M160" s="230">
        <v>3653.96</v>
      </c>
      <c r="N160" s="230">
        <f t="shared" si="20"/>
        <v>3653.96</v>
      </c>
      <c r="O160" s="230">
        <f t="shared" si="21"/>
        <v>25.374722222222221</v>
      </c>
      <c r="P160" s="230">
        <f t="shared" si="22"/>
        <v>304.49666666666667</v>
      </c>
      <c r="Q160" s="230">
        <f t="shared" si="23"/>
        <v>304.49666666666667</v>
      </c>
      <c r="R160" s="230"/>
      <c r="S160" s="230">
        <f t="shared" si="24"/>
        <v>1217.9866666666667</v>
      </c>
      <c r="T160" s="230">
        <f t="shared" si="25"/>
        <v>1522.4833333333333</v>
      </c>
      <c r="U160" s="230">
        <f t="shared" si="26"/>
        <v>2283.7249999999999</v>
      </c>
    </row>
    <row r="161" spans="1:21" ht="12" customHeight="1">
      <c r="A161" s="3" t="s">
        <v>679</v>
      </c>
      <c r="C161" s="32">
        <v>173595</v>
      </c>
      <c r="D161" s="32">
        <v>25</v>
      </c>
      <c r="E161" s="3" t="s">
        <v>731</v>
      </c>
      <c r="F161" s="3">
        <v>2013</v>
      </c>
      <c r="G161" s="3">
        <v>5</v>
      </c>
      <c r="H161" s="3">
        <v>0</v>
      </c>
      <c r="I161" s="3" t="s">
        <v>52</v>
      </c>
      <c r="J161" s="175" t="s">
        <v>754</v>
      </c>
      <c r="K161" s="3">
        <f t="shared" si="18"/>
        <v>2025</v>
      </c>
      <c r="L161" s="172">
        <f t="shared" si="19"/>
        <v>2025.4166666666667</v>
      </c>
      <c r="M161" s="230">
        <v>14769</v>
      </c>
      <c r="N161" s="230">
        <f t="shared" si="20"/>
        <v>14769</v>
      </c>
      <c r="O161" s="230">
        <f t="shared" si="21"/>
        <v>102.5625</v>
      </c>
      <c r="P161" s="230">
        <f t="shared" si="22"/>
        <v>1230.75</v>
      </c>
      <c r="Q161" s="230">
        <f t="shared" si="23"/>
        <v>1230.75</v>
      </c>
      <c r="R161" s="230"/>
      <c r="S161" s="230">
        <f t="shared" si="24"/>
        <v>4923</v>
      </c>
      <c r="T161" s="230">
        <f t="shared" si="25"/>
        <v>6153.75</v>
      </c>
      <c r="U161" s="230">
        <f t="shared" si="26"/>
        <v>9230.625</v>
      </c>
    </row>
    <row r="162" spans="1:21" ht="12" customHeight="1">
      <c r="A162" s="3" t="s">
        <v>679</v>
      </c>
      <c r="C162" s="32">
        <v>173596</v>
      </c>
      <c r="D162" s="32">
        <v>9</v>
      </c>
      <c r="E162" s="3" t="s">
        <v>693</v>
      </c>
      <c r="F162" s="3">
        <v>2013</v>
      </c>
      <c r="G162" s="3">
        <v>5</v>
      </c>
      <c r="H162" s="3">
        <v>0</v>
      </c>
      <c r="I162" s="3" t="s">
        <v>52</v>
      </c>
      <c r="J162" s="175" t="s">
        <v>754</v>
      </c>
      <c r="K162" s="3">
        <f t="shared" si="18"/>
        <v>2025</v>
      </c>
      <c r="L162" s="172">
        <f t="shared" si="19"/>
        <v>2025.4166666666667</v>
      </c>
      <c r="M162" s="230">
        <v>7827.57</v>
      </c>
      <c r="N162" s="230">
        <f t="shared" si="20"/>
        <v>7827.57</v>
      </c>
      <c r="O162" s="230">
        <f t="shared" si="21"/>
        <v>54.358125000000001</v>
      </c>
      <c r="P162" s="230">
        <f t="shared" si="22"/>
        <v>652.29750000000001</v>
      </c>
      <c r="Q162" s="230">
        <f t="shared" si="23"/>
        <v>652.29750000000001</v>
      </c>
      <c r="R162" s="230"/>
      <c r="S162" s="230">
        <f t="shared" si="24"/>
        <v>2609.19</v>
      </c>
      <c r="T162" s="230">
        <f t="shared" si="25"/>
        <v>3261.4875000000002</v>
      </c>
      <c r="U162" s="230">
        <f t="shared" si="26"/>
        <v>4892.2312499999989</v>
      </c>
    </row>
    <row r="163" spans="1:21" ht="12" customHeight="1">
      <c r="A163" s="3" t="s">
        <v>679</v>
      </c>
      <c r="C163" s="32">
        <v>173597</v>
      </c>
      <c r="D163" s="32">
        <v>10</v>
      </c>
      <c r="E163" s="3" t="s">
        <v>693</v>
      </c>
      <c r="F163" s="3">
        <v>2013</v>
      </c>
      <c r="G163" s="3">
        <v>5</v>
      </c>
      <c r="H163" s="3">
        <v>0</v>
      </c>
      <c r="I163" s="3" t="s">
        <v>52</v>
      </c>
      <c r="J163" s="175" t="s">
        <v>754</v>
      </c>
      <c r="K163" s="3">
        <f t="shared" si="18"/>
        <v>2025</v>
      </c>
      <c r="L163" s="172">
        <f t="shared" si="19"/>
        <v>2025.4166666666667</v>
      </c>
      <c r="M163" s="230">
        <v>8697.2999999999993</v>
      </c>
      <c r="N163" s="230">
        <f t="shared" si="20"/>
        <v>8697.2999999999993</v>
      </c>
      <c r="O163" s="230">
        <f t="shared" si="21"/>
        <v>60.397916666666667</v>
      </c>
      <c r="P163" s="230">
        <f t="shared" si="22"/>
        <v>724.77499999999998</v>
      </c>
      <c r="Q163" s="230">
        <f t="shared" si="23"/>
        <v>724.77499999999998</v>
      </c>
      <c r="R163" s="230"/>
      <c r="S163" s="230">
        <f t="shared" si="24"/>
        <v>2899.1</v>
      </c>
      <c r="T163" s="230">
        <f t="shared" si="25"/>
        <v>3623.875</v>
      </c>
      <c r="U163" s="230">
        <f t="shared" si="26"/>
        <v>5435.8124999999991</v>
      </c>
    </row>
    <row r="164" spans="1:21" ht="12" customHeight="1">
      <c r="A164" s="3" t="s">
        <v>679</v>
      </c>
      <c r="C164" s="32">
        <v>173598</v>
      </c>
      <c r="D164" s="32">
        <v>1</v>
      </c>
      <c r="E164" s="3" t="s">
        <v>732</v>
      </c>
      <c r="F164" s="3">
        <v>2013</v>
      </c>
      <c r="G164" s="3">
        <v>5</v>
      </c>
      <c r="H164" s="3">
        <v>0</v>
      </c>
      <c r="I164" s="3" t="s">
        <v>52</v>
      </c>
      <c r="J164" s="175" t="s">
        <v>754</v>
      </c>
      <c r="K164" s="3">
        <f t="shared" si="18"/>
        <v>2025</v>
      </c>
      <c r="L164" s="172">
        <f t="shared" si="19"/>
        <v>2025.4166666666667</v>
      </c>
      <c r="M164" s="230">
        <v>869.73</v>
      </c>
      <c r="N164" s="230">
        <f t="shared" si="20"/>
        <v>869.73</v>
      </c>
      <c r="O164" s="230">
        <f t="shared" si="21"/>
        <v>6.0397916666666669</v>
      </c>
      <c r="P164" s="230">
        <f t="shared" si="22"/>
        <v>72.477500000000006</v>
      </c>
      <c r="Q164" s="230">
        <f t="shared" si="23"/>
        <v>72.477500000000006</v>
      </c>
      <c r="R164" s="230"/>
      <c r="S164" s="230">
        <f t="shared" si="24"/>
        <v>289.91000000000003</v>
      </c>
      <c r="T164" s="230">
        <f t="shared" si="25"/>
        <v>362.38750000000005</v>
      </c>
      <c r="U164" s="230">
        <f t="shared" si="26"/>
        <v>543.58124999999995</v>
      </c>
    </row>
    <row r="165" spans="1:21" ht="12" customHeight="1">
      <c r="A165" s="3" t="s">
        <v>679</v>
      </c>
      <c r="C165" s="32">
        <v>173599</v>
      </c>
      <c r="D165" s="32">
        <v>9</v>
      </c>
      <c r="E165" s="3" t="s">
        <v>732</v>
      </c>
      <c r="F165" s="3">
        <v>2013</v>
      </c>
      <c r="G165" s="3">
        <v>6</v>
      </c>
      <c r="H165" s="3">
        <v>0</v>
      </c>
      <c r="I165" s="3" t="s">
        <v>52</v>
      </c>
      <c r="J165" s="175" t="s">
        <v>754</v>
      </c>
      <c r="K165" s="3">
        <f t="shared" si="18"/>
        <v>2025</v>
      </c>
      <c r="L165" s="172">
        <f t="shared" si="19"/>
        <v>2025.5</v>
      </c>
      <c r="M165" s="230">
        <v>8221.41</v>
      </c>
      <c r="N165" s="230">
        <f t="shared" si="20"/>
        <v>8221.41</v>
      </c>
      <c r="O165" s="230">
        <f t="shared" si="21"/>
        <v>57.093124999999993</v>
      </c>
      <c r="P165" s="230">
        <f t="shared" si="22"/>
        <v>685.11749999999995</v>
      </c>
      <c r="Q165" s="230">
        <f t="shared" si="23"/>
        <v>685.11749999999995</v>
      </c>
      <c r="R165" s="230"/>
      <c r="S165" s="230">
        <f t="shared" si="24"/>
        <v>2740.47</v>
      </c>
      <c r="T165" s="230">
        <f t="shared" si="25"/>
        <v>3425.5874999999996</v>
      </c>
      <c r="U165" s="230">
        <f t="shared" si="26"/>
        <v>5138.3812500000004</v>
      </c>
    </row>
    <row r="166" spans="1:21" ht="12" customHeight="1">
      <c r="A166" s="3" t="s">
        <v>679</v>
      </c>
      <c r="C166" s="32">
        <v>173600</v>
      </c>
      <c r="D166" s="32">
        <v>6</v>
      </c>
      <c r="E166" s="3" t="s">
        <v>693</v>
      </c>
      <c r="F166" s="3">
        <v>2013</v>
      </c>
      <c r="G166" s="3">
        <v>6</v>
      </c>
      <c r="H166" s="3">
        <v>0</v>
      </c>
      <c r="I166" s="3" t="s">
        <v>52</v>
      </c>
      <c r="J166" s="175" t="s">
        <v>754</v>
      </c>
      <c r="K166" s="3">
        <f t="shared" si="18"/>
        <v>2025</v>
      </c>
      <c r="L166" s="172">
        <f t="shared" si="19"/>
        <v>2025.5</v>
      </c>
      <c r="M166" s="230">
        <v>5480.94</v>
      </c>
      <c r="N166" s="230">
        <f t="shared" si="20"/>
        <v>5480.94</v>
      </c>
      <c r="O166" s="230">
        <f t="shared" si="21"/>
        <v>38.062083333333327</v>
      </c>
      <c r="P166" s="230">
        <f t="shared" si="22"/>
        <v>456.74499999999989</v>
      </c>
      <c r="Q166" s="230">
        <f t="shared" si="23"/>
        <v>456.74499999999989</v>
      </c>
      <c r="R166" s="230"/>
      <c r="S166" s="230">
        <f t="shared" si="24"/>
        <v>1826.9799999999996</v>
      </c>
      <c r="T166" s="230">
        <f t="shared" si="25"/>
        <v>2283.7249999999995</v>
      </c>
      <c r="U166" s="230">
        <f t="shared" si="26"/>
        <v>3425.5875000000001</v>
      </c>
    </row>
    <row r="167" spans="1:21" ht="12" customHeight="1">
      <c r="A167" s="3" t="s">
        <v>679</v>
      </c>
      <c r="C167" s="32">
        <v>173601</v>
      </c>
      <c r="D167" s="32">
        <v>9</v>
      </c>
      <c r="E167" s="3" t="s">
        <v>733</v>
      </c>
      <c r="F167" s="3">
        <v>2013</v>
      </c>
      <c r="G167" s="3">
        <v>6</v>
      </c>
      <c r="H167" s="3">
        <v>0</v>
      </c>
      <c r="I167" s="3" t="s">
        <v>52</v>
      </c>
      <c r="J167" s="175" t="s">
        <v>754</v>
      </c>
      <c r="K167" s="3">
        <f t="shared" si="18"/>
        <v>2025</v>
      </c>
      <c r="L167" s="172">
        <f t="shared" si="19"/>
        <v>2025.5</v>
      </c>
      <c r="M167" s="230">
        <v>4873.7700000000004</v>
      </c>
      <c r="N167" s="230">
        <f t="shared" si="20"/>
        <v>4873.7700000000004</v>
      </c>
      <c r="O167" s="230">
        <f t="shared" si="21"/>
        <v>33.845625000000005</v>
      </c>
      <c r="P167" s="230">
        <f t="shared" si="22"/>
        <v>406.14750000000004</v>
      </c>
      <c r="Q167" s="230">
        <f t="shared" si="23"/>
        <v>406.14750000000004</v>
      </c>
      <c r="R167" s="230"/>
      <c r="S167" s="230">
        <f t="shared" si="24"/>
        <v>1624.5900000000001</v>
      </c>
      <c r="T167" s="230">
        <f t="shared" si="25"/>
        <v>2030.7375000000002</v>
      </c>
      <c r="U167" s="230">
        <f t="shared" si="26"/>
        <v>3046.1062500000003</v>
      </c>
    </row>
    <row r="168" spans="1:21" ht="12" customHeight="1">
      <c r="A168" s="3" t="s">
        <v>679</v>
      </c>
      <c r="C168" s="32">
        <v>173602</v>
      </c>
      <c r="D168" s="32">
        <v>1</v>
      </c>
      <c r="E168" s="3" t="s">
        <v>734</v>
      </c>
      <c r="F168" s="3">
        <v>2013</v>
      </c>
      <c r="G168" s="3">
        <v>6</v>
      </c>
      <c r="H168" s="3">
        <v>0</v>
      </c>
      <c r="I168" s="3" t="s">
        <v>52</v>
      </c>
      <c r="J168" s="175" t="s">
        <v>754</v>
      </c>
      <c r="K168" s="3">
        <f t="shared" si="18"/>
        <v>2025</v>
      </c>
      <c r="L168" s="172">
        <f t="shared" si="19"/>
        <v>2025.5</v>
      </c>
      <c r="M168" s="230">
        <v>541.53</v>
      </c>
      <c r="N168" s="230">
        <f t="shared" si="20"/>
        <v>541.53</v>
      </c>
      <c r="O168" s="230">
        <f t="shared" si="21"/>
        <v>3.7606249999999997</v>
      </c>
      <c r="P168" s="230">
        <f t="shared" si="22"/>
        <v>45.127499999999998</v>
      </c>
      <c r="Q168" s="230">
        <f t="shared" si="23"/>
        <v>45.127499999999998</v>
      </c>
      <c r="R168" s="230"/>
      <c r="S168" s="230">
        <f t="shared" si="24"/>
        <v>180.51</v>
      </c>
      <c r="T168" s="230">
        <f t="shared" si="25"/>
        <v>225.63749999999999</v>
      </c>
      <c r="U168" s="230">
        <f t="shared" si="26"/>
        <v>338.45624999999995</v>
      </c>
    </row>
    <row r="169" spans="1:21" ht="12" customHeight="1">
      <c r="A169" s="3" t="s">
        <v>679</v>
      </c>
      <c r="C169" s="32">
        <v>173603</v>
      </c>
      <c r="D169" s="32">
        <v>10</v>
      </c>
      <c r="E169" s="3" t="s">
        <v>735</v>
      </c>
      <c r="F169" s="3">
        <v>2013</v>
      </c>
      <c r="G169" s="3">
        <v>6</v>
      </c>
      <c r="H169" s="3">
        <v>0</v>
      </c>
      <c r="I169" s="3" t="s">
        <v>52</v>
      </c>
      <c r="J169" s="175" t="s">
        <v>754</v>
      </c>
      <c r="K169" s="3">
        <f t="shared" si="18"/>
        <v>2025</v>
      </c>
      <c r="L169" s="172">
        <f t="shared" si="19"/>
        <v>2025.5</v>
      </c>
      <c r="M169" s="230">
        <v>5907.6</v>
      </c>
      <c r="N169" s="230">
        <f t="shared" si="20"/>
        <v>5907.6</v>
      </c>
      <c r="O169" s="230">
        <f t="shared" si="21"/>
        <v>41.024999999999999</v>
      </c>
      <c r="P169" s="230">
        <f t="shared" si="22"/>
        <v>492.29999999999995</v>
      </c>
      <c r="Q169" s="230">
        <f t="shared" si="23"/>
        <v>492.29999999999995</v>
      </c>
      <c r="R169" s="230"/>
      <c r="S169" s="230">
        <f t="shared" si="24"/>
        <v>1969.1999999999998</v>
      </c>
      <c r="T169" s="230">
        <f t="shared" si="25"/>
        <v>2461.5</v>
      </c>
      <c r="U169" s="230">
        <f t="shared" si="26"/>
        <v>3692.2500000000005</v>
      </c>
    </row>
    <row r="170" spans="1:21" ht="12" customHeight="1">
      <c r="A170" s="3" t="s">
        <v>679</v>
      </c>
      <c r="C170" s="32">
        <v>173604</v>
      </c>
      <c r="D170" s="32">
        <v>21</v>
      </c>
      <c r="E170" s="3" t="s">
        <v>735</v>
      </c>
      <c r="F170" s="3">
        <v>2013</v>
      </c>
      <c r="G170" s="3">
        <v>6</v>
      </c>
      <c r="H170" s="3">
        <v>0</v>
      </c>
      <c r="I170" s="3" t="s">
        <v>52</v>
      </c>
      <c r="J170" s="175" t="s">
        <v>754</v>
      </c>
      <c r="K170" s="3">
        <f t="shared" si="18"/>
        <v>2025</v>
      </c>
      <c r="L170" s="172">
        <f t="shared" si="19"/>
        <v>2025.5</v>
      </c>
      <c r="M170" s="230">
        <v>12405.96</v>
      </c>
      <c r="N170" s="230">
        <f t="shared" si="20"/>
        <v>12405.96</v>
      </c>
      <c r="O170" s="230">
        <f t="shared" si="21"/>
        <v>86.152499999999989</v>
      </c>
      <c r="P170" s="230">
        <f t="shared" si="22"/>
        <v>1033.83</v>
      </c>
      <c r="Q170" s="230">
        <f t="shared" si="23"/>
        <v>1033.83</v>
      </c>
      <c r="R170" s="230"/>
      <c r="S170" s="230">
        <f t="shared" si="24"/>
        <v>4135.32</v>
      </c>
      <c r="T170" s="230">
        <f t="shared" si="25"/>
        <v>5169.1499999999996</v>
      </c>
      <c r="U170" s="230">
        <f t="shared" si="26"/>
        <v>7753.7249999999995</v>
      </c>
    </row>
    <row r="171" spans="1:21" ht="12" customHeight="1">
      <c r="A171" s="3" t="s">
        <v>679</v>
      </c>
      <c r="C171" s="32">
        <v>173605</v>
      </c>
      <c r="D171" s="32">
        <v>9</v>
      </c>
      <c r="E171" s="3" t="s">
        <v>735</v>
      </c>
      <c r="F171" s="3">
        <v>2013</v>
      </c>
      <c r="G171" s="3">
        <v>6</v>
      </c>
      <c r="H171" s="3">
        <v>0</v>
      </c>
      <c r="I171" s="3" t="s">
        <v>52</v>
      </c>
      <c r="J171" s="175" t="s">
        <v>754</v>
      </c>
      <c r="K171" s="3">
        <f t="shared" si="18"/>
        <v>2025</v>
      </c>
      <c r="L171" s="172">
        <f t="shared" si="19"/>
        <v>2025.5</v>
      </c>
      <c r="M171" s="230">
        <v>5316.84</v>
      </c>
      <c r="N171" s="230">
        <f t="shared" si="20"/>
        <v>5316.84</v>
      </c>
      <c r="O171" s="230">
        <f t="shared" si="21"/>
        <v>36.922499999999999</v>
      </c>
      <c r="P171" s="230">
        <f t="shared" si="22"/>
        <v>443.07</v>
      </c>
      <c r="Q171" s="230">
        <f t="shared" si="23"/>
        <v>443.07</v>
      </c>
      <c r="R171" s="230"/>
      <c r="S171" s="230">
        <f t="shared" si="24"/>
        <v>1772.28</v>
      </c>
      <c r="T171" s="230">
        <f t="shared" si="25"/>
        <v>2215.35</v>
      </c>
      <c r="U171" s="230">
        <f t="shared" si="26"/>
        <v>3323.0250000000005</v>
      </c>
    </row>
    <row r="172" spans="1:21" ht="12" customHeight="1">
      <c r="A172" s="3" t="s">
        <v>40</v>
      </c>
      <c r="C172" s="32">
        <v>110503</v>
      </c>
      <c r="D172" s="32">
        <v>10</v>
      </c>
      <c r="E172" s="3" t="s">
        <v>272</v>
      </c>
      <c r="F172" s="3">
        <v>2014</v>
      </c>
      <c r="G172" s="3">
        <v>1</v>
      </c>
      <c r="H172" s="3">
        <v>0</v>
      </c>
      <c r="I172" s="3" t="s">
        <v>52</v>
      </c>
      <c r="J172" s="175">
        <v>10</v>
      </c>
      <c r="K172" s="3">
        <f t="shared" si="18"/>
        <v>2024</v>
      </c>
      <c r="L172" s="172">
        <f t="shared" si="19"/>
        <v>2024.0833333333333</v>
      </c>
      <c r="M172" s="230">
        <v>4649.5</v>
      </c>
      <c r="N172" s="230">
        <f t="shared" si="20"/>
        <v>4649.5</v>
      </c>
      <c r="O172" s="230">
        <f t="shared" si="21"/>
        <v>38.74583333333333</v>
      </c>
      <c r="P172" s="230">
        <f t="shared" si="22"/>
        <v>464.94999999999993</v>
      </c>
      <c r="Q172" s="230">
        <f t="shared" si="23"/>
        <v>464.94999999999993</v>
      </c>
      <c r="R172" s="230"/>
      <c r="S172" s="230">
        <f t="shared" si="24"/>
        <v>1394.85</v>
      </c>
      <c r="T172" s="230">
        <f t="shared" si="25"/>
        <v>1859.7999999999997</v>
      </c>
      <c r="U172" s="230">
        <f t="shared" si="26"/>
        <v>3022.1750000000002</v>
      </c>
    </row>
    <row r="173" spans="1:21" ht="12" customHeight="1">
      <c r="A173" s="3" t="s">
        <v>40</v>
      </c>
      <c r="C173" s="32">
        <v>128810</v>
      </c>
      <c r="D173" s="32">
        <v>10</v>
      </c>
      <c r="E173" s="3" t="s">
        <v>274</v>
      </c>
      <c r="F173" s="3">
        <v>2014</v>
      </c>
      <c r="G173" s="3">
        <v>5</v>
      </c>
      <c r="H173" s="3">
        <v>0</v>
      </c>
      <c r="I173" s="3" t="s">
        <v>52</v>
      </c>
      <c r="J173" s="175">
        <v>10</v>
      </c>
      <c r="K173" s="3">
        <f t="shared" si="18"/>
        <v>2024</v>
      </c>
      <c r="L173" s="172">
        <f t="shared" si="19"/>
        <v>2024.4166666666667</v>
      </c>
      <c r="M173" s="230">
        <v>7548.6</v>
      </c>
      <c r="N173" s="230">
        <f t="shared" si="20"/>
        <v>7548.6</v>
      </c>
      <c r="O173" s="230">
        <f t="shared" si="21"/>
        <v>62.905000000000001</v>
      </c>
      <c r="P173" s="230">
        <f t="shared" si="22"/>
        <v>754.86</v>
      </c>
      <c r="Q173" s="230">
        <f t="shared" si="23"/>
        <v>754.86</v>
      </c>
      <c r="R173" s="230"/>
      <c r="S173" s="230">
        <f t="shared" si="24"/>
        <v>2264.58</v>
      </c>
      <c r="T173" s="230">
        <f t="shared" si="25"/>
        <v>3019.44</v>
      </c>
      <c r="U173" s="230">
        <f t="shared" si="26"/>
        <v>4906.59</v>
      </c>
    </row>
    <row r="174" spans="1:21" ht="12" customHeight="1">
      <c r="A174" s="3" t="s">
        <v>679</v>
      </c>
      <c r="C174" s="32">
        <v>128804</v>
      </c>
      <c r="D174" s="32">
        <v>25</v>
      </c>
      <c r="E174" s="3" t="s">
        <v>714</v>
      </c>
      <c r="F174" s="3">
        <v>2014</v>
      </c>
      <c r="G174" s="3">
        <v>5</v>
      </c>
      <c r="H174" s="3">
        <v>0</v>
      </c>
      <c r="I174" s="3" t="s">
        <v>52</v>
      </c>
      <c r="J174" s="175" t="s">
        <v>754</v>
      </c>
      <c r="K174" s="3">
        <f t="shared" si="18"/>
        <v>2026</v>
      </c>
      <c r="L174" s="172">
        <f t="shared" si="19"/>
        <v>2026.4166666666667</v>
      </c>
      <c r="M174" s="230">
        <v>11951.95</v>
      </c>
      <c r="N174" s="230">
        <f t="shared" si="20"/>
        <v>11951.95</v>
      </c>
      <c r="O174" s="230">
        <f t="shared" si="21"/>
        <v>82.999652777777783</v>
      </c>
      <c r="P174" s="230">
        <f t="shared" si="22"/>
        <v>995.99583333333339</v>
      </c>
      <c r="Q174" s="230">
        <f t="shared" si="23"/>
        <v>995.99583333333339</v>
      </c>
      <c r="R174" s="230"/>
      <c r="S174" s="230">
        <f t="shared" si="24"/>
        <v>2987.9875000000002</v>
      </c>
      <c r="T174" s="230">
        <f t="shared" si="25"/>
        <v>3983.9833333333336</v>
      </c>
      <c r="U174" s="230">
        <f t="shared" si="26"/>
        <v>8465.9645833333343</v>
      </c>
    </row>
    <row r="175" spans="1:21" ht="12" customHeight="1">
      <c r="A175" s="3" t="s">
        <v>679</v>
      </c>
      <c r="C175" s="32">
        <v>173608</v>
      </c>
      <c r="D175" s="32">
        <v>21</v>
      </c>
      <c r="E175" s="3" t="s">
        <v>736</v>
      </c>
      <c r="F175" s="3">
        <v>2014</v>
      </c>
      <c r="G175" s="3">
        <v>5</v>
      </c>
      <c r="H175" s="3">
        <v>0</v>
      </c>
      <c r="I175" s="3" t="s">
        <v>52</v>
      </c>
      <c r="J175" s="175" t="s">
        <v>754</v>
      </c>
      <c r="K175" s="3">
        <f t="shared" si="18"/>
        <v>2026</v>
      </c>
      <c r="L175" s="172">
        <f t="shared" si="19"/>
        <v>2026.4166666666667</v>
      </c>
      <c r="M175" s="230">
        <v>12084.32</v>
      </c>
      <c r="N175" s="230">
        <f t="shared" si="20"/>
        <v>12084.32</v>
      </c>
      <c r="O175" s="230">
        <f t="shared" si="21"/>
        <v>83.918888888888887</v>
      </c>
      <c r="P175" s="230">
        <f t="shared" si="22"/>
        <v>1007.0266666666666</v>
      </c>
      <c r="Q175" s="230">
        <f t="shared" si="23"/>
        <v>1007.0266666666666</v>
      </c>
      <c r="R175" s="230"/>
      <c r="S175" s="230">
        <f t="shared" si="24"/>
        <v>3021.08</v>
      </c>
      <c r="T175" s="230">
        <f t="shared" si="25"/>
        <v>4028.1066666666666</v>
      </c>
      <c r="U175" s="230">
        <f t="shared" si="26"/>
        <v>8559.7266666666656</v>
      </c>
    </row>
    <row r="176" spans="1:21" ht="12" customHeight="1">
      <c r="A176" s="3" t="s">
        <v>679</v>
      </c>
      <c r="C176" s="32">
        <v>173609</v>
      </c>
      <c r="D176" s="32">
        <v>4</v>
      </c>
      <c r="E176" s="3" t="s">
        <v>737</v>
      </c>
      <c r="F176" s="3">
        <v>2014</v>
      </c>
      <c r="G176" s="3">
        <v>5</v>
      </c>
      <c r="H176" s="3">
        <v>0</v>
      </c>
      <c r="I176" s="3" t="s">
        <v>52</v>
      </c>
      <c r="J176" s="175" t="s">
        <v>754</v>
      </c>
      <c r="K176" s="3">
        <f t="shared" si="18"/>
        <v>2026</v>
      </c>
      <c r="L176" s="172">
        <f t="shared" si="19"/>
        <v>2026.4166666666667</v>
      </c>
      <c r="M176" s="230">
        <v>2301.7800000000002</v>
      </c>
      <c r="N176" s="230">
        <f t="shared" si="20"/>
        <v>2301.7800000000002</v>
      </c>
      <c r="O176" s="230">
        <f t="shared" si="21"/>
        <v>15.984583333333335</v>
      </c>
      <c r="P176" s="230">
        <f t="shared" si="22"/>
        <v>191.81500000000003</v>
      </c>
      <c r="Q176" s="230">
        <f t="shared" si="23"/>
        <v>191.81500000000003</v>
      </c>
      <c r="R176" s="230"/>
      <c r="S176" s="230">
        <f t="shared" si="24"/>
        <v>575.44500000000005</v>
      </c>
      <c r="T176" s="230">
        <f t="shared" si="25"/>
        <v>767.2600000000001</v>
      </c>
      <c r="U176" s="230">
        <f t="shared" si="26"/>
        <v>1630.4275</v>
      </c>
    </row>
    <row r="177" spans="1:21" ht="12" customHeight="1">
      <c r="A177" s="3" t="s">
        <v>679</v>
      </c>
      <c r="C177" s="32">
        <v>173610</v>
      </c>
      <c r="D177" s="32">
        <v>17</v>
      </c>
      <c r="E177" s="3" t="s">
        <v>736</v>
      </c>
      <c r="F177" s="3">
        <v>2014</v>
      </c>
      <c r="G177" s="3">
        <v>5</v>
      </c>
      <c r="H177" s="3">
        <v>0</v>
      </c>
      <c r="I177" s="3" t="s">
        <v>52</v>
      </c>
      <c r="J177" s="175" t="s">
        <v>754</v>
      </c>
      <c r="K177" s="3">
        <f t="shared" si="18"/>
        <v>2026</v>
      </c>
      <c r="L177" s="172">
        <f t="shared" si="19"/>
        <v>2026.4166666666667</v>
      </c>
      <c r="M177" s="230">
        <v>10266.1</v>
      </c>
      <c r="N177" s="230">
        <f t="shared" si="20"/>
        <v>10266.1</v>
      </c>
      <c r="O177" s="230">
        <f t="shared" si="21"/>
        <v>71.292361111111106</v>
      </c>
      <c r="P177" s="230">
        <f t="shared" si="22"/>
        <v>855.50833333333321</v>
      </c>
      <c r="Q177" s="230">
        <f t="shared" si="23"/>
        <v>855.50833333333321</v>
      </c>
      <c r="R177" s="230"/>
      <c r="S177" s="230">
        <f t="shared" si="24"/>
        <v>2566.5249999999996</v>
      </c>
      <c r="T177" s="230">
        <f t="shared" si="25"/>
        <v>3422.0333333333328</v>
      </c>
      <c r="U177" s="230">
        <f t="shared" si="26"/>
        <v>7271.8208333333341</v>
      </c>
    </row>
    <row r="178" spans="1:21" ht="12" customHeight="1">
      <c r="A178" s="3" t="s">
        <v>679</v>
      </c>
      <c r="C178" s="32">
        <v>173611</v>
      </c>
      <c r="D178" s="32">
        <v>3</v>
      </c>
      <c r="E178" s="3" t="s">
        <v>737</v>
      </c>
      <c r="F178" s="3">
        <v>2014</v>
      </c>
      <c r="G178" s="3">
        <v>5</v>
      </c>
      <c r="H178" s="3">
        <v>0</v>
      </c>
      <c r="I178" s="3" t="s">
        <v>52</v>
      </c>
      <c r="J178" s="175" t="s">
        <v>754</v>
      </c>
      <c r="K178" s="3">
        <f t="shared" si="18"/>
        <v>2026</v>
      </c>
      <c r="L178" s="172">
        <f t="shared" si="19"/>
        <v>2026.4166666666667</v>
      </c>
      <c r="M178" s="230">
        <v>1811.66</v>
      </c>
      <c r="N178" s="230">
        <f t="shared" si="20"/>
        <v>1811.66</v>
      </c>
      <c r="O178" s="230">
        <f t="shared" si="21"/>
        <v>12.580972222222222</v>
      </c>
      <c r="P178" s="230">
        <f t="shared" si="22"/>
        <v>150.97166666666666</v>
      </c>
      <c r="Q178" s="230">
        <f t="shared" si="23"/>
        <v>150.97166666666666</v>
      </c>
      <c r="R178" s="230"/>
      <c r="S178" s="230">
        <f t="shared" si="24"/>
        <v>452.91499999999996</v>
      </c>
      <c r="T178" s="230">
        <f t="shared" si="25"/>
        <v>603.88666666666666</v>
      </c>
      <c r="U178" s="230">
        <f t="shared" si="26"/>
        <v>1283.2591666666667</v>
      </c>
    </row>
    <row r="179" spans="1:21" ht="12" customHeight="1">
      <c r="A179" s="3" t="s">
        <v>679</v>
      </c>
      <c r="C179" s="32">
        <v>173612</v>
      </c>
      <c r="D179" s="32">
        <v>10</v>
      </c>
      <c r="E179" s="3" t="s">
        <v>329</v>
      </c>
      <c r="F179" s="3">
        <v>2014</v>
      </c>
      <c r="G179" s="3">
        <v>5</v>
      </c>
      <c r="H179" s="3">
        <v>0</v>
      </c>
      <c r="I179" s="3" t="s">
        <v>52</v>
      </c>
      <c r="J179" s="175" t="s">
        <v>754</v>
      </c>
      <c r="K179" s="3">
        <f t="shared" si="18"/>
        <v>2026</v>
      </c>
      <c r="L179" s="172">
        <f t="shared" si="19"/>
        <v>2026.4166666666667</v>
      </c>
      <c r="M179" s="230">
        <v>4966.76</v>
      </c>
      <c r="N179" s="230">
        <f t="shared" si="20"/>
        <v>4966.76</v>
      </c>
      <c r="O179" s="230">
        <f t="shared" si="21"/>
        <v>34.491388888888892</v>
      </c>
      <c r="P179" s="230">
        <f t="shared" si="22"/>
        <v>413.8966666666667</v>
      </c>
      <c r="Q179" s="230">
        <f t="shared" si="23"/>
        <v>413.8966666666667</v>
      </c>
      <c r="R179" s="230"/>
      <c r="S179" s="230">
        <f t="shared" si="24"/>
        <v>1241.69</v>
      </c>
      <c r="T179" s="230">
        <f t="shared" si="25"/>
        <v>1655.5866666666668</v>
      </c>
      <c r="U179" s="230">
        <f t="shared" si="26"/>
        <v>3518.1216666666669</v>
      </c>
    </row>
    <row r="180" spans="1:21" ht="12" customHeight="1">
      <c r="A180" s="3" t="s">
        <v>40</v>
      </c>
      <c r="C180" s="32">
        <v>125264</v>
      </c>
      <c r="D180" s="32">
        <v>15</v>
      </c>
      <c r="E180" s="3" t="s">
        <v>330</v>
      </c>
      <c r="F180" s="3">
        <v>2015</v>
      </c>
      <c r="G180" s="3">
        <v>7</v>
      </c>
      <c r="H180" s="3">
        <v>0</v>
      </c>
      <c r="I180" s="3" t="s">
        <v>52</v>
      </c>
      <c r="J180" s="175">
        <v>10</v>
      </c>
      <c r="K180" s="3">
        <f t="shared" si="18"/>
        <v>2025</v>
      </c>
      <c r="L180" s="172">
        <f t="shared" si="19"/>
        <v>2025.5833333333333</v>
      </c>
      <c r="M180" s="230">
        <v>8766.75</v>
      </c>
      <c r="N180" s="230">
        <f t="shared" si="20"/>
        <v>8766.75</v>
      </c>
      <c r="O180" s="230">
        <f t="shared" si="21"/>
        <v>73.056249999999991</v>
      </c>
      <c r="P180" s="230">
        <f t="shared" si="22"/>
        <v>876.67499999999995</v>
      </c>
      <c r="Q180" s="230">
        <f t="shared" si="23"/>
        <v>876.67499999999995</v>
      </c>
      <c r="R180" s="230"/>
      <c r="S180" s="230">
        <f t="shared" si="24"/>
        <v>1753.35</v>
      </c>
      <c r="T180" s="230">
        <f t="shared" si="25"/>
        <v>2630.0249999999996</v>
      </c>
      <c r="U180" s="230">
        <f t="shared" si="26"/>
        <v>6575.0625</v>
      </c>
    </row>
    <row r="181" spans="1:21" ht="12" customHeight="1">
      <c r="A181" s="3" t="s">
        <v>415</v>
      </c>
      <c r="C181" s="32">
        <v>173311</v>
      </c>
      <c r="D181" s="32">
        <v>30</v>
      </c>
      <c r="E181" s="3" t="s">
        <v>477</v>
      </c>
      <c r="F181" s="3">
        <v>2015</v>
      </c>
      <c r="G181" s="3">
        <v>6</v>
      </c>
      <c r="H181" s="3">
        <v>0</v>
      </c>
      <c r="I181" s="3" t="s">
        <v>52</v>
      </c>
      <c r="J181" s="175">
        <v>10</v>
      </c>
      <c r="K181" s="3">
        <f t="shared" si="18"/>
        <v>2025</v>
      </c>
      <c r="L181" s="172">
        <f t="shared" si="19"/>
        <v>2025.5</v>
      </c>
      <c r="M181" s="230">
        <v>14342.34</v>
      </c>
      <c r="N181" s="230">
        <f t="shared" si="20"/>
        <v>14342.34</v>
      </c>
      <c r="O181" s="230">
        <f t="shared" si="21"/>
        <v>119.51949999999999</v>
      </c>
      <c r="P181" s="230">
        <f t="shared" si="22"/>
        <v>1434.2339999999999</v>
      </c>
      <c r="Q181" s="230">
        <f t="shared" si="23"/>
        <v>1434.2339999999999</v>
      </c>
      <c r="R181" s="230"/>
      <c r="S181" s="230">
        <f t="shared" si="24"/>
        <v>2868.4679999999998</v>
      </c>
      <c r="T181" s="230">
        <f t="shared" si="25"/>
        <v>4302.7019999999993</v>
      </c>
      <c r="U181" s="230">
        <f t="shared" si="26"/>
        <v>10756.755000000001</v>
      </c>
    </row>
    <row r="182" spans="1:21" ht="12" customHeight="1">
      <c r="A182" s="3" t="s">
        <v>679</v>
      </c>
      <c r="C182" s="32">
        <v>124135</v>
      </c>
      <c r="D182" s="32">
        <v>49</v>
      </c>
      <c r="E182" s="3" t="s">
        <v>274</v>
      </c>
      <c r="F182" s="3">
        <v>2015</v>
      </c>
      <c r="G182" s="3">
        <v>7</v>
      </c>
      <c r="H182" s="3">
        <v>0</v>
      </c>
      <c r="I182" s="3" t="s">
        <v>52</v>
      </c>
      <c r="J182" s="175">
        <v>10</v>
      </c>
      <c r="K182" s="3">
        <f t="shared" si="18"/>
        <v>2025</v>
      </c>
      <c r="L182" s="172">
        <f t="shared" si="19"/>
        <v>2025.5833333333333</v>
      </c>
      <c r="M182" s="230">
        <v>0</v>
      </c>
      <c r="N182" s="230">
        <f t="shared" si="20"/>
        <v>0</v>
      </c>
      <c r="O182" s="230">
        <f t="shared" si="21"/>
        <v>0</v>
      </c>
      <c r="P182" s="230">
        <f t="shared" si="22"/>
        <v>0</v>
      </c>
      <c r="Q182" s="230">
        <f t="shared" si="23"/>
        <v>0</v>
      </c>
      <c r="R182" s="230"/>
      <c r="S182" s="230">
        <f t="shared" si="24"/>
        <v>0</v>
      </c>
      <c r="T182" s="230">
        <f t="shared" si="25"/>
        <v>0</v>
      </c>
      <c r="U182" s="230">
        <f t="shared" si="26"/>
        <v>0</v>
      </c>
    </row>
    <row r="183" spans="1:21" ht="12" customHeight="1">
      <c r="A183" s="3" t="s">
        <v>679</v>
      </c>
      <c r="C183" s="32">
        <v>124136</v>
      </c>
      <c r="D183" s="32">
        <v>41</v>
      </c>
      <c r="E183" s="3" t="s">
        <v>268</v>
      </c>
      <c r="F183" s="3">
        <v>2015</v>
      </c>
      <c r="G183" s="3">
        <v>7</v>
      </c>
      <c r="H183" s="3">
        <v>0</v>
      </c>
      <c r="I183" s="3" t="s">
        <v>52</v>
      </c>
      <c r="J183" s="175">
        <v>10</v>
      </c>
      <c r="K183" s="3">
        <f t="shared" si="18"/>
        <v>2025</v>
      </c>
      <c r="L183" s="172">
        <f t="shared" si="19"/>
        <v>2025.5833333333333</v>
      </c>
      <c r="M183" s="230">
        <v>0</v>
      </c>
      <c r="N183" s="230">
        <f t="shared" si="20"/>
        <v>0</v>
      </c>
      <c r="O183" s="230">
        <f t="shared" si="21"/>
        <v>0</v>
      </c>
      <c r="P183" s="230">
        <f t="shared" si="22"/>
        <v>0</v>
      </c>
      <c r="Q183" s="230">
        <f t="shared" si="23"/>
        <v>0</v>
      </c>
      <c r="R183" s="230"/>
      <c r="S183" s="230">
        <f t="shared" si="24"/>
        <v>0</v>
      </c>
      <c r="T183" s="230">
        <f t="shared" si="25"/>
        <v>0</v>
      </c>
      <c r="U183" s="230">
        <f t="shared" si="26"/>
        <v>0</v>
      </c>
    </row>
    <row r="184" spans="1:21" ht="12" customHeight="1">
      <c r="A184" s="3" t="s">
        <v>679</v>
      </c>
      <c r="C184" s="32">
        <v>124141</v>
      </c>
      <c r="D184" s="32">
        <v>38</v>
      </c>
      <c r="E184" s="3" t="s">
        <v>273</v>
      </c>
      <c r="F184" s="3">
        <v>2015</v>
      </c>
      <c r="G184" s="3">
        <v>7</v>
      </c>
      <c r="H184" s="3">
        <v>0</v>
      </c>
      <c r="I184" s="3" t="s">
        <v>52</v>
      </c>
      <c r="J184" s="175">
        <v>10</v>
      </c>
      <c r="K184" s="3">
        <f t="shared" si="18"/>
        <v>2025</v>
      </c>
      <c r="L184" s="172">
        <f t="shared" si="19"/>
        <v>2025.5833333333333</v>
      </c>
      <c r="M184" s="230">
        <v>0</v>
      </c>
      <c r="N184" s="230">
        <f t="shared" si="20"/>
        <v>0</v>
      </c>
      <c r="O184" s="230">
        <f t="shared" si="21"/>
        <v>0</v>
      </c>
      <c r="P184" s="230">
        <f t="shared" si="22"/>
        <v>0</v>
      </c>
      <c r="Q184" s="230">
        <f t="shared" si="23"/>
        <v>0</v>
      </c>
      <c r="R184" s="230"/>
      <c r="S184" s="230">
        <f t="shared" si="24"/>
        <v>0</v>
      </c>
      <c r="T184" s="230">
        <f t="shared" si="25"/>
        <v>0</v>
      </c>
      <c r="U184" s="230">
        <f t="shared" si="26"/>
        <v>0</v>
      </c>
    </row>
    <row r="185" spans="1:21" ht="12" customHeight="1">
      <c r="A185" s="3" t="s">
        <v>679</v>
      </c>
      <c r="C185" s="32">
        <v>128764</v>
      </c>
      <c r="D185" s="32">
        <v>21</v>
      </c>
      <c r="E185" s="3" t="s">
        <v>713</v>
      </c>
      <c r="F185" s="3">
        <v>2015</v>
      </c>
      <c r="G185" s="3">
        <v>11</v>
      </c>
      <c r="H185" s="3">
        <v>0</v>
      </c>
      <c r="I185" s="3" t="s">
        <v>52</v>
      </c>
      <c r="J185" s="175" t="s">
        <v>754</v>
      </c>
      <c r="K185" s="3">
        <f t="shared" si="18"/>
        <v>2027</v>
      </c>
      <c r="L185" s="172">
        <f t="shared" si="19"/>
        <v>2027.9166666666667</v>
      </c>
      <c r="M185" s="230">
        <v>31649.41</v>
      </c>
      <c r="N185" s="230">
        <f t="shared" si="20"/>
        <v>31649.41</v>
      </c>
      <c r="O185" s="230">
        <f t="shared" si="21"/>
        <v>219.78756944444444</v>
      </c>
      <c r="P185" s="230">
        <f t="shared" si="22"/>
        <v>2637.4508333333333</v>
      </c>
      <c r="Q185" s="230">
        <f t="shared" si="23"/>
        <v>2637.4508333333333</v>
      </c>
      <c r="R185" s="230"/>
      <c r="S185" s="230">
        <f t="shared" si="24"/>
        <v>5274.9016666666666</v>
      </c>
      <c r="T185" s="230">
        <f t="shared" si="25"/>
        <v>7912.3525</v>
      </c>
      <c r="U185" s="230">
        <f t="shared" si="26"/>
        <v>25055.782916666663</v>
      </c>
    </row>
    <row r="186" spans="1:21" ht="12" customHeight="1">
      <c r="A186" s="3" t="s">
        <v>679</v>
      </c>
      <c r="C186" s="32">
        <v>173618</v>
      </c>
      <c r="D186" s="32">
        <v>8</v>
      </c>
      <c r="E186" s="3" t="s">
        <v>738</v>
      </c>
      <c r="F186" s="3">
        <v>2015</v>
      </c>
      <c r="G186" s="3">
        <v>5</v>
      </c>
      <c r="H186" s="3">
        <v>0</v>
      </c>
      <c r="I186" s="3" t="s">
        <v>52</v>
      </c>
      <c r="J186" s="175">
        <v>7</v>
      </c>
      <c r="K186" s="3">
        <f t="shared" si="18"/>
        <v>2022</v>
      </c>
      <c r="L186" s="172">
        <f t="shared" si="19"/>
        <v>2022.4166666666667</v>
      </c>
      <c r="M186" s="230">
        <v>18379.2</v>
      </c>
      <c r="N186" s="230">
        <f t="shared" si="20"/>
        <v>18379.2</v>
      </c>
      <c r="O186" s="230">
        <f t="shared" si="21"/>
        <v>218.79999999999998</v>
      </c>
      <c r="P186" s="230">
        <f t="shared" si="22"/>
        <v>2625.6</v>
      </c>
      <c r="Q186" s="230">
        <f t="shared" si="23"/>
        <v>2625.6</v>
      </c>
      <c r="R186" s="230"/>
      <c r="S186" s="230">
        <f t="shared" si="24"/>
        <v>5251.2</v>
      </c>
      <c r="T186" s="230">
        <f t="shared" si="25"/>
        <v>7876.7999999999993</v>
      </c>
      <c r="U186" s="230">
        <f t="shared" si="26"/>
        <v>11815.2</v>
      </c>
    </row>
    <row r="187" spans="1:21" ht="12" customHeight="1">
      <c r="A187" s="3" t="s">
        <v>679</v>
      </c>
      <c r="C187" s="32">
        <v>173619</v>
      </c>
      <c r="D187" s="32">
        <v>25</v>
      </c>
      <c r="E187" s="3" t="s">
        <v>739</v>
      </c>
      <c r="F187" s="3">
        <v>2015</v>
      </c>
      <c r="G187" s="3">
        <v>6</v>
      </c>
      <c r="H187" s="3">
        <v>0</v>
      </c>
      <c r="I187" s="3" t="s">
        <v>52</v>
      </c>
      <c r="J187" s="175" t="s">
        <v>754</v>
      </c>
      <c r="K187" s="3">
        <f t="shared" si="18"/>
        <v>2027</v>
      </c>
      <c r="L187" s="172">
        <f t="shared" si="19"/>
        <v>2027.5</v>
      </c>
      <c r="M187" s="230">
        <v>15097.2</v>
      </c>
      <c r="N187" s="230">
        <f t="shared" si="20"/>
        <v>15097.2</v>
      </c>
      <c r="O187" s="230">
        <f t="shared" si="21"/>
        <v>104.84166666666668</v>
      </c>
      <c r="P187" s="230">
        <f t="shared" si="22"/>
        <v>1258.1000000000001</v>
      </c>
      <c r="Q187" s="230">
        <f t="shared" si="23"/>
        <v>1258.1000000000001</v>
      </c>
      <c r="R187" s="230"/>
      <c r="S187" s="230">
        <f t="shared" si="24"/>
        <v>2516.2000000000003</v>
      </c>
      <c r="T187" s="230">
        <f t="shared" si="25"/>
        <v>3774.3</v>
      </c>
      <c r="U187" s="230">
        <f t="shared" si="26"/>
        <v>11951.95</v>
      </c>
    </row>
    <row r="188" spans="1:21" ht="12" customHeight="1">
      <c r="A188" s="3" t="s">
        <v>679</v>
      </c>
      <c r="C188" s="32">
        <v>173620</v>
      </c>
      <c r="D188" s="32">
        <v>25</v>
      </c>
      <c r="E188" s="3" t="s">
        <v>739</v>
      </c>
      <c r="F188" s="3">
        <v>2015</v>
      </c>
      <c r="G188" s="3">
        <v>6</v>
      </c>
      <c r="H188" s="3">
        <v>0</v>
      </c>
      <c r="I188" s="3" t="s">
        <v>52</v>
      </c>
      <c r="J188" s="175" t="s">
        <v>754</v>
      </c>
      <c r="K188" s="3">
        <f t="shared" si="18"/>
        <v>2027</v>
      </c>
      <c r="L188" s="172">
        <f t="shared" si="19"/>
        <v>2027.5</v>
      </c>
      <c r="M188" s="230">
        <v>14386.09</v>
      </c>
      <c r="N188" s="230">
        <f t="shared" si="20"/>
        <v>14386.09</v>
      </c>
      <c r="O188" s="230">
        <f t="shared" si="21"/>
        <v>99.903402777777785</v>
      </c>
      <c r="P188" s="230">
        <f t="shared" si="22"/>
        <v>1198.8408333333334</v>
      </c>
      <c r="Q188" s="230">
        <f t="shared" si="23"/>
        <v>1198.8408333333334</v>
      </c>
      <c r="R188" s="230"/>
      <c r="S188" s="230">
        <f t="shared" si="24"/>
        <v>2397.6816666666668</v>
      </c>
      <c r="T188" s="230">
        <f t="shared" si="25"/>
        <v>3596.5225</v>
      </c>
      <c r="U188" s="230">
        <f t="shared" si="26"/>
        <v>11388.987916666667</v>
      </c>
    </row>
    <row r="189" spans="1:21" ht="12" customHeight="1">
      <c r="A189" s="3" t="s">
        <v>679</v>
      </c>
      <c r="C189" s="32">
        <v>173625</v>
      </c>
      <c r="D189" s="32">
        <v>25</v>
      </c>
      <c r="E189" s="3" t="s">
        <v>740</v>
      </c>
      <c r="F189" s="3">
        <v>2015</v>
      </c>
      <c r="G189" s="3">
        <v>9</v>
      </c>
      <c r="H189" s="3">
        <v>0</v>
      </c>
      <c r="I189" s="3" t="s">
        <v>52</v>
      </c>
      <c r="J189" s="175" t="s">
        <v>754</v>
      </c>
      <c r="K189" s="3">
        <f t="shared" si="18"/>
        <v>2027</v>
      </c>
      <c r="L189" s="172">
        <f t="shared" si="19"/>
        <v>2027.75</v>
      </c>
      <c r="M189" s="230">
        <v>14386.1</v>
      </c>
      <c r="N189" s="230">
        <f t="shared" si="20"/>
        <v>14386.1</v>
      </c>
      <c r="O189" s="230">
        <f t="shared" si="21"/>
        <v>99.90347222222222</v>
      </c>
      <c r="P189" s="230">
        <f t="shared" si="22"/>
        <v>1198.8416666666667</v>
      </c>
      <c r="Q189" s="230">
        <f t="shared" si="23"/>
        <v>1198.8416666666667</v>
      </c>
      <c r="R189" s="230"/>
      <c r="S189" s="230">
        <f t="shared" si="24"/>
        <v>2397.6833333333334</v>
      </c>
      <c r="T189" s="230">
        <f t="shared" si="25"/>
        <v>3596.5250000000001</v>
      </c>
      <c r="U189" s="230">
        <f t="shared" si="26"/>
        <v>11388.995833333334</v>
      </c>
    </row>
    <row r="190" spans="1:21" ht="12" customHeight="1">
      <c r="A190" s="3" t="s">
        <v>679</v>
      </c>
      <c r="C190" s="32">
        <v>173631</v>
      </c>
      <c r="D190" s="32">
        <v>6</v>
      </c>
      <c r="E190" s="3" t="s">
        <v>741</v>
      </c>
      <c r="F190" s="3">
        <v>2015</v>
      </c>
      <c r="G190" s="3">
        <v>7</v>
      </c>
      <c r="H190" s="3">
        <v>0</v>
      </c>
      <c r="I190" s="3" t="s">
        <v>52</v>
      </c>
      <c r="J190" s="175" t="s">
        <v>754</v>
      </c>
      <c r="K190" s="3">
        <f t="shared" si="18"/>
        <v>2027</v>
      </c>
      <c r="L190" s="172">
        <f t="shared" si="19"/>
        <v>2027.5833333333333</v>
      </c>
      <c r="M190" s="230">
        <v>4322.6899999999996</v>
      </c>
      <c r="N190" s="230">
        <f t="shared" si="20"/>
        <v>4322.6899999999996</v>
      </c>
      <c r="O190" s="230">
        <f t="shared" si="21"/>
        <v>30.018680555555552</v>
      </c>
      <c r="P190" s="230">
        <f t="shared" si="22"/>
        <v>360.22416666666663</v>
      </c>
      <c r="Q190" s="230">
        <f t="shared" si="23"/>
        <v>360.22416666666663</v>
      </c>
      <c r="R190" s="230"/>
      <c r="S190" s="230">
        <f t="shared" si="24"/>
        <v>720.44833333333327</v>
      </c>
      <c r="T190" s="230">
        <f t="shared" si="25"/>
        <v>1080.6724999999999</v>
      </c>
      <c r="U190" s="230">
        <f t="shared" si="26"/>
        <v>3422.1295833333334</v>
      </c>
    </row>
    <row r="191" spans="1:21" ht="12" customHeight="1">
      <c r="A191" s="3" t="s">
        <v>679</v>
      </c>
      <c r="C191" s="32">
        <v>173632</v>
      </c>
      <c r="D191" s="32">
        <v>3</v>
      </c>
      <c r="E191" s="3" t="s">
        <v>742</v>
      </c>
      <c r="F191" s="3">
        <v>2015</v>
      </c>
      <c r="G191" s="3">
        <v>7</v>
      </c>
      <c r="H191" s="3">
        <v>0</v>
      </c>
      <c r="I191" s="3" t="s">
        <v>52</v>
      </c>
      <c r="J191" s="175" t="s">
        <v>754</v>
      </c>
      <c r="K191" s="3">
        <f t="shared" si="18"/>
        <v>2027</v>
      </c>
      <c r="L191" s="172">
        <f t="shared" si="19"/>
        <v>2027.5833333333333</v>
      </c>
      <c r="M191" s="230">
        <v>2506.4499999999998</v>
      </c>
      <c r="N191" s="230">
        <f t="shared" si="20"/>
        <v>2506.4499999999998</v>
      </c>
      <c r="O191" s="230">
        <f t="shared" si="21"/>
        <v>17.405902777777776</v>
      </c>
      <c r="P191" s="230">
        <f t="shared" si="22"/>
        <v>208.87083333333331</v>
      </c>
      <c r="Q191" s="230">
        <f t="shared" si="23"/>
        <v>208.87083333333331</v>
      </c>
      <c r="R191" s="230"/>
      <c r="S191" s="230">
        <f t="shared" si="24"/>
        <v>417.74166666666662</v>
      </c>
      <c r="T191" s="230">
        <f t="shared" si="25"/>
        <v>626.61249999999995</v>
      </c>
      <c r="U191" s="230">
        <f t="shared" si="26"/>
        <v>1984.2729166666663</v>
      </c>
    </row>
    <row r="192" spans="1:21" ht="12" customHeight="1">
      <c r="A192" s="3" t="s">
        <v>679</v>
      </c>
      <c r="C192" s="32">
        <v>173634</v>
      </c>
      <c r="D192" s="32">
        <v>20</v>
      </c>
      <c r="E192" s="3" t="s">
        <v>743</v>
      </c>
      <c r="F192" s="3">
        <v>2015</v>
      </c>
      <c r="G192" s="3">
        <v>9</v>
      </c>
      <c r="H192" s="3">
        <v>0</v>
      </c>
      <c r="I192" s="3" t="s">
        <v>52</v>
      </c>
      <c r="J192" s="175" t="s">
        <v>754</v>
      </c>
      <c r="K192" s="3">
        <f t="shared" si="18"/>
        <v>2027</v>
      </c>
      <c r="L192" s="172">
        <f t="shared" si="19"/>
        <v>2027.75</v>
      </c>
      <c r="M192" s="230">
        <v>17175.8</v>
      </c>
      <c r="N192" s="230">
        <f t="shared" si="20"/>
        <v>17175.8</v>
      </c>
      <c r="O192" s="230">
        <f t="shared" si="21"/>
        <v>119.27638888888889</v>
      </c>
      <c r="P192" s="230">
        <f t="shared" si="22"/>
        <v>1431.3166666666666</v>
      </c>
      <c r="Q192" s="230">
        <f t="shared" si="23"/>
        <v>1431.3166666666666</v>
      </c>
      <c r="R192" s="230"/>
      <c r="S192" s="230">
        <f t="shared" si="24"/>
        <v>2862.6333333333332</v>
      </c>
      <c r="T192" s="230">
        <f t="shared" si="25"/>
        <v>4293.95</v>
      </c>
      <c r="U192" s="230">
        <f t="shared" si="26"/>
        <v>13597.508333333331</v>
      </c>
    </row>
    <row r="193" spans="1:21" ht="12" customHeight="1">
      <c r="A193" s="3" t="s">
        <v>679</v>
      </c>
      <c r="C193" s="32">
        <v>173642</v>
      </c>
      <c r="D193" s="32">
        <v>14</v>
      </c>
      <c r="E193" s="3" t="s">
        <v>741</v>
      </c>
      <c r="F193" s="3">
        <v>2015</v>
      </c>
      <c r="G193" s="3">
        <v>7</v>
      </c>
      <c r="H193" s="3">
        <v>0</v>
      </c>
      <c r="I193" s="3" t="s">
        <v>52</v>
      </c>
      <c r="J193" s="175" t="s">
        <v>754</v>
      </c>
      <c r="K193" s="3">
        <f t="shared" si="18"/>
        <v>2027</v>
      </c>
      <c r="L193" s="172">
        <f t="shared" si="19"/>
        <v>2027.5833333333333</v>
      </c>
      <c r="M193" s="230">
        <v>10088.219999999999</v>
      </c>
      <c r="N193" s="230">
        <f t="shared" si="20"/>
        <v>10088.219999999999</v>
      </c>
      <c r="O193" s="230">
        <f t="shared" si="21"/>
        <v>70.057083333333324</v>
      </c>
      <c r="P193" s="230">
        <f t="shared" si="22"/>
        <v>840.68499999999995</v>
      </c>
      <c r="Q193" s="230">
        <f t="shared" si="23"/>
        <v>840.68499999999995</v>
      </c>
      <c r="R193" s="230"/>
      <c r="S193" s="230">
        <f t="shared" si="24"/>
        <v>1681.37</v>
      </c>
      <c r="T193" s="230">
        <f t="shared" si="25"/>
        <v>2522.0549999999998</v>
      </c>
      <c r="U193" s="230">
        <f t="shared" si="26"/>
        <v>7986.5074999999988</v>
      </c>
    </row>
    <row r="194" spans="1:21" ht="12" customHeight="1">
      <c r="A194" s="3" t="s">
        <v>679</v>
      </c>
      <c r="C194" s="32">
        <v>173653</v>
      </c>
      <c r="D194" s="32">
        <v>8</v>
      </c>
      <c r="E194" s="3" t="s">
        <v>744</v>
      </c>
      <c r="F194" s="3">
        <v>2016</v>
      </c>
      <c r="G194" s="3">
        <v>5</v>
      </c>
      <c r="H194" s="3">
        <v>0</v>
      </c>
      <c r="I194" s="3" t="s">
        <v>52</v>
      </c>
      <c r="J194" s="175" t="s">
        <v>754</v>
      </c>
      <c r="K194" s="3">
        <f t="shared" si="18"/>
        <v>2028</v>
      </c>
      <c r="L194" s="172">
        <f t="shared" si="19"/>
        <v>2028.4166666666667</v>
      </c>
      <c r="M194" s="230">
        <v>5671.3</v>
      </c>
      <c r="N194" s="230">
        <f t="shared" si="20"/>
        <v>5671.3</v>
      </c>
      <c r="O194" s="230">
        <f t="shared" si="21"/>
        <v>39.384027777777781</v>
      </c>
      <c r="P194" s="230">
        <f t="shared" si="22"/>
        <v>472.60833333333335</v>
      </c>
      <c r="Q194" s="230">
        <f t="shared" si="23"/>
        <v>472.60833333333335</v>
      </c>
      <c r="R194" s="230"/>
      <c r="S194" s="230">
        <f t="shared" si="24"/>
        <v>472.60833333333335</v>
      </c>
      <c r="T194" s="230">
        <f t="shared" si="25"/>
        <v>945.2166666666667</v>
      </c>
      <c r="U194" s="230">
        <f t="shared" si="26"/>
        <v>4962.3875000000007</v>
      </c>
    </row>
    <row r="195" spans="1:21" ht="12" customHeight="1">
      <c r="A195" s="3" t="s">
        <v>679</v>
      </c>
      <c r="C195" s="32">
        <v>173654</v>
      </c>
      <c r="D195" s="32">
        <v>12</v>
      </c>
      <c r="E195" s="3" t="s">
        <v>682</v>
      </c>
      <c r="F195" s="3">
        <v>2016</v>
      </c>
      <c r="G195" s="3">
        <v>5</v>
      </c>
      <c r="H195" s="3">
        <v>0</v>
      </c>
      <c r="I195" s="3" t="s">
        <v>52</v>
      </c>
      <c r="J195" s="175" t="s">
        <v>754</v>
      </c>
      <c r="K195" s="3">
        <f t="shared" si="18"/>
        <v>2028</v>
      </c>
      <c r="L195" s="172">
        <f t="shared" si="19"/>
        <v>2028.4166666666667</v>
      </c>
      <c r="M195" s="230">
        <v>8506.94</v>
      </c>
      <c r="N195" s="230">
        <f t="shared" si="20"/>
        <v>8506.94</v>
      </c>
      <c r="O195" s="230">
        <f t="shared" si="21"/>
        <v>59.075972222222227</v>
      </c>
      <c r="P195" s="230">
        <f t="shared" si="22"/>
        <v>708.91166666666675</v>
      </c>
      <c r="Q195" s="230">
        <f t="shared" si="23"/>
        <v>708.91166666666675</v>
      </c>
      <c r="R195" s="230"/>
      <c r="S195" s="230">
        <f t="shared" si="24"/>
        <v>708.91166666666675</v>
      </c>
      <c r="T195" s="230">
        <f t="shared" si="25"/>
        <v>1417.8233333333335</v>
      </c>
      <c r="U195" s="230">
        <f t="shared" si="26"/>
        <v>7443.5725000000002</v>
      </c>
    </row>
    <row r="196" spans="1:21" ht="12" customHeight="1">
      <c r="A196" s="3" t="s">
        <v>679</v>
      </c>
      <c r="C196" s="32">
        <v>173656</v>
      </c>
      <c r="D196" s="32">
        <v>70</v>
      </c>
      <c r="E196" s="3" t="s">
        <v>745</v>
      </c>
      <c r="F196" s="3">
        <v>2016</v>
      </c>
      <c r="G196" s="3">
        <v>5</v>
      </c>
      <c r="H196" s="3">
        <v>0</v>
      </c>
      <c r="I196" s="3" t="s">
        <v>52</v>
      </c>
      <c r="J196" s="175" t="s">
        <v>754</v>
      </c>
      <c r="K196" s="3">
        <f t="shared" si="18"/>
        <v>2028</v>
      </c>
      <c r="L196" s="172">
        <f t="shared" si="19"/>
        <v>2028.4166666666667</v>
      </c>
      <c r="M196" s="230">
        <v>41692.339999999997</v>
      </c>
      <c r="N196" s="230">
        <f t="shared" si="20"/>
        <v>41692.339999999997</v>
      </c>
      <c r="O196" s="230">
        <f t="shared" si="21"/>
        <v>289.53013888888887</v>
      </c>
      <c r="P196" s="230">
        <f t="shared" si="22"/>
        <v>3474.3616666666667</v>
      </c>
      <c r="Q196" s="230">
        <f t="shared" si="23"/>
        <v>3474.3616666666667</v>
      </c>
      <c r="R196" s="230"/>
      <c r="S196" s="230">
        <f t="shared" si="24"/>
        <v>3474.3616666666667</v>
      </c>
      <c r="T196" s="230">
        <f t="shared" si="25"/>
        <v>6948.7233333333334</v>
      </c>
      <c r="U196" s="230">
        <f t="shared" si="26"/>
        <v>36480.797500000001</v>
      </c>
    </row>
    <row r="197" spans="1:21" ht="12" customHeight="1">
      <c r="A197" s="3" t="s">
        <v>679</v>
      </c>
      <c r="C197" s="32">
        <v>173657</v>
      </c>
      <c r="D197" s="32">
        <v>40</v>
      </c>
      <c r="E197" s="3" t="s">
        <v>746</v>
      </c>
      <c r="F197" s="3">
        <v>2016</v>
      </c>
      <c r="G197" s="3">
        <v>5</v>
      </c>
      <c r="H197" s="3">
        <v>0</v>
      </c>
      <c r="I197" s="3" t="s">
        <v>52</v>
      </c>
      <c r="J197" s="175" t="s">
        <v>754</v>
      </c>
      <c r="K197" s="3">
        <f t="shared" si="18"/>
        <v>2028</v>
      </c>
      <c r="L197" s="172">
        <f t="shared" si="19"/>
        <v>2028.4166666666667</v>
      </c>
      <c r="M197" s="230">
        <v>20567.2</v>
      </c>
      <c r="N197" s="230">
        <f t="shared" si="20"/>
        <v>20567.2</v>
      </c>
      <c r="O197" s="230">
        <f t="shared" si="21"/>
        <v>142.82777777777778</v>
      </c>
      <c r="P197" s="230">
        <f t="shared" si="22"/>
        <v>1713.9333333333334</v>
      </c>
      <c r="Q197" s="230">
        <f t="shared" si="23"/>
        <v>1713.9333333333334</v>
      </c>
      <c r="R197" s="230"/>
      <c r="S197" s="230">
        <f t="shared" si="24"/>
        <v>1713.9333333333334</v>
      </c>
      <c r="T197" s="230">
        <f t="shared" si="25"/>
        <v>3427.8666666666668</v>
      </c>
      <c r="U197" s="230">
        <f t="shared" si="26"/>
        <v>17996.300000000003</v>
      </c>
    </row>
    <row r="198" spans="1:21" ht="12" customHeight="1">
      <c r="A198" s="3" t="s">
        <v>679</v>
      </c>
      <c r="C198" s="32">
        <v>173658</v>
      </c>
      <c r="D198" s="32">
        <v>30</v>
      </c>
      <c r="E198" s="3" t="s">
        <v>747</v>
      </c>
      <c r="F198" s="3">
        <v>2016</v>
      </c>
      <c r="G198" s="3">
        <v>5</v>
      </c>
      <c r="H198" s="3">
        <v>0</v>
      </c>
      <c r="I198" s="3" t="s">
        <v>52</v>
      </c>
      <c r="J198" s="175" t="s">
        <v>754</v>
      </c>
      <c r="K198" s="3">
        <f t="shared" si="18"/>
        <v>2028</v>
      </c>
      <c r="L198" s="172">
        <f t="shared" si="19"/>
        <v>2028.4166666666667</v>
      </c>
      <c r="M198" s="230">
        <v>25435.5</v>
      </c>
      <c r="N198" s="230">
        <f t="shared" si="20"/>
        <v>25435.5</v>
      </c>
      <c r="O198" s="230">
        <f t="shared" si="21"/>
        <v>176.63541666666666</v>
      </c>
      <c r="P198" s="230">
        <f t="shared" si="22"/>
        <v>2119.625</v>
      </c>
      <c r="Q198" s="230">
        <f t="shared" si="23"/>
        <v>2119.625</v>
      </c>
      <c r="R198" s="230"/>
      <c r="S198" s="230">
        <f t="shared" si="24"/>
        <v>2119.625</v>
      </c>
      <c r="T198" s="230">
        <f t="shared" si="25"/>
        <v>4239.25</v>
      </c>
      <c r="U198" s="230">
        <f t="shared" si="26"/>
        <v>22256.0625</v>
      </c>
    </row>
    <row r="199" spans="1:21" ht="12" customHeight="1">
      <c r="A199" s="3" t="s">
        <v>679</v>
      </c>
      <c r="C199" s="32">
        <v>173659</v>
      </c>
      <c r="D199" s="32">
        <v>13</v>
      </c>
      <c r="E199" s="3" t="s">
        <v>747</v>
      </c>
      <c r="F199" s="3">
        <v>2016</v>
      </c>
      <c r="G199" s="3">
        <v>5</v>
      </c>
      <c r="H199" s="3">
        <v>0</v>
      </c>
      <c r="I199" s="3" t="s">
        <v>52</v>
      </c>
      <c r="J199" s="175" t="s">
        <v>754</v>
      </c>
      <c r="K199" s="3">
        <f t="shared" si="18"/>
        <v>2028</v>
      </c>
      <c r="L199" s="172">
        <f t="shared" si="19"/>
        <v>2028.4166666666667</v>
      </c>
      <c r="M199" s="230">
        <v>11576.71</v>
      </c>
      <c r="N199" s="230">
        <f t="shared" si="20"/>
        <v>11576.71</v>
      </c>
      <c r="O199" s="230">
        <f t="shared" si="21"/>
        <v>80.393819444444446</v>
      </c>
      <c r="P199" s="230">
        <f t="shared" si="22"/>
        <v>964.72583333333341</v>
      </c>
      <c r="Q199" s="230">
        <f t="shared" si="23"/>
        <v>964.72583333333341</v>
      </c>
      <c r="R199" s="230"/>
      <c r="S199" s="230">
        <f t="shared" si="24"/>
        <v>964.72583333333341</v>
      </c>
      <c r="T199" s="230">
        <f t="shared" si="25"/>
        <v>1929.4516666666668</v>
      </c>
      <c r="U199" s="230">
        <f t="shared" si="26"/>
        <v>10129.621249999998</v>
      </c>
    </row>
    <row r="200" spans="1:21" ht="12" customHeight="1">
      <c r="A200" s="3" t="s">
        <v>679</v>
      </c>
      <c r="C200" s="32">
        <v>173662</v>
      </c>
      <c r="D200" s="32">
        <v>12</v>
      </c>
      <c r="E200" s="3" t="s">
        <v>719</v>
      </c>
      <c r="F200" s="3">
        <v>2016</v>
      </c>
      <c r="G200" s="3">
        <v>4</v>
      </c>
      <c r="H200" s="3">
        <v>0</v>
      </c>
      <c r="I200" s="3" t="s">
        <v>52</v>
      </c>
      <c r="J200" s="175" t="s">
        <v>754</v>
      </c>
      <c r="K200" s="3">
        <f t="shared" si="18"/>
        <v>2028</v>
      </c>
      <c r="L200" s="172">
        <f t="shared" si="19"/>
        <v>2028.3333333333333</v>
      </c>
      <c r="M200" s="230">
        <v>10458.64</v>
      </c>
      <c r="N200" s="230">
        <f t="shared" si="20"/>
        <v>10458.64</v>
      </c>
      <c r="O200" s="230">
        <f t="shared" si="21"/>
        <v>72.629444444444445</v>
      </c>
      <c r="P200" s="230">
        <f t="shared" si="22"/>
        <v>871.55333333333328</v>
      </c>
      <c r="Q200" s="230">
        <f t="shared" si="23"/>
        <v>871.55333333333328</v>
      </c>
      <c r="R200" s="230"/>
      <c r="S200" s="230">
        <f t="shared" si="24"/>
        <v>871.55333333333328</v>
      </c>
      <c r="T200" s="230">
        <f t="shared" si="25"/>
        <v>1743.1066666666666</v>
      </c>
      <c r="U200" s="230">
        <f t="shared" si="26"/>
        <v>9151.31</v>
      </c>
    </row>
    <row r="201" spans="1:21" ht="12" customHeight="1">
      <c r="A201" s="3" t="s">
        <v>679</v>
      </c>
      <c r="C201" s="32">
        <v>173663</v>
      </c>
      <c r="D201" s="32">
        <v>13</v>
      </c>
      <c r="E201" s="3" t="s">
        <v>748</v>
      </c>
      <c r="F201" s="3">
        <v>2016</v>
      </c>
      <c r="G201" s="3">
        <v>4</v>
      </c>
      <c r="H201" s="3">
        <v>0</v>
      </c>
      <c r="I201" s="3" t="s">
        <v>52</v>
      </c>
      <c r="J201" s="175" t="s">
        <v>754</v>
      </c>
      <c r="K201" s="3">
        <f t="shared" si="18"/>
        <v>2028</v>
      </c>
      <c r="L201" s="172">
        <f t="shared" si="19"/>
        <v>2028.3333333333333</v>
      </c>
      <c r="M201" s="230">
        <v>8619.26</v>
      </c>
      <c r="N201" s="230">
        <f t="shared" si="20"/>
        <v>8619.26</v>
      </c>
      <c r="O201" s="230">
        <f t="shared" si="21"/>
        <v>59.855972222222221</v>
      </c>
      <c r="P201" s="230">
        <f t="shared" si="22"/>
        <v>718.27166666666665</v>
      </c>
      <c r="Q201" s="230">
        <f t="shared" si="23"/>
        <v>718.27166666666665</v>
      </c>
      <c r="R201" s="230"/>
      <c r="S201" s="230">
        <f t="shared" si="24"/>
        <v>718.27166666666665</v>
      </c>
      <c r="T201" s="230">
        <f t="shared" si="25"/>
        <v>1436.5433333333333</v>
      </c>
      <c r="U201" s="230">
        <f t="shared" si="26"/>
        <v>7541.8525000000009</v>
      </c>
    </row>
    <row r="202" spans="1:21" ht="12" customHeight="1">
      <c r="A202" s="3" t="s">
        <v>679</v>
      </c>
      <c r="C202" s="32">
        <v>173670</v>
      </c>
      <c r="D202" s="32">
        <v>30</v>
      </c>
      <c r="E202" s="3" t="s">
        <v>749</v>
      </c>
      <c r="F202" s="3">
        <v>2016</v>
      </c>
      <c r="G202" s="3">
        <v>12</v>
      </c>
      <c r="H202" s="3">
        <v>0</v>
      </c>
      <c r="I202" s="3" t="s">
        <v>52</v>
      </c>
      <c r="J202" s="175" t="s">
        <v>754</v>
      </c>
      <c r="K202" s="3">
        <f t="shared" si="18"/>
        <v>2028</v>
      </c>
      <c r="L202" s="172">
        <f t="shared" si="19"/>
        <v>2029</v>
      </c>
      <c r="M202" s="230">
        <v>19199.7</v>
      </c>
      <c r="N202" s="230">
        <f t="shared" si="20"/>
        <v>19199.7</v>
      </c>
      <c r="O202" s="230">
        <f t="shared" si="21"/>
        <v>133.33125000000001</v>
      </c>
      <c r="P202" s="230">
        <f t="shared" si="22"/>
        <v>1599.9750000000001</v>
      </c>
      <c r="Q202" s="230">
        <f t="shared" si="23"/>
        <v>1599.9750000000001</v>
      </c>
      <c r="R202" s="230"/>
      <c r="S202" s="230">
        <f t="shared" si="24"/>
        <v>1599.9750000000001</v>
      </c>
      <c r="T202" s="230">
        <f t="shared" si="25"/>
        <v>3199.9500000000003</v>
      </c>
      <c r="U202" s="230">
        <f t="shared" si="26"/>
        <v>16799.737500000003</v>
      </c>
    </row>
    <row r="203" spans="1:21" ht="12" customHeight="1">
      <c r="C203" s="32">
        <v>190183</v>
      </c>
      <c r="D203" s="32">
        <v>15</v>
      </c>
      <c r="E203" s="3" t="s">
        <v>540</v>
      </c>
      <c r="F203" s="3">
        <v>2017</v>
      </c>
      <c r="G203" s="3">
        <v>12</v>
      </c>
      <c r="H203" s="3">
        <v>0</v>
      </c>
      <c r="I203" s="3" t="s">
        <v>52</v>
      </c>
      <c r="J203" s="175">
        <v>12</v>
      </c>
      <c r="K203" s="3">
        <f t="shared" si="18"/>
        <v>2029</v>
      </c>
      <c r="L203" s="172">
        <f t="shared" si="19"/>
        <v>2030</v>
      </c>
      <c r="M203" s="230">
        <v>12736.29</v>
      </c>
      <c r="N203" s="230">
        <f t="shared" si="20"/>
        <v>12736.29</v>
      </c>
      <c r="O203" s="230">
        <f t="shared" si="21"/>
        <v>88.446458333333339</v>
      </c>
      <c r="P203" s="230">
        <f t="shared" si="22"/>
        <v>1061.3575000000001</v>
      </c>
      <c r="Q203" s="230">
        <f t="shared" si="23"/>
        <v>1061.3575000000001</v>
      </c>
      <c r="R203" s="230"/>
      <c r="S203" s="230">
        <f t="shared" si="24"/>
        <v>0</v>
      </c>
      <c r="T203" s="230">
        <f t="shared" si="25"/>
        <v>1061.3575000000001</v>
      </c>
      <c r="U203" s="230">
        <f t="shared" si="26"/>
        <v>12205.611250000002</v>
      </c>
    </row>
    <row r="204" spans="1:21" ht="12" customHeight="1">
      <c r="C204" s="32">
        <v>190182</v>
      </c>
      <c r="D204" s="32">
        <v>19</v>
      </c>
      <c r="E204" s="3" t="s">
        <v>476</v>
      </c>
      <c r="F204" s="3">
        <v>2017</v>
      </c>
      <c r="G204" s="3">
        <v>12</v>
      </c>
      <c r="H204" s="3">
        <v>0</v>
      </c>
      <c r="I204" s="3" t="s">
        <v>52</v>
      </c>
      <c r="J204" s="175">
        <v>12</v>
      </c>
      <c r="K204" s="3">
        <f t="shared" ref="K204:K227" si="27">F204+J204</f>
        <v>2029</v>
      </c>
      <c r="L204" s="172">
        <f t="shared" ref="L204:L227" si="28">+K204+(G204/12)</f>
        <v>2030</v>
      </c>
      <c r="M204" s="230">
        <v>14023.45</v>
      </c>
      <c r="N204" s="230">
        <f t="shared" ref="N204:N227" si="29">M204-M204*H204</f>
        <v>14023.45</v>
      </c>
      <c r="O204" s="230">
        <f t="shared" ref="O204:O227" si="30">N204/J204/12</f>
        <v>97.385069444444454</v>
      </c>
      <c r="P204" s="230">
        <f t="shared" ref="P204:P227" si="31">+O204*12</f>
        <v>1168.6208333333334</v>
      </c>
      <c r="Q204" s="230">
        <f t="shared" ref="Q204:Q227" si="32">+IF(L204&lt;=$N$5,0,IF(K204&gt;$N$4,P204,(O204*G204)))</f>
        <v>1168.6208333333334</v>
      </c>
      <c r="R204" s="230"/>
      <c r="S204" s="230">
        <f t="shared" ref="S204:S227" si="33">+IF(Q204=0,M204,IF($N$3-F204&lt;1,0,(($N$3-F204)*P204)))</f>
        <v>0</v>
      </c>
      <c r="T204" s="230">
        <f t="shared" ref="T204:T227" si="34">+IF(Q204=0,S204,S204+Q204)</f>
        <v>1168.6208333333334</v>
      </c>
      <c r="U204" s="230">
        <f t="shared" ref="U204:U227" si="35">+IF(Q204=0,0,((M204-S204)+(M204-T204))/2)</f>
        <v>13439.139583333334</v>
      </c>
    </row>
    <row r="205" spans="1:21" ht="12" customHeight="1">
      <c r="C205" s="32">
        <v>190181</v>
      </c>
      <c r="D205" s="32">
        <v>1</v>
      </c>
      <c r="E205" s="3" t="s">
        <v>541</v>
      </c>
      <c r="F205" s="3">
        <v>2017</v>
      </c>
      <c r="G205" s="3">
        <v>12</v>
      </c>
      <c r="H205" s="3">
        <v>0</v>
      </c>
      <c r="I205" s="3" t="s">
        <v>52</v>
      </c>
      <c r="J205" s="175">
        <v>12</v>
      </c>
      <c r="K205" s="3">
        <f t="shared" si="27"/>
        <v>2029</v>
      </c>
      <c r="L205" s="172">
        <f t="shared" si="28"/>
        <v>2030</v>
      </c>
      <c r="M205" s="230">
        <v>738.08</v>
      </c>
      <c r="N205" s="230">
        <f t="shared" si="29"/>
        <v>738.08</v>
      </c>
      <c r="O205" s="230">
        <f t="shared" si="30"/>
        <v>5.1255555555555556</v>
      </c>
      <c r="P205" s="230">
        <f t="shared" si="31"/>
        <v>61.506666666666668</v>
      </c>
      <c r="Q205" s="230">
        <f t="shared" si="32"/>
        <v>61.506666666666668</v>
      </c>
      <c r="R205" s="230"/>
      <c r="S205" s="230">
        <f t="shared" si="33"/>
        <v>0</v>
      </c>
      <c r="T205" s="230">
        <f t="shared" si="34"/>
        <v>61.506666666666668</v>
      </c>
      <c r="U205" s="230">
        <f t="shared" si="35"/>
        <v>707.32666666666671</v>
      </c>
    </row>
    <row r="206" spans="1:21" ht="12" customHeight="1">
      <c r="C206" s="32">
        <v>190180</v>
      </c>
      <c r="D206" s="32">
        <v>1</v>
      </c>
      <c r="E206" s="3" t="s">
        <v>330</v>
      </c>
      <c r="F206" s="3">
        <v>2017</v>
      </c>
      <c r="G206" s="3">
        <v>12</v>
      </c>
      <c r="H206" s="3">
        <v>0</v>
      </c>
      <c r="I206" s="3" t="s">
        <v>52</v>
      </c>
      <c r="J206" s="175">
        <v>12</v>
      </c>
      <c r="K206" s="3">
        <f t="shared" si="27"/>
        <v>2029</v>
      </c>
      <c r="L206" s="172">
        <f t="shared" si="28"/>
        <v>2030</v>
      </c>
      <c r="M206" s="230">
        <v>677.85</v>
      </c>
      <c r="N206" s="230">
        <f t="shared" si="29"/>
        <v>677.85</v>
      </c>
      <c r="O206" s="230">
        <f t="shared" si="30"/>
        <v>4.7072916666666673</v>
      </c>
      <c r="P206" s="230">
        <f t="shared" si="31"/>
        <v>56.487500000000011</v>
      </c>
      <c r="Q206" s="230">
        <f t="shared" si="32"/>
        <v>56.487500000000011</v>
      </c>
      <c r="R206" s="230"/>
      <c r="S206" s="230">
        <f t="shared" si="33"/>
        <v>0</v>
      </c>
      <c r="T206" s="230">
        <f t="shared" si="34"/>
        <v>56.487500000000011</v>
      </c>
      <c r="U206" s="230">
        <f t="shared" si="35"/>
        <v>649.60625000000005</v>
      </c>
    </row>
    <row r="207" spans="1:21" ht="12" customHeight="1">
      <c r="C207" s="32">
        <v>190070</v>
      </c>
      <c r="D207" s="32">
        <v>25</v>
      </c>
      <c r="E207" s="3" t="s">
        <v>542</v>
      </c>
      <c r="F207" s="3">
        <v>2017</v>
      </c>
      <c r="G207" s="3">
        <v>12</v>
      </c>
      <c r="H207" s="3">
        <v>0</v>
      </c>
      <c r="I207" s="3" t="s">
        <v>52</v>
      </c>
      <c r="J207" s="175">
        <v>12</v>
      </c>
      <c r="K207" s="3">
        <f t="shared" si="27"/>
        <v>2029</v>
      </c>
      <c r="L207" s="172">
        <f t="shared" si="28"/>
        <v>2030</v>
      </c>
      <c r="M207" s="230">
        <v>16723.55</v>
      </c>
      <c r="N207" s="230">
        <f t="shared" si="29"/>
        <v>16723.55</v>
      </c>
      <c r="O207" s="230">
        <f t="shared" si="30"/>
        <v>116.13576388888889</v>
      </c>
      <c r="P207" s="230">
        <f t="shared" si="31"/>
        <v>1393.6291666666666</v>
      </c>
      <c r="Q207" s="230">
        <f t="shared" si="32"/>
        <v>1393.6291666666666</v>
      </c>
      <c r="R207" s="230"/>
      <c r="S207" s="230">
        <f t="shared" si="33"/>
        <v>0</v>
      </c>
      <c r="T207" s="230">
        <f t="shared" si="34"/>
        <v>1393.6291666666666</v>
      </c>
      <c r="U207" s="230">
        <f t="shared" si="35"/>
        <v>16026.735416666666</v>
      </c>
    </row>
    <row r="208" spans="1:21" ht="12" customHeight="1">
      <c r="C208" s="32">
        <v>190069</v>
      </c>
      <c r="D208" s="32">
        <v>25</v>
      </c>
      <c r="E208" s="3" t="s">
        <v>543</v>
      </c>
      <c r="F208" s="3">
        <v>2017</v>
      </c>
      <c r="G208" s="3">
        <v>12</v>
      </c>
      <c r="H208" s="3">
        <v>0</v>
      </c>
      <c r="I208" s="3" t="s">
        <v>52</v>
      </c>
      <c r="J208" s="175">
        <v>12</v>
      </c>
      <c r="K208" s="3">
        <f t="shared" si="27"/>
        <v>2029</v>
      </c>
      <c r="L208" s="172">
        <f t="shared" si="28"/>
        <v>2030</v>
      </c>
      <c r="M208" s="230">
        <v>15212.43</v>
      </c>
      <c r="N208" s="230">
        <f t="shared" si="29"/>
        <v>15212.43</v>
      </c>
      <c r="O208" s="230">
        <f t="shared" si="30"/>
        <v>105.64187500000001</v>
      </c>
      <c r="P208" s="230">
        <f t="shared" si="31"/>
        <v>1267.7025000000001</v>
      </c>
      <c r="Q208" s="230">
        <f t="shared" si="32"/>
        <v>1267.7025000000001</v>
      </c>
      <c r="R208" s="230"/>
      <c r="S208" s="230">
        <f t="shared" si="33"/>
        <v>0</v>
      </c>
      <c r="T208" s="230">
        <f t="shared" si="34"/>
        <v>1267.7025000000001</v>
      </c>
      <c r="U208" s="230">
        <f t="shared" si="35"/>
        <v>14578.578750000001</v>
      </c>
    </row>
    <row r="209" spans="1:21" ht="12" customHeight="1">
      <c r="C209" s="32">
        <v>190068</v>
      </c>
      <c r="D209" s="32">
        <v>19</v>
      </c>
      <c r="E209" s="3" t="s">
        <v>477</v>
      </c>
      <c r="F209" s="3">
        <v>2017</v>
      </c>
      <c r="G209" s="3">
        <v>12</v>
      </c>
      <c r="H209" s="3">
        <v>0</v>
      </c>
      <c r="I209" s="3" t="s">
        <v>52</v>
      </c>
      <c r="J209" s="175">
        <v>12</v>
      </c>
      <c r="K209" s="3">
        <f t="shared" si="27"/>
        <v>2029</v>
      </c>
      <c r="L209" s="172">
        <f t="shared" si="28"/>
        <v>2030</v>
      </c>
      <c r="M209" s="230">
        <v>12188.71</v>
      </c>
      <c r="N209" s="230">
        <f t="shared" si="29"/>
        <v>12188.71</v>
      </c>
      <c r="O209" s="230">
        <f t="shared" si="30"/>
        <v>84.643819444444446</v>
      </c>
      <c r="P209" s="230">
        <f t="shared" si="31"/>
        <v>1015.7258333333334</v>
      </c>
      <c r="Q209" s="230">
        <f t="shared" si="32"/>
        <v>1015.7258333333334</v>
      </c>
      <c r="R209" s="230"/>
      <c r="S209" s="230">
        <f t="shared" si="33"/>
        <v>0</v>
      </c>
      <c r="T209" s="230">
        <f t="shared" si="34"/>
        <v>1015.7258333333334</v>
      </c>
      <c r="U209" s="230">
        <f t="shared" si="35"/>
        <v>11680.847083333332</v>
      </c>
    </row>
    <row r="210" spans="1:21" ht="12" customHeight="1">
      <c r="C210" s="32">
        <v>190067</v>
      </c>
      <c r="D210" s="32">
        <v>25</v>
      </c>
      <c r="E210" s="3" t="s">
        <v>540</v>
      </c>
      <c r="F210" s="3">
        <v>2017</v>
      </c>
      <c r="G210" s="3">
        <v>10</v>
      </c>
      <c r="H210" s="3">
        <v>0</v>
      </c>
      <c r="I210" s="3" t="s">
        <v>52</v>
      </c>
      <c r="J210" s="175">
        <v>12</v>
      </c>
      <c r="K210" s="3">
        <f t="shared" si="27"/>
        <v>2029</v>
      </c>
      <c r="L210" s="172">
        <f t="shared" si="28"/>
        <v>2029.8333333333333</v>
      </c>
      <c r="M210" s="230">
        <v>22541.040000000001</v>
      </c>
      <c r="N210" s="230">
        <f t="shared" si="29"/>
        <v>22541.040000000001</v>
      </c>
      <c r="O210" s="230">
        <f t="shared" si="30"/>
        <v>156.535</v>
      </c>
      <c r="P210" s="230">
        <f t="shared" si="31"/>
        <v>1878.42</v>
      </c>
      <c r="Q210" s="230">
        <f t="shared" si="32"/>
        <v>1878.42</v>
      </c>
      <c r="R210" s="230"/>
      <c r="S210" s="230">
        <f t="shared" si="33"/>
        <v>0</v>
      </c>
      <c r="T210" s="230">
        <f t="shared" si="34"/>
        <v>1878.42</v>
      </c>
      <c r="U210" s="230">
        <f t="shared" si="35"/>
        <v>21601.83</v>
      </c>
    </row>
    <row r="211" spans="1:21" ht="12" customHeight="1">
      <c r="C211" s="32">
        <v>188020</v>
      </c>
      <c r="D211" s="32">
        <v>12</v>
      </c>
      <c r="E211" s="3" t="s">
        <v>544</v>
      </c>
      <c r="F211" s="3">
        <v>2017</v>
      </c>
      <c r="G211" s="3">
        <v>5</v>
      </c>
      <c r="H211" s="3">
        <v>0</v>
      </c>
      <c r="I211" s="3" t="s">
        <v>52</v>
      </c>
      <c r="J211" s="175">
        <v>12</v>
      </c>
      <c r="K211" s="3">
        <f t="shared" si="27"/>
        <v>2029</v>
      </c>
      <c r="L211" s="172">
        <f t="shared" si="28"/>
        <v>2029.4166666666667</v>
      </c>
      <c r="M211" s="230">
        <v>10576.78</v>
      </c>
      <c r="N211" s="230">
        <f t="shared" si="29"/>
        <v>10576.78</v>
      </c>
      <c r="O211" s="230">
        <f t="shared" si="30"/>
        <v>73.449861111111119</v>
      </c>
      <c r="P211" s="230">
        <f t="shared" si="31"/>
        <v>881.39833333333343</v>
      </c>
      <c r="Q211" s="230">
        <f t="shared" si="32"/>
        <v>881.39833333333343</v>
      </c>
      <c r="R211" s="230"/>
      <c r="S211" s="230">
        <f t="shared" si="33"/>
        <v>0</v>
      </c>
      <c r="T211" s="230">
        <f t="shared" si="34"/>
        <v>881.39833333333343</v>
      </c>
      <c r="U211" s="230">
        <f t="shared" si="35"/>
        <v>10136.080833333333</v>
      </c>
    </row>
    <row r="212" spans="1:21" ht="12" customHeight="1">
      <c r="C212" s="32">
        <v>188019</v>
      </c>
      <c r="D212" s="32">
        <v>9</v>
      </c>
      <c r="E212" s="3" t="s">
        <v>544</v>
      </c>
      <c r="F212" s="3">
        <v>2017</v>
      </c>
      <c r="G212" s="3">
        <v>5</v>
      </c>
      <c r="H212" s="3">
        <v>0</v>
      </c>
      <c r="I212" s="3" t="s">
        <v>52</v>
      </c>
      <c r="J212" s="175">
        <v>12</v>
      </c>
      <c r="K212" s="3">
        <f t="shared" si="27"/>
        <v>2029</v>
      </c>
      <c r="L212" s="172">
        <f t="shared" si="28"/>
        <v>2029.4166666666667</v>
      </c>
      <c r="M212" s="230">
        <v>7932.58</v>
      </c>
      <c r="N212" s="230">
        <f t="shared" si="29"/>
        <v>7932.58</v>
      </c>
      <c r="O212" s="230">
        <f t="shared" si="30"/>
        <v>55.087361111111107</v>
      </c>
      <c r="P212" s="230">
        <f t="shared" si="31"/>
        <v>661.04833333333329</v>
      </c>
      <c r="Q212" s="230">
        <f t="shared" si="32"/>
        <v>661.04833333333329</v>
      </c>
      <c r="R212" s="230"/>
      <c r="S212" s="230">
        <f t="shared" si="33"/>
        <v>0</v>
      </c>
      <c r="T212" s="230">
        <f t="shared" si="34"/>
        <v>661.04833333333329</v>
      </c>
      <c r="U212" s="230">
        <f t="shared" si="35"/>
        <v>7602.0558333333338</v>
      </c>
    </row>
    <row r="213" spans="1:21" ht="12" customHeight="1">
      <c r="C213" s="32">
        <v>188018</v>
      </c>
      <c r="D213" s="32">
        <v>9</v>
      </c>
      <c r="E213" s="3" t="s">
        <v>544</v>
      </c>
      <c r="F213" s="3">
        <v>2017</v>
      </c>
      <c r="G213" s="3">
        <v>5</v>
      </c>
      <c r="H213" s="3">
        <v>0</v>
      </c>
      <c r="I213" s="3" t="s">
        <v>52</v>
      </c>
      <c r="J213" s="175">
        <v>12</v>
      </c>
      <c r="K213" s="3">
        <f t="shared" si="27"/>
        <v>2029</v>
      </c>
      <c r="L213" s="172">
        <f t="shared" si="28"/>
        <v>2029.4166666666667</v>
      </c>
      <c r="M213" s="230">
        <v>7932.58</v>
      </c>
      <c r="N213" s="230">
        <f t="shared" si="29"/>
        <v>7932.58</v>
      </c>
      <c r="O213" s="230">
        <f t="shared" si="30"/>
        <v>55.087361111111107</v>
      </c>
      <c r="P213" s="230">
        <f t="shared" si="31"/>
        <v>661.04833333333329</v>
      </c>
      <c r="Q213" s="230">
        <f t="shared" si="32"/>
        <v>661.04833333333329</v>
      </c>
      <c r="R213" s="230"/>
      <c r="S213" s="230">
        <f t="shared" si="33"/>
        <v>0</v>
      </c>
      <c r="T213" s="230">
        <f t="shared" si="34"/>
        <v>661.04833333333329</v>
      </c>
      <c r="U213" s="230">
        <f t="shared" si="35"/>
        <v>7602.0558333333338</v>
      </c>
    </row>
    <row r="214" spans="1:21" ht="12" customHeight="1">
      <c r="C214" s="32">
        <v>184458</v>
      </c>
      <c r="D214" s="32">
        <v>40</v>
      </c>
      <c r="E214" s="3" t="s">
        <v>549</v>
      </c>
      <c r="F214" s="3">
        <v>2017</v>
      </c>
      <c r="G214" s="3">
        <v>3</v>
      </c>
      <c r="H214" s="3">
        <v>0</v>
      </c>
      <c r="I214" s="3" t="s">
        <v>52</v>
      </c>
      <c r="J214" s="175">
        <v>12</v>
      </c>
      <c r="K214" s="3">
        <f t="shared" si="27"/>
        <v>2029</v>
      </c>
      <c r="L214" s="172">
        <f t="shared" si="28"/>
        <v>2029.25</v>
      </c>
      <c r="M214" s="230">
        <v>23674.15</v>
      </c>
      <c r="N214" s="230">
        <f t="shared" si="29"/>
        <v>23674.15</v>
      </c>
      <c r="O214" s="230">
        <f t="shared" si="30"/>
        <v>164.40381944444445</v>
      </c>
      <c r="P214" s="230">
        <f t="shared" si="31"/>
        <v>1972.8458333333333</v>
      </c>
      <c r="Q214" s="230">
        <f t="shared" si="32"/>
        <v>1972.8458333333333</v>
      </c>
      <c r="R214" s="230"/>
      <c r="S214" s="230">
        <f t="shared" si="33"/>
        <v>0</v>
      </c>
      <c r="T214" s="230">
        <f t="shared" si="34"/>
        <v>1972.8458333333333</v>
      </c>
      <c r="U214" s="230">
        <f t="shared" si="35"/>
        <v>22687.727083333335</v>
      </c>
    </row>
    <row r="215" spans="1:21" ht="12" customHeight="1">
      <c r="A215" s="3" t="s">
        <v>679</v>
      </c>
      <c r="C215" s="32">
        <v>185707</v>
      </c>
      <c r="D215" s="32">
        <v>10</v>
      </c>
      <c r="E215" s="3" t="s">
        <v>750</v>
      </c>
      <c r="F215" s="3">
        <v>2017</v>
      </c>
      <c r="G215" s="3">
        <v>4</v>
      </c>
      <c r="H215" s="3">
        <v>0</v>
      </c>
      <c r="I215" s="3" t="s">
        <v>52</v>
      </c>
      <c r="J215" s="175" t="s">
        <v>754</v>
      </c>
      <c r="K215" s="3">
        <f t="shared" si="27"/>
        <v>2029</v>
      </c>
      <c r="L215" s="172">
        <f t="shared" si="28"/>
        <v>2029.3333333333333</v>
      </c>
      <c r="M215" s="230">
        <v>10677.44</v>
      </c>
      <c r="N215" s="230">
        <f t="shared" si="29"/>
        <v>10677.44</v>
      </c>
      <c r="O215" s="230">
        <f t="shared" si="30"/>
        <v>74.148888888888891</v>
      </c>
      <c r="P215" s="230">
        <f t="shared" si="31"/>
        <v>889.78666666666663</v>
      </c>
      <c r="Q215" s="230">
        <f t="shared" si="32"/>
        <v>889.78666666666663</v>
      </c>
      <c r="R215" s="230"/>
      <c r="S215" s="230">
        <f t="shared" si="33"/>
        <v>0</v>
      </c>
      <c r="T215" s="230">
        <f t="shared" si="34"/>
        <v>889.78666666666663</v>
      </c>
      <c r="U215" s="230">
        <f t="shared" si="35"/>
        <v>10232.546666666667</v>
      </c>
    </row>
    <row r="216" spans="1:21" ht="12" customHeight="1">
      <c r="A216" s="3" t="s">
        <v>679</v>
      </c>
      <c r="C216" s="32">
        <v>188276</v>
      </c>
      <c r="D216" s="32">
        <v>11</v>
      </c>
      <c r="E216" s="3" t="s">
        <v>751</v>
      </c>
      <c r="F216" s="3">
        <v>2017</v>
      </c>
      <c r="G216" s="3">
        <v>1</v>
      </c>
      <c r="H216" s="3">
        <v>0</v>
      </c>
      <c r="I216" s="3" t="s">
        <v>52</v>
      </c>
      <c r="J216" s="175" t="s">
        <v>754</v>
      </c>
      <c r="K216" s="3">
        <f t="shared" si="27"/>
        <v>2029</v>
      </c>
      <c r="L216" s="172">
        <f t="shared" si="28"/>
        <v>2029.0833333333333</v>
      </c>
      <c r="M216" s="230">
        <v>5886.98</v>
      </c>
      <c r="N216" s="230">
        <f t="shared" si="29"/>
        <v>5886.98</v>
      </c>
      <c r="O216" s="230">
        <f t="shared" si="30"/>
        <v>40.881805555555552</v>
      </c>
      <c r="P216" s="230">
        <f t="shared" si="31"/>
        <v>490.58166666666659</v>
      </c>
      <c r="Q216" s="230">
        <f t="shared" si="32"/>
        <v>490.58166666666659</v>
      </c>
      <c r="R216" s="230"/>
      <c r="S216" s="230">
        <f t="shared" si="33"/>
        <v>0</v>
      </c>
      <c r="T216" s="230">
        <f t="shared" si="34"/>
        <v>490.58166666666659</v>
      </c>
      <c r="U216" s="230">
        <f t="shared" si="35"/>
        <v>5641.6891666666661</v>
      </c>
    </row>
    <row r="217" spans="1:21" ht="12" customHeight="1">
      <c r="A217" s="3" t="s">
        <v>679</v>
      </c>
      <c r="C217" s="32">
        <v>188277</v>
      </c>
      <c r="D217" s="32">
        <v>35</v>
      </c>
      <c r="E217" s="3" t="s">
        <v>680</v>
      </c>
      <c r="F217" s="3">
        <v>2017</v>
      </c>
      <c r="G217" s="3">
        <v>1</v>
      </c>
      <c r="H217" s="3">
        <v>0</v>
      </c>
      <c r="I217" s="3" t="s">
        <v>52</v>
      </c>
      <c r="J217" s="175" t="s">
        <v>754</v>
      </c>
      <c r="K217" s="3">
        <f t="shared" si="27"/>
        <v>2029</v>
      </c>
      <c r="L217" s="172">
        <f t="shared" si="28"/>
        <v>2029.0833333333333</v>
      </c>
      <c r="M217" s="230">
        <v>19535.39</v>
      </c>
      <c r="N217" s="230">
        <f t="shared" si="29"/>
        <v>19535.39</v>
      </c>
      <c r="O217" s="230">
        <f t="shared" si="30"/>
        <v>135.66243055555555</v>
      </c>
      <c r="P217" s="230">
        <f t="shared" si="31"/>
        <v>1627.9491666666665</v>
      </c>
      <c r="Q217" s="230">
        <f t="shared" si="32"/>
        <v>1627.9491666666665</v>
      </c>
      <c r="R217" s="230"/>
      <c r="S217" s="230">
        <f t="shared" si="33"/>
        <v>0</v>
      </c>
      <c r="T217" s="230">
        <f t="shared" si="34"/>
        <v>1627.9491666666665</v>
      </c>
      <c r="U217" s="230">
        <f t="shared" si="35"/>
        <v>18721.415416666667</v>
      </c>
    </row>
    <row r="218" spans="1:21" ht="12" customHeight="1">
      <c r="A218" s="3" t="s">
        <v>679</v>
      </c>
      <c r="C218" s="32">
        <v>188278</v>
      </c>
      <c r="D218" s="32">
        <v>29</v>
      </c>
      <c r="E218" s="3" t="s">
        <v>751</v>
      </c>
      <c r="F218" s="3">
        <v>2017</v>
      </c>
      <c r="G218" s="3">
        <v>1</v>
      </c>
      <c r="H218" s="3">
        <v>0</v>
      </c>
      <c r="I218" s="3" t="s">
        <v>52</v>
      </c>
      <c r="J218" s="175" t="s">
        <v>754</v>
      </c>
      <c r="K218" s="3">
        <f t="shared" si="27"/>
        <v>2029</v>
      </c>
      <c r="L218" s="172">
        <f t="shared" si="28"/>
        <v>2029.0833333333333</v>
      </c>
      <c r="M218" s="230">
        <v>15265.78</v>
      </c>
      <c r="N218" s="230">
        <f t="shared" si="29"/>
        <v>15265.78</v>
      </c>
      <c r="O218" s="230">
        <f t="shared" si="30"/>
        <v>106.0123611111111</v>
      </c>
      <c r="P218" s="230">
        <f t="shared" si="31"/>
        <v>1272.1483333333333</v>
      </c>
      <c r="Q218" s="230">
        <f t="shared" si="32"/>
        <v>1272.1483333333333</v>
      </c>
      <c r="R218" s="230"/>
      <c r="S218" s="230">
        <f t="shared" si="33"/>
        <v>0</v>
      </c>
      <c r="T218" s="230">
        <f t="shared" si="34"/>
        <v>1272.1483333333333</v>
      </c>
      <c r="U218" s="230">
        <f t="shared" si="35"/>
        <v>14629.705833333333</v>
      </c>
    </row>
    <row r="219" spans="1:21" ht="12" customHeight="1">
      <c r="A219" s="3" t="s">
        <v>679</v>
      </c>
      <c r="C219" s="32">
        <v>188279</v>
      </c>
      <c r="D219" s="32">
        <v>30</v>
      </c>
      <c r="E219" s="3" t="s">
        <v>752</v>
      </c>
      <c r="F219" s="3">
        <v>2017</v>
      </c>
      <c r="G219" s="3">
        <v>1</v>
      </c>
      <c r="H219" s="3">
        <v>0</v>
      </c>
      <c r="I219" s="3" t="s">
        <v>52</v>
      </c>
      <c r="J219" s="175" t="s">
        <v>754</v>
      </c>
      <c r="K219" s="3">
        <f t="shared" si="27"/>
        <v>2029</v>
      </c>
      <c r="L219" s="172">
        <f t="shared" si="28"/>
        <v>2029.0833333333333</v>
      </c>
      <c r="M219" s="230">
        <v>16054.75</v>
      </c>
      <c r="N219" s="230">
        <f t="shared" si="29"/>
        <v>16054.75</v>
      </c>
      <c r="O219" s="230">
        <f t="shared" si="30"/>
        <v>111.49131944444444</v>
      </c>
      <c r="P219" s="230">
        <f t="shared" si="31"/>
        <v>1337.8958333333333</v>
      </c>
      <c r="Q219" s="230">
        <f t="shared" si="32"/>
        <v>1337.8958333333333</v>
      </c>
      <c r="R219" s="230"/>
      <c r="S219" s="230">
        <f t="shared" si="33"/>
        <v>0</v>
      </c>
      <c r="T219" s="230">
        <f t="shared" si="34"/>
        <v>1337.8958333333333</v>
      </c>
      <c r="U219" s="230">
        <f t="shared" si="35"/>
        <v>15385.802083333332</v>
      </c>
    </row>
    <row r="220" spans="1:21" ht="12" customHeight="1">
      <c r="A220" s="3" t="s">
        <v>679</v>
      </c>
      <c r="C220" s="32">
        <v>188280</v>
      </c>
      <c r="D220" s="32">
        <v>15</v>
      </c>
      <c r="E220" s="3" t="s">
        <v>680</v>
      </c>
      <c r="F220" s="3">
        <v>2017</v>
      </c>
      <c r="G220" s="3">
        <v>1</v>
      </c>
      <c r="H220" s="3">
        <v>0</v>
      </c>
      <c r="I220" s="3" t="s">
        <v>52</v>
      </c>
      <c r="J220" s="175" t="s">
        <v>754</v>
      </c>
      <c r="K220" s="3">
        <f t="shared" si="27"/>
        <v>2029</v>
      </c>
      <c r="L220" s="172">
        <f t="shared" si="28"/>
        <v>2029.0833333333333</v>
      </c>
      <c r="M220" s="230">
        <v>8240.7000000000007</v>
      </c>
      <c r="N220" s="230">
        <f t="shared" si="29"/>
        <v>8240.7000000000007</v>
      </c>
      <c r="O220" s="230">
        <f t="shared" si="30"/>
        <v>57.227083333333333</v>
      </c>
      <c r="P220" s="230">
        <f t="shared" si="31"/>
        <v>686.72500000000002</v>
      </c>
      <c r="Q220" s="230">
        <f t="shared" si="32"/>
        <v>686.72500000000002</v>
      </c>
      <c r="R220" s="230"/>
      <c r="S220" s="230">
        <f t="shared" si="33"/>
        <v>0</v>
      </c>
      <c r="T220" s="230">
        <f t="shared" si="34"/>
        <v>686.72500000000002</v>
      </c>
      <c r="U220" s="230">
        <f t="shared" si="35"/>
        <v>7897.3375000000005</v>
      </c>
    </row>
    <row r="221" spans="1:21" ht="12" customHeight="1">
      <c r="C221" s="32">
        <v>197020</v>
      </c>
      <c r="D221" s="32">
        <v>20</v>
      </c>
      <c r="E221" s="3" t="s">
        <v>537</v>
      </c>
      <c r="F221" s="3">
        <v>2018</v>
      </c>
      <c r="G221" s="3">
        <v>3</v>
      </c>
      <c r="H221" s="3">
        <v>0</v>
      </c>
      <c r="I221" s="3" t="s">
        <v>52</v>
      </c>
      <c r="J221" s="175">
        <v>12</v>
      </c>
      <c r="K221" s="3">
        <f t="shared" si="27"/>
        <v>2030</v>
      </c>
      <c r="L221" s="172">
        <f t="shared" si="28"/>
        <v>2030.25</v>
      </c>
      <c r="M221" s="230">
        <v>18996.43</v>
      </c>
      <c r="N221" s="230">
        <f t="shared" si="29"/>
        <v>18996.43</v>
      </c>
      <c r="O221" s="230">
        <f t="shared" si="30"/>
        <v>131.91965277777777</v>
      </c>
      <c r="P221" s="230">
        <f t="shared" si="31"/>
        <v>1583.0358333333334</v>
      </c>
      <c r="Q221" s="230">
        <f t="shared" si="32"/>
        <v>1583.0358333333334</v>
      </c>
      <c r="R221" s="230"/>
      <c r="S221" s="230">
        <f t="shared" si="33"/>
        <v>0</v>
      </c>
      <c r="T221" s="230">
        <f t="shared" si="34"/>
        <v>1583.0358333333334</v>
      </c>
      <c r="U221" s="230">
        <f t="shared" si="35"/>
        <v>18204.912083333333</v>
      </c>
    </row>
    <row r="222" spans="1:21" ht="12" customHeight="1">
      <c r="C222" s="32">
        <v>197019</v>
      </c>
      <c r="D222" s="32">
        <v>18</v>
      </c>
      <c r="E222" s="3" t="s">
        <v>538</v>
      </c>
      <c r="F222" s="3">
        <v>2018</v>
      </c>
      <c r="G222" s="3">
        <v>3</v>
      </c>
      <c r="H222" s="3">
        <v>0</v>
      </c>
      <c r="I222" s="3" t="s">
        <v>52</v>
      </c>
      <c r="J222" s="175">
        <v>12</v>
      </c>
      <c r="K222" s="3">
        <f t="shared" si="27"/>
        <v>2030</v>
      </c>
      <c r="L222" s="172">
        <f t="shared" si="28"/>
        <v>2030.25</v>
      </c>
      <c r="M222" s="230">
        <v>14958.12</v>
      </c>
      <c r="N222" s="230">
        <f t="shared" si="29"/>
        <v>14958.12</v>
      </c>
      <c r="O222" s="230">
        <f t="shared" si="30"/>
        <v>103.87583333333333</v>
      </c>
      <c r="P222" s="230">
        <f t="shared" si="31"/>
        <v>1246.51</v>
      </c>
      <c r="Q222" s="230">
        <f t="shared" si="32"/>
        <v>1246.51</v>
      </c>
      <c r="R222" s="230"/>
      <c r="S222" s="230">
        <f t="shared" si="33"/>
        <v>0</v>
      </c>
      <c r="T222" s="230">
        <f t="shared" si="34"/>
        <v>1246.51</v>
      </c>
      <c r="U222" s="230">
        <f t="shared" si="35"/>
        <v>14334.865000000002</v>
      </c>
    </row>
    <row r="223" spans="1:21" ht="12" customHeight="1">
      <c r="C223" s="32">
        <v>197018</v>
      </c>
      <c r="D223" s="32">
        <v>15</v>
      </c>
      <c r="E223" s="3" t="s">
        <v>539</v>
      </c>
      <c r="F223" s="3">
        <v>2018</v>
      </c>
      <c r="G223" s="3">
        <v>3</v>
      </c>
      <c r="H223" s="3">
        <v>0</v>
      </c>
      <c r="I223" s="3" t="s">
        <v>52</v>
      </c>
      <c r="J223" s="175">
        <v>12</v>
      </c>
      <c r="K223" s="3">
        <f t="shared" si="27"/>
        <v>2030</v>
      </c>
      <c r="L223" s="172">
        <f t="shared" si="28"/>
        <v>2030.25</v>
      </c>
      <c r="M223" s="230">
        <v>9539.17</v>
      </c>
      <c r="N223" s="230">
        <f t="shared" si="29"/>
        <v>9539.17</v>
      </c>
      <c r="O223" s="230">
        <f t="shared" si="30"/>
        <v>66.244236111111107</v>
      </c>
      <c r="P223" s="230">
        <f t="shared" si="31"/>
        <v>794.93083333333334</v>
      </c>
      <c r="Q223" s="230">
        <f t="shared" si="32"/>
        <v>794.93083333333334</v>
      </c>
      <c r="R223" s="230"/>
      <c r="S223" s="230">
        <f t="shared" si="33"/>
        <v>0</v>
      </c>
      <c r="T223" s="230">
        <f t="shared" si="34"/>
        <v>794.93083333333334</v>
      </c>
      <c r="U223" s="230">
        <f t="shared" si="35"/>
        <v>9141.7045833333323</v>
      </c>
    </row>
    <row r="224" spans="1:21" ht="12" customHeight="1">
      <c r="C224" s="32">
        <v>199096</v>
      </c>
      <c r="D224" s="32">
        <v>15</v>
      </c>
      <c r="E224" s="3" t="s">
        <v>546</v>
      </c>
      <c r="F224" s="3">
        <v>2018</v>
      </c>
      <c r="G224" s="3">
        <v>5</v>
      </c>
      <c r="H224" s="3">
        <v>0</v>
      </c>
      <c r="I224" s="3" t="s">
        <v>52</v>
      </c>
      <c r="J224" s="175">
        <v>12</v>
      </c>
      <c r="K224" s="3">
        <f t="shared" si="27"/>
        <v>2030</v>
      </c>
      <c r="L224" s="172">
        <f t="shared" si="28"/>
        <v>2030.4166666666667</v>
      </c>
      <c r="M224" s="230">
        <v>13539.32</v>
      </c>
      <c r="N224" s="230">
        <f t="shared" si="29"/>
        <v>13539.32</v>
      </c>
      <c r="O224" s="230">
        <f t="shared" si="30"/>
        <v>94.023055555555558</v>
      </c>
      <c r="P224" s="230">
        <f t="shared" si="31"/>
        <v>1128.2766666666666</v>
      </c>
      <c r="Q224" s="230">
        <f t="shared" si="32"/>
        <v>1128.2766666666666</v>
      </c>
      <c r="R224" s="230"/>
      <c r="S224" s="230">
        <f t="shared" si="33"/>
        <v>0</v>
      </c>
      <c r="T224" s="230">
        <f t="shared" si="34"/>
        <v>1128.2766666666666</v>
      </c>
      <c r="U224" s="230">
        <f t="shared" si="35"/>
        <v>12975.181666666667</v>
      </c>
    </row>
    <row r="225" spans="1:21" ht="12" customHeight="1">
      <c r="C225" s="32">
        <v>199095</v>
      </c>
      <c r="D225" s="32">
        <v>15</v>
      </c>
      <c r="E225" s="3" t="s">
        <v>547</v>
      </c>
      <c r="F225" s="3">
        <v>2018</v>
      </c>
      <c r="G225" s="3">
        <v>5</v>
      </c>
      <c r="H225" s="3">
        <v>0</v>
      </c>
      <c r="I225" s="3" t="s">
        <v>52</v>
      </c>
      <c r="J225" s="175">
        <v>12</v>
      </c>
      <c r="K225" s="3">
        <f t="shared" si="27"/>
        <v>2030</v>
      </c>
      <c r="L225" s="172">
        <f t="shared" si="28"/>
        <v>2030.4166666666667</v>
      </c>
      <c r="M225" s="230">
        <v>11547.28</v>
      </c>
      <c r="N225" s="230">
        <f t="shared" si="29"/>
        <v>11547.28</v>
      </c>
      <c r="O225" s="230">
        <f t="shared" si="30"/>
        <v>80.189444444444447</v>
      </c>
      <c r="P225" s="230">
        <f t="shared" si="31"/>
        <v>962.27333333333331</v>
      </c>
      <c r="Q225" s="230">
        <f t="shared" si="32"/>
        <v>962.27333333333331</v>
      </c>
      <c r="R225" s="230"/>
      <c r="S225" s="230">
        <f t="shared" si="33"/>
        <v>0</v>
      </c>
      <c r="T225" s="230">
        <f t="shared" si="34"/>
        <v>962.27333333333331</v>
      </c>
      <c r="U225" s="230">
        <f t="shared" si="35"/>
        <v>11066.143333333333</v>
      </c>
    </row>
    <row r="226" spans="1:21" s="203" customFormat="1" ht="12" customHeight="1">
      <c r="C226" s="209">
        <v>203952</v>
      </c>
      <c r="D226" s="209">
        <v>17</v>
      </c>
      <c r="E226" s="203" t="s">
        <v>962</v>
      </c>
      <c r="F226" s="203">
        <v>2018</v>
      </c>
      <c r="G226" s="203">
        <v>8</v>
      </c>
      <c r="H226" s="203">
        <v>0</v>
      </c>
      <c r="I226" s="203" t="s">
        <v>52</v>
      </c>
      <c r="J226" s="210">
        <v>12</v>
      </c>
      <c r="K226" s="203">
        <f t="shared" si="27"/>
        <v>2030</v>
      </c>
      <c r="L226" s="204">
        <f t="shared" si="28"/>
        <v>2030.6666666666667</v>
      </c>
      <c r="M226" s="205">
        <v>19932.96</v>
      </c>
      <c r="N226" s="205">
        <f t="shared" si="29"/>
        <v>19932.96</v>
      </c>
      <c r="O226" s="205">
        <f t="shared" si="30"/>
        <v>138.42333333333332</v>
      </c>
      <c r="P226" s="205">
        <f t="shared" si="31"/>
        <v>1661.08</v>
      </c>
      <c r="Q226" s="205">
        <f t="shared" si="32"/>
        <v>1661.08</v>
      </c>
      <c r="R226" s="205"/>
      <c r="S226" s="205">
        <f t="shared" si="33"/>
        <v>0</v>
      </c>
      <c r="T226" s="205">
        <f t="shared" si="34"/>
        <v>1661.08</v>
      </c>
      <c r="U226" s="205">
        <f t="shared" si="35"/>
        <v>19102.419999999998</v>
      </c>
    </row>
    <row r="227" spans="1:21" s="203" customFormat="1" ht="12" customHeight="1">
      <c r="C227" s="209">
        <v>203951</v>
      </c>
      <c r="D227" s="209">
        <v>45</v>
      </c>
      <c r="E227" s="203" t="s">
        <v>963</v>
      </c>
      <c r="F227" s="203">
        <v>2018</v>
      </c>
      <c r="G227" s="203">
        <v>8</v>
      </c>
      <c r="H227" s="203">
        <v>0</v>
      </c>
      <c r="I227" s="203" t="s">
        <v>52</v>
      </c>
      <c r="J227" s="210">
        <v>12</v>
      </c>
      <c r="K227" s="203">
        <f t="shared" si="27"/>
        <v>2030</v>
      </c>
      <c r="L227" s="204">
        <f t="shared" si="28"/>
        <v>2030.6666666666667</v>
      </c>
      <c r="M227" s="205">
        <v>30114.18</v>
      </c>
      <c r="N227" s="205">
        <f t="shared" si="29"/>
        <v>30114.18</v>
      </c>
      <c r="O227" s="205">
        <f t="shared" si="30"/>
        <v>209.12625</v>
      </c>
      <c r="P227" s="205">
        <f t="shared" si="31"/>
        <v>2509.5149999999999</v>
      </c>
      <c r="Q227" s="205">
        <f t="shared" si="32"/>
        <v>2509.5149999999999</v>
      </c>
      <c r="R227" s="205"/>
      <c r="S227" s="205">
        <f t="shared" si="33"/>
        <v>0</v>
      </c>
      <c r="T227" s="205">
        <f t="shared" si="34"/>
        <v>2509.5149999999999</v>
      </c>
      <c r="U227" s="205">
        <f t="shared" si="35"/>
        <v>28859.422500000001</v>
      </c>
    </row>
    <row r="228" spans="1:21" ht="12" customHeight="1">
      <c r="M228" s="230"/>
      <c r="N228" s="230"/>
      <c r="O228" s="230"/>
      <c r="P228" s="230"/>
      <c r="Q228" s="230"/>
      <c r="R228" s="230"/>
      <c r="S228" s="230"/>
      <c r="T228" s="230"/>
      <c r="U228" s="230"/>
    </row>
    <row r="229" spans="1:21" ht="12" customHeight="1">
      <c r="C229" s="181" t="s">
        <v>105</v>
      </c>
      <c r="D229" s="181">
        <f>SUM(D12:D228)</f>
        <v>3034</v>
      </c>
      <c r="E229" s="169"/>
      <c r="F229" s="169"/>
      <c r="G229" s="169"/>
      <c r="H229" s="169"/>
      <c r="I229" s="169"/>
      <c r="J229" s="179"/>
      <c r="K229" s="169"/>
      <c r="L229" s="180"/>
      <c r="M229" s="171">
        <f t="shared" ref="M229:U229" si="36">SUM(M12:M228)</f>
        <v>1825058.0200000003</v>
      </c>
      <c r="N229" s="171">
        <f t="shared" si="36"/>
        <v>1825058.0200000003</v>
      </c>
      <c r="O229" s="171">
        <f t="shared" si="36"/>
        <v>13598.404055555558</v>
      </c>
      <c r="P229" s="171">
        <f t="shared" si="36"/>
        <v>163180.8486666668</v>
      </c>
      <c r="Q229" s="171">
        <f t="shared" si="36"/>
        <v>130781.12183333331</v>
      </c>
      <c r="R229" s="171">
        <f t="shared" si="36"/>
        <v>0</v>
      </c>
      <c r="S229" s="171">
        <f t="shared" si="36"/>
        <v>852436.72399999935</v>
      </c>
      <c r="T229" s="171">
        <f t="shared" si="36"/>
        <v>983217.84583333379</v>
      </c>
      <c r="U229" s="171">
        <f t="shared" si="36"/>
        <v>907230.73508333322</v>
      </c>
    </row>
    <row r="230" spans="1:21" ht="12" customHeight="1">
      <c r="M230" s="230"/>
      <c r="N230" s="230"/>
      <c r="O230" s="230"/>
      <c r="P230" s="230"/>
      <c r="Q230" s="230"/>
      <c r="R230" s="230"/>
      <c r="S230" s="230"/>
      <c r="T230" s="230"/>
      <c r="U230" s="230"/>
    </row>
    <row r="231" spans="1:21" s="1" customFormat="1" ht="12" customHeight="1">
      <c r="C231" s="176"/>
      <c r="D231" s="176"/>
      <c r="E231" s="1" t="s">
        <v>106</v>
      </c>
      <c r="J231" s="7"/>
      <c r="L231" s="177"/>
      <c r="M231" s="178"/>
      <c r="N231" s="178"/>
      <c r="O231" s="178"/>
      <c r="P231" s="178"/>
      <c r="Q231" s="178"/>
      <c r="R231" s="178"/>
      <c r="S231" s="178"/>
      <c r="T231" s="178"/>
      <c r="U231" s="178"/>
    </row>
    <row r="232" spans="1:21" ht="12" customHeight="1">
      <c r="M232" s="230"/>
      <c r="N232" s="230"/>
      <c r="O232" s="230"/>
      <c r="P232" s="230"/>
      <c r="Q232" s="230"/>
      <c r="R232" s="230"/>
      <c r="S232" s="230"/>
      <c r="T232" s="230"/>
      <c r="U232" s="230"/>
    </row>
    <row r="233" spans="1:21" ht="12" customHeight="1">
      <c r="A233" s="3" t="s">
        <v>40</v>
      </c>
      <c r="D233" s="32">
        <v>5</v>
      </c>
      <c r="E233" s="3" t="s">
        <v>107</v>
      </c>
      <c r="F233" s="3">
        <v>2005</v>
      </c>
      <c r="G233" s="3">
        <v>9</v>
      </c>
      <c r="H233" s="3">
        <v>0</v>
      </c>
      <c r="I233" s="3" t="s">
        <v>52</v>
      </c>
      <c r="J233" s="175">
        <v>10</v>
      </c>
      <c r="K233" s="3">
        <f t="shared" ref="K233:K264" si="37">F233+J233</f>
        <v>2015</v>
      </c>
      <c r="L233" s="172">
        <f t="shared" ref="L233:L264" si="38">+K233+(G233/12)</f>
        <v>2015.75</v>
      </c>
      <c r="M233" s="230">
        <v>26030.400000000001</v>
      </c>
      <c r="N233" s="230">
        <f t="shared" ref="N233:N264" si="39">M233-M233*H233</f>
        <v>26030.400000000001</v>
      </c>
      <c r="O233" s="230">
        <f t="shared" ref="O233:O256" si="40">N233/J233/12</f>
        <v>216.92</v>
      </c>
      <c r="P233" s="230">
        <f t="shared" ref="P233:P256" si="41">+O233*12</f>
        <v>2603.04</v>
      </c>
      <c r="Q233" s="230">
        <f t="shared" ref="Q233:Q264" si="42">+IF(L233&lt;=$N$5,0,IF(K233&gt;$N$4,P233,(O233*G233)))</f>
        <v>0</v>
      </c>
      <c r="R233" s="230"/>
      <c r="S233" s="230">
        <f t="shared" ref="S233:S264" si="43">+IF(Q233=0,M233,IF($N$3-F233&lt;1,0,(($N$3-F233)*P233)))</f>
        <v>26030.400000000001</v>
      </c>
      <c r="T233" s="230">
        <f t="shared" ref="T233:T264" si="44">+IF(Q233=0,S233,S233+Q233)</f>
        <v>26030.400000000001</v>
      </c>
      <c r="U233" s="230">
        <f t="shared" ref="U233:U264" si="45">+IF(Q233=0,0,((M233-S233)+(M233-T233))/2)</f>
        <v>0</v>
      </c>
    </row>
    <row r="234" spans="1:21" ht="12" customHeight="1">
      <c r="A234" s="3" t="s">
        <v>40</v>
      </c>
      <c r="D234" s="32">
        <v>5</v>
      </c>
      <c r="E234" s="3" t="s">
        <v>107</v>
      </c>
      <c r="F234" s="3">
        <v>2005</v>
      </c>
      <c r="G234" s="3">
        <v>9</v>
      </c>
      <c r="H234" s="3">
        <v>0</v>
      </c>
      <c r="I234" s="3" t="s">
        <v>52</v>
      </c>
      <c r="J234" s="175">
        <v>10</v>
      </c>
      <c r="K234" s="3">
        <f t="shared" si="37"/>
        <v>2015</v>
      </c>
      <c r="L234" s="172">
        <f t="shared" si="38"/>
        <v>2015.75</v>
      </c>
      <c r="M234" s="230">
        <v>26030.400000000001</v>
      </c>
      <c r="N234" s="230">
        <f t="shared" si="39"/>
        <v>26030.400000000001</v>
      </c>
      <c r="O234" s="230">
        <f t="shared" si="40"/>
        <v>216.92</v>
      </c>
      <c r="P234" s="230">
        <f t="shared" si="41"/>
        <v>2603.04</v>
      </c>
      <c r="Q234" s="230">
        <f t="shared" si="42"/>
        <v>0</v>
      </c>
      <c r="R234" s="230"/>
      <c r="S234" s="230">
        <f t="shared" si="43"/>
        <v>26030.400000000001</v>
      </c>
      <c r="T234" s="230">
        <f t="shared" si="44"/>
        <v>26030.400000000001</v>
      </c>
      <c r="U234" s="230">
        <f t="shared" si="45"/>
        <v>0</v>
      </c>
    </row>
    <row r="235" spans="1:21" ht="12" customHeight="1">
      <c r="A235" s="3" t="s">
        <v>40</v>
      </c>
      <c r="D235" s="32">
        <v>5</v>
      </c>
      <c r="E235" s="3" t="s">
        <v>108</v>
      </c>
      <c r="F235" s="3">
        <v>2005</v>
      </c>
      <c r="G235" s="3">
        <v>11</v>
      </c>
      <c r="H235" s="3">
        <v>0</v>
      </c>
      <c r="I235" s="3" t="s">
        <v>52</v>
      </c>
      <c r="J235" s="175">
        <v>10</v>
      </c>
      <c r="K235" s="3">
        <f t="shared" si="37"/>
        <v>2015</v>
      </c>
      <c r="L235" s="172">
        <f t="shared" si="38"/>
        <v>2015.9166666666667</v>
      </c>
      <c r="M235" s="230">
        <v>25459.200000000001</v>
      </c>
      <c r="N235" s="230">
        <f t="shared" si="39"/>
        <v>25459.200000000001</v>
      </c>
      <c r="O235" s="230">
        <f t="shared" si="40"/>
        <v>212.16</v>
      </c>
      <c r="P235" s="230">
        <f t="shared" si="41"/>
        <v>2545.92</v>
      </c>
      <c r="Q235" s="230">
        <f t="shared" si="42"/>
        <v>0</v>
      </c>
      <c r="R235" s="230"/>
      <c r="S235" s="230">
        <f t="shared" si="43"/>
        <v>25459.200000000001</v>
      </c>
      <c r="T235" s="230">
        <f t="shared" si="44"/>
        <v>25459.200000000001</v>
      </c>
      <c r="U235" s="230">
        <f t="shared" si="45"/>
        <v>0</v>
      </c>
    </row>
    <row r="236" spans="1:21" ht="12" customHeight="1">
      <c r="A236" s="3" t="s">
        <v>415</v>
      </c>
      <c r="C236" s="32">
        <v>173205</v>
      </c>
      <c r="D236" s="32">
        <v>5</v>
      </c>
      <c r="E236" s="3" t="s">
        <v>108</v>
      </c>
      <c r="F236" s="3">
        <v>2005</v>
      </c>
      <c r="G236" s="3">
        <v>7</v>
      </c>
      <c r="H236" s="3">
        <v>0</v>
      </c>
      <c r="I236" s="3" t="s">
        <v>52</v>
      </c>
      <c r="J236" s="175">
        <v>10</v>
      </c>
      <c r="K236" s="3">
        <f t="shared" si="37"/>
        <v>2015</v>
      </c>
      <c r="L236" s="172">
        <f t="shared" si="38"/>
        <v>2015.5833333333333</v>
      </c>
      <c r="M236" s="230">
        <v>26933.439999999999</v>
      </c>
      <c r="N236" s="230">
        <f t="shared" si="39"/>
        <v>26933.439999999999</v>
      </c>
      <c r="O236" s="230">
        <f t="shared" si="40"/>
        <v>224.44533333333334</v>
      </c>
      <c r="P236" s="230">
        <f t="shared" si="41"/>
        <v>2693.3440000000001</v>
      </c>
      <c r="Q236" s="230">
        <f t="shared" si="42"/>
        <v>0</v>
      </c>
      <c r="R236" s="230"/>
      <c r="S236" s="230">
        <f t="shared" si="43"/>
        <v>26933.439999999999</v>
      </c>
      <c r="T236" s="230">
        <f t="shared" si="44"/>
        <v>26933.439999999999</v>
      </c>
      <c r="U236" s="230">
        <f t="shared" si="45"/>
        <v>0</v>
      </c>
    </row>
    <row r="237" spans="1:21" ht="12" customHeight="1">
      <c r="A237" s="3" t="s">
        <v>40</v>
      </c>
      <c r="D237" s="32">
        <v>5</v>
      </c>
      <c r="E237" s="3" t="s">
        <v>107</v>
      </c>
      <c r="F237" s="3">
        <v>2006</v>
      </c>
      <c r="G237" s="3">
        <v>10</v>
      </c>
      <c r="H237" s="3">
        <v>0</v>
      </c>
      <c r="I237" s="3" t="s">
        <v>52</v>
      </c>
      <c r="J237" s="175">
        <v>10</v>
      </c>
      <c r="K237" s="3">
        <f t="shared" si="37"/>
        <v>2016</v>
      </c>
      <c r="L237" s="172">
        <f t="shared" si="38"/>
        <v>2016.8333333333333</v>
      </c>
      <c r="M237" s="230">
        <f>15079.68+10053.12</f>
        <v>25132.800000000003</v>
      </c>
      <c r="N237" s="230">
        <f t="shared" si="39"/>
        <v>25132.800000000003</v>
      </c>
      <c r="O237" s="230">
        <f t="shared" si="40"/>
        <v>209.44000000000003</v>
      </c>
      <c r="P237" s="230">
        <f t="shared" si="41"/>
        <v>2513.2800000000002</v>
      </c>
      <c r="Q237" s="230">
        <f t="shared" si="42"/>
        <v>0</v>
      </c>
      <c r="R237" s="230"/>
      <c r="S237" s="230">
        <f t="shared" si="43"/>
        <v>25132.800000000003</v>
      </c>
      <c r="T237" s="230">
        <f t="shared" si="44"/>
        <v>25132.800000000003</v>
      </c>
      <c r="U237" s="230">
        <f t="shared" si="45"/>
        <v>0</v>
      </c>
    </row>
    <row r="238" spans="1:21" ht="12" customHeight="1">
      <c r="A238" s="3" t="s">
        <v>40</v>
      </c>
      <c r="D238" s="32">
        <v>5</v>
      </c>
      <c r="E238" s="3" t="s">
        <v>108</v>
      </c>
      <c r="F238" s="3">
        <v>2006</v>
      </c>
      <c r="G238" s="3">
        <v>5</v>
      </c>
      <c r="H238" s="3">
        <v>0</v>
      </c>
      <c r="I238" s="3" t="s">
        <v>52</v>
      </c>
      <c r="J238" s="175">
        <v>10</v>
      </c>
      <c r="K238" s="3">
        <f t="shared" si="37"/>
        <v>2016</v>
      </c>
      <c r="L238" s="172">
        <f t="shared" si="38"/>
        <v>2016.4166666666667</v>
      </c>
      <c r="M238" s="230">
        <v>24752</v>
      </c>
      <c r="N238" s="230">
        <f t="shared" si="39"/>
        <v>24752</v>
      </c>
      <c r="O238" s="230">
        <f t="shared" si="40"/>
        <v>206.26666666666665</v>
      </c>
      <c r="P238" s="230">
        <f t="shared" si="41"/>
        <v>2475.1999999999998</v>
      </c>
      <c r="Q238" s="230">
        <f t="shared" si="42"/>
        <v>0</v>
      </c>
      <c r="R238" s="230"/>
      <c r="S238" s="230">
        <f t="shared" si="43"/>
        <v>24752</v>
      </c>
      <c r="T238" s="230">
        <f t="shared" si="44"/>
        <v>24752</v>
      </c>
      <c r="U238" s="230">
        <f t="shared" si="45"/>
        <v>0</v>
      </c>
    </row>
    <row r="239" spans="1:21" ht="12" customHeight="1">
      <c r="A239" s="3" t="s">
        <v>415</v>
      </c>
      <c r="C239" s="32">
        <v>173227</v>
      </c>
      <c r="D239" s="32">
        <v>5</v>
      </c>
      <c r="E239" s="3" t="s">
        <v>478</v>
      </c>
      <c r="F239" s="3">
        <v>2006</v>
      </c>
      <c r="G239" s="3">
        <v>3</v>
      </c>
      <c r="H239" s="3">
        <v>0</v>
      </c>
      <c r="I239" s="3" t="s">
        <v>52</v>
      </c>
      <c r="J239" s="175">
        <v>10</v>
      </c>
      <c r="K239" s="3">
        <f t="shared" si="37"/>
        <v>2016</v>
      </c>
      <c r="L239" s="172">
        <f t="shared" si="38"/>
        <v>2016.25</v>
      </c>
      <c r="M239" s="230">
        <v>25704</v>
      </c>
      <c r="N239" s="230">
        <f t="shared" si="39"/>
        <v>25704</v>
      </c>
      <c r="O239" s="230">
        <f t="shared" si="40"/>
        <v>214.20000000000002</v>
      </c>
      <c r="P239" s="230">
        <f t="shared" si="41"/>
        <v>2570.4</v>
      </c>
      <c r="Q239" s="230">
        <f t="shared" si="42"/>
        <v>0</v>
      </c>
      <c r="R239" s="230"/>
      <c r="S239" s="230">
        <f t="shared" si="43"/>
        <v>25704</v>
      </c>
      <c r="T239" s="230">
        <f t="shared" si="44"/>
        <v>25704</v>
      </c>
      <c r="U239" s="230">
        <f t="shared" si="45"/>
        <v>0</v>
      </c>
    </row>
    <row r="240" spans="1:21" ht="12" customHeight="1">
      <c r="A240" s="3" t="s">
        <v>40</v>
      </c>
      <c r="D240" s="32">
        <v>10</v>
      </c>
      <c r="E240" s="3" t="s">
        <v>108</v>
      </c>
      <c r="F240" s="3">
        <v>2007</v>
      </c>
      <c r="G240" s="3">
        <v>3</v>
      </c>
      <c r="H240" s="3">
        <v>0</v>
      </c>
      <c r="I240" s="3" t="s">
        <v>52</v>
      </c>
      <c r="J240" s="175">
        <v>10</v>
      </c>
      <c r="K240" s="3">
        <f t="shared" si="37"/>
        <v>2017</v>
      </c>
      <c r="L240" s="172">
        <f t="shared" si="38"/>
        <v>2017.25</v>
      </c>
      <c r="M240" s="230">
        <v>51408</v>
      </c>
      <c r="N240" s="230">
        <f t="shared" si="39"/>
        <v>51408</v>
      </c>
      <c r="O240" s="230">
        <f t="shared" si="40"/>
        <v>428.40000000000003</v>
      </c>
      <c r="P240" s="230">
        <f t="shared" si="41"/>
        <v>5140.8</v>
      </c>
      <c r="Q240" s="230">
        <f t="shared" si="42"/>
        <v>0</v>
      </c>
      <c r="R240" s="230"/>
      <c r="S240" s="230">
        <f t="shared" si="43"/>
        <v>51408</v>
      </c>
      <c r="T240" s="230">
        <f t="shared" si="44"/>
        <v>51408</v>
      </c>
      <c r="U240" s="230">
        <f t="shared" si="45"/>
        <v>0</v>
      </c>
    </row>
    <row r="241" spans="1:21" ht="12" customHeight="1">
      <c r="A241" s="3" t="s">
        <v>415</v>
      </c>
      <c r="C241" s="32">
        <v>173246</v>
      </c>
      <c r="D241" s="32">
        <v>5</v>
      </c>
      <c r="E241" s="3" t="s">
        <v>108</v>
      </c>
      <c r="F241" s="3">
        <v>2007</v>
      </c>
      <c r="G241" s="3">
        <v>8</v>
      </c>
      <c r="H241" s="3">
        <v>0</v>
      </c>
      <c r="I241" s="3" t="s">
        <v>52</v>
      </c>
      <c r="J241" s="175">
        <v>10</v>
      </c>
      <c r="K241" s="3">
        <f t="shared" si="37"/>
        <v>2017</v>
      </c>
      <c r="L241" s="172">
        <f t="shared" si="38"/>
        <v>2017.6666666666667</v>
      </c>
      <c r="M241" s="230">
        <v>25704</v>
      </c>
      <c r="N241" s="230">
        <f t="shared" si="39"/>
        <v>25704</v>
      </c>
      <c r="O241" s="230">
        <f t="shared" si="40"/>
        <v>214.20000000000002</v>
      </c>
      <c r="P241" s="230">
        <f t="shared" si="41"/>
        <v>2570.4</v>
      </c>
      <c r="Q241" s="230">
        <f t="shared" si="42"/>
        <v>0</v>
      </c>
      <c r="R241" s="230"/>
      <c r="S241" s="230">
        <f t="shared" si="43"/>
        <v>25704</v>
      </c>
      <c r="T241" s="230">
        <f t="shared" si="44"/>
        <v>25704</v>
      </c>
      <c r="U241" s="230">
        <f t="shared" si="45"/>
        <v>0</v>
      </c>
    </row>
    <row r="242" spans="1:21" ht="12" customHeight="1">
      <c r="A242" s="3" t="s">
        <v>415</v>
      </c>
      <c r="C242" s="32" t="s">
        <v>496</v>
      </c>
      <c r="D242" s="32">
        <v>5</v>
      </c>
      <c r="E242" s="3" t="s">
        <v>108</v>
      </c>
      <c r="F242" s="3">
        <v>2008</v>
      </c>
      <c r="G242" s="3">
        <v>1</v>
      </c>
      <c r="H242" s="3">
        <v>0</v>
      </c>
      <c r="I242" s="3" t="s">
        <v>52</v>
      </c>
      <c r="J242" s="175">
        <v>10</v>
      </c>
      <c r="K242" s="3">
        <f t="shared" si="37"/>
        <v>2018</v>
      </c>
      <c r="L242" s="172">
        <f t="shared" si="38"/>
        <v>2018.0833333333333</v>
      </c>
      <c r="M242" s="230">
        <f>10759.32+16138.98</f>
        <v>26898.3</v>
      </c>
      <c r="N242" s="230">
        <f t="shared" si="39"/>
        <v>26898.3</v>
      </c>
      <c r="O242" s="230">
        <f t="shared" si="40"/>
        <v>224.1525</v>
      </c>
      <c r="P242" s="230">
        <f t="shared" si="41"/>
        <v>2689.83</v>
      </c>
      <c r="Q242" s="230">
        <f t="shared" si="42"/>
        <v>0</v>
      </c>
      <c r="R242" s="230"/>
      <c r="S242" s="230">
        <f t="shared" si="43"/>
        <v>26898.3</v>
      </c>
      <c r="T242" s="230">
        <f t="shared" si="44"/>
        <v>26898.3</v>
      </c>
      <c r="U242" s="230">
        <f t="shared" si="45"/>
        <v>0</v>
      </c>
    </row>
    <row r="243" spans="1:21" ht="12" customHeight="1">
      <c r="A243" s="3" t="s">
        <v>415</v>
      </c>
      <c r="D243" s="32">
        <v>3</v>
      </c>
      <c r="E243" s="3" t="s">
        <v>479</v>
      </c>
      <c r="F243" s="3">
        <v>2010</v>
      </c>
      <c r="G243" s="3">
        <v>12</v>
      </c>
      <c r="H243" s="3">
        <v>0</v>
      </c>
      <c r="I243" s="3" t="s">
        <v>52</v>
      </c>
      <c r="J243" s="175">
        <v>10</v>
      </c>
      <c r="K243" s="3">
        <f t="shared" si="37"/>
        <v>2020</v>
      </c>
      <c r="L243" s="172">
        <f t="shared" si="38"/>
        <v>2021</v>
      </c>
      <c r="M243" s="230">
        <f>15520.6+7760.3</f>
        <v>23280.9</v>
      </c>
      <c r="N243" s="230">
        <f t="shared" si="39"/>
        <v>23280.9</v>
      </c>
      <c r="O243" s="230">
        <f t="shared" si="40"/>
        <v>194.00750000000002</v>
      </c>
      <c r="P243" s="230">
        <f t="shared" si="41"/>
        <v>2328.09</v>
      </c>
      <c r="Q243" s="230">
        <f t="shared" si="42"/>
        <v>2328.09</v>
      </c>
      <c r="R243" s="230"/>
      <c r="S243" s="230">
        <f t="shared" si="43"/>
        <v>16296.630000000001</v>
      </c>
      <c r="T243" s="230">
        <f t="shared" si="44"/>
        <v>18624.72</v>
      </c>
      <c r="U243" s="230">
        <f t="shared" si="45"/>
        <v>5820.2250000000004</v>
      </c>
    </row>
    <row r="244" spans="1:21" ht="12" customHeight="1">
      <c r="A244" s="3" t="s">
        <v>40</v>
      </c>
      <c r="C244" s="32">
        <v>115362</v>
      </c>
      <c r="D244" s="32">
        <v>1</v>
      </c>
      <c r="E244" s="3" t="s">
        <v>108</v>
      </c>
      <c r="F244" s="3">
        <v>2014</v>
      </c>
      <c r="G244" s="3">
        <v>8</v>
      </c>
      <c r="H244" s="3">
        <v>0</v>
      </c>
      <c r="I244" s="3" t="s">
        <v>52</v>
      </c>
      <c r="J244" s="175">
        <v>10</v>
      </c>
      <c r="K244" s="3">
        <f t="shared" si="37"/>
        <v>2024</v>
      </c>
      <c r="L244" s="172">
        <f t="shared" si="38"/>
        <v>2024.6666666666667</v>
      </c>
      <c r="M244" s="230">
        <v>6969.68</v>
      </c>
      <c r="N244" s="230">
        <f t="shared" si="39"/>
        <v>6969.68</v>
      </c>
      <c r="O244" s="230">
        <f t="shared" si="40"/>
        <v>58.080666666666673</v>
      </c>
      <c r="P244" s="230">
        <f t="shared" si="41"/>
        <v>696.96800000000007</v>
      </c>
      <c r="Q244" s="230">
        <f t="shared" si="42"/>
        <v>696.96800000000007</v>
      </c>
      <c r="R244" s="230"/>
      <c r="S244" s="230">
        <f t="shared" si="43"/>
        <v>2090.9040000000005</v>
      </c>
      <c r="T244" s="230">
        <f t="shared" si="44"/>
        <v>2787.8720000000003</v>
      </c>
      <c r="U244" s="230">
        <f t="shared" si="45"/>
        <v>4530.2919999999995</v>
      </c>
    </row>
    <row r="245" spans="1:21" ht="12" customHeight="1">
      <c r="A245" s="3" t="s">
        <v>40</v>
      </c>
      <c r="C245" s="32">
        <v>115361</v>
      </c>
      <c r="D245" s="32">
        <v>1</v>
      </c>
      <c r="E245" s="3" t="s">
        <v>108</v>
      </c>
      <c r="F245" s="3">
        <v>2014</v>
      </c>
      <c r="G245" s="3">
        <v>8</v>
      </c>
      <c r="H245" s="3">
        <v>0</v>
      </c>
      <c r="I245" s="3" t="s">
        <v>52</v>
      </c>
      <c r="J245" s="175">
        <v>10</v>
      </c>
      <c r="K245" s="3">
        <f t="shared" si="37"/>
        <v>2024</v>
      </c>
      <c r="L245" s="172">
        <f t="shared" si="38"/>
        <v>2024.6666666666667</v>
      </c>
      <c r="M245" s="230">
        <v>6969.68</v>
      </c>
      <c r="N245" s="230">
        <f t="shared" si="39"/>
        <v>6969.68</v>
      </c>
      <c r="O245" s="230">
        <f t="shared" si="40"/>
        <v>58.080666666666673</v>
      </c>
      <c r="P245" s="230">
        <f t="shared" si="41"/>
        <v>696.96800000000007</v>
      </c>
      <c r="Q245" s="230">
        <f t="shared" si="42"/>
        <v>696.96800000000007</v>
      </c>
      <c r="R245" s="230"/>
      <c r="S245" s="230">
        <f t="shared" si="43"/>
        <v>2090.9040000000005</v>
      </c>
      <c r="T245" s="230">
        <f t="shared" si="44"/>
        <v>2787.8720000000003</v>
      </c>
      <c r="U245" s="230">
        <f t="shared" si="45"/>
        <v>4530.2919999999995</v>
      </c>
    </row>
    <row r="246" spans="1:21" ht="12" customHeight="1">
      <c r="A246" s="3" t="s">
        <v>40</v>
      </c>
      <c r="C246" s="32">
        <v>118361</v>
      </c>
      <c r="D246" s="32">
        <v>48</v>
      </c>
      <c r="E246" s="3" t="s">
        <v>322</v>
      </c>
      <c r="F246" s="3">
        <v>2014</v>
      </c>
      <c r="G246" s="3">
        <v>12</v>
      </c>
      <c r="H246" s="3">
        <v>0</v>
      </c>
      <c r="I246" s="3" t="s">
        <v>52</v>
      </c>
      <c r="J246" s="175">
        <v>5</v>
      </c>
      <c r="K246" s="3">
        <f t="shared" si="37"/>
        <v>2019</v>
      </c>
      <c r="L246" s="172">
        <f t="shared" si="38"/>
        <v>2020</v>
      </c>
      <c r="M246" s="230">
        <v>59251.040000000001</v>
      </c>
      <c r="N246" s="230">
        <f t="shared" si="39"/>
        <v>59251.040000000001</v>
      </c>
      <c r="O246" s="230">
        <f t="shared" si="40"/>
        <v>987.51733333333334</v>
      </c>
      <c r="P246" s="230">
        <f t="shared" si="41"/>
        <v>11850.208000000001</v>
      </c>
      <c r="Q246" s="230">
        <f t="shared" si="42"/>
        <v>11850.208000000001</v>
      </c>
      <c r="R246" s="230"/>
      <c r="S246" s="230">
        <f t="shared" si="43"/>
        <v>35550.624000000003</v>
      </c>
      <c r="T246" s="230">
        <f t="shared" si="44"/>
        <v>47400.832000000002</v>
      </c>
      <c r="U246" s="230">
        <f t="shared" si="45"/>
        <v>17775.311999999998</v>
      </c>
    </row>
    <row r="247" spans="1:21" ht="12" customHeight="1">
      <c r="A247" s="3" t="s">
        <v>40</v>
      </c>
      <c r="C247" s="32">
        <v>122888</v>
      </c>
      <c r="D247" s="32">
        <v>5</v>
      </c>
      <c r="E247" s="3" t="s">
        <v>328</v>
      </c>
      <c r="F247" s="3">
        <v>2015</v>
      </c>
      <c r="G247" s="3">
        <v>4</v>
      </c>
      <c r="H247" s="3">
        <v>0</v>
      </c>
      <c r="I247" s="3" t="s">
        <v>52</v>
      </c>
      <c r="J247" s="175">
        <v>10</v>
      </c>
      <c r="K247" s="3">
        <f t="shared" si="37"/>
        <v>2025</v>
      </c>
      <c r="L247" s="172">
        <f t="shared" si="38"/>
        <v>2025.3333333333333</v>
      </c>
      <c r="M247" s="230">
        <v>30270</v>
      </c>
      <c r="N247" s="230">
        <f t="shared" si="39"/>
        <v>30270</v>
      </c>
      <c r="O247" s="230">
        <f t="shared" si="40"/>
        <v>252.25</v>
      </c>
      <c r="P247" s="230">
        <f t="shared" si="41"/>
        <v>3027</v>
      </c>
      <c r="Q247" s="230">
        <f t="shared" si="42"/>
        <v>3027</v>
      </c>
      <c r="R247" s="230"/>
      <c r="S247" s="230">
        <f t="shared" si="43"/>
        <v>6054</v>
      </c>
      <c r="T247" s="230">
        <f t="shared" si="44"/>
        <v>9081</v>
      </c>
      <c r="U247" s="230">
        <f t="shared" si="45"/>
        <v>22702.5</v>
      </c>
    </row>
    <row r="248" spans="1:21" ht="12" customHeight="1">
      <c r="A248" s="3" t="s">
        <v>679</v>
      </c>
      <c r="C248" s="32">
        <v>189381</v>
      </c>
      <c r="D248" s="32">
        <v>2</v>
      </c>
      <c r="E248" s="3" t="s">
        <v>753</v>
      </c>
      <c r="F248" s="3">
        <v>2017</v>
      </c>
      <c r="G248" s="3">
        <v>6</v>
      </c>
      <c r="H248" s="3">
        <v>0</v>
      </c>
      <c r="I248" s="3" t="s">
        <v>52</v>
      </c>
      <c r="J248" s="175" t="s">
        <v>754</v>
      </c>
      <c r="K248" s="3">
        <f t="shared" si="37"/>
        <v>2029</v>
      </c>
      <c r="L248" s="172">
        <f t="shared" si="38"/>
        <v>2029.5</v>
      </c>
      <c r="M248" s="230">
        <v>8304</v>
      </c>
      <c r="N248" s="230">
        <f t="shared" si="39"/>
        <v>8304</v>
      </c>
      <c r="O248" s="230">
        <f t="shared" si="40"/>
        <v>57.666666666666664</v>
      </c>
      <c r="P248" s="230">
        <f t="shared" si="41"/>
        <v>692</v>
      </c>
      <c r="Q248" s="230">
        <f t="shared" si="42"/>
        <v>692</v>
      </c>
      <c r="R248" s="230"/>
      <c r="S248" s="230">
        <f t="shared" si="43"/>
        <v>0</v>
      </c>
      <c r="T248" s="230">
        <f t="shared" si="44"/>
        <v>692</v>
      </c>
      <c r="U248" s="230">
        <f t="shared" si="45"/>
        <v>7958</v>
      </c>
    </row>
    <row r="249" spans="1:21" ht="12" customHeight="1">
      <c r="A249" s="3" t="s">
        <v>679</v>
      </c>
      <c r="C249" s="32">
        <v>16550</v>
      </c>
      <c r="D249" s="32">
        <v>1</v>
      </c>
      <c r="E249" s="3" t="s">
        <v>758</v>
      </c>
      <c r="F249" s="3">
        <v>2002</v>
      </c>
      <c r="G249" s="3">
        <v>7</v>
      </c>
      <c r="H249" s="3">
        <v>0</v>
      </c>
      <c r="I249" s="3" t="s">
        <v>52</v>
      </c>
      <c r="J249" s="175" t="s">
        <v>754</v>
      </c>
      <c r="K249" s="3">
        <f t="shared" si="37"/>
        <v>2014</v>
      </c>
      <c r="L249" s="172">
        <f t="shared" si="38"/>
        <v>2014.5833333333333</v>
      </c>
      <c r="M249" s="230">
        <v>3372.8</v>
      </c>
      <c r="N249" s="230">
        <f t="shared" si="39"/>
        <v>3372.8</v>
      </c>
      <c r="O249" s="230">
        <f t="shared" si="40"/>
        <v>23.422222222222221</v>
      </c>
      <c r="P249" s="230">
        <f t="shared" si="41"/>
        <v>281.06666666666666</v>
      </c>
      <c r="Q249" s="230">
        <f t="shared" si="42"/>
        <v>0</v>
      </c>
      <c r="R249" s="230"/>
      <c r="S249" s="230">
        <f t="shared" si="43"/>
        <v>3372.8</v>
      </c>
      <c r="T249" s="230">
        <f t="shared" si="44"/>
        <v>3372.8</v>
      </c>
      <c r="U249" s="230">
        <f t="shared" si="45"/>
        <v>0</v>
      </c>
    </row>
    <row r="250" spans="1:21" ht="12" customHeight="1">
      <c r="A250" s="3" t="s">
        <v>679</v>
      </c>
      <c r="C250" s="32">
        <v>35620</v>
      </c>
      <c r="D250" s="32">
        <v>5</v>
      </c>
      <c r="E250" s="3" t="s">
        <v>759</v>
      </c>
      <c r="F250" s="3">
        <v>2005</v>
      </c>
      <c r="G250" s="3">
        <v>7</v>
      </c>
      <c r="H250" s="3">
        <v>0</v>
      </c>
      <c r="I250" s="3" t="s">
        <v>52</v>
      </c>
      <c r="J250" s="175" t="s">
        <v>754</v>
      </c>
      <c r="K250" s="3">
        <f t="shared" si="37"/>
        <v>2017</v>
      </c>
      <c r="L250" s="172">
        <f t="shared" si="38"/>
        <v>2017.5833333333333</v>
      </c>
      <c r="M250" s="230">
        <v>26030.400000000001</v>
      </c>
      <c r="N250" s="230">
        <f t="shared" si="39"/>
        <v>26030.400000000001</v>
      </c>
      <c r="O250" s="230">
        <f t="shared" si="40"/>
        <v>180.76666666666668</v>
      </c>
      <c r="P250" s="230">
        <f t="shared" si="41"/>
        <v>2169.2000000000003</v>
      </c>
      <c r="Q250" s="230">
        <f t="shared" si="42"/>
        <v>0</v>
      </c>
      <c r="R250" s="230"/>
      <c r="S250" s="230">
        <f t="shared" si="43"/>
        <v>26030.400000000001</v>
      </c>
      <c r="T250" s="230">
        <f t="shared" si="44"/>
        <v>26030.400000000001</v>
      </c>
      <c r="U250" s="230">
        <f t="shared" si="45"/>
        <v>0</v>
      </c>
    </row>
    <row r="251" spans="1:21" ht="12" customHeight="1">
      <c r="A251" s="3" t="s">
        <v>679</v>
      </c>
      <c r="C251" s="32">
        <v>43156</v>
      </c>
      <c r="D251" s="32">
        <v>2</v>
      </c>
      <c r="E251" s="3" t="s">
        <v>760</v>
      </c>
      <c r="F251" s="3">
        <v>2006</v>
      </c>
      <c r="G251" s="3">
        <v>4</v>
      </c>
      <c r="H251" s="3">
        <v>0</v>
      </c>
      <c r="I251" s="3" t="s">
        <v>52</v>
      </c>
      <c r="J251" s="175" t="s">
        <v>754</v>
      </c>
      <c r="K251" s="3">
        <f t="shared" si="37"/>
        <v>2018</v>
      </c>
      <c r="L251" s="172">
        <f t="shared" si="38"/>
        <v>2018.3333333333333</v>
      </c>
      <c r="M251" s="230">
        <v>9900.7999999999993</v>
      </c>
      <c r="N251" s="230">
        <f t="shared" si="39"/>
        <v>9900.7999999999993</v>
      </c>
      <c r="O251" s="230">
        <f t="shared" si="40"/>
        <v>68.755555555555546</v>
      </c>
      <c r="P251" s="230">
        <f t="shared" si="41"/>
        <v>825.06666666666661</v>
      </c>
      <c r="Q251" s="230">
        <f t="shared" si="42"/>
        <v>0</v>
      </c>
      <c r="R251" s="230"/>
      <c r="S251" s="230">
        <f t="shared" si="43"/>
        <v>9900.7999999999993</v>
      </c>
      <c r="T251" s="230">
        <f t="shared" si="44"/>
        <v>9900.7999999999993</v>
      </c>
      <c r="U251" s="230">
        <f t="shared" si="45"/>
        <v>0</v>
      </c>
    </row>
    <row r="252" spans="1:21" ht="12" customHeight="1">
      <c r="A252" s="3" t="s">
        <v>679</v>
      </c>
      <c r="C252" s="32">
        <v>43159</v>
      </c>
      <c r="D252" s="32">
        <v>2</v>
      </c>
      <c r="E252" s="3" t="s">
        <v>760</v>
      </c>
      <c r="F252" s="3">
        <v>2006</v>
      </c>
      <c r="G252" s="3">
        <v>4</v>
      </c>
      <c r="H252" s="3">
        <v>0</v>
      </c>
      <c r="I252" s="3" t="s">
        <v>52</v>
      </c>
      <c r="J252" s="175" t="s">
        <v>754</v>
      </c>
      <c r="K252" s="3">
        <f t="shared" si="37"/>
        <v>2018</v>
      </c>
      <c r="L252" s="172">
        <f t="shared" si="38"/>
        <v>2018.3333333333333</v>
      </c>
      <c r="M252" s="230">
        <v>9900.7999999999993</v>
      </c>
      <c r="N252" s="230">
        <f t="shared" si="39"/>
        <v>9900.7999999999993</v>
      </c>
      <c r="O252" s="230">
        <f t="shared" si="40"/>
        <v>68.755555555555546</v>
      </c>
      <c r="P252" s="230">
        <f t="shared" si="41"/>
        <v>825.06666666666661</v>
      </c>
      <c r="Q252" s="230">
        <f t="shared" si="42"/>
        <v>0</v>
      </c>
      <c r="R252" s="230"/>
      <c r="S252" s="230">
        <f t="shared" si="43"/>
        <v>9900.7999999999993</v>
      </c>
      <c r="T252" s="230">
        <f t="shared" si="44"/>
        <v>9900.7999999999993</v>
      </c>
      <c r="U252" s="230">
        <f t="shared" si="45"/>
        <v>0</v>
      </c>
    </row>
    <row r="253" spans="1:21" ht="12" customHeight="1">
      <c r="A253" s="3" t="s">
        <v>679</v>
      </c>
      <c r="C253" s="32">
        <v>44004</v>
      </c>
      <c r="D253" s="32">
        <v>3</v>
      </c>
      <c r="E253" s="3" t="s">
        <v>760</v>
      </c>
      <c r="F253" s="3">
        <v>2006</v>
      </c>
      <c r="G253" s="3">
        <v>5</v>
      </c>
      <c r="H253" s="3">
        <v>0</v>
      </c>
      <c r="I253" s="3" t="s">
        <v>52</v>
      </c>
      <c r="J253" s="175" t="s">
        <v>754</v>
      </c>
      <c r="K253" s="3">
        <f t="shared" si="37"/>
        <v>2018</v>
      </c>
      <c r="L253" s="172">
        <f t="shared" si="38"/>
        <v>2018.4166666666667</v>
      </c>
      <c r="M253" s="230">
        <v>14851.2</v>
      </c>
      <c r="N253" s="230">
        <f t="shared" si="39"/>
        <v>14851.2</v>
      </c>
      <c r="O253" s="230">
        <f t="shared" si="40"/>
        <v>103.13333333333334</v>
      </c>
      <c r="P253" s="230">
        <f t="shared" si="41"/>
        <v>1237.6000000000001</v>
      </c>
      <c r="Q253" s="230">
        <f t="shared" si="42"/>
        <v>0</v>
      </c>
      <c r="R253" s="230"/>
      <c r="S253" s="230">
        <f t="shared" si="43"/>
        <v>14851.2</v>
      </c>
      <c r="T253" s="230">
        <f t="shared" si="44"/>
        <v>14851.2</v>
      </c>
      <c r="U253" s="230">
        <f t="shared" si="45"/>
        <v>0</v>
      </c>
    </row>
    <row r="254" spans="1:21" ht="12" customHeight="1">
      <c r="A254" s="3" t="s">
        <v>679</v>
      </c>
      <c r="C254" s="32">
        <v>44005</v>
      </c>
      <c r="D254" s="32">
        <v>2</v>
      </c>
      <c r="E254" s="3" t="s">
        <v>760</v>
      </c>
      <c r="F254" s="3">
        <v>2006</v>
      </c>
      <c r="G254" s="3">
        <v>5</v>
      </c>
      <c r="H254" s="3">
        <v>0</v>
      </c>
      <c r="I254" s="3" t="s">
        <v>52</v>
      </c>
      <c r="J254" s="175" t="s">
        <v>754</v>
      </c>
      <c r="K254" s="3">
        <f t="shared" si="37"/>
        <v>2018</v>
      </c>
      <c r="L254" s="172">
        <f t="shared" si="38"/>
        <v>2018.4166666666667</v>
      </c>
      <c r="M254" s="230">
        <v>9900.7999999999993</v>
      </c>
      <c r="N254" s="230">
        <f t="shared" si="39"/>
        <v>9900.7999999999993</v>
      </c>
      <c r="O254" s="230">
        <f t="shared" si="40"/>
        <v>68.755555555555546</v>
      </c>
      <c r="P254" s="230">
        <f t="shared" si="41"/>
        <v>825.06666666666661</v>
      </c>
      <c r="Q254" s="230">
        <f t="shared" si="42"/>
        <v>0</v>
      </c>
      <c r="R254" s="230"/>
      <c r="S254" s="230">
        <f t="shared" si="43"/>
        <v>9900.7999999999993</v>
      </c>
      <c r="T254" s="230">
        <f t="shared" si="44"/>
        <v>9900.7999999999993</v>
      </c>
      <c r="U254" s="230">
        <f t="shared" si="45"/>
        <v>0</v>
      </c>
    </row>
    <row r="255" spans="1:21" ht="12" customHeight="1">
      <c r="A255" s="3" t="s">
        <v>679</v>
      </c>
      <c r="C255" s="32">
        <v>50575</v>
      </c>
      <c r="D255" s="32">
        <v>15</v>
      </c>
      <c r="E255" s="3" t="s">
        <v>761</v>
      </c>
      <c r="F255" s="3">
        <v>2007</v>
      </c>
      <c r="G255" s="3">
        <v>6</v>
      </c>
      <c r="H255" s="3">
        <v>0</v>
      </c>
      <c r="I255" s="3" t="s">
        <v>52</v>
      </c>
      <c r="J255" s="175" t="s">
        <v>754</v>
      </c>
      <c r="K255" s="3">
        <f t="shared" si="37"/>
        <v>2019</v>
      </c>
      <c r="L255" s="172">
        <f t="shared" si="38"/>
        <v>2019.5</v>
      </c>
      <c r="M255" s="230">
        <v>77112</v>
      </c>
      <c r="N255" s="230">
        <f t="shared" si="39"/>
        <v>77112</v>
      </c>
      <c r="O255" s="230">
        <f t="shared" si="40"/>
        <v>535.5</v>
      </c>
      <c r="P255" s="230">
        <f t="shared" si="41"/>
        <v>6426</v>
      </c>
      <c r="Q255" s="230">
        <f t="shared" si="42"/>
        <v>6426</v>
      </c>
      <c r="R255" s="230"/>
      <c r="S255" s="230">
        <f t="shared" si="43"/>
        <v>64260</v>
      </c>
      <c r="T255" s="230">
        <f t="shared" si="44"/>
        <v>70686</v>
      </c>
      <c r="U255" s="230">
        <f t="shared" si="45"/>
        <v>9639</v>
      </c>
    </row>
    <row r="256" spans="1:21" ht="12" customHeight="1">
      <c r="A256" s="3" t="s">
        <v>679</v>
      </c>
      <c r="C256" s="32">
        <v>88231</v>
      </c>
      <c r="D256" s="32">
        <v>30</v>
      </c>
      <c r="E256" s="3" t="s">
        <v>762</v>
      </c>
      <c r="F256" s="3">
        <v>2011</v>
      </c>
      <c r="G256" s="3">
        <v>12</v>
      </c>
      <c r="H256" s="3">
        <v>0</v>
      </c>
      <c r="I256" s="3" t="s">
        <v>52</v>
      </c>
      <c r="J256" s="175">
        <v>5</v>
      </c>
      <c r="K256" s="3">
        <f t="shared" si="37"/>
        <v>2016</v>
      </c>
      <c r="L256" s="172">
        <f t="shared" si="38"/>
        <v>2017</v>
      </c>
      <c r="M256" s="230">
        <v>26356.25</v>
      </c>
      <c r="N256" s="230">
        <f t="shared" si="39"/>
        <v>26356.25</v>
      </c>
      <c r="O256" s="230">
        <f t="shared" si="40"/>
        <v>439.27083333333331</v>
      </c>
      <c r="P256" s="230">
        <f t="shared" si="41"/>
        <v>5271.25</v>
      </c>
      <c r="Q256" s="230">
        <f t="shared" si="42"/>
        <v>0</v>
      </c>
      <c r="R256" s="230"/>
      <c r="S256" s="230">
        <f t="shared" si="43"/>
        <v>26356.25</v>
      </c>
      <c r="T256" s="230">
        <f t="shared" si="44"/>
        <v>26356.25</v>
      </c>
      <c r="U256" s="230">
        <f t="shared" si="45"/>
        <v>0</v>
      </c>
    </row>
    <row r="257" spans="1:21" ht="12" customHeight="1">
      <c r="A257" s="3" t="s">
        <v>679</v>
      </c>
      <c r="C257" s="32">
        <v>124134</v>
      </c>
      <c r="D257" s="32">
        <v>6</v>
      </c>
      <c r="E257" s="3" t="s">
        <v>763</v>
      </c>
      <c r="F257" s="3">
        <v>2015</v>
      </c>
      <c r="G257" s="3">
        <v>7</v>
      </c>
      <c r="H257" s="3">
        <v>0</v>
      </c>
      <c r="I257" s="3" t="s">
        <v>52</v>
      </c>
      <c r="J257" s="175" t="s">
        <v>755</v>
      </c>
      <c r="K257" s="3">
        <f t="shared" si="37"/>
        <v>2015</v>
      </c>
      <c r="L257" s="172">
        <f t="shared" si="38"/>
        <v>2015.5833333333333</v>
      </c>
      <c r="M257" s="230">
        <v>0</v>
      </c>
      <c r="N257" s="230">
        <f t="shared" si="39"/>
        <v>0</v>
      </c>
      <c r="O257" s="230">
        <v>0</v>
      </c>
      <c r="P257" s="230">
        <v>0</v>
      </c>
      <c r="Q257" s="230">
        <f t="shared" si="42"/>
        <v>0</v>
      </c>
      <c r="R257" s="230"/>
      <c r="S257" s="230">
        <f t="shared" si="43"/>
        <v>0</v>
      </c>
      <c r="T257" s="230">
        <f t="shared" si="44"/>
        <v>0</v>
      </c>
      <c r="U257" s="230">
        <f t="shared" si="45"/>
        <v>0</v>
      </c>
    </row>
    <row r="258" spans="1:21" ht="12" customHeight="1">
      <c r="A258" s="3" t="s">
        <v>679</v>
      </c>
      <c r="C258" s="32">
        <v>124138</v>
      </c>
      <c r="D258" s="32">
        <v>1</v>
      </c>
      <c r="E258" s="3" t="s">
        <v>764</v>
      </c>
      <c r="F258" s="3">
        <v>2015</v>
      </c>
      <c r="G258" s="3">
        <v>7</v>
      </c>
      <c r="H258" s="3">
        <v>0</v>
      </c>
      <c r="I258" s="3" t="s">
        <v>52</v>
      </c>
      <c r="J258" s="175" t="s">
        <v>755</v>
      </c>
      <c r="K258" s="3">
        <f t="shared" si="37"/>
        <v>2015</v>
      </c>
      <c r="L258" s="172">
        <f t="shared" si="38"/>
        <v>2015.5833333333333</v>
      </c>
      <c r="M258" s="230">
        <v>0</v>
      </c>
      <c r="N258" s="230">
        <f t="shared" si="39"/>
        <v>0</v>
      </c>
      <c r="O258" s="230">
        <v>0</v>
      </c>
      <c r="P258" s="230">
        <f t="shared" ref="P258:P289" si="46">+O258*12</f>
        <v>0</v>
      </c>
      <c r="Q258" s="230">
        <f t="shared" si="42"/>
        <v>0</v>
      </c>
      <c r="R258" s="230"/>
      <c r="S258" s="230">
        <f t="shared" si="43"/>
        <v>0</v>
      </c>
      <c r="T258" s="230">
        <f t="shared" si="44"/>
        <v>0</v>
      </c>
      <c r="U258" s="230">
        <f t="shared" si="45"/>
        <v>0</v>
      </c>
    </row>
    <row r="259" spans="1:21" ht="12" customHeight="1">
      <c r="A259" s="3" t="s">
        <v>679</v>
      </c>
      <c r="C259" s="32">
        <v>124139</v>
      </c>
      <c r="D259" s="32">
        <v>2</v>
      </c>
      <c r="E259" s="3" t="s">
        <v>765</v>
      </c>
      <c r="F259" s="3">
        <v>2015</v>
      </c>
      <c r="G259" s="3">
        <v>7</v>
      </c>
      <c r="H259" s="3">
        <v>0</v>
      </c>
      <c r="I259" s="3" t="s">
        <v>52</v>
      </c>
      <c r="J259" s="175" t="s">
        <v>755</v>
      </c>
      <c r="K259" s="3">
        <f t="shared" si="37"/>
        <v>2015</v>
      </c>
      <c r="L259" s="172">
        <f t="shared" si="38"/>
        <v>2015.5833333333333</v>
      </c>
      <c r="M259" s="230">
        <v>0</v>
      </c>
      <c r="N259" s="230">
        <f t="shared" si="39"/>
        <v>0</v>
      </c>
      <c r="O259" s="230">
        <v>0</v>
      </c>
      <c r="P259" s="230">
        <f t="shared" si="46"/>
        <v>0</v>
      </c>
      <c r="Q259" s="230">
        <f t="shared" si="42"/>
        <v>0</v>
      </c>
      <c r="R259" s="230"/>
      <c r="S259" s="230">
        <f t="shared" si="43"/>
        <v>0</v>
      </c>
      <c r="T259" s="230">
        <f t="shared" si="44"/>
        <v>0</v>
      </c>
      <c r="U259" s="230">
        <f t="shared" si="45"/>
        <v>0</v>
      </c>
    </row>
    <row r="260" spans="1:21" ht="12" customHeight="1">
      <c r="A260" s="3" t="s">
        <v>679</v>
      </c>
      <c r="C260" s="32">
        <v>124140</v>
      </c>
      <c r="D260" s="32">
        <v>28</v>
      </c>
      <c r="E260" s="3" t="s">
        <v>766</v>
      </c>
      <c r="F260" s="3">
        <v>2015</v>
      </c>
      <c r="G260" s="3">
        <v>7</v>
      </c>
      <c r="H260" s="3">
        <v>0</v>
      </c>
      <c r="I260" s="3" t="s">
        <v>52</v>
      </c>
      <c r="J260" s="175" t="s">
        <v>755</v>
      </c>
      <c r="K260" s="3">
        <f t="shared" si="37"/>
        <v>2015</v>
      </c>
      <c r="L260" s="172">
        <f t="shared" si="38"/>
        <v>2015.5833333333333</v>
      </c>
      <c r="M260" s="230">
        <v>0</v>
      </c>
      <c r="N260" s="230">
        <f t="shared" si="39"/>
        <v>0</v>
      </c>
      <c r="O260" s="230">
        <v>0</v>
      </c>
      <c r="P260" s="230">
        <f t="shared" si="46"/>
        <v>0</v>
      </c>
      <c r="Q260" s="230">
        <f t="shared" si="42"/>
        <v>0</v>
      </c>
      <c r="R260" s="230"/>
      <c r="S260" s="230">
        <f t="shared" si="43"/>
        <v>0</v>
      </c>
      <c r="T260" s="230">
        <f t="shared" si="44"/>
        <v>0</v>
      </c>
      <c r="U260" s="230">
        <f t="shared" si="45"/>
        <v>0</v>
      </c>
    </row>
    <row r="261" spans="1:21" ht="12" customHeight="1">
      <c r="A261" s="3" t="s">
        <v>679</v>
      </c>
      <c r="C261" s="32">
        <v>124142</v>
      </c>
      <c r="D261" s="32">
        <v>58</v>
      </c>
      <c r="E261" s="3" t="s">
        <v>767</v>
      </c>
      <c r="F261" s="3">
        <v>2015</v>
      </c>
      <c r="G261" s="3">
        <v>7</v>
      </c>
      <c r="H261" s="3">
        <v>0</v>
      </c>
      <c r="I261" s="3" t="s">
        <v>52</v>
      </c>
      <c r="J261" s="175" t="s">
        <v>755</v>
      </c>
      <c r="K261" s="3">
        <f t="shared" si="37"/>
        <v>2015</v>
      </c>
      <c r="L261" s="172">
        <f t="shared" si="38"/>
        <v>2015.5833333333333</v>
      </c>
      <c r="M261" s="230">
        <v>0</v>
      </c>
      <c r="N261" s="230">
        <f t="shared" si="39"/>
        <v>0</v>
      </c>
      <c r="O261" s="230">
        <v>0</v>
      </c>
      <c r="P261" s="230">
        <f t="shared" si="46"/>
        <v>0</v>
      </c>
      <c r="Q261" s="230">
        <f t="shared" si="42"/>
        <v>0</v>
      </c>
      <c r="R261" s="230"/>
      <c r="S261" s="230">
        <f t="shared" si="43"/>
        <v>0</v>
      </c>
      <c r="T261" s="230">
        <f t="shared" si="44"/>
        <v>0</v>
      </c>
      <c r="U261" s="230">
        <f t="shared" si="45"/>
        <v>0</v>
      </c>
    </row>
    <row r="262" spans="1:21" ht="12" customHeight="1">
      <c r="A262" s="3" t="s">
        <v>679</v>
      </c>
      <c r="C262" s="32">
        <v>124721</v>
      </c>
      <c r="D262" s="32">
        <v>8</v>
      </c>
      <c r="E262" s="3" t="s">
        <v>768</v>
      </c>
      <c r="F262" s="3">
        <v>2015</v>
      </c>
      <c r="G262" s="3">
        <v>4</v>
      </c>
      <c r="H262" s="3">
        <v>0</v>
      </c>
      <c r="I262" s="3" t="s">
        <v>52</v>
      </c>
      <c r="J262" s="175" t="s">
        <v>754</v>
      </c>
      <c r="K262" s="3">
        <f t="shared" si="37"/>
        <v>2027</v>
      </c>
      <c r="L262" s="172">
        <f t="shared" si="38"/>
        <v>2027.3333333333333</v>
      </c>
      <c r="M262" s="230">
        <v>48072</v>
      </c>
      <c r="N262" s="230">
        <f t="shared" si="39"/>
        <v>48072</v>
      </c>
      <c r="O262" s="230">
        <f t="shared" ref="O262:O293" si="47">N262/J262/12</f>
        <v>333.83333333333331</v>
      </c>
      <c r="P262" s="230">
        <f t="shared" si="46"/>
        <v>4006</v>
      </c>
      <c r="Q262" s="230">
        <f t="shared" si="42"/>
        <v>4006</v>
      </c>
      <c r="R262" s="230"/>
      <c r="S262" s="230">
        <f t="shared" si="43"/>
        <v>8012</v>
      </c>
      <c r="T262" s="230">
        <f t="shared" si="44"/>
        <v>12018</v>
      </c>
      <c r="U262" s="230">
        <f t="shared" si="45"/>
        <v>38057</v>
      </c>
    </row>
    <row r="263" spans="1:21" ht="12" customHeight="1">
      <c r="A263" s="3" t="s">
        <v>679</v>
      </c>
      <c r="C263" s="32">
        <v>169357</v>
      </c>
      <c r="D263" s="32">
        <v>6</v>
      </c>
      <c r="E263" s="3" t="s">
        <v>769</v>
      </c>
      <c r="F263" s="3">
        <v>2016</v>
      </c>
      <c r="G263" s="3">
        <v>9</v>
      </c>
      <c r="H263" s="3">
        <v>0</v>
      </c>
      <c r="I263" s="3" t="s">
        <v>52</v>
      </c>
      <c r="J263" s="175" t="s">
        <v>754</v>
      </c>
      <c r="K263" s="3">
        <f t="shared" si="37"/>
        <v>2028</v>
      </c>
      <c r="L263" s="172">
        <f t="shared" si="38"/>
        <v>2028.75</v>
      </c>
      <c r="M263" s="230">
        <v>41291</v>
      </c>
      <c r="N263" s="230">
        <f t="shared" si="39"/>
        <v>41291</v>
      </c>
      <c r="O263" s="230">
        <f t="shared" si="47"/>
        <v>286.74305555555554</v>
      </c>
      <c r="P263" s="230">
        <f t="shared" si="46"/>
        <v>3440.9166666666665</v>
      </c>
      <c r="Q263" s="230">
        <f t="shared" si="42"/>
        <v>3440.9166666666665</v>
      </c>
      <c r="R263" s="230"/>
      <c r="S263" s="230">
        <f t="shared" si="43"/>
        <v>3440.9166666666665</v>
      </c>
      <c r="T263" s="230">
        <f t="shared" si="44"/>
        <v>6881.833333333333</v>
      </c>
      <c r="U263" s="230">
        <f t="shared" si="45"/>
        <v>36129.625</v>
      </c>
    </row>
    <row r="264" spans="1:21" ht="12" customHeight="1">
      <c r="A264" s="3" t="s">
        <v>679</v>
      </c>
      <c r="C264" s="32">
        <v>169358</v>
      </c>
      <c r="D264" s="32">
        <v>6</v>
      </c>
      <c r="E264" s="3" t="s">
        <v>770</v>
      </c>
      <c r="F264" s="3">
        <v>2016</v>
      </c>
      <c r="G264" s="3">
        <v>9</v>
      </c>
      <c r="H264" s="3">
        <v>0</v>
      </c>
      <c r="I264" s="3" t="s">
        <v>52</v>
      </c>
      <c r="J264" s="175" t="s">
        <v>754</v>
      </c>
      <c r="K264" s="3">
        <f t="shared" si="37"/>
        <v>2028</v>
      </c>
      <c r="L264" s="172">
        <f t="shared" si="38"/>
        <v>2028.75</v>
      </c>
      <c r="M264" s="230">
        <v>33621</v>
      </c>
      <c r="N264" s="230">
        <f t="shared" si="39"/>
        <v>33621</v>
      </c>
      <c r="O264" s="230">
        <f t="shared" si="47"/>
        <v>233.47916666666666</v>
      </c>
      <c r="P264" s="230">
        <f t="shared" si="46"/>
        <v>2801.75</v>
      </c>
      <c r="Q264" s="230">
        <f t="shared" si="42"/>
        <v>2801.75</v>
      </c>
      <c r="R264" s="230"/>
      <c r="S264" s="230">
        <f t="shared" si="43"/>
        <v>2801.75</v>
      </c>
      <c r="T264" s="230">
        <f t="shared" si="44"/>
        <v>5603.5</v>
      </c>
      <c r="U264" s="230">
        <f t="shared" si="45"/>
        <v>29418.375</v>
      </c>
    </row>
    <row r="265" spans="1:21" ht="12" customHeight="1">
      <c r="A265" s="3" t="s">
        <v>679</v>
      </c>
      <c r="C265" s="32">
        <v>173480</v>
      </c>
      <c r="D265" s="32">
        <v>3</v>
      </c>
      <c r="E265" s="3" t="s">
        <v>771</v>
      </c>
      <c r="F265" s="3">
        <v>2002</v>
      </c>
      <c r="G265" s="3">
        <v>6</v>
      </c>
      <c r="H265" s="3">
        <v>0</v>
      </c>
      <c r="I265" s="3" t="s">
        <v>52</v>
      </c>
      <c r="J265" s="175" t="s">
        <v>754</v>
      </c>
      <c r="K265" s="3">
        <f t="shared" ref="K265:K296" si="48">F265+J265</f>
        <v>2014</v>
      </c>
      <c r="L265" s="172">
        <f t="shared" ref="L265:L296" si="49">+K265+(G265/12)</f>
        <v>2014.5</v>
      </c>
      <c r="M265" s="230">
        <v>10118.4</v>
      </c>
      <c r="N265" s="230">
        <f t="shared" ref="N265:N296" si="50">M265-M265*H265</f>
        <v>10118.4</v>
      </c>
      <c r="O265" s="230">
        <f t="shared" si="47"/>
        <v>70.266666666666666</v>
      </c>
      <c r="P265" s="230">
        <f t="shared" si="46"/>
        <v>843.2</v>
      </c>
      <c r="Q265" s="230">
        <f t="shared" ref="Q265:Q296" si="51">+IF(L265&lt;=$N$5,0,IF(K265&gt;$N$4,P265,(O265*G265)))</f>
        <v>0</v>
      </c>
      <c r="R265" s="230"/>
      <c r="S265" s="230">
        <f t="shared" ref="S265:S296" si="52">+IF(Q265=0,M265,IF($N$3-F265&lt;1,0,(($N$3-F265)*P265)))</f>
        <v>10118.4</v>
      </c>
      <c r="T265" s="230">
        <f t="shared" ref="T265:T296" si="53">+IF(Q265=0,S265,S265+Q265)</f>
        <v>10118.4</v>
      </c>
      <c r="U265" s="230">
        <f t="shared" ref="U265:U296" si="54">+IF(Q265=0,0,((M265-S265)+(M265-T265))/2)</f>
        <v>0</v>
      </c>
    </row>
    <row r="266" spans="1:21" ht="12" customHeight="1">
      <c r="A266" s="3" t="s">
        <v>679</v>
      </c>
      <c r="C266" s="32">
        <v>173481</v>
      </c>
      <c r="D266" s="32">
        <v>1</v>
      </c>
      <c r="E266" s="3" t="s">
        <v>772</v>
      </c>
      <c r="F266" s="3">
        <v>2002</v>
      </c>
      <c r="G266" s="3">
        <v>7</v>
      </c>
      <c r="H266" s="3">
        <v>0</v>
      </c>
      <c r="I266" s="3" t="s">
        <v>52</v>
      </c>
      <c r="J266" s="175" t="s">
        <v>754</v>
      </c>
      <c r="K266" s="3">
        <f t="shared" si="48"/>
        <v>2014</v>
      </c>
      <c r="L266" s="172">
        <f t="shared" si="49"/>
        <v>2014.5833333333333</v>
      </c>
      <c r="M266" s="230">
        <v>3372.8</v>
      </c>
      <c r="N266" s="230">
        <f t="shared" si="50"/>
        <v>3372.8</v>
      </c>
      <c r="O266" s="230">
        <f t="shared" si="47"/>
        <v>23.422222222222221</v>
      </c>
      <c r="P266" s="230">
        <f t="shared" si="46"/>
        <v>281.06666666666666</v>
      </c>
      <c r="Q266" s="230">
        <f t="shared" si="51"/>
        <v>0</v>
      </c>
      <c r="R266" s="230"/>
      <c r="S266" s="230">
        <f t="shared" si="52"/>
        <v>3372.8</v>
      </c>
      <c r="T266" s="230">
        <f t="shared" si="53"/>
        <v>3372.8</v>
      </c>
      <c r="U266" s="230">
        <f t="shared" si="54"/>
        <v>0</v>
      </c>
    </row>
    <row r="267" spans="1:21" ht="12" customHeight="1">
      <c r="A267" s="3" t="s">
        <v>679</v>
      </c>
      <c r="C267" s="32">
        <v>173482</v>
      </c>
      <c r="D267" s="32">
        <v>20</v>
      </c>
      <c r="E267" s="3" t="s">
        <v>773</v>
      </c>
      <c r="F267" s="3">
        <v>2004</v>
      </c>
      <c r="G267" s="3">
        <v>3</v>
      </c>
      <c r="H267" s="3">
        <v>0</v>
      </c>
      <c r="I267" s="3" t="s">
        <v>52</v>
      </c>
      <c r="J267" s="175" t="s">
        <v>754</v>
      </c>
      <c r="K267" s="3">
        <f t="shared" si="48"/>
        <v>2016</v>
      </c>
      <c r="L267" s="172">
        <f t="shared" si="49"/>
        <v>2016.25</v>
      </c>
      <c r="M267" s="230">
        <v>98137.600000000006</v>
      </c>
      <c r="N267" s="230">
        <f t="shared" si="50"/>
        <v>98137.600000000006</v>
      </c>
      <c r="O267" s="230">
        <f t="shared" si="47"/>
        <v>681.51111111111118</v>
      </c>
      <c r="P267" s="230">
        <f t="shared" si="46"/>
        <v>8178.1333333333341</v>
      </c>
      <c r="Q267" s="230">
        <f t="shared" si="51"/>
        <v>0</v>
      </c>
      <c r="R267" s="230"/>
      <c r="S267" s="230">
        <f t="shared" si="52"/>
        <v>98137.600000000006</v>
      </c>
      <c r="T267" s="230">
        <f t="shared" si="53"/>
        <v>98137.600000000006</v>
      </c>
      <c r="U267" s="230">
        <f t="shared" si="54"/>
        <v>0</v>
      </c>
    </row>
    <row r="268" spans="1:21" ht="12" customHeight="1">
      <c r="A268" s="3" t="s">
        <v>679</v>
      </c>
      <c r="C268" s="32">
        <v>173483</v>
      </c>
      <c r="D268" s="32">
        <v>4</v>
      </c>
      <c r="E268" s="3" t="s">
        <v>774</v>
      </c>
      <c r="F268" s="3">
        <v>2004</v>
      </c>
      <c r="G268" s="3">
        <v>7</v>
      </c>
      <c r="H268" s="3">
        <v>0</v>
      </c>
      <c r="I268" s="3" t="s">
        <v>52</v>
      </c>
      <c r="J268" s="175" t="s">
        <v>754</v>
      </c>
      <c r="K268" s="3">
        <f t="shared" si="48"/>
        <v>2016</v>
      </c>
      <c r="L268" s="172">
        <f t="shared" si="49"/>
        <v>2016.5833333333333</v>
      </c>
      <c r="M268" s="230">
        <v>21733.89</v>
      </c>
      <c r="N268" s="230">
        <f t="shared" si="50"/>
        <v>21733.89</v>
      </c>
      <c r="O268" s="230">
        <f t="shared" si="47"/>
        <v>150.92979166666666</v>
      </c>
      <c r="P268" s="230">
        <f t="shared" si="46"/>
        <v>1811.1574999999998</v>
      </c>
      <c r="Q268" s="230">
        <f t="shared" si="51"/>
        <v>0</v>
      </c>
      <c r="R268" s="230"/>
      <c r="S268" s="230">
        <f t="shared" si="52"/>
        <v>21733.89</v>
      </c>
      <c r="T268" s="230">
        <f t="shared" si="53"/>
        <v>21733.89</v>
      </c>
      <c r="U268" s="230">
        <f t="shared" si="54"/>
        <v>0</v>
      </c>
    </row>
    <row r="269" spans="1:21" ht="12" customHeight="1">
      <c r="A269" s="3" t="s">
        <v>679</v>
      </c>
      <c r="C269" s="32">
        <v>173484</v>
      </c>
      <c r="D269" s="32">
        <v>6</v>
      </c>
      <c r="E269" s="3" t="s">
        <v>775</v>
      </c>
      <c r="F269" s="3">
        <v>2004</v>
      </c>
      <c r="G269" s="3">
        <v>9</v>
      </c>
      <c r="H269" s="3">
        <v>0</v>
      </c>
      <c r="I269" s="3" t="s">
        <v>52</v>
      </c>
      <c r="J269" s="175" t="s">
        <v>754</v>
      </c>
      <c r="K269" s="3">
        <f t="shared" si="48"/>
        <v>2016</v>
      </c>
      <c r="L269" s="172">
        <f t="shared" si="49"/>
        <v>2016.75</v>
      </c>
      <c r="M269" s="230">
        <v>6392.19</v>
      </c>
      <c r="N269" s="230">
        <f t="shared" si="50"/>
        <v>6392.19</v>
      </c>
      <c r="O269" s="230">
        <f t="shared" si="47"/>
        <v>44.390208333333334</v>
      </c>
      <c r="P269" s="230">
        <f t="shared" si="46"/>
        <v>532.6825</v>
      </c>
      <c r="Q269" s="230">
        <f t="shared" si="51"/>
        <v>0</v>
      </c>
      <c r="R269" s="230"/>
      <c r="S269" s="230">
        <f t="shared" si="52"/>
        <v>6392.19</v>
      </c>
      <c r="T269" s="230">
        <f t="shared" si="53"/>
        <v>6392.19</v>
      </c>
      <c r="U269" s="230">
        <f t="shared" si="54"/>
        <v>0</v>
      </c>
    </row>
    <row r="270" spans="1:21" ht="12" customHeight="1">
      <c r="A270" s="3" t="s">
        <v>679</v>
      </c>
      <c r="C270" s="32">
        <v>173485</v>
      </c>
      <c r="D270" s="32">
        <v>5</v>
      </c>
      <c r="E270" s="3" t="s">
        <v>776</v>
      </c>
      <c r="F270" s="3">
        <v>2005</v>
      </c>
      <c r="G270" s="3">
        <v>3</v>
      </c>
      <c r="H270" s="3">
        <v>0</v>
      </c>
      <c r="I270" s="3" t="s">
        <v>52</v>
      </c>
      <c r="J270" s="175" t="s">
        <v>754</v>
      </c>
      <c r="K270" s="3">
        <f t="shared" si="48"/>
        <v>2017</v>
      </c>
      <c r="L270" s="172">
        <f t="shared" si="49"/>
        <v>2017.25</v>
      </c>
      <c r="M270" s="230">
        <v>30648.959999999999</v>
      </c>
      <c r="N270" s="230">
        <f t="shared" si="50"/>
        <v>30648.959999999999</v>
      </c>
      <c r="O270" s="230">
        <f t="shared" si="47"/>
        <v>212.84</v>
      </c>
      <c r="P270" s="230">
        <f t="shared" si="46"/>
        <v>2554.08</v>
      </c>
      <c r="Q270" s="230">
        <f t="shared" si="51"/>
        <v>0</v>
      </c>
      <c r="R270" s="230"/>
      <c r="S270" s="230">
        <f t="shared" si="52"/>
        <v>30648.959999999999</v>
      </c>
      <c r="T270" s="230">
        <f t="shared" si="53"/>
        <v>30648.959999999999</v>
      </c>
      <c r="U270" s="230">
        <f t="shared" si="54"/>
        <v>0</v>
      </c>
    </row>
    <row r="271" spans="1:21" ht="12" customHeight="1">
      <c r="A271" s="3" t="s">
        <v>679</v>
      </c>
      <c r="C271" s="32">
        <v>173486</v>
      </c>
      <c r="D271" s="32">
        <v>25</v>
      </c>
      <c r="E271" s="3" t="s">
        <v>777</v>
      </c>
      <c r="F271" s="3">
        <v>2005</v>
      </c>
      <c r="G271" s="3">
        <v>6</v>
      </c>
      <c r="H271" s="3">
        <v>0</v>
      </c>
      <c r="I271" s="3" t="s">
        <v>52</v>
      </c>
      <c r="J271" s="175" t="s">
        <v>754</v>
      </c>
      <c r="K271" s="3">
        <f t="shared" si="48"/>
        <v>2017</v>
      </c>
      <c r="L271" s="172">
        <f t="shared" si="49"/>
        <v>2017.5</v>
      </c>
      <c r="M271" s="230">
        <v>156454.39999999999</v>
      </c>
      <c r="N271" s="230">
        <f t="shared" si="50"/>
        <v>156454.39999999999</v>
      </c>
      <c r="O271" s="230">
        <f t="shared" si="47"/>
        <v>1086.4888888888888</v>
      </c>
      <c r="P271" s="230">
        <f t="shared" si="46"/>
        <v>13037.866666666665</v>
      </c>
      <c r="Q271" s="230">
        <f t="shared" si="51"/>
        <v>0</v>
      </c>
      <c r="R271" s="230"/>
      <c r="S271" s="230">
        <f t="shared" si="52"/>
        <v>156454.39999999999</v>
      </c>
      <c r="T271" s="230">
        <f t="shared" si="53"/>
        <v>156454.39999999999</v>
      </c>
      <c r="U271" s="230">
        <f t="shared" si="54"/>
        <v>0</v>
      </c>
    </row>
    <row r="272" spans="1:21" ht="12" customHeight="1">
      <c r="A272" s="3" t="s">
        <v>679</v>
      </c>
      <c r="C272" s="32">
        <v>173504</v>
      </c>
      <c r="D272" s="32">
        <v>10</v>
      </c>
      <c r="E272" s="3" t="s">
        <v>778</v>
      </c>
      <c r="F272" s="3">
        <v>2006</v>
      </c>
      <c r="G272" s="3">
        <v>3</v>
      </c>
      <c r="H272" s="3">
        <v>0</v>
      </c>
      <c r="I272" s="3" t="s">
        <v>52</v>
      </c>
      <c r="J272" s="175" t="s">
        <v>754</v>
      </c>
      <c r="K272" s="3">
        <f t="shared" si="48"/>
        <v>2018</v>
      </c>
      <c r="L272" s="172">
        <f t="shared" si="49"/>
        <v>2018.25</v>
      </c>
      <c r="M272" s="230">
        <v>62016</v>
      </c>
      <c r="N272" s="230">
        <f t="shared" si="50"/>
        <v>62016</v>
      </c>
      <c r="O272" s="230">
        <f t="shared" si="47"/>
        <v>430.66666666666669</v>
      </c>
      <c r="P272" s="230">
        <f t="shared" si="46"/>
        <v>5168</v>
      </c>
      <c r="Q272" s="230">
        <f t="shared" si="51"/>
        <v>0</v>
      </c>
      <c r="R272" s="230"/>
      <c r="S272" s="230">
        <f t="shared" si="52"/>
        <v>62016</v>
      </c>
      <c r="T272" s="230">
        <f t="shared" si="53"/>
        <v>62016</v>
      </c>
      <c r="U272" s="230">
        <f t="shared" si="54"/>
        <v>0</v>
      </c>
    </row>
    <row r="273" spans="1:21" ht="12" customHeight="1">
      <c r="A273" s="3" t="s">
        <v>679</v>
      </c>
      <c r="C273" s="32">
        <v>173510</v>
      </c>
      <c r="D273" s="32">
        <v>10</v>
      </c>
      <c r="E273" s="3" t="s">
        <v>779</v>
      </c>
      <c r="F273" s="3">
        <v>2006</v>
      </c>
      <c r="G273" s="3">
        <v>8</v>
      </c>
      <c r="H273" s="3">
        <v>0</v>
      </c>
      <c r="I273" s="3" t="s">
        <v>52</v>
      </c>
      <c r="J273" s="175" t="s">
        <v>754</v>
      </c>
      <c r="K273" s="3">
        <f t="shared" si="48"/>
        <v>2018</v>
      </c>
      <c r="L273" s="172">
        <f t="shared" si="49"/>
        <v>2018.6666666666667</v>
      </c>
      <c r="M273" s="230">
        <v>63386.879999999997</v>
      </c>
      <c r="N273" s="230">
        <f t="shared" si="50"/>
        <v>63386.879999999997</v>
      </c>
      <c r="O273" s="230">
        <f t="shared" si="47"/>
        <v>440.18666666666667</v>
      </c>
      <c r="P273" s="230">
        <f t="shared" si="46"/>
        <v>5282.24</v>
      </c>
      <c r="Q273" s="230">
        <f t="shared" si="51"/>
        <v>0</v>
      </c>
      <c r="R273" s="230"/>
      <c r="S273" s="230">
        <f t="shared" si="52"/>
        <v>63386.879999999997</v>
      </c>
      <c r="T273" s="230">
        <f t="shared" si="53"/>
        <v>63386.879999999997</v>
      </c>
      <c r="U273" s="230">
        <f t="shared" si="54"/>
        <v>0</v>
      </c>
    </row>
    <row r="274" spans="1:21" ht="12" customHeight="1">
      <c r="A274" s="3" t="s">
        <v>679</v>
      </c>
      <c r="C274" s="32">
        <v>173512</v>
      </c>
      <c r="D274" s="32">
        <v>10</v>
      </c>
      <c r="E274" s="3" t="s">
        <v>779</v>
      </c>
      <c r="F274" s="3">
        <v>2006</v>
      </c>
      <c r="G274" s="3">
        <v>8</v>
      </c>
      <c r="H274" s="3">
        <v>0</v>
      </c>
      <c r="I274" s="3" t="s">
        <v>52</v>
      </c>
      <c r="J274" s="175" t="s">
        <v>754</v>
      </c>
      <c r="K274" s="3">
        <f t="shared" si="48"/>
        <v>2018</v>
      </c>
      <c r="L274" s="172">
        <f t="shared" si="49"/>
        <v>2018.6666666666667</v>
      </c>
      <c r="M274" s="230">
        <v>63386.879999999997</v>
      </c>
      <c r="N274" s="230">
        <f t="shared" si="50"/>
        <v>63386.879999999997</v>
      </c>
      <c r="O274" s="230">
        <f t="shared" si="47"/>
        <v>440.18666666666667</v>
      </c>
      <c r="P274" s="230">
        <f t="shared" si="46"/>
        <v>5282.24</v>
      </c>
      <c r="Q274" s="230">
        <f t="shared" si="51"/>
        <v>0</v>
      </c>
      <c r="R274" s="230"/>
      <c r="S274" s="230">
        <f t="shared" si="52"/>
        <v>63386.879999999997</v>
      </c>
      <c r="T274" s="230">
        <f t="shared" si="53"/>
        <v>63386.879999999997</v>
      </c>
      <c r="U274" s="230">
        <f t="shared" si="54"/>
        <v>0</v>
      </c>
    </row>
    <row r="275" spans="1:21" ht="12" customHeight="1">
      <c r="A275" s="3" t="s">
        <v>679</v>
      </c>
      <c r="C275" s="32">
        <v>173515</v>
      </c>
      <c r="D275" s="32">
        <v>8</v>
      </c>
      <c r="E275" s="3" t="s">
        <v>780</v>
      </c>
      <c r="F275" s="3">
        <v>2007</v>
      </c>
      <c r="G275" s="3">
        <v>2</v>
      </c>
      <c r="H275" s="3">
        <v>0</v>
      </c>
      <c r="I275" s="3" t="s">
        <v>52</v>
      </c>
      <c r="J275" s="175" t="s">
        <v>754</v>
      </c>
      <c r="K275" s="3">
        <f t="shared" si="48"/>
        <v>2019</v>
      </c>
      <c r="L275" s="172">
        <f t="shared" si="49"/>
        <v>2019.1666666666667</v>
      </c>
      <c r="M275" s="230">
        <v>49839.1</v>
      </c>
      <c r="N275" s="230">
        <f t="shared" si="50"/>
        <v>49839.1</v>
      </c>
      <c r="O275" s="230">
        <f t="shared" si="47"/>
        <v>346.10486111111112</v>
      </c>
      <c r="P275" s="230">
        <f t="shared" si="46"/>
        <v>4153.2583333333332</v>
      </c>
      <c r="Q275" s="230">
        <f t="shared" si="51"/>
        <v>4153.2583333333332</v>
      </c>
      <c r="R275" s="230"/>
      <c r="S275" s="230">
        <f t="shared" si="52"/>
        <v>41532.583333333328</v>
      </c>
      <c r="T275" s="230">
        <f t="shared" si="53"/>
        <v>45685.84166666666</v>
      </c>
      <c r="U275" s="230">
        <f t="shared" si="54"/>
        <v>6229.8875000000044</v>
      </c>
    </row>
    <row r="276" spans="1:21" ht="12" customHeight="1">
      <c r="A276" s="3" t="s">
        <v>679</v>
      </c>
      <c r="C276" s="32">
        <v>173518</v>
      </c>
      <c r="D276" s="32">
        <v>16</v>
      </c>
      <c r="E276" s="3" t="s">
        <v>781</v>
      </c>
      <c r="F276" s="3">
        <v>2007</v>
      </c>
      <c r="G276" s="3">
        <v>2</v>
      </c>
      <c r="H276" s="3">
        <v>0</v>
      </c>
      <c r="I276" s="3" t="s">
        <v>52</v>
      </c>
      <c r="J276" s="175" t="s">
        <v>754</v>
      </c>
      <c r="K276" s="3">
        <f t="shared" si="48"/>
        <v>2019</v>
      </c>
      <c r="L276" s="172">
        <f t="shared" si="49"/>
        <v>2019.1666666666667</v>
      </c>
      <c r="M276" s="230">
        <v>119836.67</v>
      </c>
      <c r="N276" s="230">
        <f t="shared" si="50"/>
        <v>119836.67</v>
      </c>
      <c r="O276" s="230">
        <f t="shared" si="47"/>
        <v>832.19909722222212</v>
      </c>
      <c r="P276" s="230">
        <f t="shared" si="46"/>
        <v>9986.3891666666659</v>
      </c>
      <c r="Q276" s="230">
        <f t="shared" si="51"/>
        <v>9986.3891666666659</v>
      </c>
      <c r="R276" s="230"/>
      <c r="S276" s="230">
        <f t="shared" si="52"/>
        <v>99863.891666666663</v>
      </c>
      <c r="T276" s="230">
        <f t="shared" si="53"/>
        <v>109850.28083333332</v>
      </c>
      <c r="U276" s="230">
        <f t="shared" si="54"/>
        <v>14979.583750000005</v>
      </c>
    </row>
    <row r="277" spans="1:21" ht="12" customHeight="1">
      <c r="A277" s="3" t="s">
        <v>679</v>
      </c>
      <c r="C277" s="32">
        <v>173519</v>
      </c>
      <c r="D277" s="32">
        <v>10</v>
      </c>
      <c r="E277" s="3" t="s">
        <v>782</v>
      </c>
      <c r="F277" s="3">
        <v>2007</v>
      </c>
      <c r="G277" s="3">
        <v>4</v>
      </c>
      <c r="H277" s="3">
        <v>0</v>
      </c>
      <c r="I277" s="3" t="s">
        <v>52</v>
      </c>
      <c r="J277" s="175" t="s">
        <v>754</v>
      </c>
      <c r="K277" s="3">
        <f t="shared" si="48"/>
        <v>2019</v>
      </c>
      <c r="L277" s="172">
        <f t="shared" si="49"/>
        <v>2019.3333333333333</v>
      </c>
      <c r="M277" s="230">
        <v>61210.879999999997</v>
      </c>
      <c r="N277" s="230">
        <f t="shared" si="50"/>
        <v>61210.879999999997</v>
      </c>
      <c r="O277" s="230">
        <f t="shared" si="47"/>
        <v>425.07555555555558</v>
      </c>
      <c r="P277" s="230">
        <f t="shared" si="46"/>
        <v>5100.9066666666668</v>
      </c>
      <c r="Q277" s="230">
        <f t="shared" si="51"/>
        <v>5100.9066666666668</v>
      </c>
      <c r="R277" s="230"/>
      <c r="S277" s="230">
        <f t="shared" si="52"/>
        <v>51009.066666666666</v>
      </c>
      <c r="T277" s="230">
        <f t="shared" si="53"/>
        <v>56109.973333333335</v>
      </c>
      <c r="U277" s="230">
        <f t="shared" si="54"/>
        <v>7651.3599999999969</v>
      </c>
    </row>
    <row r="278" spans="1:21" ht="12" customHeight="1">
      <c r="A278" s="3" t="s">
        <v>679</v>
      </c>
      <c r="C278" s="32">
        <v>173521</v>
      </c>
      <c r="D278" s="32">
        <v>10</v>
      </c>
      <c r="E278" s="3" t="s">
        <v>781</v>
      </c>
      <c r="F278" s="3">
        <v>2007</v>
      </c>
      <c r="G278" s="3">
        <v>7</v>
      </c>
      <c r="H278" s="3">
        <v>0</v>
      </c>
      <c r="I278" s="3" t="s">
        <v>52</v>
      </c>
      <c r="J278" s="175" t="s">
        <v>754</v>
      </c>
      <c r="K278" s="3">
        <f t="shared" si="48"/>
        <v>2019</v>
      </c>
      <c r="L278" s="172">
        <f t="shared" si="49"/>
        <v>2019.5833333333333</v>
      </c>
      <c r="M278" s="230">
        <v>61210.879999999997</v>
      </c>
      <c r="N278" s="230">
        <f t="shared" si="50"/>
        <v>61210.879999999997</v>
      </c>
      <c r="O278" s="230">
        <f t="shared" si="47"/>
        <v>425.07555555555558</v>
      </c>
      <c r="P278" s="230">
        <f t="shared" si="46"/>
        <v>5100.9066666666668</v>
      </c>
      <c r="Q278" s="230">
        <f t="shared" si="51"/>
        <v>5100.9066666666668</v>
      </c>
      <c r="R278" s="230"/>
      <c r="S278" s="230">
        <f t="shared" si="52"/>
        <v>51009.066666666666</v>
      </c>
      <c r="T278" s="230">
        <f t="shared" si="53"/>
        <v>56109.973333333335</v>
      </c>
      <c r="U278" s="230">
        <f t="shared" si="54"/>
        <v>7651.3599999999969</v>
      </c>
    </row>
    <row r="279" spans="1:21" ht="12" customHeight="1">
      <c r="A279" s="3" t="s">
        <v>679</v>
      </c>
      <c r="C279" s="32">
        <v>173523</v>
      </c>
      <c r="D279" s="32">
        <v>3</v>
      </c>
      <c r="E279" s="3" t="s">
        <v>783</v>
      </c>
      <c r="F279" s="3">
        <v>2008</v>
      </c>
      <c r="G279" s="3">
        <v>2</v>
      </c>
      <c r="H279" s="3">
        <v>0</v>
      </c>
      <c r="I279" s="3" t="s">
        <v>52</v>
      </c>
      <c r="J279" s="175" t="s">
        <v>754</v>
      </c>
      <c r="K279" s="3">
        <f t="shared" si="48"/>
        <v>2020</v>
      </c>
      <c r="L279" s="172">
        <f t="shared" si="49"/>
        <v>2020.1666666666667</v>
      </c>
      <c r="M279" s="230">
        <v>16138.98</v>
      </c>
      <c r="N279" s="230">
        <f t="shared" si="50"/>
        <v>16138.98</v>
      </c>
      <c r="O279" s="230">
        <f t="shared" si="47"/>
        <v>112.07625</v>
      </c>
      <c r="P279" s="230">
        <f t="shared" si="46"/>
        <v>1344.915</v>
      </c>
      <c r="Q279" s="230">
        <f t="shared" si="51"/>
        <v>1344.915</v>
      </c>
      <c r="R279" s="230"/>
      <c r="S279" s="230">
        <f t="shared" si="52"/>
        <v>12104.235000000001</v>
      </c>
      <c r="T279" s="230">
        <f t="shared" si="53"/>
        <v>13449.150000000001</v>
      </c>
      <c r="U279" s="230">
        <f t="shared" si="54"/>
        <v>3362.2874999999985</v>
      </c>
    </row>
    <row r="280" spans="1:21" ht="12" customHeight="1">
      <c r="A280" s="3" t="s">
        <v>679</v>
      </c>
      <c r="C280" s="32">
        <v>173524</v>
      </c>
      <c r="D280" s="32">
        <v>2</v>
      </c>
      <c r="E280" s="3" t="s">
        <v>784</v>
      </c>
      <c r="F280" s="3">
        <v>2008</v>
      </c>
      <c r="G280" s="3">
        <v>2</v>
      </c>
      <c r="H280" s="3">
        <v>0</v>
      </c>
      <c r="I280" s="3" t="s">
        <v>52</v>
      </c>
      <c r="J280" s="175" t="s">
        <v>754</v>
      </c>
      <c r="K280" s="3">
        <f t="shared" si="48"/>
        <v>2020</v>
      </c>
      <c r="L280" s="172">
        <f t="shared" si="49"/>
        <v>2020.1666666666667</v>
      </c>
      <c r="M280" s="230">
        <v>10759.02</v>
      </c>
      <c r="N280" s="230">
        <f t="shared" si="50"/>
        <v>10759.02</v>
      </c>
      <c r="O280" s="230">
        <f t="shared" si="47"/>
        <v>74.71541666666667</v>
      </c>
      <c r="P280" s="230">
        <f t="shared" si="46"/>
        <v>896.58500000000004</v>
      </c>
      <c r="Q280" s="230">
        <f t="shared" si="51"/>
        <v>896.58500000000004</v>
      </c>
      <c r="R280" s="230"/>
      <c r="S280" s="230">
        <f t="shared" si="52"/>
        <v>8069.2650000000003</v>
      </c>
      <c r="T280" s="230">
        <f t="shared" si="53"/>
        <v>8965.85</v>
      </c>
      <c r="U280" s="230">
        <f t="shared" si="54"/>
        <v>2241.4625000000001</v>
      </c>
    </row>
    <row r="281" spans="1:21" ht="12" customHeight="1">
      <c r="A281" s="3" t="s">
        <v>679</v>
      </c>
      <c r="C281" s="32">
        <v>173528</v>
      </c>
      <c r="D281" s="32">
        <v>2</v>
      </c>
      <c r="E281" s="3" t="s">
        <v>785</v>
      </c>
      <c r="F281" s="3">
        <v>2008</v>
      </c>
      <c r="G281" s="3">
        <v>6</v>
      </c>
      <c r="H281" s="3">
        <v>0</v>
      </c>
      <c r="I281" s="3" t="s">
        <v>52</v>
      </c>
      <c r="J281" s="175" t="s">
        <v>754</v>
      </c>
      <c r="K281" s="3">
        <f t="shared" si="48"/>
        <v>2020</v>
      </c>
      <c r="L281" s="172">
        <f t="shared" si="49"/>
        <v>2020.5</v>
      </c>
      <c r="M281" s="230">
        <v>12818.4</v>
      </c>
      <c r="N281" s="230">
        <f t="shared" si="50"/>
        <v>12818.4</v>
      </c>
      <c r="O281" s="230">
        <f t="shared" si="47"/>
        <v>89.016666666666666</v>
      </c>
      <c r="P281" s="230">
        <f t="shared" si="46"/>
        <v>1068.2</v>
      </c>
      <c r="Q281" s="230">
        <f t="shared" si="51"/>
        <v>1068.2</v>
      </c>
      <c r="R281" s="230"/>
      <c r="S281" s="230">
        <f t="shared" si="52"/>
        <v>9613.8000000000011</v>
      </c>
      <c r="T281" s="230">
        <f t="shared" si="53"/>
        <v>10682.000000000002</v>
      </c>
      <c r="U281" s="230">
        <f t="shared" si="54"/>
        <v>2670.4999999999982</v>
      </c>
    </row>
    <row r="282" spans="1:21" ht="12" customHeight="1">
      <c r="A282" s="3" t="s">
        <v>679</v>
      </c>
      <c r="C282" s="32">
        <v>173529</v>
      </c>
      <c r="D282" s="32">
        <v>2</v>
      </c>
      <c r="E282" s="3" t="s">
        <v>785</v>
      </c>
      <c r="F282" s="3">
        <v>2008</v>
      </c>
      <c r="G282" s="3">
        <v>6</v>
      </c>
      <c r="H282" s="3">
        <v>0</v>
      </c>
      <c r="I282" s="3" t="s">
        <v>52</v>
      </c>
      <c r="J282" s="175" t="s">
        <v>754</v>
      </c>
      <c r="K282" s="3">
        <f t="shared" si="48"/>
        <v>2020</v>
      </c>
      <c r="L282" s="172">
        <f t="shared" si="49"/>
        <v>2020.5</v>
      </c>
      <c r="M282" s="230">
        <v>12818.4</v>
      </c>
      <c r="N282" s="230">
        <f t="shared" si="50"/>
        <v>12818.4</v>
      </c>
      <c r="O282" s="230">
        <f t="shared" si="47"/>
        <v>89.016666666666666</v>
      </c>
      <c r="P282" s="230">
        <f t="shared" si="46"/>
        <v>1068.2</v>
      </c>
      <c r="Q282" s="230">
        <f t="shared" si="51"/>
        <v>1068.2</v>
      </c>
      <c r="R282" s="230"/>
      <c r="S282" s="230">
        <f t="shared" si="52"/>
        <v>9613.8000000000011</v>
      </c>
      <c r="T282" s="230">
        <f t="shared" si="53"/>
        <v>10682.000000000002</v>
      </c>
      <c r="U282" s="230">
        <f t="shared" si="54"/>
        <v>2670.4999999999982</v>
      </c>
    </row>
    <row r="283" spans="1:21" ht="12" customHeight="1">
      <c r="A283" s="3" t="s">
        <v>679</v>
      </c>
      <c r="C283" s="32">
        <v>173530</v>
      </c>
      <c r="D283" s="32">
        <v>2</v>
      </c>
      <c r="E283" s="3" t="s">
        <v>785</v>
      </c>
      <c r="F283" s="3">
        <v>2008</v>
      </c>
      <c r="G283" s="3">
        <v>6</v>
      </c>
      <c r="H283" s="3">
        <v>0</v>
      </c>
      <c r="I283" s="3" t="s">
        <v>52</v>
      </c>
      <c r="J283" s="175" t="s">
        <v>754</v>
      </c>
      <c r="K283" s="3">
        <f t="shared" si="48"/>
        <v>2020</v>
      </c>
      <c r="L283" s="172">
        <f t="shared" si="49"/>
        <v>2020.5</v>
      </c>
      <c r="M283" s="230">
        <v>12818.4</v>
      </c>
      <c r="N283" s="230">
        <f t="shared" si="50"/>
        <v>12818.4</v>
      </c>
      <c r="O283" s="230">
        <f t="shared" si="47"/>
        <v>89.016666666666666</v>
      </c>
      <c r="P283" s="230">
        <f t="shared" si="46"/>
        <v>1068.2</v>
      </c>
      <c r="Q283" s="230">
        <f t="shared" si="51"/>
        <v>1068.2</v>
      </c>
      <c r="R283" s="230"/>
      <c r="S283" s="230">
        <f t="shared" si="52"/>
        <v>9613.8000000000011</v>
      </c>
      <c r="T283" s="230">
        <f t="shared" si="53"/>
        <v>10682.000000000002</v>
      </c>
      <c r="U283" s="230">
        <f t="shared" si="54"/>
        <v>2670.4999999999982</v>
      </c>
    </row>
    <row r="284" spans="1:21" ht="12" customHeight="1">
      <c r="A284" s="3" t="s">
        <v>679</v>
      </c>
      <c r="C284" s="32">
        <v>173531</v>
      </c>
      <c r="D284" s="32">
        <v>2</v>
      </c>
      <c r="E284" s="3" t="s">
        <v>785</v>
      </c>
      <c r="F284" s="3">
        <v>2008</v>
      </c>
      <c r="G284" s="3">
        <v>6</v>
      </c>
      <c r="H284" s="3">
        <v>0</v>
      </c>
      <c r="I284" s="3" t="s">
        <v>52</v>
      </c>
      <c r="J284" s="175" t="s">
        <v>754</v>
      </c>
      <c r="K284" s="3">
        <f t="shared" si="48"/>
        <v>2020</v>
      </c>
      <c r="L284" s="172">
        <f t="shared" si="49"/>
        <v>2020.5</v>
      </c>
      <c r="M284" s="230">
        <v>12818.4</v>
      </c>
      <c r="N284" s="230">
        <f t="shared" si="50"/>
        <v>12818.4</v>
      </c>
      <c r="O284" s="230">
        <f t="shared" si="47"/>
        <v>89.016666666666666</v>
      </c>
      <c r="P284" s="230">
        <f t="shared" si="46"/>
        <v>1068.2</v>
      </c>
      <c r="Q284" s="230">
        <f t="shared" si="51"/>
        <v>1068.2</v>
      </c>
      <c r="R284" s="230"/>
      <c r="S284" s="230">
        <f t="shared" si="52"/>
        <v>9613.8000000000011</v>
      </c>
      <c r="T284" s="230">
        <f t="shared" si="53"/>
        <v>10682.000000000002</v>
      </c>
      <c r="U284" s="230">
        <f t="shared" si="54"/>
        <v>2670.4999999999982</v>
      </c>
    </row>
    <row r="285" spans="1:21" ht="12" customHeight="1">
      <c r="A285" s="3" t="s">
        <v>679</v>
      </c>
      <c r="C285" s="32">
        <v>173532</v>
      </c>
      <c r="D285" s="32">
        <v>2</v>
      </c>
      <c r="E285" s="3" t="s">
        <v>785</v>
      </c>
      <c r="F285" s="3">
        <v>2008</v>
      </c>
      <c r="G285" s="3">
        <v>6</v>
      </c>
      <c r="H285" s="3">
        <v>0</v>
      </c>
      <c r="I285" s="3" t="s">
        <v>52</v>
      </c>
      <c r="J285" s="175" t="s">
        <v>754</v>
      </c>
      <c r="K285" s="3">
        <f t="shared" si="48"/>
        <v>2020</v>
      </c>
      <c r="L285" s="172">
        <f t="shared" si="49"/>
        <v>2020.5</v>
      </c>
      <c r="M285" s="230">
        <v>12818.4</v>
      </c>
      <c r="N285" s="230">
        <f t="shared" si="50"/>
        <v>12818.4</v>
      </c>
      <c r="O285" s="230">
        <f t="shared" si="47"/>
        <v>89.016666666666666</v>
      </c>
      <c r="P285" s="230">
        <f t="shared" si="46"/>
        <v>1068.2</v>
      </c>
      <c r="Q285" s="230">
        <f t="shared" si="51"/>
        <v>1068.2</v>
      </c>
      <c r="R285" s="230"/>
      <c r="S285" s="230">
        <f t="shared" si="52"/>
        <v>9613.8000000000011</v>
      </c>
      <c r="T285" s="230">
        <f t="shared" si="53"/>
        <v>10682.000000000002</v>
      </c>
      <c r="U285" s="230">
        <f t="shared" si="54"/>
        <v>2670.4999999999982</v>
      </c>
    </row>
    <row r="286" spans="1:21" ht="12" customHeight="1">
      <c r="A286" s="3" t="s">
        <v>679</v>
      </c>
      <c r="C286" s="32">
        <v>173533</v>
      </c>
      <c r="D286" s="32">
        <v>2</v>
      </c>
      <c r="E286" s="3" t="s">
        <v>785</v>
      </c>
      <c r="F286" s="3">
        <v>2008</v>
      </c>
      <c r="G286" s="3">
        <v>6</v>
      </c>
      <c r="H286" s="3">
        <v>0</v>
      </c>
      <c r="I286" s="3" t="s">
        <v>52</v>
      </c>
      <c r="J286" s="175" t="s">
        <v>754</v>
      </c>
      <c r="K286" s="3">
        <f t="shared" si="48"/>
        <v>2020</v>
      </c>
      <c r="L286" s="172">
        <f t="shared" si="49"/>
        <v>2020.5</v>
      </c>
      <c r="M286" s="230">
        <v>12818.4</v>
      </c>
      <c r="N286" s="230">
        <f t="shared" si="50"/>
        <v>12818.4</v>
      </c>
      <c r="O286" s="230">
        <f t="shared" si="47"/>
        <v>89.016666666666666</v>
      </c>
      <c r="P286" s="230">
        <f t="shared" si="46"/>
        <v>1068.2</v>
      </c>
      <c r="Q286" s="230">
        <f t="shared" si="51"/>
        <v>1068.2</v>
      </c>
      <c r="R286" s="230"/>
      <c r="S286" s="230">
        <f t="shared" si="52"/>
        <v>9613.8000000000011</v>
      </c>
      <c r="T286" s="230">
        <f t="shared" si="53"/>
        <v>10682.000000000002</v>
      </c>
      <c r="U286" s="230">
        <f t="shared" si="54"/>
        <v>2670.4999999999982</v>
      </c>
    </row>
    <row r="287" spans="1:21" ht="12" customHeight="1">
      <c r="A287" s="3" t="s">
        <v>679</v>
      </c>
      <c r="C287" s="32">
        <v>173534</v>
      </c>
      <c r="D287" s="32">
        <v>2</v>
      </c>
      <c r="E287" s="3" t="s">
        <v>785</v>
      </c>
      <c r="F287" s="3">
        <v>2008</v>
      </c>
      <c r="G287" s="3">
        <v>6</v>
      </c>
      <c r="H287" s="3">
        <v>0</v>
      </c>
      <c r="I287" s="3" t="s">
        <v>52</v>
      </c>
      <c r="J287" s="175" t="s">
        <v>754</v>
      </c>
      <c r="K287" s="3">
        <f t="shared" si="48"/>
        <v>2020</v>
      </c>
      <c r="L287" s="172">
        <f t="shared" si="49"/>
        <v>2020.5</v>
      </c>
      <c r="M287" s="230">
        <v>12818.4</v>
      </c>
      <c r="N287" s="230">
        <f t="shared" si="50"/>
        <v>12818.4</v>
      </c>
      <c r="O287" s="230">
        <f t="shared" si="47"/>
        <v>89.016666666666666</v>
      </c>
      <c r="P287" s="230">
        <f t="shared" si="46"/>
        <v>1068.2</v>
      </c>
      <c r="Q287" s="230">
        <f t="shared" si="51"/>
        <v>1068.2</v>
      </c>
      <c r="R287" s="230"/>
      <c r="S287" s="230">
        <f t="shared" si="52"/>
        <v>9613.8000000000011</v>
      </c>
      <c r="T287" s="230">
        <f t="shared" si="53"/>
        <v>10682.000000000002</v>
      </c>
      <c r="U287" s="230">
        <f t="shared" si="54"/>
        <v>2670.4999999999982</v>
      </c>
    </row>
    <row r="288" spans="1:21" ht="12" customHeight="1">
      <c r="A288" s="3" t="s">
        <v>679</v>
      </c>
      <c r="C288" s="32">
        <v>173535</v>
      </c>
      <c r="D288" s="32">
        <v>2</v>
      </c>
      <c r="E288" s="3" t="s">
        <v>785</v>
      </c>
      <c r="F288" s="3">
        <v>2008</v>
      </c>
      <c r="G288" s="3">
        <v>6</v>
      </c>
      <c r="H288" s="3">
        <v>0</v>
      </c>
      <c r="I288" s="3" t="s">
        <v>52</v>
      </c>
      <c r="J288" s="175" t="s">
        <v>754</v>
      </c>
      <c r="K288" s="3">
        <f t="shared" si="48"/>
        <v>2020</v>
      </c>
      <c r="L288" s="172">
        <f t="shared" si="49"/>
        <v>2020.5</v>
      </c>
      <c r="M288" s="230">
        <v>12818.4</v>
      </c>
      <c r="N288" s="230">
        <f t="shared" si="50"/>
        <v>12818.4</v>
      </c>
      <c r="O288" s="230">
        <f t="shared" si="47"/>
        <v>89.016666666666666</v>
      </c>
      <c r="P288" s="230">
        <f t="shared" si="46"/>
        <v>1068.2</v>
      </c>
      <c r="Q288" s="230">
        <f t="shared" si="51"/>
        <v>1068.2</v>
      </c>
      <c r="R288" s="230"/>
      <c r="S288" s="230">
        <f t="shared" si="52"/>
        <v>9613.8000000000011</v>
      </c>
      <c r="T288" s="230">
        <f t="shared" si="53"/>
        <v>10682.000000000002</v>
      </c>
      <c r="U288" s="230">
        <f t="shared" si="54"/>
        <v>2670.4999999999982</v>
      </c>
    </row>
    <row r="289" spans="1:21" ht="12" customHeight="1">
      <c r="A289" s="3" t="s">
        <v>679</v>
      </c>
      <c r="C289" s="32">
        <v>173536</v>
      </c>
      <c r="D289" s="32">
        <v>2</v>
      </c>
      <c r="E289" s="3" t="s">
        <v>785</v>
      </c>
      <c r="F289" s="3">
        <v>2008</v>
      </c>
      <c r="G289" s="3">
        <v>6</v>
      </c>
      <c r="H289" s="3">
        <v>0</v>
      </c>
      <c r="I289" s="3" t="s">
        <v>52</v>
      </c>
      <c r="J289" s="175" t="s">
        <v>754</v>
      </c>
      <c r="K289" s="3">
        <f t="shared" si="48"/>
        <v>2020</v>
      </c>
      <c r="L289" s="172">
        <f t="shared" si="49"/>
        <v>2020.5</v>
      </c>
      <c r="M289" s="230">
        <v>12818.4</v>
      </c>
      <c r="N289" s="230">
        <f t="shared" si="50"/>
        <v>12818.4</v>
      </c>
      <c r="O289" s="230">
        <f t="shared" si="47"/>
        <v>89.016666666666666</v>
      </c>
      <c r="P289" s="230">
        <f t="shared" si="46"/>
        <v>1068.2</v>
      </c>
      <c r="Q289" s="230">
        <f t="shared" si="51"/>
        <v>1068.2</v>
      </c>
      <c r="R289" s="230"/>
      <c r="S289" s="230">
        <f t="shared" si="52"/>
        <v>9613.8000000000011</v>
      </c>
      <c r="T289" s="230">
        <f t="shared" si="53"/>
        <v>10682.000000000002</v>
      </c>
      <c r="U289" s="230">
        <f t="shared" si="54"/>
        <v>2670.4999999999982</v>
      </c>
    </row>
    <row r="290" spans="1:21" ht="12" customHeight="1">
      <c r="A290" s="3" t="s">
        <v>679</v>
      </c>
      <c r="C290" s="32">
        <v>173537</v>
      </c>
      <c r="D290" s="32">
        <v>2</v>
      </c>
      <c r="E290" s="3" t="s">
        <v>785</v>
      </c>
      <c r="F290" s="3">
        <v>2008</v>
      </c>
      <c r="G290" s="3">
        <v>6</v>
      </c>
      <c r="H290" s="3">
        <v>0</v>
      </c>
      <c r="I290" s="3" t="s">
        <v>52</v>
      </c>
      <c r="J290" s="175" t="s">
        <v>754</v>
      </c>
      <c r="K290" s="3">
        <f t="shared" si="48"/>
        <v>2020</v>
      </c>
      <c r="L290" s="172">
        <f t="shared" si="49"/>
        <v>2020.5</v>
      </c>
      <c r="M290" s="230">
        <v>12818.4</v>
      </c>
      <c r="N290" s="230">
        <f t="shared" si="50"/>
        <v>12818.4</v>
      </c>
      <c r="O290" s="230">
        <f t="shared" si="47"/>
        <v>89.016666666666666</v>
      </c>
      <c r="P290" s="230">
        <f t="shared" ref="P290:P321" si="55">+O290*12</f>
        <v>1068.2</v>
      </c>
      <c r="Q290" s="230">
        <f t="shared" si="51"/>
        <v>1068.2</v>
      </c>
      <c r="R290" s="230"/>
      <c r="S290" s="230">
        <f t="shared" si="52"/>
        <v>9613.8000000000011</v>
      </c>
      <c r="T290" s="230">
        <f t="shared" si="53"/>
        <v>10682.000000000002</v>
      </c>
      <c r="U290" s="230">
        <f t="shared" si="54"/>
        <v>2670.4999999999982</v>
      </c>
    </row>
    <row r="291" spans="1:21" ht="12" customHeight="1">
      <c r="A291" s="3" t="s">
        <v>679</v>
      </c>
      <c r="C291" s="32">
        <v>173552</v>
      </c>
      <c r="D291" s="32">
        <v>7</v>
      </c>
      <c r="E291" s="3" t="s">
        <v>786</v>
      </c>
      <c r="F291" s="3">
        <v>2004</v>
      </c>
      <c r="G291" s="3">
        <v>8</v>
      </c>
      <c r="H291" s="3">
        <v>0</v>
      </c>
      <c r="I291" s="3" t="s">
        <v>52</v>
      </c>
      <c r="J291" s="175" t="s">
        <v>754</v>
      </c>
      <c r="K291" s="3">
        <f t="shared" si="48"/>
        <v>2016</v>
      </c>
      <c r="L291" s="172">
        <f t="shared" si="49"/>
        <v>2016.6666666666667</v>
      </c>
      <c r="M291" s="230">
        <v>33320</v>
      </c>
      <c r="N291" s="230">
        <f t="shared" si="50"/>
        <v>33320</v>
      </c>
      <c r="O291" s="230">
        <f t="shared" si="47"/>
        <v>231.38888888888889</v>
      </c>
      <c r="P291" s="230">
        <f t="shared" si="55"/>
        <v>2776.6666666666665</v>
      </c>
      <c r="Q291" s="230">
        <f t="shared" si="51"/>
        <v>0</v>
      </c>
      <c r="R291" s="230"/>
      <c r="S291" s="230">
        <f t="shared" si="52"/>
        <v>33320</v>
      </c>
      <c r="T291" s="230">
        <f t="shared" si="53"/>
        <v>33320</v>
      </c>
      <c r="U291" s="230">
        <f t="shared" si="54"/>
        <v>0</v>
      </c>
    </row>
    <row r="292" spans="1:21" ht="12" customHeight="1">
      <c r="A292" s="3" t="s">
        <v>679</v>
      </c>
      <c r="C292" s="32">
        <v>173553</v>
      </c>
      <c r="D292" s="32">
        <v>3</v>
      </c>
      <c r="E292" s="3" t="s">
        <v>760</v>
      </c>
      <c r="F292" s="3">
        <v>2006</v>
      </c>
      <c r="G292" s="3">
        <v>4</v>
      </c>
      <c r="H292" s="3">
        <v>0</v>
      </c>
      <c r="I292" s="3" t="s">
        <v>52</v>
      </c>
      <c r="J292" s="175" t="s">
        <v>754</v>
      </c>
      <c r="K292" s="3">
        <f t="shared" si="48"/>
        <v>2018</v>
      </c>
      <c r="L292" s="172">
        <f t="shared" si="49"/>
        <v>2018.3333333333333</v>
      </c>
      <c r="M292" s="230">
        <v>14851.2</v>
      </c>
      <c r="N292" s="230">
        <f t="shared" si="50"/>
        <v>14851.2</v>
      </c>
      <c r="O292" s="230">
        <f t="shared" si="47"/>
        <v>103.13333333333334</v>
      </c>
      <c r="P292" s="230">
        <f t="shared" si="55"/>
        <v>1237.6000000000001</v>
      </c>
      <c r="Q292" s="230">
        <f t="shared" si="51"/>
        <v>0</v>
      </c>
      <c r="R292" s="230"/>
      <c r="S292" s="230">
        <f t="shared" si="52"/>
        <v>14851.2</v>
      </c>
      <c r="T292" s="230">
        <f t="shared" si="53"/>
        <v>14851.2</v>
      </c>
      <c r="U292" s="230">
        <f t="shared" si="54"/>
        <v>0</v>
      </c>
    </row>
    <row r="293" spans="1:21" ht="12.75" customHeight="1">
      <c r="A293" s="3" t="s">
        <v>679</v>
      </c>
      <c r="C293" s="32">
        <v>173554</v>
      </c>
      <c r="D293" s="32">
        <v>3</v>
      </c>
      <c r="E293" s="3" t="s">
        <v>760</v>
      </c>
      <c r="F293" s="3">
        <v>2006</v>
      </c>
      <c r="G293" s="3">
        <v>4</v>
      </c>
      <c r="H293" s="3">
        <v>0</v>
      </c>
      <c r="I293" s="3" t="s">
        <v>52</v>
      </c>
      <c r="J293" s="175" t="s">
        <v>754</v>
      </c>
      <c r="K293" s="3">
        <f t="shared" si="48"/>
        <v>2018</v>
      </c>
      <c r="L293" s="172">
        <f t="shared" si="49"/>
        <v>2018.3333333333333</v>
      </c>
      <c r="M293" s="230">
        <v>14851.2</v>
      </c>
      <c r="N293" s="230">
        <f t="shared" si="50"/>
        <v>14851.2</v>
      </c>
      <c r="O293" s="230">
        <f t="shared" si="47"/>
        <v>103.13333333333334</v>
      </c>
      <c r="P293" s="230">
        <f t="shared" si="55"/>
        <v>1237.6000000000001</v>
      </c>
      <c r="Q293" s="230">
        <f t="shared" si="51"/>
        <v>0</v>
      </c>
      <c r="R293" s="230"/>
      <c r="S293" s="230">
        <f t="shared" si="52"/>
        <v>14851.2</v>
      </c>
      <c r="T293" s="230">
        <f t="shared" si="53"/>
        <v>14851.2</v>
      </c>
      <c r="U293" s="230">
        <f t="shared" si="54"/>
        <v>0</v>
      </c>
    </row>
    <row r="294" spans="1:21" ht="12" customHeight="1">
      <c r="A294" s="3" t="s">
        <v>679</v>
      </c>
      <c r="C294" s="32">
        <v>173615</v>
      </c>
      <c r="D294" s="32">
        <v>1</v>
      </c>
      <c r="E294" s="3" t="s">
        <v>785</v>
      </c>
      <c r="F294" s="3">
        <v>2010</v>
      </c>
      <c r="G294" s="3">
        <v>12</v>
      </c>
      <c r="H294" s="3">
        <v>0</v>
      </c>
      <c r="I294" s="3" t="s">
        <v>52</v>
      </c>
      <c r="J294" s="175" t="s">
        <v>754</v>
      </c>
      <c r="K294" s="3">
        <f t="shared" si="48"/>
        <v>2022</v>
      </c>
      <c r="L294" s="172">
        <f t="shared" si="49"/>
        <v>2023</v>
      </c>
      <c r="M294" s="230">
        <v>7760.3</v>
      </c>
      <c r="N294" s="230">
        <f t="shared" si="50"/>
        <v>7760.3</v>
      </c>
      <c r="O294" s="230">
        <f t="shared" ref="O294:O325" si="56">N294/J294/12</f>
        <v>53.890972222222224</v>
      </c>
      <c r="P294" s="230">
        <f t="shared" si="55"/>
        <v>646.69166666666672</v>
      </c>
      <c r="Q294" s="230">
        <f t="shared" si="51"/>
        <v>646.69166666666672</v>
      </c>
      <c r="R294" s="230"/>
      <c r="S294" s="230">
        <f t="shared" si="52"/>
        <v>4526.8416666666672</v>
      </c>
      <c r="T294" s="230">
        <f t="shared" si="53"/>
        <v>5173.5333333333338</v>
      </c>
      <c r="U294" s="230">
        <f t="shared" si="54"/>
        <v>2910.1124999999997</v>
      </c>
    </row>
    <row r="295" spans="1:21" ht="12" customHeight="1">
      <c r="A295" s="3" t="s">
        <v>679</v>
      </c>
      <c r="C295" s="32">
        <v>173616</v>
      </c>
      <c r="D295" s="32">
        <v>1</v>
      </c>
      <c r="E295" s="3" t="s">
        <v>787</v>
      </c>
      <c r="F295" s="3">
        <v>2010</v>
      </c>
      <c r="G295" s="3">
        <v>12</v>
      </c>
      <c r="H295" s="3">
        <v>0</v>
      </c>
      <c r="I295" s="3" t="s">
        <v>52</v>
      </c>
      <c r="J295" s="175" t="s">
        <v>754</v>
      </c>
      <c r="K295" s="3">
        <f t="shared" si="48"/>
        <v>2022</v>
      </c>
      <c r="L295" s="172">
        <f t="shared" si="49"/>
        <v>2023</v>
      </c>
      <c r="M295" s="230">
        <v>3880.15</v>
      </c>
      <c r="N295" s="230">
        <f t="shared" si="50"/>
        <v>3880.15</v>
      </c>
      <c r="O295" s="230">
        <f t="shared" si="56"/>
        <v>26.945486111111112</v>
      </c>
      <c r="P295" s="230">
        <f t="shared" si="55"/>
        <v>323.34583333333336</v>
      </c>
      <c r="Q295" s="230">
        <f t="shared" si="51"/>
        <v>323.34583333333336</v>
      </c>
      <c r="R295" s="230"/>
      <c r="S295" s="230">
        <f t="shared" si="52"/>
        <v>2263.4208333333336</v>
      </c>
      <c r="T295" s="230">
        <f t="shared" si="53"/>
        <v>2586.7666666666669</v>
      </c>
      <c r="U295" s="230">
        <f t="shared" si="54"/>
        <v>1455.0562499999999</v>
      </c>
    </row>
    <row r="296" spans="1:21" ht="12" customHeight="1">
      <c r="A296" s="3" t="s">
        <v>679</v>
      </c>
      <c r="C296" s="32">
        <v>173617</v>
      </c>
      <c r="D296" s="32">
        <v>5</v>
      </c>
      <c r="E296" s="3" t="s">
        <v>788</v>
      </c>
      <c r="F296" s="3">
        <v>2015</v>
      </c>
      <c r="G296" s="3">
        <v>1</v>
      </c>
      <c r="H296" s="3">
        <v>0</v>
      </c>
      <c r="I296" s="3" t="s">
        <v>52</v>
      </c>
      <c r="J296" s="175" t="s">
        <v>754</v>
      </c>
      <c r="K296" s="3">
        <f t="shared" si="48"/>
        <v>2027</v>
      </c>
      <c r="L296" s="172">
        <f t="shared" si="49"/>
        <v>2027.0833333333333</v>
      </c>
      <c r="M296" s="230">
        <v>34700</v>
      </c>
      <c r="N296" s="230">
        <f t="shared" si="50"/>
        <v>34700</v>
      </c>
      <c r="O296" s="230">
        <f t="shared" si="56"/>
        <v>240.9722222222222</v>
      </c>
      <c r="P296" s="230">
        <f t="shared" si="55"/>
        <v>2891.6666666666665</v>
      </c>
      <c r="Q296" s="230">
        <f t="shared" si="51"/>
        <v>2891.6666666666665</v>
      </c>
      <c r="R296" s="230"/>
      <c r="S296" s="230">
        <f t="shared" si="52"/>
        <v>5783.333333333333</v>
      </c>
      <c r="T296" s="230">
        <f t="shared" si="53"/>
        <v>8675</v>
      </c>
      <c r="U296" s="230">
        <f t="shared" si="54"/>
        <v>27470.833333333336</v>
      </c>
    </row>
    <row r="297" spans="1:21" ht="12" customHeight="1">
      <c r="A297" s="3" t="s">
        <v>679</v>
      </c>
      <c r="C297" s="32">
        <v>173626</v>
      </c>
      <c r="D297" s="32" t="s">
        <v>757</v>
      </c>
      <c r="E297" s="3" t="s">
        <v>789</v>
      </c>
      <c r="F297" s="3">
        <v>2015</v>
      </c>
      <c r="G297" s="3">
        <v>9</v>
      </c>
      <c r="H297" s="3">
        <v>0</v>
      </c>
      <c r="I297" s="3" t="s">
        <v>52</v>
      </c>
      <c r="J297" s="175">
        <v>5</v>
      </c>
      <c r="K297" s="3">
        <f t="shared" ref="K297:K328" si="57">F297+J297</f>
        <v>2020</v>
      </c>
      <c r="L297" s="172">
        <f t="shared" ref="L297:L328" si="58">+K297+(G297/12)</f>
        <v>2020.75</v>
      </c>
      <c r="M297" s="230">
        <v>2804.34</v>
      </c>
      <c r="N297" s="230">
        <f t="shared" ref="N297:N328" si="59">M297-M297*H297</f>
        <v>2804.34</v>
      </c>
      <c r="O297" s="230">
        <f t="shared" si="56"/>
        <v>46.739000000000004</v>
      </c>
      <c r="P297" s="230">
        <f t="shared" si="55"/>
        <v>560.86800000000005</v>
      </c>
      <c r="Q297" s="230">
        <f t="shared" ref="Q297:Q328" si="60">+IF(L297&lt;=$N$5,0,IF(K297&gt;$N$4,P297,(O297*G297)))</f>
        <v>560.86800000000005</v>
      </c>
      <c r="R297" s="230"/>
      <c r="S297" s="230">
        <f t="shared" ref="S297:S328" si="61">+IF(Q297=0,M297,IF($N$3-F297&lt;1,0,(($N$3-F297)*P297)))</f>
        <v>1121.7360000000001</v>
      </c>
      <c r="T297" s="230">
        <f t="shared" ref="T297:T328" si="62">+IF(Q297=0,S297,S297+Q297)</f>
        <v>1682.6040000000003</v>
      </c>
      <c r="U297" s="230">
        <f t="shared" ref="U297:U328" si="63">+IF(Q297=0,0,((M297-S297)+(M297-T297))/2)</f>
        <v>1402.17</v>
      </c>
    </row>
    <row r="298" spans="1:21" ht="12" customHeight="1">
      <c r="A298" s="3" t="s">
        <v>679</v>
      </c>
      <c r="C298" s="32">
        <v>173627</v>
      </c>
      <c r="D298" s="32" t="s">
        <v>757</v>
      </c>
      <c r="E298" s="3" t="s">
        <v>789</v>
      </c>
      <c r="F298" s="3">
        <v>2015</v>
      </c>
      <c r="G298" s="3">
        <v>9</v>
      </c>
      <c r="H298" s="3">
        <v>0</v>
      </c>
      <c r="I298" s="3" t="s">
        <v>52</v>
      </c>
      <c r="J298" s="175">
        <v>5</v>
      </c>
      <c r="K298" s="3">
        <f t="shared" si="57"/>
        <v>2020</v>
      </c>
      <c r="L298" s="172">
        <f t="shared" si="58"/>
        <v>2020.75</v>
      </c>
      <c r="M298" s="230">
        <v>3300</v>
      </c>
      <c r="N298" s="230">
        <f t="shared" si="59"/>
        <v>3300</v>
      </c>
      <c r="O298" s="230">
        <f t="shared" si="56"/>
        <v>55</v>
      </c>
      <c r="P298" s="230">
        <f t="shared" si="55"/>
        <v>660</v>
      </c>
      <c r="Q298" s="230">
        <f t="shared" si="60"/>
        <v>660</v>
      </c>
      <c r="R298" s="230"/>
      <c r="S298" s="230">
        <f t="shared" si="61"/>
        <v>1320</v>
      </c>
      <c r="T298" s="230">
        <f t="shared" si="62"/>
        <v>1980</v>
      </c>
      <c r="U298" s="230">
        <f t="shared" si="63"/>
        <v>1650</v>
      </c>
    </row>
    <row r="299" spans="1:21" ht="12" customHeight="1">
      <c r="A299" s="3" t="s">
        <v>679</v>
      </c>
      <c r="C299" s="32">
        <v>173628</v>
      </c>
      <c r="D299" s="32">
        <v>1</v>
      </c>
      <c r="E299" s="3" t="s">
        <v>790</v>
      </c>
      <c r="F299" s="3">
        <v>2015</v>
      </c>
      <c r="G299" s="3">
        <v>9</v>
      </c>
      <c r="H299" s="3">
        <v>0</v>
      </c>
      <c r="I299" s="3" t="s">
        <v>52</v>
      </c>
      <c r="J299" s="175">
        <v>5</v>
      </c>
      <c r="K299" s="3">
        <f t="shared" si="57"/>
        <v>2020</v>
      </c>
      <c r="L299" s="172">
        <f t="shared" si="58"/>
        <v>2020.75</v>
      </c>
      <c r="M299" s="230">
        <v>5468.93</v>
      </c>
      <c r="N299" s="230">
        <f t="shared" si="59"/>
        <v>5468.93</v>
      </c>
      <c r="O299" s="230">
        <f t="shared" si="56"/>
        <v>91.148833333333343</v>
      </c>
      <c r="P299" s="230">
        <f t="shared" si="55"/>
        <v>1093.7860000000001</v>
      </c>
      <c r="Q299" s="230">
        <f t="shared" si="60"/>
        <v>1093.7860000000001</v>
      </c>
      <c r="R299" s="230"/>
      <c r="S299" s="230">
        <f t="shared" si="61"/>
        <v>2187.5720000000001</v>
      </c>
      <c r="T299" s="230">
        <f t="shared" si="62"/>
        <v>3281.3580000000002</v>
      </c>
      <c r="U299" s="230">
        <f t="shared" si="63"/>
        <v>2734.4650000000001</v>
      </c>
    </row>
    <row r="300" spans="1:21" ht="12" customHeight="1">
      <c r="A300" s="3" t="s">
        <v>679</v>
      </c>
      <c r="C300" s="32">
        <v>173633</v>
      </c>
      <c r="D300" s="32">
        <v>8</v>
      </c>
      <c r="E300" s="3" t="s">
        <v>791</v>
      </c>
      <c r="F300" s="3">
        <v>2015</v>
      </c>
      <c r="G300" s="3">
        <v>10</v>
      </c>
      <c r="H300" s="3">
        <v>0</v>
      </c>
      <c r="I300" s="3" t="s">
        <v>52</v>
      </c>
      <c r="J300" s="175" t="s">
        <v>754</v>
      </c>
      <c r="K300" s="3">
        <f t="shared" si="57"/>
        <v>2027</v>
      </c>
      <c r="L300" s="172">
        <f t="shared" si="58"/>
        <v>2027.8333333333333</v>
      </c>
      <c r="M300" s="230">
        <v>47350</v>
      </c>
      <c r="N300" s="230">
        <f t="shared" si="59"/>
        <v>47350</v>
      </c>
      <c r="O300" s="230">
        <f t="shared" si="56"/>
        <v>328.81944444444446</v>
      </c>
      <c r="P300" s="230">
        <f t="shared" si="55"/>
        <v>3945.8333333333335</v>
      </c>
      <c r="Q300" s="230">
        <f t="shared" si="60"/>
        <v>3945.8333333333335</v>
      </c>
      <c r="R300" s="230"/>
      <c r="S300" s="230">
        <f t="shared" si="61"/>
        <v>7891.666666666667</v>
      </c>
      <c r="T300" s="230">
        <f t="shared" si="62"/>
        <v>11837.5</v>
      </c>
      <c r="U300" s="230">
        <f t="shared" si="63"/>
        <v>37485.416666666672</v>
      </c>
    </row>
    <row r="301" spans="1:21" ht="12" customHeight="1">
      <c r="A301" s="3" t="s">
        <v>679</v>
      </c>
      <c r="C301" s="32">
        <v>173636</v>
      </c>
      <c r="D301" s="32">
        <v>2</v>
      </c>
      <c r="E301" s="3" t="s">
        <v>792</v>
      </c>
      <c r="F301" s="3">
        <v>2003</v>
      </c>
      <c r="G301" s="3">
        <v>5</v>
      </c>
      <c r="H301" s="3">
        <v>0</v>
      </c>
      <c r="I301" s="3" t="s">
        <v>52</v>
      </c>
      <c r="J301" s="175" t="s">
        <v>754</v>
      </c>
      <c r="K301" s="3">
        <f t="shared" si="57"/>
        <v>2015</v>
      </c>
      <c r="L301" s="172">
        <f t="shared" si="58"/>
        <v>2015.4166666666667</v>
      </c>
      <c r="M301" s="230">
        <v>8878.2999999999993</v>
      </c>
      <c r="N301" s="230">
        <f t="shared" si="59"/>
        <v>8878.2999999999993</v>
      </c>
      <c r="O301" s="230">
        <f t="shared" si="56"/>
        <v>61.654861111111103</v>
      </c>
      <c r="P301" s="230">
        <f t="shared" si="55"/>
        <v>739.85833333333323</v>
      </c>
      <c r="Q301" s="230">
        <f t="shared" si="60"/>
        <v>0</v>
      </c>
      <c r="R301" s="230"/>
      <c r="S301" s="230">
        <f t="shared" si="61"/>
        <v>8878.2999999999993</v>
      </c>
      <c r="T301" s="230">
        <f t="shared" si="62"/>
        <v>8878.2999999999993</v>
      </c>
      <c r="U301" s="230">
        <f t="shared" si="63"/>
        <v>0</v>
      </c>
    </row>
    <row r="302" spans="1:21" ht="12" customHeight="1">
      <c r="A302" s="3" t="s">
        <v>679</v>
      </c>
      <c r="C302" s="32">
        <v>173638</v>
      </c>
      <c r="D302" s="32">
        <v>1</v>
      </c>
      <c r="E302" s="3" t="s">
        <v>785</v>
      </c>
      <c r="F302" s="3">
        <v>2010</v>
      </c>
      <c r="G302" s="3">
        <v>12</v>
      </c>
      <c r="H302" s="3">
        <v>0</v>
      </c>
      <c r="I302" s="3" t="s">
        <v>52</v>
      </c>
      <c r="J302" s="175" t="s">
        <v>754</v>
      </c>
      <c r="K302" s="3">
        <f t="shared" si="57"/>
        <v>2022</v>
      </c>
      <c r="L302" s="172">
        <f t="shared" si="58"/>
        <v>2023</v>
      </c>
      <c r="M302" s="230">
        <v>7760.3</v>
      </c>
      <c r="N302" s="230">
        <f t="shared" si="59"/>
        <v>7760.3</v>
      </c>
      <c r="O302" s="230">
        <f t="shared" si="56"/>
        <v>53.890972222222224</v>
      </c>
      <c r="P302" s="230">
        <f t="shared" si="55"/>
        <v>646.69166666666672</v>
      </c>
      <c r="Q302" s="230">
        <f t="shared" si="60"/>
        <v>646.69166666666672</v>
      </c>
      <c r="R302" s="230"/>
      <c r="S302" s="230">
        <f t="shared" si="61"/>
        <v>4526.8416666666672</v>
      </c>
      <c r="T302" s="230">
        <f t="shared" si="62"/>
        <v>5173.5333333333338</v>
      </c>
      <c r="U302" s="230">
        <f t="shared" si="63"/>
        <v>2910.1124999999997</v>
      </c>
    </row>
    <row r="303" spans="1:21" ht="12" customHeight="1">
      <c r="A303" s="3" t="s">
        <v>679</v>
      </c>
      <c r="C303" s="32">
        <v>173639</v>
      </c>
      <c r="D303" s="32">
        <v>1</v>
      </c>
      <c r="E303" s="3" t="s">
        <v>787</v>
      </c>
      <c r="F303" s="3">
        <v>2010</v>
      </c>
      <c r="G303" s="3">
        <v>12</v>
      </c>
      <c r="H303" s="3">
        <v>0</v>
      </c>
      <c r="I303" s="3" t="s">
        <v>52</v>
      </c>
      <c r="J303" s="175" t="s">
        <v>754</v>
      </c>
      <c r="K303" s="3">
        <f t="shared" si="57"/>
        <v>2022</v>
      </c>
      <c r="L303" s="172">
        <f t="shared" si="58"/>
        <v>2023</v>
      </c>
      <c r="M303" s="230">
        <v>3880.15</v>
      </c>
      <c r="N303" s="230">
        <f t="shared" si="59"/>
        <v>3880.15</v>
      </c>
      <c r="O303" s="230">
        <f t="shared" si="56"/>
        <v>26.945486111111112</v>
      </c>
      <c r="P303" s="230">
        <f t="shared" si="55"/>
        <v>323.34583333333336</v>
      </c>
      <c r="Q303" s="230">
        <f t="shared" si="60"/>
        <v>323.34583333333336</v>
      </c>
      <c r="R303" s="230"/>
      <c r="S303" s="230">
        <f t="shared" si="61"/>
        <v>2263.4208333333336</v>
      </c>
      <c r="T303" s="230">
        <f t="shared" si="62"/>
        <v>2586.7666666666669</v>
      </c>
      <c r="U303" s="230">
        <f t="shared" si="63"/>
        <v>1455.0562499999999</v>
      </c>
    </row>
    <row r="304" spans="1:21" ht="12" customHeight="1">
      <c r="A304" s="3" t="s">
        <v>679</v>
      </c>
      <c r="C304" s="32">
        <v>173645</v>
      </c>
      <c r="D304" s="32">
        <v>6</v>
      </c>
      <c r="E304" s="3" t="s">
        <v>793</v>
      </c>
      <c r="F304" s="3">
        <v>2016</v>
      </c>
      <c r="G304" s="3">
        <v>1</v>
      </c>
      <c r="H304" s="3">
        <v>0</v>
      </c>
      <c r="I304" s="3" t="s">
        <v>52</v>
      </c>
      <c r="J304" s="175" t="s">
        <v>756</v>
      </c>
      <c r="K304" s="3">
        <f t="shared" si="57"/>
        <v>2086</v>
      </c>
      <c r="L304" s="172">
        <f t="shared" si="58"/>
        <v>2086.0833333333335</v>
      </c>
      <c r="M304" s="230">
        <v>12600</v>
      </c>
      <c r="N304" s="230">
        <f t="shared" si="59"/>
        <v>12600</v>
      </c>
      <c r="O304" s="230">
        <f t="shared" si="56"/>
        <v>15</v>
      </c>
      <c r="P304" s="230">
        <f t="shared" si="55"/>
        <v>180</v>
      </c>
      <c r="Q304" s="230">
        <f t="shared" si="60"/>
        <v>180</v>
      </c>
      <c r="R304" s="230"/>
      <c r="S304" s="230">
        <f t="shared" si="61"/>
        <v>180</v>
      </c>
      <c r="T304" s="230">
        <f t="shared" si="62"/>
        <v>360</v>
      </c>
      <c r="U304" s="230">
        <f t="shared" si="63"/>
        <v>12330</v>
      </c>
    </row>
    <row r="305" spans="1:21" ht="12" customHeight="1">
      <c r="A305" s="3" t="s">
        <v>679</v>
      </c>
      <c r="C305" s="32">
        <v>173646</v>
      </c>
      <c r="D305" s="32">
        <v>6</v>
      </c>
      <c r="E305" s="3" t="s">
        <v>794</v>
      </c>
      <c r="F305" s="3">
        <v>2016</v>
      </c>
      <c r="G305" s="3">
        <v>1</v>
      </c>
      <c r="H305" s="3">
        <v>0</v>
      </c>
      <c r="I305" s="3" t="s">
        <v>52</v>
      </c>
      <c r="J305" s="175" t="s">
        <v>756</v>
      </c>
      <c r="K305" s="3">
        <f t="shared" si="57"/>
        <v>2086</v>
      </c>
      <c r="L305" s="172">
        <f t="shared" si="58"/>
        <v>2086.0833333333335</v>
      </c>
      <c r="M305" s="230">
        <v>12600</v>
      </c>
      <c r="N305" s="230">
        <f t="shared" si="59"/>
        <v>12600</v>
      </c>
      <c r="O305" s="230">
        <f t="shared" si="56"/>
        <v>15</v>
      </c>
      <c r="P305" s="230">
        <f t="shared" si="55"/>
        <v>180</v>
      </c>
      <c r="Q305" s="230">
        <f t="shared" si="60"/>
        <v>180</v>
      </c>
      <c r="R305" s="230"/>
      <c r="S305" s="230">
        <f t="shared" si="61"/>
        <v>180</v>
      </c>
      <c r="T305" s="230">
        <f t="shared" si="62"/>
        <v>360</v>
      </c>
      <c r="U305" s="230">
        <f t="shared" si="63"/>
        <v>12330</v>
      </c>
    </row>
    <row r="306" spans="1:21" ht="12" customHeight="1">
      <c r="A306" s="3" t="s">
        <v>679</v>
      </c>
      <c r="C306" s="32">
        <v>173647</v>
      </c>
      <c r="D306" s="32" t="s">
        <v>757</v>
      </c>
      <c r="E306" s="3" t="s">
        <v>795</v>
      </c>
      <c r="F306" s="3">
        <v>2016</v>
      </c>
      <c r="G306" s="3">
        <v>1</v>
      </c>
      <c r="H306" s="3">
        <v>0</v>
      </c>
      <c r="I306" s="3" t="s">
        <v>52</v>
      </c>
      <c r="J306" s="175">
        <v>5</v>
      </c>
      <c r="K306" s="3">
        <f t="shared" si="57"/>
        <v>2021</v>
      </c>
      <c r="L306" s="172">
        <f t="shared" si="58"/>
        <v>2021.0833333333333</v>
      </c>
      <c r="M306" s="230">
        <v>5199.8</v>
      </c>
      <c r="N306" s="230">
        <f t="shared" si="59"/>
        <v>5199.8</v>
      </c>
      <c r="O306" s="230">
        <f t="shared" si="56"/>
        <v>86.663333333333341</v>
      </c>
      <c r="P306" s="230">
        <f t="shared" si="55"/>
        <v>1039.96</v>
      </c>
      <c r="Q306" s="230">
        <f t="shared" si="60"/>
        <v>1039.96</v>
      </c>
      <c r="R306" s="230"/>
      <c r="S306" s="230">
        <f t="shared" si="61"/>
        <v>1039.96</v>
      </c>
      <c r="T306" s="230">
        <f t="shared" si="62"/>
        <v>2079.92</v>
      </c>
      <c r="U306" s="230">
        <f t="shared" si="63"/>
        <v>3639.86</v>
      </c>
    </row>
    <row r="307" spans="1:21" ht="12" customHeight="1">
      <c r="A307" s="3" t="s">
        <v>679</v>
      </c>
      <c r="C307" s="32">
        <v>173648</v>
      </c>
      <c r="D307" s="32">
        <v>1</v>
      </c>
      <c r="E307" s="3" t="s">
        <v>796</v>
      </c>
      <c r="F307" s="3">
        <v>2016</v>
      </c>
      <c r="G307" s="3">
        <v>1</v>
      </c>
      <c r="H307" s="3">
        <v>0</v>
      </c>
      <c r="I307" s="3" t="s">
        <v>52</v>
      </c>
      <c r="J307" s="175">
        <v>5</v>
      </c>
      <c r="K307" s="3">
        <f t="shared" si="57"/>
        <v>2021</v>
      </c>
      <c r="L307" s="172">
        <f t="shared" si="58"/>
        <v>2021.0833333333333</v>
      </c>
      <c r="M307" s="230">
        <v>3250</v>
      </c>
      <c r="N307" s="230">
        <f t="shared" si="59"/>
        <v>3250</v>
      </c>
      <c r="O307" s="230">
        <f t="shared" si="56"/>
        <v>54.166666666666664</v>
      </c>
      <c r="P307" s="230">
        <f t="shared" si="55"/>
        <v>650</v>
      </c>
      <c r="Q307" s="230">
        <f t="shared" si="60"/>
        <v>650</v>
      </c>
      <c r="R307" s="230"/>
      <c r="S307" s="230">
        <f t="shared" si="61"/>
        <v>650</v>
      </c>
      <c r="T307" s="230">
        <f t="shared" si="62"/>
        <v>1300</v>
      </c>
      <c r="U307" s="230">
        <f t="shared" si="63"/>
        <v>2275</v>
      </c>
    </row>
    <row r="308" spans="1:21" ht="12" customHeight="1">
      <c r="A308" s="3" t="s">
        <v>679</v>
      </c>
      <c r="C308" s="32">
        <v>173650</v>
      </c>
      <c r="D308" s="32">
        <v>7</v>
      </c>
      <c r="E308" s="3" t="s">
        <v>797</v>
      </c>
      <c r="F308" s="3">
        <v>2016</v>
      </c>
      <c r="G308" s="3">
        <v>4</v>
      </c>
      <c r="H308" s="3">
        <v>0</v>
      </c>
      <c r="I308" s="3" t="s">
        <v>52</v>
      </c>
      <c r="J308" s="175" t="s">
        <v>754</v>
      </c>
      <c r="K308" s="3">
        <f t="shared" si="57"/>
        <v>2028</v>
      </c>
      <c r="L308" s="172">
        <f t="shared" si="58"/>
        <v>2028.3333333333333</v>
      </c>
      <c r="M308" s="230">
        <v>41020</v>
      </c>
      <c r="N308" s="230">
        <f t="shared" si="59"/>
        <v>41020</v>
      </c>
      <c r="O308" s="230">
        <f t="shared" si="56"/>
        <v>284.86111111111114</v>
      </c>
      <c r="P308" s="230">
        <f t="shared" si="55"/>
        <v>3418.3333333333339</v>
      </c>
      <c r="Q308" s="230">
        <f t="shared" si="60"/>
        <v>3418.3333333333339</v>
      </c>
      <c r="R308" s="230"/>
      <c r="S308" s="230">
        <f t="shared" si="61"/>
        <v>3418.3333333333339</v>
      </c>
      <c r="T308" s="230">
        <f t="shared" si="62"/>
        <v>6836.6666666666679</v>
      </c>
      <c r="U308" s="230">
        <f t="shared" si="63"/>
        <v>35892.5</v>
      </c>
    </row>
    <row r="309" spans="1:21" ht="12" customHeight="1">
      <c r="A309" s="3" t="s">
        <v>679</v>
      </c>
      <c r="C309" s="32">
        <v>173651</v>
      </c>
      <c r="D309" s="32">
        <v>3</v>
      </c>
      <c r="E309" s="3" t="s">
        <v>798</v>
      </c>
      <c r="F309" s="3">
        <v>2016</v>
      </c>
      <c r="G309" s="3">
        <v>4</v>
      </c>
      <c r="H309" s="3">
        <v>0</v>
      </c>
      <c r="I309" s="3" t="s">
        <v>52</v>
      </c>
      <c r="J309" s="175" t="s">
        <v>754</v>
      </c>
      <c r="K309" s="3">
        <f t="shared" si="57"/>
        <v>2028</v>
      </c>
      <c r="L309" s="172">
        <f t="shared" si="58"/>
        <v>2028.3333333333333</v>
      </c>
      <c r="M309" s="230">
        <v>20235</v>
      </c>
      <c r="N309" s="230">
        <f t="shared" si="59"/>
        <v>20235</v>
      </c>
      <c r="O309" s="230">
        <f t="shared" si="56"/>
        <v>140.52083333333334</v>
      </c>
      <c r="P309" s="230">
        <f t="shared" si="55"/>
        <v>1686.25</v>
      </c>
      <c r="Q309" s="230">
        <f t="shared" si="60"/>
        <v>1686.25</v>
      </c>
      <c r="R309" s="230"/>
      <c r="S309" s="230">
        <f t="shared" si="61"/>
        <v>1686.25</v>
      </c>
      <c r="T309" s="230">
        <f t="shared" si="62"/>
        <v>3372.5</v>
      </c>
      <c r="U309" s="230">
        <f t="shared" si="63"/>
        <v>17705.625</v>
      </c>
    </row>
    <row r="310" spans="1:21" ht="12" customHeight="1">
      <c r="A310" s="3" t="s">
        <v>679</v>
      </c>
      <c r="C310" s="32">
        <v>173652</v>
      </c>
      <c r="D310" s="32">
        <v>1</v>
      </c>
      <c r="E310" s="3" t="s">
        <v>799</v>
      </c>
      <c r="F310" s="3">
        <v>2016</v>
      </c>
      <c r="G310" s="3">
        <v>4</v>
      </c>
      <c r="H310" s="3">
        <v>0</v>
      </c>
      <c r="I310" s="3" t="s">
        <v>52</v>
      </c>
      <c r="J310" s="175" t="s">
        <v>754</v>
      </c>
      <c r="K310" s="3">
        <f t="shared" si="57"/>
        <v>2028</v>
      </c>
      <c r="L310" s="172">
        <f t="shared" si="58"/>
        <v>2028.3333333333333</v>
      </c>
      <c r="M310" s="230">
        <v>7895</v>
      </c>
      <c r="N310" s="230">
        <f t="shared" si="59"/>
        <v>7895</v>
      </c>
      <c r="O310" s="230">
        <f t="shared" si="56"/>
        <v>54.826388888888886</v>
      </c>
      <c r="P310" s="230">
        <f t="shared" si="55"/>
        <v>657.91666666666663</v>
      </c>
      <c r="Q310" s="230">
        <f t="shared" si="60"/>
        <v>657.91666666666663</v>
      </c>
      <c r="R310" s="230"/>
      <c r="S310" s="230">
        <f t="shared" si="61"/>
        <v>657.91666666666663</v>
      </c>
      <c r="T310" s="230">
        <f t="shared" si="62"/>
        <v>1315.8333333333333</v>
      </c>
      <c r="U310" s="230">
        <f t="shared" si="63"/>
        <v>6908.125</v>
      </c>
    </row>
    <row r="311" spans="1:21" ht="12" customHeight="1">
      <c r="A311" s="3" t="s">
        <v>679</v>
      </c>
      <c r="C311" s="32">
        <v>173664</v>
      </c>
      <c r="D311" s="32">
        <v>17</v>
      </c>
      <c r="E311" s="3" t="s">
        <v>800</v>
      </c>
      <c r="F311" s="3">
        <v>2016</v>
      </c>
      <c r="G311" s="3">
        <v>5</v>
      </c>
      <c r="H311" s="3">
        <v>0</v>
      </c>
      <c r="I311" s="3" t="s">
        <v>52</v>
      </c>
      <c r="J311" s="175" t="s">
        <v>754</v>
      </c>
      <c r="K311" s="3">
        <f t="shared" si="57"/>
        <v>2028</v>
      </c>
      <c r="L311" s="172">
        <f t="shared" si="58"/>
        <v>2028.4166666666667</v>
      </c>
      <c r="M311" s="230">
        <v>15138.77</v>
      </c>
      <c r="N311" s="230">
        <f t="shared" si="59"/>
        <v>15138.77</v>
      </c>
      <c r="O311" s="230">
        <f t="shared" si="56"/>
        <v>105.13034722222223</v>
      </c>
      <c r="P311" s="230">
        <f t="shared" si="55"/>
        <v>1261.5641666666668</v>
      </c>
      <c r="Q311" s="230">
        <f t="shared" si="60"/>
        <v>1261.5641666666668</v>
      </c>
      <c r="R311" s="230"/>
      <c r="S311" s="230">
        <f t="shared" si="61"/>
        <v>1261.5641666666668</v>
      </c>
      <c r="T311" s="230">
        <f t="shared" si="62"/>
        <v>2523.1283333333336</v>
      </c>
      <c r="U311" s="230">
        <f t="shared" si="63"/>
        <v>13246.42375</v>
      </c>
    </row>
    <row r="312" spans="1:21" ht="12" customHeight="1">
      <c r="A312" s="3" t="s">
        <v>679</v>
      </c>
      <c r="C312" s="32">
        <v>173665</v>
      </c>
      <c r="D312" s="32">
        <v>5</v>
      </c>
      <c r="E312" s="3" t="s">
        <v>801</v>
      </c>
      <c r="F312" s="3">
        <v>2016</v>
      </c>
      <c r="G312" s="3">
        <v>9</v>
      </c>
      <c r="H312" s="3">
        <v>0</v>
      </c>
      <c r="I312" s="3" t="s">
        <v>52</v>
      </c>
      <c r="J312" s="175" t="s">
        <v>754</v>
      </c>
      <c r="K312" s="3">
        <f t="shared" si="57"/>
        <v>2028</v>
      </c>
      <c r="L312" s="172">
        <f t="shared" si="58"/>
        <v>2028.75</v>
      </c>
      <c r="M312" s="230">
        <v>29610</v>
      </c>
      <c r="N312" s="230">
        <f t="shared" si="59"/>
        <v>29610</v>
      </c>
      <c r="O312" s="230">
        <f t="shared" si="56"/>
        <v>205.625</v>
      </c>
      <c r="P312" s="230">
        <f t="shared" si="55"/>
        <v>2467.5</v>
      </c>
      <c r="Q312" s="230">
        <f t="shared" si="60"/>
        <v>2467.5</v>
      </c>
      <c r="R312" s="230"/>
      <c r="S312" s="230">
        <f t="shared" si="61"/>
        <v>2467.5</v>
      </c>
      <c r="T312" s="230">
        <f t="shared" si="62"/>
        <v>4935</v>
      </c>
      <c r="U312" s="230">
        <f t="shared" si="63"/>
        <v>25908.75</v>
      </c>
    </row>
    <row r="313" spans="1:21" ht="12" customHeight="1">
      <c r="A313" s="3" t="s">
        <v>679</v>
      </c>
      <c r="C313" s="32">
        <v>173666</v>
      </c>
      <c r="D313" s="32">
        <v>1</v>
      </c>
      <c r="E313" s="3" t="s">
        <v>802</v>
      </c>
      <c r="F313" s="3">
        <v>2016</v>
      </c>
      <c r="G313" s="3">
        <v>9</v>
      </c>
      <c r="H313" s="3">
        <v>0</v>
      </c>
      <c r="I313" s="3" t="s">
        <v>52</v>
      </c>
      <c r="J313" s="175" t="s">
        <v>754</v>
      </c>
      <c r="K313" s="3">
        <f t="shared" si="57"/>
        <v>2028</v>
      </c>
      <c r="L313" s="172">
        <f t="shared" si="58"/>
        <v>2028.75</v>
      </c>
      <c r="M313" s="230">
        <v>6848</v>
      </c>
      <c r="N313" s="230">
        <f t="shared" si="59"/>
        <v>6848</v>
      </c>
      <c r="O313" s="230">
        <f t="shared" si="56"/>
        <v>47.55555555555555</v>
      </c>
      <c r="P313" s="230">
        <f t="shared" si="55"/>
        <v>570.66666666666663</v>
      </c>
      <c r="Q313" s="230">
        <f t="shared" si="60"/>
        <v>570.66666666666663</v>
      </c>
      <c r="R313" s="230"/>
      <c r="S313" s="230">
        <f t="shared" si="61"/>
        <v>570.66666666666663</v>
      </c>
      <c r="T313" s="230">
        <f t="shared" si="62"/>
        <v>1141.3333333333333</v>
      </c>
      <c r="U313" s="230">
        <f t="shared" si="63"/>
        <v>5992</v>
      </c>
    </row>
    <row r="314" spans="1:21" ht="12" customHeight="1">
      <c r="A314" s="3" t="s">
        <v>679</v>
      </c>
      <c r="C314" s="32">
        <v>173667</v>
      </c>
      <c r="D314" s="32">
        <v>2</v>
      </c>
      <c r="E314" s="3" t="s">
        <v>802</v>
      </c>
      <c r="F314" s="3">
        <v>2016</v>
      </c>
      <c r="G314" s="3">
        <v>9</v>
      </c>
      <c r="H314" s="3">
        <v>0</v>
      </c>
      <c r="I314" s="3" t="s">
        <v>52</v>
      </c>
      <c r="J314" s="175" t="s">
        <v>754</v>
      </c>
      <c r="K314" s="3">
        <f t="shared" si="57"/>
        <v>2028</v>
      </c>
      <c r="L314" s="172">
        <f t="shared" si="58"/>
        <v>2028.75</v>
      </c>
      <c r="M314" s="230">
        <v>13696</v>
      </c>
      <c r="N314" s="230">
        <f t="shared" si="59"/>
        <v>13696</v>
      </c>
      <c r="O314" s="230">
        <f t="shared" si="56"/>
        <v>95.1111111111111</v>
      </c>
      <c r="P314" s="230">
        <f t="shared" si="55"/>
        <v>1141.3333333333333</v>
      </c>
      <c r="Q314" s="230">
        <f t="shared" si="60"/>
        <v>1141.3333333333333</v>
      </c>
      <c r="R314" s="230"/>
      <c r="S314" s="230">
        <f t="shared" si="61"/>
        <v>1141.3333333333333</v>
      </c>
      <c r="T314" s="230">
        <f t="shared" si="62"/>
        <v>2282.6666666666665</v>
      </c>
      <c r="U314" s="230">
        <f t="shared" si="63"/>
        <v>11984</v>
      </c>
    </row>
    <row r="315" spans="1:21" ht="12" customHeight="1">
      <c r="A315" s="3" t="s">
        <v>679</v>
      </c>
      <c r="C315" s="32">
        <v>173668</v>
      </c>
      <c r="D315" s="32">
        <v>5</v>
      </c>
      <c r="E315" s="3" t="s">
        <v>803</v>
      </c>
      <c r="F315" s="3">
        <v>2016</v>
      </c>
      <c r="G315" s="3">
        <v>9</v>
      </c>
      <c r="H315" s="3">
        <v>0</v>
      </c>
      <c r="I315" s="3" t="s">
        <v>52</v>
      </c>
      <c r="J315" s="175" t="s">
        <v>754</v>
      </c>
      <c r="K315" s="3">
        <f t="shared" si="57"/>
        <v>2028</v>
      </c>
      <c r="L315" s="172">
        <f t="shared" si="58"/>
        <v>2028.75</v>
      </c>
      <c r="M315" s="230">
        <v>28145</v>
      </c>
      <c r="N315" s="230">
        <f t="shared" si="59"/>
        <v>28145</v>
      </c>
      <c r="O315" s="230">
        <f t="shared" si="56"/>
        <v>195.45138888888889</v>
      </c>
      <c r="P315" s="230">
        <f t="shared" si="55"/>
        <v>2345.4166666666665</v>
      </c>
      <c r="Q315" s="230">
        <f t="shared" si="60"/>
        <v>2345.4166666666665</v>
      </c>
      <c r="R315" s="230"/>
      <c r="S315" s="230">
        <f t="shared" si="61"/>
        <v>2345.4166666666665</v>
      </c>
      <c r="T315" s="230">
        <f t="shared" si="62"/>
        <v>4690.833333333333</v>
      </c>
      <c r="U315" s="230">
        <f t="shared" si="63"/>
        <v>24626.875</v>
      </c>
    </row>
    <row r="316" spans="1:21" ht="12" customHeight="1">
      <c r="A316" s="3" t="s">
        <v>679</v>
      </c>
      <c r="C316" s="32">
        <v>173672</v>
      </c>
      <c r="D316" s="32">
        <v>4</v>
      </c>
      <c r="E316" s="3" t="s">
        <v>804</v>
      </c>
      <c r="F316" s="3">
        <v>2016</v>
      </c>
      <c r="G316" s="3">
        <v>12</v>
      </c>
      <c r="H316" s="3">
        <v>0</v>
      </c>
      <c r="I316" s="3" t="s">
        <v>52</v>
      </c>
      <c r="J316" s="175" t="s">
        <v>754</v>
      </c>
      <c r="K316" s="3">
        <f t="shared" si="57"/>
        <v>2028</v>
      </c>
      <c r="L316" s="172">
        <f t="shared" si="58"/>
        <v>2029</v>
      </c>
      <c r="M316" s="230">
        <v>8400</v>
      </c>
      <c r="N316" s="230">
        <f t="shared" si="59"/>
        <v>8400</v>
      </c>
      <c r="O316" s="230">
        <f t="shared" si="56"/>
        <v>58.333333333333336</v>
      </c>
      <c r="P316" s="230">
        <f t="shared" si="55"/>
        <v>700</v>
      </c>
      <c r="Q316" s="230">
        <f t="shared" si="60"/>
        <v>700</v>
      </c>
      <c r="R316" s="230"/>
      <c r="S316" s="230">
        <f t="shared" si="61"/>
        <v>700</v>
      </c>
      <c r="T316" s="230">
        <f t="shared" si="62"/>
        <v>1400</v>
      </c>
      <c r="U316" s="230">
        <f t="shared" si="63"/>
        <v>7350</v>
      </c>
    </row>
    <row r="317" spans="1:21" ht="12" customHeight="1">
      <c r="A317" s="3" t="s">
        <v>679</v>
      </c>
      <c r="C317" s="32">
        <v>173673</v>
      </c>
      <c r="D317" s="32">
        <v>4</v>
      </c>
      <c r="E317" s="3" t="s">
        <v>805</v>
      </c>
      <c r="F317" s="3">
        <v>2016</v>
      </c>
      <c r="G317" s="3">
        <v>12</v>
      </c>
      <c r="H317" s="3">
        <v>0</v>
      </c>
      <c r="I317" s="3" t="s">
        <v>52</v>
      </c>
      <c r="J317" s="175" t="s">
        <v>754</v>
      </c>
      <c r="K317" s="3">
        <f t="shared" si="57"/>
        <v>2028</v>
      </c>
      <c r="L317" s="172">
        <f t="shared" si="58"/>
        <v>2029</v>
      </c>
      <c r="M317" s="230">
        <v>8400</v>
      </c>
      <c r="N317" s="230">
        <f t="shared" si="59"/>
        <v>8400</v>
      </c>
      <c r="O317" s="230">
        <f t="shared" si="56"/>
        <v>58.333333333333336</v>
      </c>
      <c r="P317" s="230">
        <f t="shared" si="55"/>
        <v>700</v>
      </c>
      <c r="Q317" s="230">
        <f t="shared" si="60"/>
        <v>700</v>
      </c>
      <c r="R317" s="230"/>
      <c r="S317" s="230">
        <f t="shared" si="61"/>
        <v>700</v>
      </c>
      <c r="T317" s="230">
        <f t="shared" si="62"/>
        <v>1400</v>
      </c>
      <c r="U317" s="230">
        <f t="shared" si="63"/>
        <v>7350</v>
      </c>
    </row>
    <row r="318" spans="1:21" ht="12" customHeight="1">
      <c r="A318" s="3" t="s">
        <v>679</v>
      </c>
      <c r="C318" s="32">
        <v>185708</v>
      </c>
      <c r="D318" s="32">
        <v>2</v>
      </c>
      <c r="E318" s="3" t="s">
        <v>806</v>
      </c>
      <c r="F318" s="3">
        <v>2017</v>
      </c>
      <c r="G318" s="3">
        <v>5</v>
      </c>
      <c r="H318" s="3">
        <v>0</v>
      </c>
      <c r="I318" s="3" t="s">
        <v>52</v>
      </c>
      <c r="J318" s="175" t="s">
        <v>754</v>
      </c>
      <c r="K318" s="3">
        <f t="shared" si="57"/>
        <v>2029</v>
      </c>
      <c r="L318" s="172">
        <f t="shared" si="58"/>
        <v>2029.4166666666667</v>
      </c>
      <c r="M318" s="230">
        <v>13406</v>
      </c>
      <c r="N318" s="230">
        <f t="shared" si="59"/>
        <v>13406</v>
      </c>
      <c r="O318" s="230">
        <f t="shared" si="56"/>
        <v>93.097222222222229</v>
      </c>
      <c r="P318" s="230">
        <f t="shared" si="55"/>
        <v>1117.1666666666667</v>
      </c>
      <c r="Q318" s="230">
        <f t="shared" si="60"/>
        <v>1117.1666666666667</v>
      </c>
      <c r="R318" s="230"/>
      <c r="S318" s="230">
        <f t="shared" si="61"/>
        <v>0</v>
      </c>
      <c r="T318" s="230">
        <f t="shared" si="62"/>
        <v>1117.1666666666667</v>
      </c>
      <c r="U318" s="230">
        <f t="shared" si="63"/>
        <v>12847.416666666668</v>
      </c>
    </row>
    <row r="319" spans="1:21" ht="12" customHeight="1">
      <c r="A319" s="3" t="s">
        <v>679</v>
      </c>
      <c r="C319" s="32">
        <v>185709</v>
      </c>
      <c r="D319" s="32">
        <v>2</v>
      </c>
      <c r="E319" s="3" t="s">
        <v>807</v>
      </c>
      <c r="F319" s="3">
        <v>2017</v>
      </c>
      <c r="G319" s="3">
        <v>5</v>
      </c>
      <c r="H319" s="3">
        <v>0</v>
      </c>
      <c r="I319" s="3" t="s">
        <v>52</v>
      </c>
      <c r="J319" s="175" t="s">
        <v>754</v>
      </c>
      <c r="K319" s="3">
        <f t="shared" si="57"/>
        <v>2029</v>
      </c>
      <c r="L319" s="172">
        <f t="shared" si="58"/>
        <v>2029.4166666666667</v>
      </c>
      <c r="M319" s="230">
        <v>12170</v>
      </c>
      <c r="N319" s="230">
        <f t="shared" si="59"/>
        <v>12170</v>
      </c>
      <c r="O319" s="230">
        <f t="shared" si="56"/>
        <v>84.513888888888886</v>
      </c>
      <c r="P319" s="230">
        <f t="shared" si="55"/>
        <v>1014.1666666666666</v>
      </c>
      <c r="Q319" s="230">
        <f t="shared" si="60"/>
        <v>1014.1666666666666</v>
      </c>
      <c r="R319" s="230"/>
      <c r="S319" s="230">
        <f t="shared" si="61"/>
        <v>0</v>
      </c>
      <c r="T319" s="230">
        <f t="shared" si="62"/>
        <v>1014.1666666666666</v>
      </c>
      <c r="U319" s="230">
        <f t="shared" si="63"/>
        <v>11662.916666666668</v>
      </c>
    </row>
    <row r="320" spans="1:21" ht="12" customHeight="1">
      <c r="A320" s="3" t="s">
        <v>679</v>
      </c>
      <c r="C320" s="32">
        <v>185710</v>
      </c>
      <c r="D320" s="32">
        <v>1</v>
      </c>
      <c r="E320" s="3" t="s">
        <v>808</v>
      </c>
      <c r="F320" s="3">
        <v>2017</v>
      </c>
      <c r="G320" s="3">
        <v>5</v>
      </c>
      <c r="H320" s="3">
        <v>0</v>
      </c>
      <c r="I320" s="3" t="s">
        <v>52</v>
      </c>
      <c r="J320" s="175" t="s">
        <v>754</v>
      </c>
      <c r="K320" s="3">
        <f t="shared" si="57"/>
        <v>2029</v>
      </c>
      <c r="L320" s="172">
        <f t="shared" si="58"/>
        <v>2029.4166666666667</v>
      </c>
      <c r="M320" s="230">
        <v>6651</v>
      </c>
      <c r="N320" s="230">
        <f t="shared" si="59"/>
        <v>6651</v>
      </c>
      <c r="O320" s="230">
        <f t="shared" si="56"/>
        <v>46.1875</v>
      </c>
      <c r="P320" s="230">
        <f t="shared" si="55"/>
        <v>554.25</v>
      </c>
      <c r="Q320" s="230">
        <f t="shared" si="60"/>
        <v>554.25</v>
      </c>
      <c r="R320" s="230"/>
      <c r="S320" s="230">
        <f t="shared" si="61"/>
        <v>0</v>
      </c>
      <c r="T320" s="230">
        <f t="shared" si="62"/>
        <v>554.25</v>
      </c>
      <c r="U320" s="230">
        <f t="shared" si="63"/>
        <v>6373.875</v>
      </c>
    </row>
    <row r="321" spans="1:21" ht="12" customHeight="1">
      <c r="A321" s="3" t="s">
        <v>679</v>
      </c>
      <c r="C321" s="32">
        <v>185711</v>
      </c>
      <c r="D321" s="32">
        <v>4</v>
      </c>
      <c r="E321" s="3" t="s">
        <v>809</v>
      </c>
      <c r="F321" s="3">
        <v>2017</v>
      </c>
      <c r="G321" s="3">
        <v>5</v>
      </c>
      <c r="H321" s="3">
        <v>0</v>
      </c>
      <c r="I321" s="3" t="s">
        <v>52</v>
      </c>
      <c r="J321" s="175" t="s">
        <v>754</v>
      </c>
      <c r="K321" s="3">
        <f t="shared" si="57"/>
        <v>2029</v>
      </c>
      <c r="L321" s="172">
        <f t="shared" si="58"/>
        <v>2029.4166666666667</v>
      </c>
      <c r="M321" s="230">
        <v>26980</v>
      </c>
      <c r="N321" s="230">
        <f t="shared" si="59"/>
        <v>26980</v>
      </c>
      <c r="O321" s="230">
        <f t="shared" si="56"/>
        <v>187.36111111111111</v>
      </c>
      <c r="P321" s="230">
        <f t="shared" si="55"/>
        <v>2248.3333333333335</v>
      </c>
      <c r="Q321" s="230">
        <f t="shared" si="60"/>
        <v>2248.3333333333335</v>
      </c>
      <c r="R321" s="230"/>
      <c r="S321" s="230">
        <f t="shared" si="61"/>
        <v>0</v>
      </c>
      <c r="T321" s="230">
        <f t="shared" si="62"/>
        <v>2248.3333333333335</v>
      </c>
      <c r="U321" s="230">
        <f t="shared" si="63"/>
        <v>25855.833333333336</v>
      </c>
    </row>
    <row r="322" spans="1:21" ht="12" customHeight="1">
      <c r="A322" s="3" t="s">
        <v>679</v>
      </c>
      <c r="C322" s="32">
        <v>185712</v>
      </c>
      <c r="D322" s="32">
        <v>1</v>
      </c>
      <c r="E322" s="3" t="s">
        <v>810</v>
      </c>
      <c r="F322" s="3">
        <v>2017</v>
      </c>
      <c r="G322" s="3">
        <v>5</v>
      </c>
      <c r="H322" s="3">
        <v>0</v>
      </c>
      <c r="I322" s="3" t="s">
        <v>52</v>
      </c>
      <c r="J322" s="175" t="s">
        <v>754</v>
      </c>
      <c r="K322" s="3">
        <f t="shared" si="57"/>
        <v>2029</v>
      </c>
      <c r="L322" s="172">
        <f t="shared" si="58"/>
        <v>2029.4166666666667</v>
      </c>
      <c r="M322" s="230">
        <v>6703</v>
      </c>
      <c r="N322" s="230">
        <f t="shared" si="59"/>
        <v>6703</v>
      </c>
      <c r="O322" s="230">
        <f t="shared" si="56"/>
        <v>46.548611111111114</v>
      </c>
      <c r="P322" s="230">
        <f t="shared" ref="P322:P353" si="64">+O322*12</f>
        <v>558.58333333333337</v>
      </c>
      <c r="Q322" s="230">
        <f t="shared" si="60"/>
        <v>558.58333333333337</v>
      </c>
      <c r="R322" s="230"/>
      <c r="S322" s="230">
        <f t="shared" si="61"/>
        <v>0</v>
      </c>
      <c r="T322" s="230">
        <f t="shared" si="62"/>
        <v>558.58333333333337</v>
      </c>
      <c r="U322" s="230">
        <f t="shared" si="63"/>
        <v>6423.7083333333339</v>
      </c>
    </row>
    <row r="323" spans="1:21" ht="12" customHeight="1">
      <c r="A323" s="3" t="s">
        <v>679</v>
      </c>
      <c r="C323" s="32">
        <v>185713</v>
      </c>
      <c r="D323" s="32">
        <v>1</v>
      </c>
      <c r="E323" s="3" t="s">
        <v>811</v>
      </c>
      <c r="F323" s="3">
        <v>2017</v>
      </c>
      <c r="G323" s="3">
        <v>5</v>
      </c>
      <c r="H323" s="3">
        <v>0</v>
      </c>
      <c r="I323" s="3" t="s">
        <v>52</v>
      </c>
      <c r="J323" s="175" t="s">
        <v>754</v>
      </c>
      <c r="K323" s="3">
        <f t="shared" si="57"/>
        <v>2029</v>
      </c>
      <c r="L323" s="172">
        <f t="shared" si="58"/>
        <v>2029.4166666666667</v>
      </c>
      <c r="M323" s="230">
        <v>6745</v>
      </c>
      <c r="N323" s="230">
        <f t="shared" si="59"/>
        <v>6745</v>
      </c>
      <c r="O323" s="230">
        <f t="shared" si="56"/>
        <v>46.840277777777779</v>
      </c>
      <c r="P323" s="230">
        <f t="shared" si="64"/>
        <v>562.08333333333337</v>
      </c>
      <c r="Q323" s="230">
        <f t="shared" si="60"/>
        <v>562.08333333333337</v>
      </c>
      <c r="R323" s="230"/>
      <c r="S323" s="230">
        <f t="shared" si="61"/>
        <v>0</v>
      </c>
      <c r="T323" s="230">
        <f t="shared" si="62"/>
        <v>562.08333333333337</v>
      </c>
      <c r="U323" s="230">
        <f t="shared" si="63"/>
        <v>6463.9583333333339</v>
      </c>
    </row>
    <row r="324" spans="1:21" ht="12" customHeight="1">
      <c r="A324" s="3" t="s">
        <v>679</v>
      </c>
      <c r="C324" s="32">
        <v>185714</v>
      </c>
      <c r="D324" s="32">
        <v>2</v>
      </c>
      <c r="E324" s="3" t="s">
        <v>812</v>
      </c>
      <c r="F324" s="3">
        <v>2017</v>
      </c>
      <c r="G324" s="3">
        <v>5</v>
      </c>
      <c r="H324" s="3">
        <v>0</v>
      </c>
      <c r="I324" s="3" t="s">
        <v>52</v>
      </c>
      <c r="J324" s="175" t="s">
        <v>754</v>
      </c>
      <c r="K324" s="3">
        <f t="shared" si="57"/>
        <v>2029</v>
      </c>
      <c r="L324" s="172">
        <f t="shared" si="58"/>
        <v>2029.4166666666667</v>
      </c>
      <c r="M324" s="230">
        <v>13406</v>
      </c>
      <c r="N324" s="230">
        <f t="shared" si="59"/>
        <v>13406</v>
      </c>
      <c r="O324" s="230">
        <f t="shared" si="56"/>
        <v>93.097222222222229</v>
      </c>
      <c r="P324" s="230">
        <f t="shared" si="64"/>
        <v>1117.1666666666667</v>
      </c>
      <c r="Q324" s="230">
        <f t="shared" si="60"/>
        <v>1117.1666666666667</v>
      </c>
      <c r="R324" s="230"/>
      <c r="S324" s="230">
        <f t="shared" si="61"/>
        <v>0</v>
      </c>
      <c r="T324" s="230">
        <f t="shared" si="62"/>
        <v>1117.1666666666667</v>
      </c>
      <c r="U324" s="230">
        <f t="shared" si="63"/>
        <v>12847.416666666668</v>
      </c>
    </row>
    <row r="325" spans="1:21" ht="12" customHeight="1">
      <c r="A325" s="3" t="s">
        <v>679</v>
      </c>
      <c r="C325" s="32">
        <v>185715</v>
      </c>
      <c r="D325" s="32">
        <v>2</v>
      </c>
      <c r="E325" s="3" t="s">
        <v>809</v>
      </c>
      <c r="F325" s="3">
        <v>2017</v>
      </c>
      <c r="G325" s="3">
        <v>5</v>
      </c>
      <c r="H325" s="3">
        <v>0</v>
      </c>
      <c r="I325" s="3" t="s">
        <v>52</v>
      </c>
      <c r="J325" s="175" t="s">
        <v>754</v>
      </c>
      <c r="K325" s="3">
        <f t="shared" si="57"/>
        <v>2029</v>
      </c>
      <c r="L325" s="172">
        <f t="shared" si="58"/>
        <v>2029.4166666666667</v>
      </c>
      <c r="M325" s="230">
        <v>13490</v>
      </c>
      <c r="N325" s="230">
        <f t="shared" si="59"/>
        <v>13490</v>
      </c>
      <c r="O325" s="230">
        <f t="shared" si="56"/>
        <v>93.680555555555557</v>
      </c>
      <c r="P325" s="230">
        <f t="shared" si="64"/>
        <v>1124.1666666666667</v>
      </c>
      <c r="Q325" s="230">
        <f t="shared" si="60"/>
        <v>1124.1666666666667</v>
      </c>
      <c r="R325" s="230"/>
      <c r="S325" s="230">
        <f t="shared" si="61"/>
        <v>0</v>
      </c>
      <c r="T325" s="230">
        <f t="shared" si="62"/>
        <v>1124.1666666666667</v>
      </c>
      <c r="U325" s="230">
        <f t="shared" si="63"/>
        <v>12927.916666666668</v>
      </c>
    </row>
    <row r="326" spans="1:21" ht="12" customHeight="1">
      <c r="A326" s="3" t="s">
        <v>679</v>
      </c>
      <c r="C326" s="32">
        <v>185716</v>
      </c>
      <c r="D326" s="32">
        <v>5</v>
      </c>
      <c r="E326" s="3" t="s">
        <v>813</v>
      </c>
      <c r="F326" s="3">
        <v>2017</v>
      </c>
      <c r="G326" s="3">
        <v>5</v>
      </c>
      <c r="H326" s="3">
        <v>0</v>
      </c>
      <c r="I326" s="3" t="s">
        <v>52</v>
      </c>
      <c r="J326" s="175" t="s">
        <v>754</v>
      </c>
      <c r="K326" s="3">
        <f t="shared" si="57"/>
        <v>2029</v>
      </c>
      <c r="L326" s="172">
        <f t="shared" si="58"/>
        <v>2029.4166666666667</v>
      </c>
      <c r="M326" s="230">
        <v>26417</v>
      </c>
      <c r="N326" s="230">
        <f t="shared" si="59"/>
        <v>26417</v>
      </c>
      <c r="O326" s="230">
        <f t="shared" ref="O326:O357" si="65">N326/J326/12</f>
        <v>183.45138888888889</v>
      </c>
      <c r="P326" s="230">
        <f t="shared" si="64"/>
        <v>2201.4166666666665</v>
      </c>
      <c r="Q326" s="230">
        <f t="shared" si="60"/>
        <v>2201.4166666666665</v>
      </c>
      <c r="R326" s="230"/>
      <c r="S326" s="230">
        <f t="shared" si="61"/>
        <v>0</v>
      </c>
      <c r="T326" s="230">
        <f t="shared" si="62"/>
        <v>2201.4166666666665</v>
      </c>
      <c r="U326" s="230">
        <f t="shared" si="63"/>
        <v>25316.291666666664</v>
      </c>
    </row>
    <row r="327" spans="1:21" ht="12" customHeight="1">
      <c r="A327" s="3" t="s">
        <v>679</v>
      </c>
      <c r="C327" s="32">
        <v>185717</v>
      </c>
      <c r="D327" s="32">
        <v>2</v>
      </c>
      <c r="E327" s="3" t="s">
        <v>814</v>
      </c>
      <c r="F327" s="3">
        <v>2017</v>
      </c>
      <c r="G327" s="3">
        <v>5</v>
      </c>
      <c r="H327" s="3">
        <v>0</v>
      </c>
      <c r="I327" s="3" t="s">
        <v>52</v>
      </c>
      <c r="J327" s="175" t="s">
        <v>754</v>
      </c>
      <c r="K327" s="3">
        <f t="shared" si="57"/>
        <v>2029</v>
      </c>
      <c r="L327" s="172">
        <f t="shared" si="58"/>
        <v>2029.4166666666667</v>
      </c>
      <c r="M327" s="230">
        <v>12490</v>
      </c>
      <c r="N327" s="230">
        <f t="shared" si="59"/>
        <v>12490</v>
      </c>
      <c r="O327" s="230">
        <f t="shared" si="65"/>
        <v>86.7361111111111</v>
      </c>
      <c r="P327" s="230">
        <f t="shared" si="64"/>
        <v>1040.8333333333333</v>
      </c>
      <c r="Q327" s="230">
        <f t="shared" si="60"/>
        <v>1040.8333333333333</v>
      </c>
      <c r="R327" s="230"/>
      <c r="S327" s="230">
        <f t="shared" si="61"/>
        <v>0</v>
      </c>
      <c r="T327" s="230">
        <f t="shared" si="62"/>
        <v>1040.8333333333333</v>
      </c>
      <c r="U327" s="230">
        <f t="shared" si="63"/>
        <v>11969.583333333332</v>
      </c>
    </row>
    <row r="328" spans="1:21" ht="12" customHeight="1">
      <c r="A328" s="3" t="s">
        <v>679</v>
      </c>
      <c r="C328" s="32">
        <v>185718</v>
      </c>
      <c r="D328" s="32">
        <v>1</v>
      </c>
      <c r="E328" s="3" t="s">
        <v>815</v>
      </c>
      <c r="F328" s="3">
        <v>2017</v>
      </c>
      <c r="G328" s="3">
        <v>5</v>
      </c>
      <c r="H328" s="3">
        <v>0</v>
      </c>
      <c r="I328" s="3" t="s">
        <v>52</v>
      </c>
      <c r="J328" s="175" t="s">
        <v>754</v>
      </c>
      <c r="K328" s="3">
        <f t="shared" si="57"/>
        <v>2029</v>
      </c>
      <c r="L328" s="172">
        <f t="shared" si="58"/>
        <v>2029.4166666666667</v>
      </c>
      <c r="M328" s="230">
        <v>4998</v>
      </c>
      <c r="N328" s="230">
        <f t="shared" si="59"/>
        <v>4998</v>
      </c>
      <c r="O328" s="230">
        <f t="shared" si="65"/>
        <v>34.708333333333336</v>
      </c>
      <c r="P328" s="230">
        <f t="shared" si="64"/>
        <v>416.5</v>
      </c>
      <c r="Q328" s="230">
        <f t="shared" si="60"/>
        <v>416.5</v>
      </c>
      <c r="R328" s="230"/>
      <c r="S328" s="230">
        <f t="shared" si="61"/>
        <v>0</v>
      </c>
      <c r="T328" s="230">
        <f t="shared" si="62"/>
        <v>416.5</v>
      </c>
      <c r="U328" s="230">
        <f t="shared" si="63"/>
        <v>4789.75</v>
      </c>
    </row>
    <row r="329" spans="1:21" ht="12" customHeight="1">
      <c r="A329" s="3" t="s">
        <v>679</v>
      </c>
      <c r="C329" s="32">
        <v>185719</v>
      </c>
      <c r="D329" s="32">
        <v>2</v>
      </c>
      <c r="E329" s="3" t="s">
        <v>816</v>
      </c>
      <c r="F329" s="3">
        <v>2017</v>
      </c>
      <c r="G329" s="3">
        <v>5</v>
      </c>
      <c r="H329" s="3">
        <v>0</v>
      </c>
      <c r="I329" s="3" t="s">
        <v>52</v>
      </c>
      <c r="J329" s="175" t="s">
        <v>754</v>
      </c>
      <c r="K329" s="3">
        <f t="shared" ref="K329:K360" si="66">F329+J329</f>
        <v>2029</v>
      </c>
      <c r="L329" s="172">
        <f t="shared" ref="L329:L360" si="67">+K329+(G329/12)</f>
        <v>2029.4166666666667</v>
      </c>
      <c r="M329" s="230">
        <v>13302</v>
      </c>
      <c r="N329" s="230">
        <f t="shared" ref="N329:N360" si="68">M329-M329*H329</f>
        <v>13302</v>
      </c>
      <c r="O329" s="230">
        <f t="shared" si="65"/>
        <v>92.375</v>
      </c>
      <c r="P329" s="230">
        <f t="shared" si="64"/>
        <v>1108.5</v>
      </c>
      <c r="Q329" s="230">
        <f t="shared" ref="Q329:Q360" si="69">+IF(L329&lt;=$N$5,0,IF(K329&gt;$N$4,P329,(O329*G329)))</f>
        <v>1108.5</v>
      </c>
      <c r="R329" s="230"/>
      <c r="S329" s="230">
        <f t="shared" ref="S329:S360" si="70">+IF(Q329=0,M329,IF($N$3-F329&lt;1,0,(($N$3-F329)*P329)))</f>
        <v>0</v>
      </c>
      <c r="T329" s="230">
        <f t="shared" ref="T329:T360" si="71">+IF(Q329=0,S329,S329+Q329)</f>
        <v>1108.5</v>
      </c>
      <c r="U329" s="230">
        <f t="shared" ref="U329:U360" si="72">+IF(Q329=0,0,((M329-S329)+(M329-T329))/2)</f>
        <v>12747.75</v>
      </c>
    </row>
    <row r="330" spans="1:21" ht="12" customHeight="1">
      <c r="A330" s="3" t="s">
        <v>679</v>
      </c>
      <c r="C330" s="32">
        <v>188021</v>
      </c>
      <c r="D330" s="32">
        <v>1</v>
      </c>
      <c r="E330" s="3" t="s">
        <v>817</v>
      </c>
      <c r="F330" s="3">
        <v>2017</v>
      </c>
      <c r="G330" s="3">
        <v>5</v>
      </c>
      <c r="H330" s="3">
        <v>0</v>
      </c>
      <c r="I330" s="3" t="s">
        <v>52</v>
      </c>
      <c r="J330" s="175" t="s">
        <v>754</v>
      </c>
      <c r="K330" s="3">
        <f t="shared" si="66"/>
        <v>2029</v>
      </c>
      <c r="L330" s="172">
        <f t="shared" si="67"/>
        <v>2029.4166666666667</v>
      </c>
      <c r="M330" s="230">
        <v>6745</v>
      </c>
      <c r="N330" s="230">
        <f t="shared" si="68"/>
        <v>6745</v>
      </c>
      <c r="O330" s="230">
        <f t="shared" si="65"/>
        <v>46.840277777777779</v>
      </c>
      <c r="P330" s="230">
        <f t="shared" si="64"/>
        <v>562.08333333333337</v>
      </c>
      <c r="Q330" s="230">
        <f t="shared" si="69"/>
        <v>562.08333333333337</v>
      </c>
      <c r="R330" s="230"/>
      <c r="S330" s="230">
        <f t="shared" si="70"/>
        <v>0</v>
      </c>
      <c r="T330" s="230">
        <f t="shared" si="71"/>
        <v>562.08333333333337</v>
      </c>
      <c r="U330" s="230">
        <f t="shared" si="72"/>
        <v>6463.9583333333339</v>
      </c>
    </row>
    <row r="331" spans="1:21" ht="12" customHeight="1">
      <c r="A331" s="3" t="s">
        <v>679</v>
      </c>
      <c r="C331" s="32">
        <v>188022</v>
      </c>
      <c r="D331" s="32">
        <v>1</v>
      </c>
      <c r="E331" s="3" t="s">
        <v>818</v>
      </c>
      <c r="F331" s="3">
        <v>2017</v>
      </c>
      <c r="G331" s="3">
        <v>5</v>
      </c>
      <c r="H331" s="3">
        <v>0</v>
      </c>
      <c r="I331" s="3" t="s">
        <v>52</v>
      </c>
      <c r="J331" s="175" t="s">
        <v>754</v>
      </c>
      <c r="K331" s="3">
        <f t="shared" si="66"/>
        <v>2029</v>
      </c>
      <c r="L331" s="172">
        <f t="shared" si="67"/>
        <v>2029.4166666666667</v>
      </c>
      <c r="M331" s="230">
        <v>6085</v>
      </c>
      <c r="N331" s="230">
        <f t="shared" si="68"/>
        <v>6085</v>
      </c>
      <c r="O331" s="230">
        <f t="shared" si="65"/>
        <v>42.256944444444443</v>
      </c>
      <c r="P331" s="230">
        <f t="shared" si="64"/>
        <v>507.08333333333331</v>
      </c>
      <c r="Q331" s="230">
        <f t="shared" si="69"/>
        <v>507.08333333333331</v>
      </c>
      <c r="R331" s="230"/>
      <c r="S331" s="230">
        <f t="shared" si="70"/>
        <v>0</v>
      </c>
      <c r="T331" s="230">
        <f t="shared" si="71"/>
        <v>507.08333333333331</v>
      </c>
      <c r="U331" s="230">
        <f t="shared" si="72"/>
        <v>5831.4583333333339</v>
      </c>
    </row>
    <row r="332" spans="1:21" ht="12" customHeight="1">
      <c r="A332" s="3" t="s">
        <v>679</v>
      </c>
      <c r="C332" s="32">
        <v>188023</v>
      </c>
      <c r="D332" s="32">
        <v>2</v>
      </c>
      <c r="E332" s="3" t="s">
        <v>817</v>
      </c>
      <c r="F332" s="3">
        <v>2017</v>
      </c>
      <c r="G332" s="3">
        <v>5</v>
      </c>
      <c r="H332" s="3">
        <v>0</v>
      </c>
      <c r="I332" s="3" t="s">
        <v>52</v>
      </c>
      <c r="J332" s="175" t="s">
        <v>754</v>
      </c>
      <c r="K332" s="3">
        <f t="shared" si="66"/>
        <v>2029</v>
      </c>
      <c r="L332" s="172">
        <f t="shared" si="67"/>
        <v>2029.4166666666667</v>
      </c>
      <c r="M332" s="230">
        <v>13490</v>
      </c>
      <c r="N332" s="230">
        <f t="shared" si="68"/>
        <v>13490</v>
      </c>
      <c r="O332" s="230">
        <f t="shared" si="65"/>
        <v>93.680555555555557</v>
      </c>
      <c r="P332" s="230">
        <f t="shared" si="64"/>
        <v>1124.1666666666667</v>
      </c>
      <c r="Q332" s="230">
        <f t="shared" si="69"/>
        <v>1124.1666666666667</v>
      </c>
      <c r="R332" s="230"/>
      <c r="S332" s="230">
        <f t="shared" si="70"/>
        <v>0</v>
      </c>
      <c r="T332" s="230">
        <f t="shared" si="71"/>
        <v>1124.1666666666667</v>
      </c>
      <c r="U332" s="230">
        <f t="shared" si="72"/>
        <v>12927.916666666668</v>
      </c>
    </row>
    <row r="333" spans="1:21" ht="12" customHeight="1">
      <c r="A333" s="3" t="s">
        <v>679</v>
      </c>
      <c r="C333" s="32">
        <v>188115</v>
      </c>
      <c r="D333" s="32">
        <v>2</v>
      </c>
      <c r="E333" s="3" t="s">
        <v>819</v>
      </c>
      <c r="F333" s="3">
        <v>2017</v>
      </c>
      <c r="G333" s="3">
        <v>5</v>
      </c>
      <c r="H333" s="3">
        <v>0</v>
      </c>
      <c r="I333" s="3" t="s">
        <v>52</v>
      </c>
      <c r="J333" s="175" t="s">
        <v>754</v>
      </c>
      <c r="K333" s="3">
        <f t="shared" si="66"/>
        <v>2029</v>
      </c>
      <c r="L333" s="172">
        <f t="shared" si="67"/>
        <v>2029.4166666666667</v>
      </c>
      <c r="M333" s="230">
        <v>12490</v>
      </c>
      <c r="N333" s="230">
        <f t="shared" si="68"/>
        <v>12490</v>
      </c>
      <c r="O333" s="230">
        <f t="shared" si="65"/>
        <v>86.7361111111111</v>
      </c>
      <c r="P333" s="230">
        <f t="shared" si="64"/>
        <v>1040.8333333333333</v>
      </c>
      <c r="Q333" s="230">
        <f t="shared" si="69"/>
        <v>1040.8333333333333</v>
      </c>
      <c r="R333" s="230"/>
      <c r="S333" s="230">
        <f t="shared" si="70"/>
        <v>0</v>
      </c>
      <c r="T333" s="230">
        <f t="shared" si="71"/>
        <v>1040.8333333333333</v>
      </c>
      <c r="U333" s="230">
        <f t="shared" si="72"/>
        <v>11969.583333333332</v>
      </c>
    </row>
    <row r="334" spans="1:21" ht="12" customHeight="1">
      <c r="A334" s="3" t="s">
        <v>679</v>
      </c>
      <c r="C334" s="32">
        <v>188116</v>
      </c>
      <c r="D334" s="32">
        <v>1</v>
      </c>
      <c r="E334" s="3" t="s">
        <v>820</v>
      </c>
      <c r="F334" s="3">
        <v>2017</v>
      </c>
      <c r="G334" s="3">
        <v>5</v>
      </c>
      <c r="H334" s="3">
        <v>0</v>
      </c>
      <c r="I334" s="3" t="s">
        <v>52</v>
      </c>
      <c r="J334" s="175" t="s">
        <v>754</v>
      </c>
      <c r="K334" s="3">
        <f t="shared" si="66"/>
        <v>2029</v>
      </c>
      <c r="L334" s="172">
        <f t="shared" si="67"/>
        <v>2029.4166666666667</v>
      </c>
      <c r="M334" s="230">
        <v>5751</v>
      </c>
      <c r="N334" s="230">
        <f t="shared" si="68"/>
        <v>5751</v>
      </c>
      <c r="O334" s="230">
        <f t="shared" si="65"/>
        <v>39.9375</v>
      </c>
      <c r="P334" s="230">
        <f t="shared" si="64"/>
        <v>479.25</v>
      </c>
      <c r="Q334" s="230">
        <f t="shared" si="69"/>
        <v>479.25</v>
      </c>
      <c r="R334" s="230"/>
      <c r="S334" s="230">
        <f t="shared" si="70"/>
        <v>0</v>
      </c>
      <c r="T334" s="230">
        <f t="shared" si="71"/>
        <v>479.25</v>
      </c>
      <c r="U334" s="230">
        <f t="shared" si="72"/>
        <v>5511.375</v>
      </c>
    </row>
    <row r="335" spans="1:21" ht="12" customHeight="1">
      <c r="A335" s="3" t="s">
        <v>679</v>
      </c>
      <c r="C335" s="32">
        <v>188117</v>
      </c>
      <c r="D335" s="32">
        <v>1</v>
      </c>
      <c r="E335" s="3" t="s">
        <v>820</v>
      </c>
      <c r="F335" s="3">
        <v>2017</v>
      </c>
      <c r="G335" s="3">
        <v>5</v>
      </c>
      <c r="H335" s="3">
        <v>0</v>
      </c>
      <c r="I335" s="3" t="s">
        <v>52</v>
      </c>
      <c r="J335" s="175" t="s">
        <v>754</v>
      </c>
      <c r="K335" s="3">
        <f t="shared" si="66"/>
        <v>2029</v>
      </c>
      <c r="L335" s="172">
        <f t="shared" si="67"/>
        <v>2029.4166666666667</v>
      </c>
      <c r="M335" s="230">
        <v>6651</v>
      </c>
      <c r="N335" s="230">
        <f t="shared" si="68"/>
        <v>6651</v>
      </c>
      <c r="O335" s="230">
        <f t="shared" si="65"/>
        <v>46.1875</v>
      </c>
      <c r="P335" s="230">
        <f t="shared" si="64"/>
        <v>554.25</v>
      </c>
      <c r="Q335" s="230">
        <f t="shared" si="69"/>
        <v>554.25</v>
      </c>
      <c r="R335" s="230"/>
      <c r="S335" s="230">
        <f t="shared" si="70"/>
        <v>0</v>
      </c>
      <c r="T335" s="230">
        <f t="shared" si="71"/>
        <v>554.25</v>
      </c>
      <c r="U335" s="230">
        <f t="shared" si="72"/>
        <v>6373.875</v>
      </c>
    </row>
    <row r="336" spans="1:21" ht="12" customHeight="1">
      <c r="A336" s="3" t="s">
        <v>679</v>
      </c>
      <c r="C336" s="32">
        <v>188118</v>
      </c>
      <c r="D336" s="32">
        <v>1</v>
      </c>
      <c r="E336" s="3" t="s">
        <v>820</v>
      </c>
      <c r="F336" s="3">
        <v>2017</v>
      </c>
      <c r="G336" s="3">
        <v>5</v>
      </c>
      <c r="H336" s="3">
        <v>0</v>
      </c>
      <c r="I336" s="3" t="s">
        <v>52</v>
      </c>
      <c r="J336" s="175" t="s">
        <v>754</v>
      </c>
      <c r="K336" s="3">
        <f t="shared" si="66"/>
        <v>2029</v>
      </c>
      <c r="L336" s="172">
        <f t="shared" si="67"/>
        <v>2029.4166666666667</v>
      </c>
      <c r="M336" s="230">
        <v>6726</v>
      </c>
      <c r="N336" s="230">
        <f t="shared" si="68"/>
        <v>6726</v>
      </c>
      <c r="O336" s="230">
        <f t="shared" si="65"/>
        <v>46.708333333333336</v>
      </c>
      <c r="P336" s="230">
        <f t="shared" si="64"/>
        <v>560.5</v>
      </c>
      <c r="Q336" s="230">
        <f t="shared" si="69"/>
        <v>560.5</v>
      </c>
      <c r="R336" s="230"/>
      <c r="S336" s="230">
        <f t="shared" si="70"/>
        <v>0</v>
      </c>
      <c r="T336" s="230">
        <f t="shared" si="71"/>
        <v>560.5</v>
      </c>
      <c r="U336" s="230">
        <f t="shared" si="72"/>
        <v>6445.75</v>
      </c>
    </row>
    <row r="337" spans="1:21" ht="12" customHeight="1">
      <c r="A337" s="3" t="s">
        <v>679</v>
      </c>
      <c r="C337" s="32">
        <v>188119</v>
      </c>
      <c r="D337" s="32">
        <v>1</v>
      </c>
      <c r="E337" s="3" t="s">
        <v>820</v>
      </c>
      <c r="F337" s="3">
        <v>2017</v>
      </c>
      <c r="G337" s="3">
        <v>5</v>
      </c>
      <c r="H337" s="3">
        <v>0</v>
      </c>
      <c r="I337" s="3" t="s">
        <v>52</v>
      </c>
      <c r="J337" s="175" t="s">
        <v>754</v>
      </c>
      <c r="K337" s="3">
        <f t="shared" si="66"/>
        <v>2029</v>
      </c>
      <c r="L337" s="172">
        <f t="shared" si="67"/>
        <v>2029.4166666666667</v>
      </c>
      <c r="M337" s="230">
        <v>6651</v>
      </c>
      <c r="N337" s="230">
        <f t="shared" si="68"/>
        <v>6651</v>
      </c>
      <c r="O337" s="230">
        <f t="shared" si="65"/>
        <v>46.1875</v>
      </c>
      <c r="P337" s="230">
        <f t="shared" si="64"/>
        <v>554.25</v>
      </c>
      <c r="Q337" s="230">
        <f t="shared" si="69"/>
        <v>554.25</v>
      </c>
      <c r="R337" s="230"/>
      <c r="S337" s="230">
        <f t="shared" si="70"/>
        <v>0</v>
      </c>
      <c r="T337" s="230">
        <f t="shared" si="71"/>
        <v>554.25</v>
      </c>
      <c r="U337" s="230">
        <f t="shared" si="72"/>
        <v>6373.875</v>
      </c>
    </row>
    <row r="338" spans="1:21" ht="12" customHeight="1">
      <c r="A338" s="3" t="s">
        <v>679</v>
      </c>
      <c r="C338" s="32">
        <v>188120</v>
      </c>
      <c r="D338" s="32">
        <v>2</v>
      </c>
      <c r="E338" s="3" t="s">
        <v>817</v>
      </c>
      <c r="F338" s="3">
        <v>2017</v>
      </c>
      <c r="G338" s="3">
        <v>5</v>
      </c>
      <c r="H338" s="3">
        <v>0</v>
      </c>
      <c r="I338" s="3" t="s">
        <v>52</v>
      </c>
      <c r="J338" s="175" t="s">
        <v>754</v>
      </c>
      <c r="K338" s="3">
        <f t="shared" si="66"/>
        <v>2029</v>
      </c>
      <c r="L338" s="172">
        <f t="shared" si="67"/>
        <v>2029.4166666666667</v>
      </c>
      <c r="M338" s="230">
        <v>13640</v>
      </c>
      <c r="N338" s="230">
        <f t="shared" si="68"/>
        <v>13640</v>
      </c>
      <c r="O338" s="230">
        <f t="shared" si="65"/>
        <v>94.722222222222229</v>
      </c>
      <c r="P338" s="230">
        <f t="shared" si="64"/>
        <v>1136.6666666666667</v>
      </c>
      <c r="Q338" s="230">
        <f t="shared" si="69"/>
        <v>1136.6666666666667</v>
      </c>
      <c r="R338" s="230"/>
      <c r="S338" s="230">
        <f t="shared" si="70"/>
        <v>0</v>
      </c>
      <c r="T338" s="230">
        <f t="shared" si="71"/>
        <v>1136.6666666666667</v>
      </c>
      <c r="U338" s="230">
        <f t="shared" si="72"/>
        <v>13071.666666666668</v>
      </c>
    </row>
    <row r="339" spans="1:21" ht="12" customHeight="1">
      <c r="A339" s="3" t="s">
        <v>679</v>
      </c>
      <c r="C339" s="32">
        <v>188121</v>
      </c>
      <c r="D339" s="32">
        <v>1</v>
      </c>
      <c r="E339" s="3" t="s">
        <v>820</v>
      </c>
      <c r="F339" s="3">
        <v>2017</v>
      </c>
      <c r="G339" s="3">
        <v>5</v>
      </c>
      <c r="H339" s="3">
        <v>0</v>
      </c>
      <c r="I339" s="3" t="s">
        <v>52</v>
      </c>
      <c r="J339" s="175" t="s">
        <v>754</v>
      </c>
      <c r="K339" s="3">
        <f t="shared" si="66"/>
        <v>2029</v>
      </c>
      <c r="L339" s="172">
        <f t="shared" si="67"/>
        <v>2029.4166666666667</v>
      </c>
      <c r="M339" s="230">
        <v>5751</v>
      </c>
      <c r="N339" s="230">
        <f t="shared" si="68"/>
        <v>5751</v>
      </c>
      <c r="O339" s="230">
        <f t="shared" si="65"/>
        <v>39.9375</v>
      </c>
      <c r="P339" s="230">
        <f t="shared" si="64"/>
        <v>479.25</v>
      </c>
      <c r="Q339" s="230">
        <f t="shared" si="69"/>
        <v>479.25</v>
      </c>
      <c r="R339" s="230"/>
      <c r="S339" s="230">
        <f t="shared" si="70"/>
        <v>0</v>
      </c>
      <c r="T339" s="230">
        <f t="shared" si="71"/>
        <v>479.25</v>
      </c>
      <c r="U339" s="230">
        <f t="shared" si="72"/>
        <v>5511.375</v>
      </c>
    </row>
    <row r="340" spans="1:21" ht="12" customHeight="1">
      <c r="A340" s="3" t="s">
        <v>679</v>
      </c>
      <c r="C340" s="32">
        <v>188122</v>
      </c>
      <c r="D340" s="32">
        <v>2</v>
      </c>
      <c r="E340" s="3" t="s">
        <v>820</v>
      </c>
      <c r="F340" s="3">
        <v>2017</v>
      </c>
      <c r="G340" s="3">
        <v>5</v>
      </c>
      <c r="H340" s="3">
        <v>0</v>
      </c>
      <c r="I340" s="3" t="s">
        <v>52</v>
      </c>
      <c r="J340" s="175" t="s">
        <v>754</v>
      </c>
      <c r="K340" s="3">
        <f t="shared" si="66"/>
        <v>2029</v>
      </c>
      <c r="L340" s="172">
        <f t="shared" si="67"/>
        <v>2029.4166666666667</v>
      </c>
      <c r="M340" s="230">
        <v>13452</v>
      </c>
      <c r="N340" s="230">
        <f t="shared" si="68"/>
        <v>13452</v>
      </c>
      <c r="O340" s="230">
        <f t="shared" si="65"/>
        <v>93.416666666666671</v>
      </c>
      <c r="P340" s="230">
        <f t="shared" si="64"/>
        <v>1121</v>
      </c>
      <c r="Q340" s="230">
        <f t="shared" si="69"/>
        <v>1121</v>
      </c>
      <c r="R340" s="230"/>
      <c r="S340" s="230">
        <f t="shared" si="70"/>
        <v>0</v>
      </c>
      <c r="T340" s="230">
        <f t="shared" si="71"/>
        <v>1121</v>
      </c>
      <c r="U340" s="230">
        <f t="shared" si="72"/>
        <v>12891.5</v>
      </c>
    </row>
    <row r="341" spans="1:21" ht="12" customHeight="1">
      <c r="A341" s="3" t="s">
        <v>679</v>
      </c>
      <c r="C341" s="32">
        <v>188123</v>
      </c>
      <c r="D341" s="32">
        <v>2</v>
      </c>
      <c r="E341" s="3" t="s">
        <v>821</v>
      </c>
      <c r="F341" s="3">
        <v>2017</v>
      </c>
      <c r="G341" s="3">
        <v>5</v>
      </c>
      <c r="H341" s="3">
        <v>0</v>
      </c>
      <c r="I341" s="3" t="s">
        <v>52</v>
      </c>
      <c r="J341" s="175" t="s">
        <v>754</v>
      </c>
      <c r="K341" s="3">
        <f t="shared" si="66"/>
        <v>2029</v>
      </c>
      <c r="L341" s="172">
        <f t="shared" si="67"/>
        <v>2029.4166666666667</v>
      </c>
      <c r="M341" s="230">
        <v>3410</v>
      </c>
      <c r="N341" s="230">
        <f t="shared" si="68"/>
        <v>3410</v>
      </c>
      <c r="O341" s="230">
        <f t="shared" si="65"/>
        <v>23.680555555555557</v>
      </c>
      <c r="P341" s="230">
        <f t="shared" si="64"/>
        <v>284.16666666666669</v>
      </c>
      <c r="Q341" s="230">
        <f t="shared" si="69"/>
        <v>284.16666666666669</v>
      </c>
      <c r="R341" s="230"/>
      <c r="S341" s="230">
        <f t="shared" si="70"/>
        <v>0</v>
      </c>
      <c r="T341" s="230">
        <f t="shared" si="71"/>
        <v>284.16666666666669</v>
      </c>
      <c r="U341" s="230">
        <f t="shared" si="72"/>
        <v>3267.916666666667</v>
      </c>
    </row>
    <row r="342" spans="1:21" ht="12" customHeight="1">
      <c r="A342" s="3" t="s">
        <v>679</v>
      </c>
      <c r="C342" s="32">
        <v>188124</v>
      </c>
      <c r="D342" s="32">
        <v>2</v>
      </c>
      <c r="E342" s="3" t="s">
        <v>822</v>
      </c>
      <c r="F342" s="3">
        <v>2017</v>
      </c>
      <c r="G342" s="3">
        <v>5</v>
      </c>
      <c r="H342" s="3">
        <v>0</v>
      </c>
      <c r="I342" s="3" t="s">
        <v>52</v>
      </c>
      <c r="J342" s="175" t="s">
        <v>754</v>
      </c>
      <c r="K342" s="3">
        <f t="shared" si="66"/>
        <v>2029</v>
      </c>
      <c r="L342" s="172">
        <f t="shared" si="67"/>
        <v>2029.4166666666667</v>
      </c>
      <c r="M342" s="230">
        <v>12170</v>
      </c>
      <c r="N342" s="230">
        <f t="shared" si="68"/>
        <v>12170</v>
      </c>
      <c r="O342" s="230">
        <f t="shared" si="65"/>
        <v>84.513888888888886</v>
      </c>
      <c r="P342" s="230">
        <f t="shared" si="64"/>
        <v>1014.1666666666666</v>
      </c>
      <c r="Q342" s="230">
        <f t="shared" si="69"/>
        <v>1014.1666666666666</v>
      </c>
      <c r="R342" s="230"/>
      <c r="S342" s="230">
        <f t="shared" si="70"/>
        <v>0</v>
      </c>
      <c r="T342" s="230">
        <f t="shared" si="71"/>
        <v>1014.1666666666666</v>
      </c>
      <c r="U342" s="230">
        <f t="shared" si="72"/>
        <v>11662.916666666668</v>
      </c>
    </row>
    <row r="343" spans="1:21" ht="12" customHeight="1">
      <c r="A343" s="3" t="s">
        <v>679</v>
      </c>
      <c r="C343" s="32">
        <v>188125</v>
      </c>
      <c r="D343" s="32">
        <v>2</v>
      </c>
      <c r="E343" s="3" t="s">
        <v>823</v>
      </c>
      <c r="F343" s="3">
        <v>2017</v>
      </c>
      <c r="G343" s="3">
        <v>5</v>
      </c>
      <c r="H343" s="3">
        <v>0</v>
      </c>
      <c r="I343" s="3" t="s">
        <v>52</v>
      </c>
      <c r="J343" s="175" t="s">
        <v>754</v>
      </c>
      <c r="K343" s="3">
        <f t="shared" si="66"/>
        <v>2029</v>
      </c>
      <c r="L343" s="172">
        <f t="shared" si="67"/>
        <v>2029.4166666666667</v>
      </c>
      <c r="M343" s="230">
        <v>12490</v>
      </c>
      <c r="N343" s="230">
        <f t="shared" si="68"/>
        <v>12490</v>
      </c>
      <c r="O343" s="230">
        <f t="shared" si="65"/>
        <v>86.7361111111111</v>
      </c>
      <c r="P343" s="230">
        <f t="shared" si="64"/>
        <v>1040.8333333333333</v>
      </c>
      <c r="Q343" s="230">
        <f t="shared" si="69"/>
        <v>1040.8333333333333</v>
      </c>
      <c r="R343" s="230"/>
      <c r="S343" s="230">
        <f t="shared" si="70"/>
        <v>0</v>
      </c>
      <c r="T343" s="230">
        <f t="shared" si="71"/>
        <v>1040.8333333333333</v>
      </c>
      <c r="U343" s="230">
        <f t="shared" si="72"/>
        <v>11969.583333333332</v>
      </c>
    </row>
    <row r="344" spans="1:21" ht="12" customHeight="1">
      <c r="A344" s="3" t="s">
        <v>679</v>
      </c>
      <c r="C344" s="32">
        <v>188126</v>
      </c>
      <c r="D344" s="32">
        <v>3</v>
      </c>
      <c r="E344" s="3" t="s">
        <v>824</v>
      </c>
      <c r="F344" s="3">
        <v>2017</v>
      </c>
      <c r="G344" s="3">
        <v>5</v>
      </c>
      <c r="H344" s="3">
        <v>0</v>
      </c>
      <c r="I344" s="3" t="s">
        <v>52</v>
      </c>
      <c r="J344" s="175" t="s">
        <v>754</v>
      </c>
      <c r="K344" s="3">
        <f t="shared" si="66"/>
        <v>2029</v>
      </c>
      <c r="L344" s="172">
        <f t="shared" si="67"/>
        <v>2029.4166666666667</v>
      </c>
      <c r="M344" s="230">
        <v>17301</v>
      </c>
      <c r="N344" s="230">
        <f t="shared" si="68"/>
        <v>17301</v>
      </c>
      <c r="O344" s="230">
        <f t="shared" si="65"/>
        <v>120.14583333333333</v>
      </c>
      <c r="P344" s="230">
        <f t="shared" si="64"/>
        <v>1441.75</v>
      </c>
      <c r="Q344" s="230">
        <f t="shared" si="69"/>
        <v>1441.75</v>
      </c>
      <c r="R344" s="230"/>
      <c r="S344" s="230">
        <f t="shared" si="70"/>
        <v>0</v>
      </c>
      <c r="T344" s="230">
        <f t="shared" si="71"/>
        <v>1441.75</v>
      </c>
      <c r="U344" s="230">
        <f t="shared" si="72"/>
        <v>16580.125</v>
      </c>
    </row>
    <row r="345" spans="1:21" ht="12" customHeight="1">
      <c r="A345" s="3" t="s">
        <v>679</v>
      </c>
      <c r="C345" s="32">
        <v>188127</v>
      </c>
      <c r="D345" s="32">
        <v>2</v>
      </c>
      <c r="E345" s="3" t="s">
        <v>825</v>
      </c>
      <c r="F345" s="3">
        <v>2017</v>
      </c>
      <c r="G345" s="3">
        <v>5</v>
      </c>
      <c r="H345" s="3">
        <v>0</v>
      </c>
      <c r="I345" s="3" t="s">
        <v>52</v>
      </c>
      <c r="J345" s="175" t="s">
        <v>754</v>
      </c>
      <c r="K345" s="3">
        <f t="shared" si="66"/>
        <v>2029</v>
      </c>
      <c r="L345" s="172">
        <f t="shared" si="67"/>
        <v>2029.4166666666667</v>
      </c>
      <c r="M345" s="230">
        <v>11990</v>
      </c>
      <c r="N345" s="230">
        <f t="shared" si="68"/>
        <v>11990</v>
      </c>
      <c r="O345" s="230">
        <f t="shared" si="65"/>
        <v>83.263888888888886</v>
      </c>
      <c r="P345" s="230">
        <f t="shared" si="64"/>
        <v>999.16666666666663</v>
      </c>
      <c r="Q345" s="230">
        <f t="shared" si="69"/>
        <v>999.16666666666663</v>
      </c>
      <c r="R345" s="230"/>
      <c r="S345" s="230">
        <f t="shared" si="70"/>
        <v>0</v>
      </c>
      <c r="T345" s="230">
        <f t="shared" si="71"/>
        <v>999.16666666666663</v>
      </c>
      <c r="U345" s="230">
        <f t="shared" si="72"/>
        <v>11490.416666666668</v>
      </c>
    </row>
    <row r="346" spans="1:21" ht="12" customHeight="1">
      <c r="A346" s="3" t="s">
        <v>679</v>
      </c>
      <c r="C346" s="32">
        <v>188188</v>
      </c>
      <c r="D346" s="32">
        <v>1</v>
      </c>
      <c r="E346" s="3" t="s">
        <v>821</v>
      </c>
      <c r="F346" s="3">
        <v>2017</v>
      </c>
      <c r="G346" s="3">
        <v>5</v>
      </c>
      <c r="H346" s="3">
        <v>0</v>
      </c>
      <c r="I346" s="3" t="s">
        <v>52</v>
      </c>
      <c r="J346" s="175" t="s">
        <v>754</v>
      </c>
      <c r="K346" s="3">
        <f t="shared" si="66"/>
        <v>2029</v>
      </c>
      <c r="L346" s="172">
        <f t="shared" si="67"/>
        <v>2029.4166666666667</v>
      </c>
      <c r="M346" s="230">
        <v>1705</v>
      </c>
      <c r="N346" s="230">
        <f t="shared" si="68"/>
        <v>1705</v>
      </c>
      <c r="O346" s="230">
        <f t="shared" si="65"/>
        <v>11.840277777777779</v>
      </c>
      <c r="P346" s="230">
        <f t="shared" si="64"/>
        <v>142.08333333333334</v>
      </c>
      <c r="Q346" s="230">
        <f t="shared" si="69"/>
        <v>142.08333333333334</v>
      </c>
      <c r="R346" s="230"/>
      <c r="S346" s="230">
        <f t="shared" si="70"/>
        <v>0</v>
      </c>
      <c r="T346" s="230">
        <f t="shared" si="71"/>
        <v>142.08333333333334</v>
      </c>
      <c r="U346" s="230">
        <f t="shared" si="72"/>
        <v>1633.9583333333335</v>
      </c>
    </row>
    <row r="347" spans="1:21" ht="12" customHeight="1">
      <c r="A347" s="3" t="s">
        <v>679</v>
      </c>
      <c r="C347" s="32">
        <v>188650</v>
      </c>
      <c r="D347" s="32">
        <v>4</v>
      </c>
      <c r="E347" s="3" t="s">
        <v>826</v>
      </c>
      <c r="F347" s="3">
        <v>2017</v>
      </c>
      <c r="G347" s="3">
        <v>11</v>
      </c>
      <c r="H347" s="3">
        <v>0</v>
      </c>
      <c r="I347" s="3" t="s">
        <v>52</v>
      </c>
      <c r="J347" s="175" t="s">
        <v>754</v>
      </c>
      <c r="K347" s="3">
        <f t="shared" si="66"/>
        <v>2029</v>
      </c>
      <c r="L347" s="172">
        <f t="shared" si="67"/>
        <v>2029.9166666666667</v>
      </c>
      <c r="M347" s="230">
        <v>22400</v>
      </c>
      <c r="N347" s="230">
        <f t="shared" si="68"/>
        <v>22400</v>
      </c>
      <c r="O347" s="230">
        <f t="shared" si="65"/>
        <v>155.55555555555557</v>
      </c>
      <c r="P347" s="230">
        <f t="shared" si="64"/>
        <v>1866.666666666667</v>
      </c>
      <c r="Q347" s="230">
        <f t="shared" si="69"/>
        <v>1866.666666666667</v>
      </c>
      <c r="R347" s="230"/>
      <c r="S347" s="230">
        <f t="shared" si="70"/>
        <v>0</v>
      </c>
      <c r="T347" s="230">
        <f t="shared" si="71"/>
        <v>1866.666666666667</v>
      </c>
      <c r="U347" s="230">
        <f t="shared" si="72"/>
        <v>21466.666666666664</v>
      </c>
    </row>
    <row r="348" spans="1:21" ht="12" customHeight="1">
      <c r="A348" s="3" t="s">
        <v>679</v>
      </c>
      <c r="C348" s="32">
        <v>188651</v>
      </c>
      <c r="D348" s="32">
        <v>6</v>
      </c>
      <c r="E348" s="3" t="s">
        <v>827</v>
      </c>
      <c r="F348" s="3">
        <v>2017</v>
      </c>
      <c r="G348" s="3">
        <v>11</v>
      </c>
      <c r="H348" s="3">
        <v>0</v>
      </c>
      <c r="I348" s="3" t="s">
        <v>52</v>
      </c>
      <c r="J348" s="175" t="s">
        <v>754</v>
      </c>
      <c r="K348" s="3">
        <f t="shared" si="66"/>
        <v>2029</v>
      </c>
      <c r="L348" s="172">
        <f t="shared" si="67"/>
        <v>2029.9166666666667</v>
      </c>
      <c r="M348" s="230">
        <v>35550</v>
      </c>
      <c r="N348" s="230">
        <f t="shared" si="68"/>
        <v>35550</v>
      </c>
      <c r="O348" s="230">
        <f t="shared" si="65"/>
        <v>246.875</v>
      </c>
      <c r="P348" s="230">
        <f t="shared" si="64"/>
        <v>2962.5</v>
      </c>
      <c r="Q348" s="230">
        <f t="shared" si="69"/>
        <v>2962.5</v>
      </c>
      <c r="R348" s="230"/>
      <c r="S348" s="230">
        <f t="shared" si="70"/>
        <v>0</v>
      </c>
      <c r="T348" s="230">
        <f t="shared" si="71"/>
        <v>2962.5</v>
      </c>
      <c r="U348" s="230">
        <f t="shared" si="72"/>
        <v>34068.75</v>
      </c>
    </row>
    <row r="349" spans="1:21" ht="12" customHeight="1">
      <c r="A349" s="3" t="s">
        <v>679</v>
      </c>
      <c r="C349" s="32">
        <v>188652</v>
      </c>
      <c r="D349" s="32">
        <v>2</v>
      </c>
      <c r="E349" s="3" t="s">
        <v>828</v>
      </c>
      <c r="F349" s="3">
        <v>2017</v>
      </c>
      <c r="G349" s="3">
        <v>11</v>
      </c>
      <c r="H349" s="3">
        <v>0</v>
      </c>
      <c r="I349" s="3" t="s">
        <v>52</v>
      </c>
      <c r="J349" s="175" t="s">
        <v>754</v>
      </c>
      <c r="K349" s="3">
        <f t="shared" si="66"/>
        <v>2029</v>
      </c>
      <c r="L349" s="172">
        <f t="shared" si="67"/>
        <v>2029.9166666666667</v>
      </c>
      <c r="M349" s="230">
        <v>11300</v>
      </c>
      <c r="N349" s="230">
        <f t="shared" si="68"/>
        <v>11300</v>
      </c>
      <c r="O349" s="230">
        <f t="shared" si="65"/>
        <v>78.472222222222214</v>
      </c>
      <c r="P349" s="230">
        <f t="shared" si="64"/>
        <v>941.66666666666652</v>
      </c>
      <c r="Q349" s="230">
        <f t="shared" si="69"/>
        <v>941.66666666666652</v>
      </c>
      <c r="R349" s="230"/>
      <c r="S349" s="230">
        <f t="shared" si="70"/>
        <v>0</v>
      </c>
      <c r="T349" s="230">
        <f t="shared" si="71"/>
        <v>941.66666666666652</v>
      </c>
      <c r="U349" s="230">
        <f t="shared" si="72"/>
        <v>10829.166666666668</v>
      </c>
    </row>
    <row r="350" spans="1:21" ht="12" customHeight="1">
      <c r="A350" s="3" t="s">
        <v>679</v>
      </c>
      <c r="C350" s="32">
        <v>188653</v>
      </c>
      <c r="D350" s="32">
        <v>6</v>
      </c>
      <c r="E350" s="3" t="s">
        <v>829</v>
      </c>
      <c r="F350" s="3">
        <v>2017</v>
      </c>
      <c r="G350" s="3">
        <v>11</v>
      </c>
      <c r="H350" s="3">
        <v>0</v>
      </c>
      <c r="I350" s="3" t="s">
        <v>52</v>
      </c>
      <c r="J350" s="175" t="s">
        <v>754</v>
      </c>
      <c r="K350" s="3">
        <f t="shared" si="66"/>
        <v>2029</v>
      </c>
      <c r="L350" s="172">
        <f t="shared" si="67"/>
        <v>2029.9166666666667</v>
      </c>
      <c r="M350" s="230">
        <v>37050</v>
      </c>
      <c r="N350" s="230">
        <f t="shared" si="68"/>
        <v>37050</v>
      </c>
      <c r="O350" s="230">
        <f t="shared" si="65"/>
        <v>257.29166666666669</v>
      </c>
      <c r="P350" s="230">
        <f t="shared" si="64"/>
        <v>3087.5</v>
      </c>
      <c r="Q350" s="230">
        <f t="shared" si="69"/>
        <v>3087.5</v>
      </c>
      <c r="R350" s="230"/>
      <c r="S350" s="230">
        <f t="shared" si="70"/>
        <v>0</v>
      </c>
      <c r="T350" s="230">
        <f t="shared" si="71"/>
        <v>3087.5</v>
      </c>
      <c r="U350" s="230">
        <f t="shared" si="72"/>
        <v>35506.25</v>
      </c>
    </row>
    <row r="351" spans="1:21" ht="12" customHeight="1">
      <c r="A351" s="3" t="s">
        <v>679</v>
      </c>
      <c r="C351" s="32">
        <v>189369</v>
      </c>
      <c r="D351" s="32">
        <v>2</v>
      </c>
      <c r="E351" s="3" t="s">
        <v>830</v>
      </c>
      <c r="F351" s="3">
        <v>2017</v>
      </c>
      <c r="G351" s="3">
        <v>5</v>
      </c>
      <c r="H351" s="3">
        <v>0</v>
      </c>
      <c r="I351" s="3" t="s">
        <v>52</v>
      </c>
      <c r="J351" s="175" t="s">
        <v>754</v>
      </c>
      <c r="K351" s="3">
        <f t="shared" si="66"/>
        <v>2029</v>
      </c>
      <c r="L351" s="172">
        <f t="shared" si="67"/>
        <v>2029.4166666666667</v>
      </c>
      <c r="M351" s="230">
        <v>14180</v>
      </c>
      <c r="N351" s="230">
        <f t="shared" si="68"/>
        <v>14180</v>
      </c>
      <c r="O351" s="230">
        <f t="shared" si="65"/>
        <v>98.472222222222229</v>
      </c>
      <c r="P351" s="230">
        <f t="shared" si="64"/>
        <v>1181.6666666666667</v>
      </c>
      <c r="Q351" s="230">
        <f t="shared" si="69"/>
        <v>1181.6666666666667</v>
      </c>
      <c r="R351" s="230"/>
      <c r="S351" s="230">
        <f t="shared" si="70"/>
        <v>0</v>
      </c>
      <c r="T351" s="230">
        <f t="shared" si="71"/>
        <v>1181.6666666666667</v>
      </c>
      <c r="U351" s="230">
        <f t="shared" si="72"/>
        <v>13589.166666666668</v>
      </c>
    </row>
    <row r="352" spans="1:21" ht="12" customHeight="1">
      <c r="A352" s="3" t="s">
        <v>679</v>
      </c>
      <c r="C352" s="32">
        <v>189370</v>
      </c>
      <c r="D352" s="32">
        <v>3</v>
      </c>
      <c r="E352" s="3" t="s">
        <v>831</v>
      </c>
      <c r="F352" s="3">
        <v>2017</v>
      </c>
      <c r="G352" s="3">
        <v>5</v>
      </c>
      <c r="H352" s="3">
        <v>0</v>
      </c>
      <c r="I352" s="3" t="s">
        <v>52</v>
      </c>
      <c r="J352" s="175" t="s">
        <v>754</v>
      </c>
      <c r="K352" s="3">
        <f t="shared" si="66"/>
        <v>2029</v>
      </c>
      <c r="L352" s="172">
        <f t="shared" si="67"/>
        <v>2029.4166666666667</v>
      </c>
      <c r="M352" s="230">
        <v>19638</v>
      </c>
      <c r="N352" s="230">
        <f t="shared" si="68"/>
        <v>19638</v>
      </c>
      <c r="O352" s="230">
        <f t="shared" si="65"/>
        <v>136.375</v>
      </c>
      <c r="P352" s="230">
        <f t="shared" si="64"/>
        <v>1636.5</v>
      </c>
      <c r="Q352" s="230">
        <f t="shared" si="69"/>
        <v>1636.5</v>
      </c>
      <c r="R352" s="230"/>
      <c r="S352" s="230">
        <f t="shared" si="70"/>
        <v>0</v>
      </c>
      <c r="T352" s="230">
        <f t="shared" si="71"/>
        <v>1636.5</v>
      </c>
      <c r="U352" s="230">
        <f t="shared" si="72"/>
        <v>18819.75</v>
      </c>
    </row>
    <row r="353" spans="1:21" ht="12" customHeight="1">
      <c r="A353" s="3" t="s">
        <v>679</v>
      </c>
      <c r="C353" s="32">
        <v>189371</v>
      </c>
      <c r="D353" s="32">
        <v>1</v>
      </c>
      <c r="E353" s="3" t="s">
        <v>817</v>
      </c>
      <c r="F353" s="3">
        <v>2017</v>
      </c>
      <c r="G353" s="3">
        <v>5</v>
      </c>
      <c r="H353" s="3">
        <v>0</v>
      </c>
      <c r="I353" s="3" t="s">
        <v>52</v>
      </c>
      <c r="J353" s="175" t="s">
        <v>754</v>
      </c>
      <c r="K353" s="3">
        <f t="shared" si="66"/>
        <v>2029</v>
      </c>
      <c r="L353" s="172">
        <f t="shared" si="67"/>
        <v>2029.4166666666667</v>
      </c>
      <c r="M353" s="230">
        <v>6820</v>
      </c>
      <c r="N353" s="230">
        <f t="shared" si="68"/>
        <v>6820</v>
      </c>
      <c r="O353" s="230">
        <f t="shared" si="65"/>
        <v>47.361111111111114</v>
      </c>
      <c r="P353" s="230">
        <f t="shared" si="64"/>
        <v>568.33333333333337</v>
      </c>
      <c r="Q353" s="230">
        <f t="shared" si="69"/>
        <v>568.33333333333337</v>
      </c>
      <c r="R353" s="230"/>
      <c r="S353" s="230">
        <f t="shared" si="70"/>
        <v>0</v>
      </c>
      <c r="T353" s="230">
        <f t="shared" si="71"/>
        <v>568.33333333333337</v>
      </c>
      <c r="U353" s="230">
        <f t="shared" si="72"/>
        <v>6535.8333333333339</v>
      </c>
    </row>
    <row r="354" spans="1:21" ht="12" customHeight="1">
      <c r="A354" s="3" t="s">
        <v>679</v>
      </c>
      <c r="C354" s="32">
        <v>189372</v>
      </c>
      <c r="D354" s="32">
        <v>1</v>
      </c>
      <c r="E354" s="3" t="s">
        <v>819</v>
      </c>
      <c r="F354" s="3">
        <v>2017</v>
      </c>
      <c r="G354" s="3">
        <v>5</v>
      </c>
      <c r="H354" s="3">
        <v>0</v>
      </c>
      <c r="I354" s="3" t="s">
        <v>52</v>
      </c>
      <c r="J354" s="175" t="s">
        <v>754</v>
      </c>
      <c r="K354" s="3">
        <f t="shared" si="66"/>
        <v>2029</v>
      </c>
      <c r="L354" s="172">
        <f t="shared" si="67"/>
        <v>2029.4166666666667</v>
      </c>
      <c r="M354" s="230">
        <v>6320</v>
      </c>
      <c r="N354" s="230">
        <f t="shared" si="68"/>
        <v>6320</v>
      </c>
      <c r="O354" s="230">
        <f t="shared" si="65"/>
        <v>43.888888888888886</v>
      </c>
      <c r="P354" s="230">
        <f t="shared" ref="P354:P378" si="73">+O354*12</f>
        <v>526.66666666666663</v>
      </c>
      <c r="Q354" s="230">
        <f t="shared" si="69"/>
        <v>526.66666666666663</v>
      </c>
      <c r="R354" s="230"/>
      <c r="S354" s="230">
        <f t="shared" si="70"/>
        <v>0</v>
      </c>
      <c r="T354" s="230">
        <f t="shared" si="71"/>
        <v>526.66666666666663</v>
      </c>
      <c r="U354" s="230">
        <f t="shared" si="72"/>
        <v>6056.6666666666661</v>
      </c>
    </row>
    <row r="355" spans="1:21" ht="12" customHeight="1">
      <c r="A355" s="3" t="s">
        <v>679</v>
      </c>
      <c r="C355" s="32">
        <v>189373</v>
      </c>
      <c r="D355" s="32">
        <v>2</v>
      </c>
      <c r="E355" s="3" t="s">
        <v>819</v>
      </c>
      <c r="F355" s="3">
        <v>2017</v>
      </c>
      <c r="G355" s="3">
        <v>5</v>
      </c>
      <c r="H355" s="3">
        <v>0</v>
      </c>
      <c r="I355" s="3" t="s">
        <v>52</v>
      </c>
      <c r="J355" s="175" t="s">
        <v>754</v>
      </c>
      <c r="K355" s="3">
        <f t="shared" si="66"/>
        <v>2029</v>
      </c>
      <c r="L355" s="172">
        <f t="shared" si="67"/>
        <v>2029.4166666666667</v>
      </c>
      <c r="M355" s="230">
        <v>12640</v>
      </c>
      <c r="N355" s="230">
        <f t="shared" si="68"/>
        <v>12640</v>
      </c>
      <c r="O355" s="230">
        <f t="shared" si="65"/>
        <v>87.777777777777771</v>
      </c>
      <c r="P355" s="230">
        <f t="shared" si="73"/>
        <v>1053.3333333333333</v>
      </c>
      <c r="Q355" s="230">
        <f t="shared" si="69"/>
        <v>1053.3333333333333</v>
      </c>
      <c r="R355" s="230"/>
      <c r="S355" s="230">
        <f t="shared" si="70"/>
        <v>0</v>
      </c>
      <c r="T355" s="230">
        <f t="shared" si="71"/>
        <v>1053.3333333333333</v>
      </c>
      <c r="U355" s="230">
        <f t="shared" si="72"/>
        <v>12113.333333333332</v>
      </c>
    </row>
    <row r="356" spans="1:21" ht="12" customHeight="1">
      <c r="A356" s="3" t="s">
        <v>679</v>
      </c>
      <c r="C356" s="32">
        <v>189374</v>
      </c>
      <c r="D356" s="32">
        <v>2</v>
      </c>
      <c r="E356" s="3" t="s">
        <v>832</v>
      </c>
      <c r="F356" s="3">
        <v>2017</v>
      </c>
      <c r="G356" s="3">
        <v>5</v>
      </c>
      <c r="H356" s="3">
        <v>0</v>
      </c>
      <c r="I356" s="3" t="s">
        <v>52</v>
      </c>
      <c r="J356" s="175" t="s">
        <v>754</v>
      </c>
      <c r="K356" s="3">
        <f t="shared" si="66"/>
        <v>2029</v>
      </c>
      <c r="L356" s="172">
        <f t="shared" si="67"/>
        <v>2029.4166666666667</v>
      </c>
      <c r="M356" s="230">
        <v>11484</v>
      </c>
      <c r="N356" s="230">
        <f t="shared" si="68"/>
        <v>11484</v>
      </c>
      <c r="O356" s="230">
        <f t="shared" si="65"/>
        <v>79.75</v>
      </c>
      <c r="P356" s="230">
        <f t="shared" si="73"/>
        <v>957</v>
      </c>
      <c r="Q356" s="230">
        <f t="shared" si="69"/>
        <v>957</v>
      </c>
      <c r="R356" s="230"/>
      <c r="S356" s="230">
        <f t="shared" si="70"/>
        <v>0</v>
      </c>
      <c r="T356" s="230">
        <f t="shared" si="71"/>
        <v>957</v>
      </c>
      <c r="U356" s="230">
        <f t="shared" si="72"/>
        <v>11005.5</v>
      </c>
    </row>
    <row r="357" spans="1:21" ht="12" customHeight="1">
      <c r="A357" s="3" t="s">
        <v>679</v>
      </c>
      <c r="C357" s="32">
        <v>189375</v>
      </c>
      <c r="D357" s="32">
        <v>2</v>
      </c>
      <c r="E357" s="3" t="s">
        <v>819</v>
      </c>
      <c r="F357" s="3">
        <v>2017</v>
      </c>
      <c r="G357" s="3">
        <v>5</v>
      </c>
      <c r="H357" s="3">
        <v>0</v>
      </c>
      <c r="I357" s="3" t="s">
        <v>52</v>
      </c>
      <c r="J357" s="175" t="s">
        <v>754</v>
      </c>
      <c r="K357" s="3">
        <f t="shared" si="66"/>
        <v>2029</v>
      </c>
      <c r="L357" s="172">
        <f t="shared" si="67"/>
        <v>2029.4166666666667</v>
      </c>
      <c r="M357" s="230">
        <v>12640</v>
      </c>
      <c r="N357" s="230">
        <f t="shared" si="68"/>
        <v>12640</v>
      </c>
      <c r="O357" s="230">
        <f t="shared" si="65"/>
        <v>87.777777777777771</v>
      </c>
      <c r="P357" s="230">
        <f t="shared" si="73"/>
        <v>1053.3333333333333</v>
      </c>
      <c r="Q357" s="230">
        <f t="shared" si="69"/>
        <v>1053.3333333333333</v>
      </c>
      <c r="R357" s="230"/>
      <c r="S357" s="230">
        <f t="shared" si="70"/>
        <v>0</v>
      </c>
      <c r="T357" s="230">
        <f t="shared" si="71"/>
        <v>1053.3333333333333</v>
      </c>
      <c r="U357" s="230">
        <f t="shared" si="72"/>
        <v>12113.333333333332</v>
      </c>
    </row>
    <row r="358" spans="1:21" ht="12" customHeight="1">
      <c r="A358" s="3" t="s">
        <v>679</v>
      </c>
      <c r="C358" s="32">
        <v>189376</v>
      </c>
      <c r="D358" s="32">
        <v>2</v>
      </c>
      <c r="E358" s="3" t="s">
        <v>832</v>
      </c>
      <c r="F358" s="3">
        <v>2017</v>
      </c>
      <c r="G358" s="3">
        <v>5</v>
      </c>
      <c r="H358" s="3">
        <v>0</v>
      </c>
      <c r="I358" s="3" t="s">
        <v>52</v>
      </c>
      <c r="J358" s="175" t="s">
        <v>754</v>
      </c>
      <c r="K358" s="3">
        <f t="shared" si="66"/>
        <v>2029</v>
      </c>
      <c r="L358" s="172">
        <f t="shared" si="67"/>
        <v>2029.4166666666667</v>
      </c>
      <c r="M358" s="230">
        <v>11484</v>
      </c>
      <c r="N358" s="230">
        <f t="shared" si="68"/>
        <v>11484</v>
      </c>
      <c r="O358" s="230">
        <f t="shared" ref="O358:O378" si="74">N358/J358/12</f>
        <v>79.75</v>
      </c>
      <c r="P358" s="230">
        <f t="shared" si="73"/>
        <v>957</v>
      </c>
      <c r="Q358" s="230">
        <f t="shared" si="69"/>
        <v>957</v>
      </c>
      <c r="R358" s="230"/>
      <c r="S358" s="230">
        <f t="shared" si="70"/>
        <v>0</v>
      </c>
      <c r="T358" s="230">
        <f t="shared" si="71"/>
        <v>957</v>
      </c>
      <c r="U358" s="230">
        <f t="shared" si="72"/>
        <v>11005.5</v>
      </c>
    </row>
    <row r="359" spans="1:21" ht="12" customHeight="1">
      <c r="A359" s="3" t="s">
        <v>679</v>
      </c>
      <c r="C359" s="32">
        <v>189377</v>
      </c>
      <c r="D359" s="32">
        <v>2</v>
      </c>
      <c r="E359" s="3" t="s">
        <v>832</v>
      </c>
      <c r="F359" s="3">
        <v>2017</v>
      </c>
      <c r="G359" s="3">
        <v>5</v>
      </c>
      <c r="H359" s="3">
        <v>0</v>
      </c>
      <c r="I359" s="3" t="s">
        <v>52</v>
      </c>
      <c r="J359" s="175" t="s">
        <v>754</v>
      </c>
      <c r="K359" s="3">
        <f t="shared" si="66"/>
        <v>2029</v>
      </c>
      <c r="L359" s="172">
        <f t="shared" si="67"/>
        <v>2029.4166666666667</v>
      </c>
      <c r="M359" s="230">
        <v>10584</v>
      </c>
      <c r="N359" s="230">
        <f t="shared" si="68"/>
        <v>10584</v>
      </c>
      <c r="O359" s="230">
        <f t="shared" si="74"/>
        <v>73.5</v>
      </c>
      <c r="P359" s="230">
        <f t="shared" si="73"/>
        <v>882</v>
      </c>
      <c r="Q359" s="230">
        <f t="shared" si="69"/>
        <v>882</v>
      </c>
      <c r="R359" s="230"/>
      <c r="S359" s="230">
        <f t="shared" si="70"/>
        <v>0</v>
      </c>
      <c r="T359" s="230">
        <f t="shared" si="71"/>
        <v>882</v>
      </c>
      <c r="U359" s="230">
        <f t="shared" si="72"/>
        <v>10143</v>
      </c>
    </row>
    <row r="360" spans="1:21" ht="12" customHeight="1">
      <c r="A360" s="3" t="s">
        <v>679</v>
      </c>
      <c r="C360" s="32">
        <v>189378</v>
      </c>
      <c r="D360" s="32">
        <v>2</v>
      </c>
      <c r="E360" s="3" t="s">
        <v>832</v>
      </c>
      <c r="F360" s="3">
        <v>2017</v>
      </c>
      <c r="G360" s="3">
        <v>5</v>
      </c>
      <c r="H360" s="3">
        <v>0</v>
      </c>
      <c r="I360" s="3" t="s">
        <v>52</v>
      </c>
      <c r="J360" s="175" t="s">
        <v>754</v>
      </c>
      <c r="K360" s="3">
        <f t="shared" si="66"/>
        <v>2029</v>
      </c>
      <c r="L360" s="172">
        <f t="shared" si="67"/>
        <v>2029.4166666666667</v>
      </c>
      <c r="M360" s="230">
        <v>10584</v>
      </c>
      <c r="N360" s="230">
        <f t="shared" si="68"/>
        <v>10584</v>
      </c>
      <c r="O360" s="230">
        <f t="shared" si="74"/>
        <v>73.5</v>
      </c>
      <c r="P360" s="230">
        <f t="shared" si="73"/>
        <v>882</v>
      </c>
      <c r="Q360" s="230">
        <f t="shared" si="69"/>
        <v>882</v>
      </c>
      <c r="R360" s="230"/>
      <c r="S360" s="230">
        <f t="shared" si="70"/>
        <v>0</v>
      </c>
      <c r="T360" s="230">
        <f t="shared" si="71"/>
        <v>882</v>
      </c>
      <c r="U360" s="230">
        <f t="shared" si="72"/>
        <v>10143</v>
      </c>
    </row>
    <row r="361" spans="1:21" ht="12" customHeight="1">
      <c r="A361" s="3" t="s">
        <v>679</v>
      </c>
      <c r="C361" s="32">
        <v>189379</v>
      </c>
      <c r="D361" s="32">
        <v>2</v>
      </c>
      <c r="E361" s="3" t="s">
        <v>832</v>
      </c>
      <c r="F361" s="3">
        <v>2017</v>
      </c>
      <c r="G361" s="3">
        <v>5</v>
      </c>
      <c r="H361" s="3">
        <v>0</v>
      </c>
      <c r="I361" s="3" t="s">
        <v>52</v>
      </c>
      <c r="J361" s="175" t="s">
        <v>754</v>
      </c>
      <c r="K361" s="3">
        <f t="shared" ref="K361:K378" si="75">F361+J361</f>
        <v>2029</v>
      </c>
      <c r="L361" s="172">
        <f t="shared" ref="L361:L378" si="76">+K361+(G361/12)</f>
        <v>2029.4166666666667</v>
      </c>
      <c r="M361" s="230">
        <v>10584</v>
      </c>
      <c r="N361" s="230">
        <f t="shared" ref="N361:N378" si="77">M361-M361*H361</f>
        <v>10584</v>
      </c>
      <c r="O361" s="230">
        <f t="shared" si="74"/>
        <v>73.5</v>
      </c>
      <c r="P361" s="230">
        <f t="shared" si="73"/>
        <v>882</v>
      </c>
      <c r="Q361" s="230">
        <f t="shared" ref="Q361:Q378" si="78">+IF(L361&lt;=$N$5,0,IF(K361&gt;$N$4,P361,(O361*G361)))</f>
        <v>882</v>
      </c>
      <c r="R361" s="230"/>
      <c r="S361" s="230">
        <f t="shared" ref="S361:S378" si="79">+IF(Q361=0,M361,IF($N$3-F361&lt;1,0,(($N$3-F361)*P361)))</f>
        <v>0</v>
      </c>
      <c r="T361" s="230">
        <f t="shared" ref="T361:T378" si="80">+IF(Q361=0,S361,S361+Q361)</f>
        <v>882</v>
      </c>
      <c r="U361" s="230">
        <f t="shared" ref="U361:U378" si="81">+IF(Q361=0,0,((M361-S361)+(M361-T361))/2)</f>
        <v>10143</v>
      </c>
    </row>
    <row r="362" spans="1:21" ht="12" customHeight="1">
      <c r="A362" s="3" t="s">
        <v>679</v>
      </c>
      <c r="C362" s="32">
        <v>189380</v>
      </c>
      <c r="D362" s="32">
        <v>4</v>
      </c>
      <c r="E362" s="3" t="s">
        <v>833</v>
      </c>
      <c r="F362" s="3">
        <v>2017</v>
      </c>
      <c r="G362" s="3">
        <v>5</v>
      </c>
      <c r="H362" s="3">
        <v>0</v>
      </c>
      <c r="I362" s="3" t="s">
        <v>52</v>
      </c>
      <c r="J362" s="175" t="s">
        <v>754</v>
      </c>
      <c r="K362" s="3">
        <f t="shared" si="75"/>
        <v>2029</v>
      </c>
      <c r="L362" s="172">
        <f t="shared" si="76"/>
        <v>2029.4166666666667</v>
      </c>
      <c r="M362" s="230">
        <v>24980</v>
      </c>
      <c r="N362" s="230">
        <f t="shared" si="77"/>
        <v>24980</v>
      </c>
      <c r="O362" s="230">
        <f t="shared" si="74"/>
        <v>173.4722222222222</v>
      </c>
      <c r="P362" s="230">
        <f t="shared" si="73"/>
        <v>2081.6666666666665</v>
      </c>
      <c r="Q362" s="230">
        <f t="shared" si="78"/>
        <v>2081.6666666666665</v>
      </c>
      <c r="R362" s="230"/>
      <c r="S362" s="230">
        <f t="shared" si="79"/>
        <v>0</v>
      </c>
      <c r="T362" s="230">
        <f t="shared" si="80"/>
        <v>2081.6666666666665</v>
      </c>
      <c r="U362" s="230">
        <f t="shared" si="81"/>
        <v>23939.166666666664</v>
      </c>
    </row>
    <row r="363" spans="1:21" ht="12" customHeight="1">
      <c r="A363" s="3" t="s">
        <v>679</v>
      </c>
      <c r="C363" s="32">
        <v>197596</v>
      </c>
      <c r="D363" s="32">
        <v>10</v>
      </c>
      <c r="E363" s="3" t="s">
        <v>834</v>
      </c>
      <c r="F363" s="3">
        <v>2018</v>
      </c>
      <c r="G363" s="3">
        <v>3</v>
      </c>
      <c r="H363" s="3">
        <v>0</v>
      </c>
      <c r="I363" s="3" t="s">
        <v>52</v>
      </c>
      <c r="J363" s="175" t="s">
        <v>754</v>
      </c>
      <c r="K363" s="3">
        <f t="shared" si="75"/>
        <v>2030</v>
      </c>
      <c r="L363" s="172">
        <f t="shared" si="76"/>
        <v>2030.25</v>
      </c>
      <c r="M363" s="230">
        <v>9890</v>
      </c>
      <c r="N363" s="230">
        <f t="shared" si="77"/>
        <v>9890</v>
      </c>
      <c r="O363" s="230">
        <f t="shared" si="74"/>
        <v>68.680555555555557</v>
      </c>
      <c r="P363" s="230">
        <f t="shared" si="73"/>
        <v>824.16666666666674</v>
      </c>
      <c r="Q363" s="230">
        <f t="shared" si="78"/>
        <v>824.16666666666674</v>
      </c>
      <c r="R363" s="230"/>
      <c r="S363" s="230">
        <f t="shared" si="79"/>
        <v>0</v>
      </c>
      <c r="T363" s="230">
        <f t="shared" si="80"/>
        <v>824.16666666666674</v>
      </c>
      <c r="U363" s="230">
        <f t="shared" si="81"/>
        <v>9477.9166666666679</v>
      </c>
    </row>
    <row r="364" spans="1:21" ht="12" customHeight="1">
      <c r="A364" s="3" t="s">
        <v>679</v>
      </c>
      <c r="C364" s="32">
        <v>197597</v>
      </c>
      <c r="D364" s="32">
        <v>10</v>
      </c>
      <c r="E364" s="3" t="s">
        <v>835</v>
      </c>
      <c r="F364" s="3">
        <v>2018</v>
      </c>
      <c r="G364" s="3">
        <v>4</v>
      </c>
      <c r="H364" s="3">
        <v>0</v>
      </c>
      <c r="I364" s="3" t="s">
        <v>52</v>
      </c>
      <c r="J364" s="175" t="s">
        <v>754</v>
      </c>
      <c r="K364" s="3">
        <f t="shared" si="75"/>
        <v>2030</v>
      </c>
      <c r="L364" s="172">
        <f t="shared" si="76"/>
        <v>2030.3333333333333</v>
      </c>
      <c r="M364" s="230">
        <v>68270</v>
      </c>
      <c r="N364" s="230">
        <f t="shared" si="77"/>
        <v>68270</v>
      </c>
      <c r="O364" s="230">
        <f t="shared" si="74"/>
        <v>474.09722222222223</v>
      </c>
      <c r="P364" s="230">
        <f t="shared" si="73"/>
        <v>5689.166666666667</v>
      </c>
      <c r="Q364" s="230">
        <f t="shared" si="78"/>
        <v>5689.166666666667</v>
      </c>
      <c r="R364" s="230"/>
      <c r="S364" s="230">
        <f t="shared" si="79"/>
        <v>0</v>
      </c>
      <c r="T364" s="230">
        <f t="shared" si="80"/>
        <v>5689.166666666667</v>
      </c>
      <c r="U364" s="230">
        <f t="shared" si="81"/>
        <v>65425.416666666672</v>
      </c>
    </row>
    <row r="365" spans="1:21" ht="12" customHeight="1">
      <c r="A365" s="3" t="s">
        <v>679</v>
      </c>
      <c r="C365" s="32">
        <v>197794</v>
      </c>
      <c r="D365" s="32">
        <v>4</v>
      </c>
      <c r="E365" s="3" t="s">
        <v>836</v>
      </c>
      <c r="F365" s="3">
        <v>2018</v>
      </c>
      <c r="G365" s="3">
        <v>4</v>
      </c>
      <c r="H365" s="3">
        <v>0</v>
      </c>
      <c r="I365" s="3" t="s">
        <v>52</v>
      </c>
      <c r="J365" s="175" t="s">
        <v>754</v>
      </c>
      <c r="K365" s="3">
        <f t="shared" si="75"/>
        <v>2030</v>
      </c>
      <c r="L365" s="172">
        <f t="shared" si="76"/>
        <v>2030.3333333333333</v>
      </c>
      <c r="M365" s="230">
        <v>18380</v>
      </c>
      <c r="N365" s="230">
        <f t="shared" si="77"/>
        <v>18380</v>
      </c>
      <c r="O365" s="230">
        <f t="shared" si="74"/>
        <v>127.6388888888889</v>
      </c>
      <c r="P365" s="230">
        <f t="shared" si="73"/>
        <v>1531.6666666666667</v>
      </c>
      <c r="Q365" s="230">
        <f t="shared" si="78"/>
        <v>1531.6666666666667</v>
      </c>
      <c r="R365" s="230"/>
      <c r="S365" s="230">
        <f t="shared" si="79"/>
        <v>0</v>
      </c>
      <c r="T365" s="230">
        <f t="shared" si="80"/>
        <v>1531.6666666666667</v>
      </c>
      <c r="U365" s="230">
        <f t="shared" si="81"/>
        <v>17614.166666666664</v>
      </c>
    </row>
    <row r="366" spans="1:21" ht="12" customHeight="1">
      <c r="A366" s="3" t="s">
        <v>679</v>
      </c>
      <c r="C366" s="32">
        <v>197840</v>
      </c>
      <c r="D366" s="32">
        <v>2</v>
      </c>
      <c r="E366" s="3" t="s">
        <v>836</v>
      </c>
      <c r="F366" s="3">
        <v>2018</v>
      </c>
      <c r="G366" s="3">
        <v>4</v>
      </c>
      <c r="H366" s="3">
        <v>0</v>
      </c>
      <c r="I366" s="3" t="s">
        <v>52</v>
      </c>
      <c r="J366" s="175" t="s">
        <v>754</v>
      </c>
      <c r="K366" s="3">
        <f t="shared" si="75"/>
        <v>2030</v>
      </c>
      <c r="L366" s="172">
        <f t="shared" si="76"/>
        <v>2030.3333333333333</v>
      </c>
      <c r="M366" s="230">
        <v>9190</v>
      </c>
      <c r="N366" s="230">
        <f t="shared" si="77"/>
        <v>9190</v>
      </c>
      <c r="O366" s="230">
        <f t="shared" si="74"/>
        <v>63.81944444444445</v>
      </c>
      <c r="P366" s="230">
        <f t="shared" si="73"/>
        <v>765.83333333333337</v>
      </c>
      <c r="Q366" s="230">
        <f t="shared" si="78"/>
        <v>765.83333333333337</v>
      </c>
      <c r="R366" s="230"/>
      <c r="S366" s="230">
        <f t="shared" si="79"/>
        <v>0</v>
      </c>
      <c r="T366" s="230">
        <f t="shared" si="80"/>
        <v>765.83333333333337</v>
      </c>
      <c r="U366" s="230">
        <f t="shared" si="81"/>
        <v>8807.0833333333321</v>
      </c>
    </row>
    <row r="367" spans="1:21" ht="12" customHeight="1">
      <c r="A367" s="3" t="s">
        <v>679</v>
      </c>
      <c r="C367" s="32">
        <v>197841</v>
      </c>
      <c r="D367" s="32">
        <v>6</v>
      </c>
      <c r="E367" s="3" t="s">
        <v>837</v>
      </c>
      <c r="F367" s="3">
        <v>2018</v>
      </c>
      <c r="G367" s="3">
        <v>4</v>
      </c>
      <c r="H367" s="3">
        <v>0</v>
      </c>
      <c r="I367" s="3" t="s">
        <v>52</v>
      </c>
      <c r="J367" s="175" t="s">
        <v>754</v>
      </c>
      <c r="K367" s="3">
        <f t="shared" si="75"/>
        <v>2030</v>
      </c>
      <c r="L367" s="172">
        <f t="shared" si="76"/>
        <v>2030.3333333333333</v>
      </c>
      <c r="M367" s="230">
        <v>38610</v>
      </c>
      <c r="N367" s="230">
        <f t="shared" si="77"/>
        <v>38610</v>
      </c>
      <c r="O367" s="230">
        <f t="shared" si="74"/>
        <v>268.125</v>
      </c>
      <c r="P367" s="230">
        <f t="shared" si="73"/>
        <v>3217.5</v>
      </c>
      <c r="Q367" s="230">
        <f t="shared" si="78"/>
        <v>3217.5</v>
      </c>
      <c r="R367" s="230"/>
      <c r="S367" s="230">
        <f t="shared" si="79"/>
        <v>0</v>
      </c>
      <c r="T367" s="230">
        <f t="shared" si="80"/>
        <v>3217.5</v>
      </c>
      <c r="U367" s="230">
        <f t="shared" si="81"/>
        <v>37001.25</v>
      </c>
    </row>
    <row r="368" spans="1:21" ht="12" customHeight="1">
      <c r="A368" s="3" t="s">
        <v>679</v>
      </c>
      <c r="C368" s="32">
        <v>197842</v>
      </c>
      <c r="D368" s="32">
        <v>3</v>
      </c>
      <c r="E368" s="3" t="s">
        <v>838</v>
      </c>
      <c r="F368" s="3">
        <v>2018</v>
      </c>
      <c r="G368" s="3">
        <v>4</v>
      </c>
      <c r="H368" s="3">
        <v>0</v>
      </c>
      <c r="I368" s="3" t="s">
        <v>52</v>
      </c>
      <c r="J368" s="175" t="s">
        <v>754</v>
      </c>
      <c r="K368" s="3">
        <f t="shared" si="75"/>
        <v>2030</v>
      </c>
      <c r="L368" s="172">
        <f t="shared" si="76"/>
        <v>2030.3333333333333</v>
      </c>
      <c r="M368" s="230">
        <v>18495</v>
      </c>
      <c r="N368" s="230">
        <f t="shared" si="77"/>
        <v>18495</v>
      </c>
      <c r="O368" s="230">
        <f t="shared" si="74"/>
        <v>128.4375</v>
      </c>
      <c r="P368" s="230">
        <f t="shared" si="73"/>
        <v>1541.25</v>
      </c>
      <c r="Q368" s="230">
        <f t="shared" si="78"/>
        <v>1541.25</v>
      </c>
      <c r="R368" s="230"/>
      <c r="S368" s="230">
        <f t="shared" si="79"/>
        <v>0</v>
      </c>
      <c r="T368" s="230">
        <f t="shared" si="80"/>
        <v>1541.25</v>
      </c>
      <c r="U368" s="230">
        <f t="shared" si="81"/>
        <v>17724.375</v>
      </c>
    </row>
    <row r="369" spans="1:21" ht="12" customHeight="1">
      <c r="A369" s="3" t="s">
        <v>679</v>
      </c>
      <c r="C369" s="32">
        <v>197843</v>
      </c>
      <c r="D369" s="32">
        <v>3</v>
      </c>
      <c r="E369" s="3" t="s">
        <v>839</v>
      </c>
      <c r="F369" s="3">
        <v>2018</v>
      </c>
      <c r="G369" s="3">
        <v>4</v>
      </c>
      <c r="H369" s="3">
        <v>0</v>
      </c>
      <c r="I369" s="3" t="s">
        <v>52</v>
      </c>
      <c r="J369" s="175" t="s">
        <v>754</v>
      </c>
      <c r="K369" s="3">
        <f t="shared" si="75"/>
        <v>2030</v>
      </c>
      <c r="L369" s="172">
        <f t="shared" si="76"/>
        <v>2030.3333333333333</v>
      </c>
      <c r="M369" s="230">
        <v>17475</v>
      </c>
      <c r="N369" s="230">
        <f t="shared" si="77"/>
        <v>17475</v>
      </c>
      <c r="O369" s="230">
        <f t="shared" si="74"/>
        <v>121.35416666666667</v>
      </c>
      <c r="P369" s="230">
        <f t="shared" si="73"/>
        <v>1456.25</v>
      </c>
      <c r="Q369" s="230">
        <f t="shared" si="78"/>
        <v>1456.25</v>
      </c>
      <c r="R369" s="230"/>
      <c r="S369" s="230">
        <f t="shared" si="79"/>
        <v>0</v>
      </c>
      <c r="T369" s="230">
        <f t="shared" si="80"/>
        <v>1456.25</v>
      </c>
      <c r="U369" s="230">
        <f t="shared" si="81"/>
        <v>16746.875</v>
      </c>
    </row>
    <row r="370" spans="1:21" ht="12" customHeight="1">
      <c r="A370" s="3" t="s">
        <v>679</v>
      </c>
      <c r="C370" s="32">
        <v>198075</v>
      </c>
      <c r="D370" s="32">
        <v>160</v>
      </c>
      <c r="E370" s="3" t="s">
        <v>840</v>
      </c>
      <c r="F370" s="3">
        <v>2008</v>
      </c>
      <c r="G370" s="3">
        <v>11</v>
      </c>
      <c r="H370" s="3">
        <v>0</v>
      </c>
      <c r="I370" s="3" t="s">
        <v>52</v>
      </c>
      <c r="J370" s="175">
        <v>7</v>
      </c>
      <c r="K370" s="3">
        <f t="shared" si="75"/>
        <v>2015</v>
      </c>
      <c r="L370" s="172">
        <f t="shared" si="76"/>
        <v>2015.9166666666667</v>
      </c>
      <c r="M370" s="230">
        <v>72645.960000000006</v>
      </c>
      <c r="N370" s="230">
        <f t="shared" si="77"/>
        <v>72645.960000000006</v>
      </c>
      <c r="O370" s="230">
        <f t="shared" si="74"/>
        <v>864.83285714285728</v>
      </c>
      <c r="P370" s="230">
        <f t="shared" si="73"/>
        <v>10377.994285714287</v>
      </c>
      <c r="Q370" s="230">
        <f t="shared" si="78"/>
        <v>0</v>
      </c>
      <c r="R370" s="230"/>
      <c r="S370" s="230">
        <f t="shared" si="79"/>
        <v>72645.960000000006</v>
      </c>
      <c r="T370" s="230">
        <f t="shared" si="80"/>
        <v>72645.960000000006</v>
      </c>
      <c r="U370" s="230">
        <f t="shared" si="81"/>
        <v>0</v>
      </c>
    </row>
    <row r="371" spans="1:21" ht="12" customHeight="1">
      <c r="C371" s="32">
        <v>200331</v>
      </c>
      <c r="D371" s="32">
        <v>3</v>
      </c>
      <c r="E371" s="3" t="s">
        <v>921</v>
      </c>
      <c r="F371" s="3">
        <v>2018</v>
      </c>
      <c r="G371" s="3">
        <v>4</v>
      </c>
      <c r="H371" s="3">
        <v>0</v>
      </c>
      <c r="I371" s="3" t="s">
        <v>52</v>
      </c>
      <c r="J371" s="175" t="s">
        <v>754</v>
      </c>
      <c r="K371" s="3">
        <f t="shared" si="75"/>
        <v>2030</v>
      </c>
      <c r="L371" s="172">
        <f t="shared" si="76"/>
        <v>2030.3333333333333</v>
      </c>
      <c r="M371" s="230">
        <v>17685</v>
      </c>
      <c r="N371" s="230">
        <f t="shared" si="77"/>
        <v>17685</v>
      </c>
      <c r="O371" s="230">
        <f t="shared" si="74"/>
        <v>122.8125</v>
      </c>
      <c r="P371" s="230">
        <f t="shared" si="73"/>
        <v>1473.75</v>
      </c>
      <c r="Q371" s="230">
        <f t="shared" si="78"/>
        <v>1473.75</v>
      </c>
      <c r="R371" s="230"/>
      <c r="S371" s="230">
        <f t="shared" si="79"/>
        <v>0</v>
      </c>
      <c r="T371" s="230">
        <f t="shared" si="80"/>
        <v>1473.75</v>
      </c>
      <c r="U371" s="230">
        <f t="shared" si="81"/>
        <v>16948.125</v>
      </c>
    </row>
    <row r="372" spans="1:21" ht="12" customHeight="1">
      <c r="C372" s="32">
        <v>200355</v>
      </c>
      <c r="D372" s="32">
        <v>7</v>
      </c>
      <c r="E372" s="3" t="s">
        <v>922</v>
      </c>
      <c r="F372" s="3">
        <v>2018</v>
      </c>
      <c r="G372" s="3">
        <v>4</v>
      </c>
      <c r="H372" s="3">
        <v>0</v>
      </c>
      <c r="I372" s="3" t="s">
        <v>52</v>
      </c>
      <c r="J372" s="175" t="s">
        <v>754</v>
      </c>
      <c r="K372" s="3">
        <f t="shared" si="75"/>
        <v>2030</v>
      </c>
      <c r="L372" s="172">
        <f t="shared" si="76"/>
        <v>2030.3333333333333</v>
      </c>
      <c r="M372" s="230">
        <v>56515</v>
      </c>
      <c r="N372" s="230">
        <f t="shared" si="77"/>
        <v>56515</v>
      </c>
      <c r="O372" s="230">
        <f t="shared" si="74"/>
        <v>392.46527777777777</v>
      </c>
      <c r="P372" s="230">
        <f t="shared" si="73"/>
        <v>4709.583333333333</v>
      </c>
      <c r="Q372" s="230">
        <f t="shared" si="78"/>
        <v>4709.583333333333</v>
      </c>
      <c r="R372" s="230"/>
      <c r="S372" s="230">
        <f t="shared" si="79"/>
        <v>0</v>
      </c>
      <c r="T372" s="230">
        <f t="shared" si="80"/>
        <v>4709.583333333333</v>
      </c>
      <c r="U372" s="230">
        <f t="shared" si="81"/>
        <v>54160.208333333328</v>
      </c>
    </row>
    <row r="373" spans="1:21" ht="12" customHeight="1">
      <c r="C373" s="32">
        <v>200356</v>
      </c>
      <c r="D373" s="32">
        <v>6</v>
      </c>
      <c r="E373" s="3" t="s">
        <v>923</v>
      </c>
      <c r="F373" s="3">
        <v>2018</v>
      </c>
      <c r="G373" s="3">
        <v>4</v>
      </c>
      <c r="H373" s="3">
        <v>0</v>
      </c>
      <c r="I373" s="3" t="s">
        <v>52</v>
      </c>
      <c r="J373" s="175" t="s">
        <v>754</v>
      </c>
      <c r="K373" s="3">
        <f t="shared" si="75"/>
        <v>2030</v>
      </c>
      <c r="L373" s="172">
        <f t="shared" si="76"/>
        <v>2030.3333333333333</v>
      </c>
      <c r="M373" s="230">
        <v>38610</v>
      </c>
      <c r="N373" s="230">
        <f t="shared" si="77"/>
        <v>38610</v>
      </c>
      <c r="O373" s="230">
        <f t="shared" si="74"/>
        <v>268.125</v>
      </c>
      <c r="P373" s="230">
        <f t="shared" si="73"/>
        <v>3217.5</v>
      </c>
      <c r="Q373" s="230">
        <f t="shared" si="78"/>
        <v>3217.5</v>
      </c>
      <c r="R373" s="230"/>
      <c r="S373" s="230">
        <f t="shared" si="79"/>
        <v>0</v>
      </c>
      <c r="T373" s="230">
        <f t="shared" si="80"/>
        <v>3217.5</v>
      </c>
      <c r="U373" s="230">
        <f t="shared" si="81"/>
        <v>37001.25</v>
      </c>
    </row>
    <row r="374" spans="1:21" ht="12" customHeight="1">
      <c r="C374" s="32">
        <v>200770</v>
      </c>
      <c r="D374" s="32">
        <v>6</v>
      </c>
      <c r="E374" s="3" t="s">
        <v>924</v>
      </c>
      <c r="F374" s="3">
        <v>2018</v>
      </c>
      <c r="G374" s="3">
        <v>4</v>
      </c>
      <c r="H374" s="3">
        <v>0</v>
      </c>
      <c r="I374" s="3" t="s">
        <v>52</v>
      </c>
      <c r="J374" s="175" t="s">
        <v>754</v>
      </c>
      <c r="K374" s="3">
        <f t="shared" si="75"/>
        <v>2030</v>
      </c>
      <c r="L374" s="172">
        <f t="shared" si="76"/>
        <v>2030.3333333333333</v>
      </c>
      <c r="M374" s="230">
        <v>36990</v>
      </c>
      <c r="N374" s="230">
        <f t="shared" si="77"/>
        <v>36990</v>
      </c>
      <c r="O374" s="230">
        <f t="shared" si="74"/>
        <v>256.875</v>
      </c>
      <c r="P374" s="230">
        <f t="shared" si="73"/>
        <v>3082.5</v>
      </c>
      <c r="Q374" s="230">
        <f t="shared" si="78"/>
        <v>3082.5</v>
      </c>
      <c r="R374" s="230"/>
      <c r="S374" s="230">
        <f t="shared" si="79"/>
        <v>0</v>
      </c>
      <c r="T374" s="230">
        <f t="shared" si="80"/>
        <v>3082.5</v>
      </c>
      <c r="U374" s="230">
        <f t="shared" si="81"/>
        <v>35448.75</v>
      </c>
    </row>
    <row r="375" spans="1:21" ht="12" customHeight="1">
      <c r="C375" s="32">
        <v>200771</v>
      </c>
      <c r="D375" s="32">
        <v>12</v>
      </c>
      <c r="E375" s="3" t="s">
        <v>925</v>
      </c>
      <c r="F375" s="3">
        <v>2018</v>
      </c>
      <c r="G375" s="3">
        <v>4</v>
      </c>
      <c r="H375" s="3">
        <v>0</v>
      </c>
      <c r="I375" s="3" t="s">
        <v>52</v>
      </c>
      <c r="J375" s="175" t="s">
        <v>754</v>
      </c>
      <c r="K375" s="3">
        <f t="shared" si="75"/>
        <v>2030</v>
      </c>
      <c r="L375" s="172">
        <f t="shared" si="76"/>
        <v>2030.3333333333333</v>
      </c>
      <c r="M375" s="230">
        <v>77220</v>
      </c>
      <c r="N375" s="230">
        <f t="shared" si="77"/>
        <v>77220</v>
      </c>
      <c r="O375" s="230">
        <f t="shared" si="74"/>
        <v>536.25</v>
      </c>
      <c r="P375" s="230">
        <f t="shared" si="73"/>
        <v>6435</v>
      </c>
      <c r="Q375" s="230">
        <f t="shared" si="78"/>
        <v>6435</v>
      </c>
      <c r="R375" s="230"/>
      <c r="S375" s="230">
        <f t="shared" si="79"/>
        <v>0</v>
      </c>
      <c r="T375" s="230">
        <f t="shared" si="80"/>
        <v>6435</v>
      </c>
      <c r="U375" s="230">
        <f t="shared" si="81"/>
        <v>74002.5</v>
      </c>
    </row>
    <row r="376" spans="1:21" ht="12" customHeight="1">
      <c r="C376" s="32">
        <v>202730</v>
      </c>
      <c r="D376" s="32">
        <v>12</v>
      </c>
      <c r="E376" s="3" t="s">
        <v>926</v>
      </c>
      <c r="F376" s="3">
        <v>2018</v>
      </c>
      <c r="G376" s="3">
        <v>4</v>
      </c>
      <c r="H376" s="3">
        <v>0</v>
      </c>
      <c r="I376" s="3" t="s">
        <v>52</v>
      </c>
      <c r="J376" s="175" t="s">
        <v>754</v>
      </c>
      <c r="K376" s="3">
        <f t="shared" si="75"/>
        <v>2030</v>
      </c>
      <c r="L376" s="172">
        <f t="shared" si="76"/>
        <v>2030.3333333333333</v>
      </c>
      <c r="M376" s="230">
        <v>69900</v>
      </c>
      <c r="N376" s="230">
        <f t="shared" si="77"/>
        <v>69900</v>
      </c>
      <c r="O376" s="230">
        <f t="shared" si="74"/>
        <v>485.41666666666669</v>
      </c>
      <c r="P376" s="230">
        <f t="shared" si="73"/>
        <v>5825</v>
      </c>
      <c r="Q376" s="230">
        <f t="shared" si="78"/>
        <v>5825</v>
      </c>
      <c r="R376" s="230"/>
      <c r="S376" s="230">
        <f t="shared" si="79"/>
        <v>0</v>
      </c>
      <c r="T376" s="230">
        <f t="shared" si="80"/>
        <v>5825</v>
      </c>
      <c r="U376" s="230">
        <f t="shared" si="81"/>
        <v>66987.5</v>
      </c>
    </row>
    <row r="377" spans="1:21" ht="12" customHeight="1">
      <c r="C377" s="32">
        <v>203949</v>
      </c>
      <c r="D377" s="32">
        <v>11</v>
      </c>
      <c r="E377" s="3" t="s">
        <v>927</v>
      </c>
      <c r="F377" s="3">
        <v>2018</v>
      </c>
      <c r="G377" s="3">
        <v>8</v>
      </c>
      <c r="H377" s="3">
        <v>0</v>
      </c>
      <c r="I377" s="3" t="s">
        <v>52</v>
      </c>
      <c r="J377" s="175" t="s">
        <v>754</v>
      </c>
      <c r="K377" s="3">
        <f t="shared" si="75"/>
        <v>2030</v>
      </c>
      <c r="L377" s="172">
        <f t="shared" si="76"/>
        <v>2030.6666666666667</v>
      </c>
      <c r="M377" s="230">
        <v>67815</v>
      </c>
      <c r="N377" s="230">
        <f t="shared" si="77"/>
        <v>67815</v>
      </c>
      <c r="O377" s="230">
        <f t="shared" si="74"/>
        <v>470.9375</v>
      </c>
      <c r="P377" s="230">
        <f t="shared" si="73"/>
        <v>5651.25</v>
      </c>
      <c r="Q377" s="230">
        <f t="shared" si="78"/>
        <v>5651.25</v>
      </c>
      <c r="R377" s="230"/>
      <c r="S377" s="230">
        <f t="shared" si="79"/>
        <v>0</v>
      </c>
      <c r="T377" s="230">
        <f t="shared" si="80"/>
        <v>5651.25</v>
      </c>
      <c r="U377" s="230">
        <f t="shared" si="81"/>
        <v>64989.375</v>
      </c>
    </row>
    <row r="378" spans="1:21" ht="12" customHeight="1">
      <c r="C378" s="32">
        <v>203950</v>
      </c>
      <c r="D378" s="32">
        <v>10</v>
      </c>
      <c r="E378" s="3" t="s">
        <v>928</v>
      </c>
      <c r="F378" s="3">
        <v>2018</v>
      </c>
      <c r="G378" s="3">
        <v>4</v>
      </c>
      <c r="H378" s="3">
        <v>0</v>
      </c>
      <c r="I378" s="3" t="s">
        <v>52</v>
      </c>
      <c r="J378" s="175" t="s">
        <v>754</v>
      </c>
      <c r="K378" s="3">
        <f t="shared" si="75"/>
        <v>2030</v>
      </c>
      <c r="L378" s="172">
        <f t="shared" si="76"/>
        <v>2030.3333333333333</v>
      </c>
      <c r="M378" s="230">
        <v>74200</v>
      </c>
      <c r="N378" s="230">
        <f t="shared" si="77"/>
        <v>74200</v>
      </c>
      <c r="O378" s="230">
        <f t="shared" si="74"/>
        <v>515.27777777777771</v>
      </c>
      <c r="P378" s="230">
        <f t="shared" si="73"/>
        <v>6183.3333333333321</v>
      </c>
      <c r="Q378" s="230">
        <f t="shared" si="78"/>
        <v>6183.3333333333321</v>
      </c>
      <c r="R378" s="230"/>
      <c r="S378" s="230">
        <f t="shared" si="79"/>
        <v>0</v>
      </c>
      <c r="T378" s="230">
        <f t="shared" si="80"/>
        <v>6183.3333333333321</v>
      </c>
      <c r="U378" s="230">
        <f t="shared" si="81"/>
        <v>71108.333333333343</v>
      </c>
    </row>
    <row r="379" spans="1:21" ht="12" customHeight="1">
      <c r="M379" s="230"/>
      <c r="N379" s="230"/>
      <c r="O379" s="230"/>
      <c r="P379" s="230"/>
      <c r="Q379" s="230"/>
      <c r="R379" s="230"/>
      <c r="S379" s="230"/>
      <c r="T379" s="230"/>
      <c r="U379" s="230"/>
    </row>
    <row r="380" spans="1:21" ht="12" customHeight="1">
      <c r="C380" s="181" t="s">
        <v>340</v>
      </c>
      <c r="D380" s="181">
        <f>SUM(D232:D379)</f>
        <v>908</v>
      </c>
      <c r="E380" s="169"/>
      <c r="F380" s="169"/>
      <c r="G380" s="169"/>
      <c r="H380" s="169"/>
      <c r="I380" s="169"/>
      <c r="J380" s="179"/>
      <c r="K380" s="169"/>
      <c r="L380" s="180"/>
      <c r="M380" s="171">
        <f t="shared" ref="M380:U380" si="82">SUM(M233:M379)</f>
        <v>3347561.8199999984</v>
      </c>
      <c r="N380" s="171">
        <f t="shared" si="82"/>
        <v>3347561.8199999984</v>
      </c>
      <c r="O380" s="171">
        <f t="shared" si="82"/>
        <v>24977.519829365076</v>
      </c>
      <c r="P380" s="171">
        <f t="shared" si="82"/>
        <v>299730.23795238096</v>
      </c>
      <c r="Q380" s="171">
        <f t="shared" si="82"/>
        <v>200550.28133333335</v>
      </c>
      <c r="R380" s="171">
        <f t="shared" si="82"/>
        <v>0</v>
      </c>
      <c r="S380" s="171">
        <f t="shared" si="82"/>
        <v>1593767.8608333336</v>
      </c>
      <c r="T380" s="171">
        <f t="shared" si="82"/>
        <v>1794318.1421666667</v>
      </c>
      <c r="U380" s="171">
        <f t="shared" si="82"/>
        <v>1653518.8185000001</v>
      </c>
    </row>
    <row r="381" spans="1:21" ht="12" customHeight="1">
      <c r="M381" s="230"/>
      <c r="N381" s="230"/>
      <c r="O381" s="230"/>
      <c r="P381" s="230"/>
      <c r="Q381" s="230"/>
      <c r="R381" s="230"/>
      <c r="S381" s="230"/>
      <c r="T381" s="230"/>
      <c r="U381" s="230"/>
    </row>
    <row r="382" spans="1:21" ht="12" customHeight="1">
      <c r="C382" s="181" t="s">
        <v>109</v>
      </c>
      <c r="D382" s="181"/>
      <c r="E382" s="169"/>
      <c r="F382" s="169"/>
      <c r="G382" s="169"/>
      <c r="H382" s="169"/>
      <c r="I382" s="169"/>
      <c r="J382" s="179"/>
      <c r="K382" s="169"/>
      <c r="L382" s="180"/>
      <c r="M382" s="171">
        <f>M229+M380</f>
        <v>5172619.8399999989</v>
      </c>
      <c r="N382" s="171">
        <f>N229+N380</f>
        <v>5172619.8399999989</v>
      </c>
      <c r="O382" s="171">
        <f>O229+O380</f>
        <v>38575.92388492063</v>
      </c>
      <c r="P382" s="171">
        <f>P229+P380</f>
        <v>462911.0866190478</v>
      </c>
      <c r="Q382" s="171">
        <f>Q229+Q380</f>
        <v>331331.40316666663</v>
      </c>
      <c r="R382" s="171"/>
      <c r="S382" s="171">
        <f>S229+S380</f>
        <v>2446204.5848333328</v>
      </c>
      <c r="T382" s="171">
        <f>T229+T380</f>
        <v>2777535.9880000004</v>
      </c>
      <c r="U382" s="171">
        <f>U229+U380</f>
        <v>2560749.5535833333</v>
      </c>
    </row>
    <row r="383" spans="1:21" ht="12" customHeight="1">
      <c r="M383" s="230"/>
      <c r="N383" s="230"/>
      <c r="O383" s="230"/>
      <c r="P383" s="230"/>
      <c r="Q383" s="230"/>
      <c r="R383" s="230"/>
      <c r="S383" s="230"/>
      <c r="T383" s="230"/>
      <c r="U383" s="230"/>
    </row>
    <row r="384" spans="1:21" s="1" customFormat="1" ht="12" customHeight="1">
      <c r="C384" s="176"/>
      <c r="D384" s="176"/>
      <c r="E384" s="1" t="s">
        <v>110</v>
      </c>
      <c r="J384" s="7"/>
      <c r="L384" s="177"/>
      <c r="M384" s="178"/>
      <c r="N384" s="178"/>
      <c r="O384" s="178"/>
      <c r="P384" s="178"/>
      <c r="Q384" s="178"/>
      <c r="R384" s="178"/>
      <c r="S384" s="178"/>
      <c r="T384" s="178"/>
      <c r="U384" s="178"/>
    </row>
    <row r="385" spans="1:21" ht="12" customHeight="1">
      <c r="A385" s="3" t="s">
        <v>40</v>
      </c>
      <c r="B385" s="3" t="s">
        <v>88</v>
      </c>
      <c r="D385" s="32">
        <v>45</v>
      </c>
      <c r="E385" s="3" t="s">
        <v>218</v>
      </c>
      <c r="F385" s="3">
        <v>2011</v>
      </c>
      <c r="G385" s="3">
        <v>11</v>
      </c>
      <c r="H385" s="3">
        <v>0</v>
      </c>
      <c r="I385" s="3" t="s">
        <v>52</v>
      </c>
      <c r="J385" s="175">
        <v>10</v>
      </c>
      <c r="K385" s="3">
        <f>F385+J385</f>
        <v>2021</v>
      </c>
      <c r="L385" s="172">
        <f>+K385+(G385/12)</f>
        <v>2021.9166666666667</v>
      </c>
      <c r="M385" s="230">
        <v>41807.25</v>
      </c>
      <c r="N385" s="230">
        <f>M385-M385*H385</f>
        <v>41807.25</v>
      </c>
      <c r="O385" s="230">
        <f>N385/J385/12</f>
        <v>348.39375000000001</v>
      </c>
      <c r="P385" s="230">
        <f>+O385*12</f>
        <v>4180.7250000000004</v>
      </c>
      <c r="Q385" s="230">
        <f>+IF(L385&lt;=$N$5,0,IF(K385&gt;$N$4,P385,(O385*G385)))</f>
        <v>4180.7250000000004</v>
      </c>
      <c r="R385" s="230"/>
      <c r="S385" s="230">
        <f>+IF(Q385=0,M385,IF($N$3-F385&lt;1,0,(($N$3-F385)*P385)))</f>
        <v>25084.350000000002</v>
      </c>
      <c r="T385" s="230">
        <f>+IF(Q385=0,S385,S385+Q385)</f>
        <v>29265.075000000004</v>
      </c>
      <c r="U385" s="230">
        <f>+IF(Q385=0,0,((M385-S385)+(M385-T385))/2)</f>
        <v>14632.537499999997</v>
      </c>
    </row>
    <row r="386" spans="1:21" ht="12" customHeight="1">
      <c r="C386" s="32">
        <v>198690</v>
      </c>
      <c r="D386" s="32">
        <v>50</v>
      </c>
      <c r="E386" s="3" t="s">
        <v>548</v>
      </c>
      <c r="F386" s="3">
        <v>2018</v>
      </c>
      <c r="G386" s="3">
        <v>5</v>
      </c>
      <c r="H386" s="3">
        <v>0</v>
      </c>
      <c r="I386" s="3" t="s">
        <v>52</v>
      </c>
      <c r="J386" s="175">
        <v>12</v>
      </c>
      <c r="K386" s="3">
        <f>F386+J386</f>
        <v>2030</v>
      </c>
      <c r="L386" s="172">
        <f>+K386+(G386/12)</f>
        <v>2030.4166666666667</v>
      </c>
      <c r="M386" s="230">
        <v>31389.09</v>
      </c>
      <c r="N386" s="230">
        <f>M386-M386*H386</f>
        <v>31389.09</v>
      </c>
      <c r="O386" s="230">
        <f>N386/J386/12</f>
        <v>217.97979166666667</v>
      </c>
      <c r="P386" s="230">
        <f>+O386*12</f>
        <v>2615.7575000000002</v>
      </c>
      <c r="Q386" s="230">
        <f>+IF(L386&lt;=$N$5,0,IF(K386&gt;$N$4,P386,(O386*G386)))</f>
        <v>2615.7575000000002</v>
      </c>
      <c r="R386" s="230"/>
      <c r="S386" s="230">
        <f>+IF(Q386=0,M386,IF($N$3-F386&lt;1,0,(($N$3-F386)*P386)))</f>
        <v>0</v>
      </c>
      <c r="T386" s="230">
        <f>+IF(Q386=0,S386,S386+Q386)</f>
        <v>2615.7575000000002</v>
      </c>
      <c r="U386" s="230">
        <f>+IF(Q386=0,0,((M386-S386)+(M386-T386))/2)</f>
        <v>30081.21125</v>
      </c>
    </row>
    <row r="387" spans="1:21" ht="12" customHeight="1">
      <c r="M387" s="230"/>
      <c r="N387" s="230"/>
      <c r="O387" s="230"/>
      <c r="P387" s="230"/>
      <c r="Q387" s="230"/>
      <c r="R387" s="230"/>
      <c r="S387" s="230"/>
      <c r="T387" s="230"/>
      <c r="U387" s="230"/>
    </row>
    <row r="388" spans="1:21" ht="12" customHeight="1">
      <c r="C388" s="181" t="s">
        <v>111</v>
      </c>
      <c r="D388" s="181">
        <f>SUM(D385:D385)</f>
        <v>45</v>
      </c>
      <c r="E388" s="169"/>
      <c r="F388" s="169"/>
      <c r="G388" s="169"/>
      <c r="H388" s="169"/>
      <c r="I388" s="169"/>
      <c r="J388" s="179"/>
      <c r="K388" s="169"/>
      <c r="L388" s="180"/>
      <c r="M388" s="171">
        <f t="shared" ref="M388:U388" si="83">SUM(M385:M387)</f>
        <v>73196.34</v>
      </c>
      <c r="N388" s="171">
        <f t="shared" si="83"/>
        <v>73196.34</v>
      </c>
      <c r="O388" s="171">
        <f t="shared" si="83"/>
        <v>566.37354166666671</v>
      </c>
      <c r="P388" s="171">
        <f t="shared" si="83"/>
        <v>6796.4825000000001</v>
      </c>
      <c r="Q388" s="171">
        <f t="shared" si="83"/>
        <v>6796.4825000000001</v>
      </c>
      <c r="R388" s="171">
        <f t="shared" si="83"/>
        <v>0</v>
      </c>
      <c r="S388" s="171">
        <f t="shared" si="83"/>
        <v>25084.350000000002</v>
      </c>
      <c r="T388" s="171">
        <f t="shared" si="83"/>
        <v>31880.832500000004</v>
      </c>
      <c r="U388" s="171">
        <f t="shared" si="83"/>
        <v>44713.748749999999</v>
      </c>
    </row>
    <row r="389" spans="1:21" ht="12" customHeight="1">
      <c r="M389" s="230"/>
      <c r="N389" s="230"/>
      <c r="O389" s="230"/>
      <c r="P389" s="230"/>
      <c r="Q389" s="230"/>
      <c r="R389" s="230"/>
      <c r="S389" s="230"/>
      <c r="T389" s="230"/>
      <c r="U389" s="230"/>
    </row>
    <row r="390" spans="1:21" ht="12" customHeight="1">
      <c r="M390" s="230"/>
      <c r="N390" s="230"/>
      <c r="O390" s="230"/>
      <c r="P390" s="230"/>
      <c r="Q390" s="230"/>
      <c r="R390" s="230"/>
      <c r="S390" s="230"/>
      <c r="T390" s="230"/>
      <c r="U390" s="230"/>
    </row>
    <row r="391" spans="1:21" s="1" customFormat="1" ht="12" customHeight="1">
      <c r="C391" s="176"/>
      <c r="D391" s="176"/>
      <c r="E391" s="1" t="s">
        <v>1034</v>
      </c>
      <c r="J391" s="7"/>
      <c r="L391" s="177"/>
      <c r="M391" s="178"/>
      <c r="N391" s="178"/>
      <c r="O391" s="178"/>
      <c r="P391" s="178"/>
      <c r="Q391" s="178"/>
      <c r="R391" s="178"/>
      <c r="S391" s="178"/>
      <c r="T391" s="178"/>
      <c r="U391" s="178"/>
    </row>
    <row r="392" spans="1:21" ht="12" customHeight="1">
      <c r="M392" s="230"/>
      <c r="N392" s="230"/>
      <c r="O392" s="230"/>
      <c r="P392" s="230"/>
      <c r="Q392" s="230"/>
      <c r="R392" s="230"/>
      <c r="S392" s="230"/>
      <c r="T392" s="230"/>
      <c r="U392" s="230"/>
    </row>
    <row r="393" spans="1:21" ht="12" customHeight="1">
      <c r="A393" s="3" t="s">
        <v>40</v>
      </c>
      <c r="C393" s="32" t="s">
        <v>92</v>
      </c>
      <c r="D393" s="32">
        <v>5907</v>
      </c>
      <c r="E393" s="3" t="s">
        <v>114</v>
      </c>
      <c r="F393" s="3">
        <v>2006</v>
      </c>
      <c r="G393" s="3">
        <v>1</v>
      </c>
      <c r="H393" s="3">
        <v>0</v>
      </c>
      <c r="I393" s="3" t="s">
        <v>52</v>
      </c>
      <c r="J393" s="175">
        <v>10</v>
      </c>
      <c r="K393" s="3">
        <f t="shared" ref="K393:K421" si="84">F393+J393</f>
        <v>2016</v>
      </c>
      <c r="L393" s="172">
        <f t="shared" ref="L393:L421" si="85">+K393+(G393/12)</f>
        <v>2016.0833333333333</v>
      </c>
      <c r="M393" s="230">
        <v>355945.21</v>
      </c>
      <c r="N393" s="230">
        <f t="shared" ref="N393:N421" si="86">M393-M393*H393</f>
        <v>355945.21</v>
      </c>
      <c r="O393" s="230">
        <f t="shared" ref="O393:O421" si="87">N393/J393/12</f>
        <v>2966.2100833333334</v>
      </c>
      <c r="P393" s="230">
        <f t="shared" ref="P393:P421" si="88">+O393*12</f>
        <v>35594.521000000001</v>
      </c>
      <c r="Q393" s="230">
        <f t="shared" ref="Q393:Q421" si="89">+IF(L393&lt;=$N$5,0,IF(K393&gt;$N$4,P393,(O393*G393)))</f>
        <v>0</v>
      </c>
      <c r="R393" s="230"/>
      <c r="S393" s="230">
        <f t="shared" ref="S393:S421" si="90">+IF(Q393=0,M393,IF($N$3-F393&lt;1,0,(($N$3-F393)*P393)))</f>
        <v>355945.21</v>
      </c>
      <c r="T393" s="230">
        <f t="shared" ref="T393:T421" si="91">+IF(Q393=0,S393,S393+Q393)</f>
        <v>355945.21</v>
      </c>
      <c r="U393" s="230">
        <f t="shared" ref="U393:U421" si="92">+IF(Q393=0,0,((M393-S393)+(M393-T393))/2)</f>
        <v>0</v>
      </c>
    </row>
    <row r="394" spans="1:21" ht="12" customHeight="1">
      <c r="A394" s="3" t="s">
        <v>40</v>
      </c>
      <c r="C394" s="32" t="s">
        <v>92</v>
      </c>
      <c r="D394" s="32">
        <f>2873-351</f>
        <v>2522</v>
      </c>
      <c r="E394" s="3" t="s">
        <v>112</v>
      </c>
      <c r="F394" s="3">
        <v>2006</v>
      </c>
      <c r="G394" s="3">
        <v>1</v>
      </c>
      <c r="H394" s="3">
        <v>0</v>
      </c>
      <c r="I394" s="3" t="s">
        <v>52</v>
      </c>
      <c r="J394" s="175">
        <v>10</v>
      </c>
      <c r="K394" s="3">
        <f t="shared" si="84"/>
        <v>2016</v>
      </c>
      <c r="L394" s="172">
        <f t="shared" si="85"/>
        <v>2016.0833333333333</v>
      </c>
      <c r="M394" s="230">
        <f>174333.25-21299</f>
        <v>153034.25</v>
      </c>
      <c r="N394" s="230">
        <f t="shared" si="86"/>
        <v>153034.25</v>
      </c>
      <c r="O394" s="230">
        <f t="shared" si="87"/>
        <v>1275.2854166666666</v>
      </c>
      <c r="P394" s="230">
        <f t="shared" si="88"/>
        <v>15303.424999999999</v>
      </c>
      <c r="Q394" s="230">
        <f t="shared" si="89"/>
        <v>0</v>
      </c>
      <c r="R394" s="230"/>
      <c r="S394" s="230">
        <f t="shared" si="90"/>
        <v>153034.25</v>
      </c>
      <c r="T394" s="230">
        <f t="shared" si="91"/>
        <v>153034.25</v>
      </c>
      <c r="U394" s="230">
        <f t="shared" si="92"/>
        <v>0</v>
      </c>
    </row>
    <row r="395" spans="1:21" ht="12" customHeight="1">
      <c r="A395" s="3" t="s">
        <v>40</v>
      </c>
      <c r="C395" s="32" t="s">
        <v>92</v>
      </c>
      <c r="D395" s="32">
        <v>580</v>
      </c>
      <c r="E395" s="3" t="s">
        <v>112</v>
      </c>
      <c r="F395" s="3">
        <v>2006</v>
      </c>
      <c r="G395" s="3">
        <v>10</v>
      </c>
      <c r="H395" s="3">
        <v>0</v>
      </c>
      <c r="I395" s="3" t="s">
        <v>52</v>
      </c>
      <c r="J395" s="175">
        <v>10</v>
      </c>
      <c r="K395" s="3">
        <f t="shared" si="84"/>
        <v>2016</v>
      </c>
      <c r="L395" s="172">
        <f t="shared" si="85"/>
        <v>2016.8333333333333</v>
      </c>
      <c r="M395" s="230">
        <v>34359.040000000001</v>
      </c>
      <c r="N395" s="230">
        <f t="shared" si="86"/>
        <v>34359.040000000001</v>
      </c>
      <c r="O395" s="230">
        <f t="shared" si="87"/>
        <v>286.32533333333333</v>
      </c>
      <c r="P395" s="230">
        <f t="shared" si="88"/>
        <v>3435.904</v>
      </c>
      <c r="Q395" s="230">
        <f t="shared" si="89"/>
        <v>0</v>
      </c>
      <c r="R395" s="230"/>
      <c r="S395" s="230">
        <f t="shared" si="90"/>
        <v>34359.040000000001</v>
      </c>
      <c r="T395" s="230">
        <f t="shared" si="91"/>
        <v>34359.040000000001</v>
      </c>
      <c r="U395" s="230">
        <f t="shared" si="92"/>
        <v>0</v>
      </c>
    </row>
    <row r="396" spans="1:21" ht="12" customHeight="1">
      <c r="A396" s="3" t="s">
        <v>40</v>
      </c>
      <c r="C396" s="32" t="s">
        <v>92</v>
      </c>
      <c r="D396" s="32">
        <v>300</v>
      </c>
      <c r="E396" s="3" t="s">
        <v>112</v>
      </c>
      <c r="F396" s="3">
        <v>2006</v>
      </c>
      <c r="G396" s="3">
        <v>11</v>
      </c>
      <c r="H396" s="3">
        <v>0</v>
      </c>
      <c r="I396" s="3" t="s">
        <v>52</v>
      </c>
      <c r="J396" s="175">
        <v>10</v>
      </c>
      <c r="K396" s="3">
        <f t="shared" si="84"/>
        <v>2016</v>
      </c>
      <c r="L396" s="172">
        <f t="shared" si="85"/>
        <v>2016.9166666666667</v>
      </c>
      <c r="M396" s="230">
        <v>18278.400000000001</v>
      </c>
      <c r="N396" s="230">
        <f t="shared" si="86"/>
        <v>18278.400000000001</v>
      </c>
      <c r="O396" s="230">
        <f t="shared" si="87"/>
        <v>152.32000000000002</v>
      </c>
      <c r="P396" s="230">
        <f t="shared" si="88"/>
        <v>1827.8400000000001</v>
      </c>
      <c r="Q396" s="230">
        <f t="shared" si="89"/>
        <v>0</v>
      </c>
      <c r="R396" s="230"/>
      <c r="S396" s="230">
        <f t="shared" si="90"/>
        <v>18278.400000000001</v>
      </c>
      <c r="T396" s="230">
        <f t="shared" si="91"/>
        <v>18278.400000000001</v>
      </c>
      <c r="U396" s="230">
        <f t="shared" si="92"/>
        <v>0</v>
      </c>
    </row>
    <row r="397" spans="1:21" ht="12" customHeight="1">
      <c r="A397" s="3" t="s">
        <v>415</v>
      </c>
      <c r="C397" s="32">
        <v>173234</v>
      </c>
      <c r="D397" s="32">
        <f>182-16</f>
        <v>166</v>
      </c>
      <c r="E397" s="3" t="s">
        <v>112</v>
      </c>
      <c r="F397" s="3">
        <v>2006</v>
      </c>
      <c r="G397" s="3">
        <v>7</v>
      </c>
      <c r="H397" s="3">
        <v>0</v>
      </c>
      <c r="I397" s="3" t="s">
        <v>52</v>
      </c>
      <c r="J397" s="175">
        <v>10</v>
      </c>
      <c r="K397" s="3">
        <f t="shared" si="84"/>
        <v>2016</v>
      </c>
      <c r="L397" s="172">
        <f t="shared" si="85"/>
        <v>2016.5833333333333</v>
      </c>
      <c r="M397" s="230">
        <v>10909</v>
      </c>
      <c r="N397" s="230">
        <f t="shared" si="86"/>
        <v>10909</v>
      </c>
      <c r="O397" s="230">
        <f t="shared" si="87"/>
        <v>90.908333333333346</v>
      </c>
      <c r="P397" s="230">
        <f t="shared" si="88"/>
        <v>1090.9000000000001</v>
      </c>
      <c r="Q397" s="230">
        <f t="shared" si="89"/>
        <v>0</v>
      </c>
      <c r="R397" s="230"/>
      <c r="S397" s="230">
        <f t="shared" si="90"/>
        <v>10909</v>
      </c>
      <c r="T397" s="230">
        <f t="shared" si="91"/>
        <v>10909</v>
      </c>
      <c r="U397" s="230">
        <f t="shared" si="92"/>
        <v>0</v>
      </c>
    </row>
    <row r="398" spans="1:21" ht="12" customHeight="1">
      <c r="A398" s="3" t="s">
        <v>415</v>
      </c>
      <c r="C398" s="32" t="s">
        <v>501</v>
      </c>
      <c r="D398" s="32">
        <v>255</v>
      </c>
      <c r="E398" s="3" t="s">
        <v>113</v>
      </c>
      <c r="F398" s="3">
        <v>2006</v>
      </c>
      <c r="G398" s="3">
        <v>7</v>
      </c>
      <c r="H398" s="3">
        <v>0</v>
      </c>
      <c r="I398" s="3" t="s">
        <v>52</v>
      </c>
      <c r="J398" s="175">
        <v>10</v>
      </c>
      <c r="K398" s="3">
        <f t="shared" si="84"/>
        <v>2016</v>
      </c>
      <c r="L398" s="172">
        <f t="shared" si="85"/>
        <v>2016.5833333333333</v>
      </c>
      <c r="M398" s="230">
        <v>14222</v>
      </c>
      <c r="N398" s="230">
        <f t="shared" si="86"/>
        <v>14222</v>
      </c>
      <c r="O398" s="230">
        <f t="shared" si="87"/>
        <v>118.51666666666667</v>
      </c>
      <c r="P398" s="230">
        <f t="shared" si="88"/>
        <v>1422.2</v>
      </c>
      <c r="Q398" s="230">
        <f t="shared" si="89"/>
        <v>0</v>
      </c>
      <c r="R398" s="230"/>
      <c r="S398" s="230">
        <f t="shared" si="90"/>
        <v>14222</v>
      </c>
      <c r="T398" s="230">
        <f t="shared" si="91"/>
        <v>14222</v>
      </c>
      <c r="U398" s="230">
        <f t="shared" si="92"/>
        <v>0</v>
      </c>
    </row>
    <row r="399" spans="1:21" ht="12" customHeight="1">
      <c r="A399" s="3" t="s">
        <v>415</v>
      </c>
      <c r="C399" s="32">
        <v>173232</v>
      </c>
      <c r="D399" s="32">
        <v>588</v>
      </c>
      <c r="E399" s="3" t="s">
        <v>599</v>
      </c>
      <c r="F399" s="3">
        <v>2006</v>
      </c>
      <c r="G399" s="3">
        <v>7</v>
      </c>
      <c r="H399" s="3">
        <v>0</v>
      </c>
      <c r="I399" s="3" t="s">
        <v>52</v>
      </c>
      <c r="J399" s="175">
        <v>7</v>
      </c>
      <c r="K399" s="3">
        <f t="shared" si="84"/>
        <v>2013</v>
      </c>
      <c r="L399" s="172">
        <f t="shared" si="85"/>
        <v>2013.5833333333333</v>
      </c>
      <c r="M399" s="230">
        <v>35558.019999999997</v>
      </c>
      <c r="N399" s="230">
        <f t="shared" si="86"/>
        <v>35558.019999999997</v>
      </c>
      <c r="O399" s="230">
        <f t="shared" si="87"/>
        <v>423.3097619047619</v>
      </c>
      <c r="P399" s="230">
        <f t="shared" si="88"/>
        <v>5079.7171428571428</v>
      </c>
      <c r="Q399" s="230">
        <f t="shared" si="89"/>
        <v>0</v>
      </c>
      <c r="R399" s="230"/>
      <c r="S399" s="230">
        <f t="shared" si="90"/>
        <v>35558.019999999997</v>
      </c>
      <c r="T399" s="230">
        <f t="shared" si="91"/>
        <v>35558.019999999997</v>
      </c>
      <c r="U399" s="230">
        <f t="shared" si="92"/>
        <v>0</v>
      </c>
    </row>
    <row r="400" spans="1:21" ht="12" customHeight="1">
      <c r="A400" s="3" t="s">
        <v>415</v>
      </c>
      <c r="C400" s="32">
        <v>173242</v>
      </c>
      <c r="D400" s="32">
        <v>486</v>
      </c>
      <c r="E400" s="3" t="s">
        <v>599</v>
      </c>
      <c r="F400" s="3">
        <v>2007</v>
      </c>
      <c r="G400" s="3">
        <v>6</v>
      </c>
      <c r="H400" s="3">
        <v>0</v>
      </c>
      <c r="I400" s="3" t="s">
        <v>52</v>
      </c>
      <c r="J400" s="175">
        <v>7</v>
      </c>
      <c r="K400" s="3">
        <f t="shared" si="84"/>
        <v>2014</v>
      </c>
      <c r="L400" s="172">
        <f t="shared" si="85"/>
        <v>2014.5</v>
      </c>
      <c r="M400" s="230">
        <v>26258.62</v>
      </c>
      <c r="N400" s="230">
        <f t="shared" si="86"/>
        <v>26258.62</v>
      </c>
      <c r="O400" s="230">
        <f t="shared" si="87"/>
        <v>312.60261904761904</v>
      </c>
      <c r="P400" s="230">
        <f t="shared" si="88"/>
        <v>3751.2314285714283</v>
      </c>
      <c r="Q400" s="230">
        <f t="shared" si="89"/>
        <v>0</v>
      </c>
      <c r="R400" s="230"/>
      <c r="S400" s="230">
        <f t="shared" si="90"/>
        <v>26258.62</v>
      </c>
      <c r="T400" s="230">
        <f t="shared" si="91"/>
        <v>26258.62</v>
      </c>
      <c r="U400" s="230">
        <f t="shared" si="92"/>
        <v>0</v>
      </c>
    </row>
    <row r="401" spans="1:21" ht="12" customHeight="1">
      <c r="A401" s="3" t="s">
        <v>415</v>
      </c>
      <c r="C401" s="32">
        <v>173241</v>
      </c>
      <c r="D401" s="32">
        <v>486</v>
      </c>
      <c r="E401" s="3" t="s">
        <v>599</v>
      </c>
      <c r="F401" s="3">
        <v>2007</v>
      </c>
      <c r="G401" s="3">
        <v>6</v>
      </c>
      <c r="H401" s="3">
        <v>0</v>
      </c>
      <c r="I401" s="3" t="s">
        <v>52</v>
      </c>
      <c r="J401" s="175">
        <v>7</v>
      </c>
      <c r="K401" s="3">
        <f t="shared" si="84"/>
        <v>2014</v>
      </c>
      <c r="L401" s="172">
        <f t="shared" si="85"/>
        <v>2014.5</v>
      </c>
      <c r="M401" s="230">
        <v>26258.62</v>
      </c>
      <c r="N401" s="230">
        <f t="shared" si="86"/>
        <v>26258.62</v>
      </c>
      <c r="O401" s="230">
        <f t="shared" si="87"/>
        <v>312.60261904761904</v>
      </c>
      <c r="P401" s="230">
        <f t="shared" si="88"/>
        <v>3751.2314285714283</v>
      </c>
      <c r="Q401" s="230">
        <f t="shared" si="89"/>
        <v>0</v>
      </c>
      <c r="R401" s="230"/>
      <c r="S401" s="230">
        <f t="shared" si="90"/>
        <v>26258.62</v>
      </c>
      <c r="T401" s="230">
        <f t="shared" si="91"/>
        <v>26258.62</v>
      </c>
      <c r="U401" s="230">
        <f t="shared" si="92"/>
        <v>0</v>
      </c>
    </row>
    <row r="402" spans="1:21" ht="12" customHeight="1">
      <c r="A402" s="3" t="s">
        <v>40</v>
      </c>
      <c r="C402" s="32" t="s">
        <v>92</v>
      </c>
      <c r="D402" s="32">
        <v>588</v>
      </c>
      <c r="E402" s="3" t="s">
        <v>112</v>
      </c>
      <c r="F402" s="3">
        <v>2007</v>
      </c>
      <c r="G402" s="3">
        <v>2</v>
      </c>
      <c r="H402" s="3">
        <v>0</v>
      </c>
      <c r="I402" s="3" t="s">
        <v>52</v>
      </c>
      <c r="J402" s="175">
        <v>10</v>
      </c>
      <c r="K402" s="3">
        <f t="shared" si="84"/>
        <v>2017</v>
      </c>
      <c r="L402" s="172">
        <f t="shared" si="85"/>
        <v>2017.1666666666667</v>
      </c>
      <c r="M402" s="230">
        <v>35020.54</v>
      </c>
      <c r="N402" s="230">
        <f t="shared" si="86"/>
        <v>35020.54</v>
      </c>
      <c r="O402" s="230">
        <f t="shared" si="87"/>
        <v>291.83783333333332</v>
      </c>
      <c r="P402" s="230">
        <f t="shared" si="88"/>
        <v>3502.0540000000001</v>
      </c>
      <c r="Q402" s="230">
        <f t="shared" si="89"/>
        <v>0</v>
      </c>
      <c r="R402" s="230"/>
      <c r="S402" s="230">
        <f t="shared" si="90"/>
        <v>35020.54</v>
      </c>
      <c r="T402" s="230">
        <f t="shared" si="91"/>
        <v>35020.54</v>
      </c>
      <c r="U402" s="230">
        <f t="shared" si="92"/>
        <v>0</v>
      </c>
    </row>
    <row r="403" spans="1:21" ht="12" customHeight="1">
      <c r="A403" s="3" t="s">
        <v>40</v>
      </c>
      <c r="C403" s="32" t="s">
        <v>92</v>
      </c>
      <c r="D403" s="32">
        <v>588</v>
      </c>
      <c r="E403" s="3" t="s">
        <v>112</v>
      </c>
      <c r="F403" s="3">
        <v>2007</v>
      </c>
      <c r="G403" s="3">
        <v>3</v>
      </c>
      <c r="H403" s="3">
        <v>0</v>
      </c>
      <c r="I403" s="3" t="s">
        <v>52</v>
      </c>
      <c r="J403" s="175">
        <v>10</v>
      </c>
      <c r="K403" s="3">
        <f t="shared" si="84"/>
        <v>2017</v>
      </c>
      <c r="L403" s="172">
        <f t="shared" si="85"/>
        <v>2017.25</v>
      </c>
      <c r="M403" s="230">
        <f>33421.18+1599.36</f>
        <v>35020.54</v>
      </c>
      <c r="N403" s="230">
        <f t="shared" si="86"/>
        <v>35020.54</v>
      </c>
      <c r="O403" s="230">
        <f t="shared" si="87"/>
        <v>291.83783333333332</v>
      </c>
      <c r="P403" s="230">
        <f t="shared" si="88"/>
        <v>3502.0540000000001</v>
      </c>
      <c r="Q403" s="230">
        <f t="shared" si="89"/>
        <v>0</v>
      </c>
      <c r="R403" s="230"/>
      <c r="S403" s="230">
        <f t="shared" si="90"/>
        <v>35020.54</v>
      </c>
      <c r="T403" s="230">
        <f t="shared" si="91"/>
        <v>35020.54</v>
      </c>
      <c r="U403" s="230">
        <f t="shared" si="92"/>
        <v>0</v>
      </c>
    </row>
    <row r="404" spans="1:21" ht="12" customHeight="1">
      <c r="A404" s="3" t="s">
        <v>40</v>
      </c>
      <c r="C404" s="32" t="s">
        <v>92</v>
      </c>
      <c r="D404" s="32">
        <v>486</v>
      </c>
      <c r="E404" s="3" t="s">
        <v>112</v>
      </c>
      <c r="F404" s="3">
        <v>2008</v>
      </c>
      <c r="G404" s="3">
        <v>3</v>
      </c>
      <c r="H404" s="3">
        <v>0</v>
      </c>
      <c r="I404" s="3" t="s">
        <v>52</v>
      </c>
      <c r="J404" s="175">
        <v>10</v>
      </c>
      <c r="K404" s="3">
        <f t="shared" si="84"/>
        <v>2018</v>
      </c>
      <c r="L404" s="172">
        <f t="shared" si="85"/>
        <v>2018.25</v>
      </c>
      <c r="M404" s="230">
        <v>29457.67</v>
      </c>
      <c r="N404" s="230">
        <f t="shared" si="86"/>
        <v>29457.67</v>
      </c>
      <c r="O404" s="230">
        <f t="shared" si="87"/>
        <v>245.48058333333333</v>
      </c>
      <c r="P404" s="230">
        <f t="shared" si="88"/>
        <v>2945.7669999999998</v>
      </c>
      <c r="Q404" s="230">
        <f t="shared" si="89"/>
        <v>0</v>
      </c>
      <c r="R404" s="230"/>
      <c r="S404" s="230">
        <f t="shared" si="90"/>
        <v>29457.67</v>
      </c>
      <c r="T404" s="230">
        <f t="shared" si="91"/>
        <v>29457.67</v>
      </c>
      <c r="U404" s="230">
        <f t="shared" si="92"/>
        <v>0</v>
      </c>
    </row>
    <row r="405" spans="1:21" ht="12" customHeight="1">
      <c r="A405" s="3" t="s">
        <v>40</v>
      </c>
      <c r="C405" s="32" t="s">
        <v>92</v>
      </c>
      <c r="D405" s="32">
        <v>1248</v>
      </c>
      <c r="E405" s="3" t="s">
        <v>112</v>
      </c>
      <c r="F405" s="3">
        <v>2008</v>
      </c>
      <c r="G405" s="3">
        <v>9</v>
      </c>
      <c r="H405" s="3">
        <v>0</v>
      </c>
      <c r="I405" s="3" t="s">
        <v>52</v>
      </c>
      <c r="J405" s="175">
        <v>10</v>
      </c>
      <c r="K405" s="3">
        <f t="shared" si="84"/>
        <v>2018</v>
      </c>
      <c r="L405" s="172">
        <f t="shared" si="85"/>
        <v>2018.75</v>
      </c>
      <c r="M405" s="230">
        <f>39442.87+39442.87</f>
        <v>78885.740000000005</v>
      </c>
      <c r="N405" s="230">
        <f t="shared" si="86"/>
        <v>78885.740000000005</v>
      </c>
      <c r="O405" s="230">
        <f t="shared" si="87"/>
        <v>657.38116666666667</v>
      </c>
      <c r="P405" s="230">
        <f t="shared" si="88"/>
        <v>7888.5740000000005</v>
      </c>
      <c r="Q405" s="230">
        <f t="shared" si="89"/>
        <v>0</v>
      </c>
      <c r="R405" s="230"/>
      <c r="S405" s="230">
        <f t="shared" si="90"/>
        <v>78885.740000000005</v>
      </c>
      <c r="T405" s="230">
        <f t="shared" si="91"/>
        <v>78885.740000000005</v>
      </c>
      <c r="U405" s="230">
        <f t="shared" si="92"/>
        <v>0</v>
      </c>
    </row>
    <row r="406" spans="1:21" ht="12" customHeight="1">
      <c r="A406" s="3" t="s">
        <v>40</v>
      </c>
      <c r="C406" s="32" t="s">
        <v>92</v>
      </c>
      <c r="D406" s="32">
        <v>624</v>
      </c>
      <c r="E406" s="3" t="s">
        <v>112</v>
      </c>
      <c r="F406" s="3">
        <v>2009</v>
      </c>
      <c r="G406" s="3">
        <v>9</v>
      </c>
      <c r="H406" s="3">
        <v>0</v>
      </c>
      <c r="I406" s="3" t="s">
        <v>52</v>
      </c>
      <c r="J406" s="175">
        <v>10</v>
      </c>
      <c r="K406" s="3">
        <f t="shared" si="84"/>
        <v>2019</v>
      </c>
      <c r="L406" s="172">
        <f t="shared" si="85"/>
        <v>2019.75</v>
      </c>
      <c r="M406" s="230">
        <v>30038.7</v>
      </c>
      <c r="N406" s="230">
        <f t="shared" si="86"/>
        <v>30038.7</v>
      </c>
      <c r="O406" s="230">
        <f t="shared" si="87"/>
        <v>250.32249999999999</v>
      </c>
      <c r="P406" s="230">
        <f t="shared" si="88"/>
        <v>3003.87</v>
      </c>
      <c r="Q406" s="230">
        <f t="shared" si="89"/>
        <v>3003.87</v>
      </c>
      <c r="R406" s="230"/>
      <c r="S406" s="230">
        <f t="shared" si="90"/>
        <v>24030.959999999999</v>
      </c>
      <c r="T406" s="230">
        <f t="shared" si="91"/>
        <v>27034.829999999998</v>
      </c>
      <c r="U406" s="230">
        <f t="shared" si="92"/>
        <v>4505.8050000000021</v>
      </c>
    </row>
    <row r="407" spans="1:21" ht="12" customHeight="1">
      <c r="A407" s="3" t="s">
        <v>40</v>
      </c>
      <c r="C407" s="32" t="s">
        <v>92</v>
      </c>
      <c r="D407" s="32">
        <v>624</v>
      </c>
      <c r="E407" s="3" t="s">
        <v>112</v>
      </c>
      <c r="F407" s="3">
        <v>2009</v>
      </c>
      <c r="G407" s="3">
        <v>11</v>
      </c>
      <c r="H407" s="3">
        <v>0</v>
      </c>
      <c r="I407" s="3" t="s">
        <v>52</v>
      </c>
      <c r="J407" s="175">
        <v>10</v>
      </c>
      <c r="K407" s="3">
        <f t="shared" si="84"/>
        <v>2019</v>
      </c>
      <c r="L407" s="172">
        <f t="shared" si="85"/>
        <v>2019.9166666666667</v>
      </c>
      <c r="M407" s="230">
        <v>30038.7</v>
      </c>
      <c r="N407" s="230">
        <f t="shared" si="86"/>
        <v>30038.7</v>
      </c>
      <c r="O407" s="230">
        <f t="shared" si="87"/>
        <v>250.32249999999999</v>
      </c>
      <c r="P407" s="230">
        <f t="shared" si="88"/>
        <v>3003.87</v>
      </c>
      <c r="Q407" s="230">
        <f t="shared" si="89"/>
        <v>3003.87</v>
      </c>
      <c r="R407" s="230"/>
      <c r="S407" s="230">
        <f t="shared" si="90"/>
        <v>24030.959999999999</v>
      </c>
      <c r="T407" s="230">
        <f t="shared" si="91"/>
        <v>27034.829999999998</v>
      </c>
      <c r="U407" s="230">
        <f t="shared" si="92"/>
        <v>4505.8050000000021</v>
      </c>
    </row>
    <row r="408" spans="1:21" ht="12" customHeight="1">
      <c r="A408" s="3" t="s">
        <v>415</v>
      </c>
      <c r="C408" s="32">
        <v>173270</v>
      </c>
      <c r="D408" s="32">
        <v>486</v>
      </c>
      <c r="E408" s="3" t="s">
        <v>112</v>
      </c>
      <c r="F408" s="3">
        <v>2009</v>
      </c>
      <c r="G408" s="3">
        <v>6</v>
      </c>
      <c r="H408" s="3">
        <v>0</v>
      </c>
      <c r="I408" s="3" t="s">
        <v>52</v>
      </c>
      <c r="J408" s="175">
        <v>10</v>
      </c>
      <c r="K408" s="3">
        <f t="shared" si="84"/>
        <v>2019</v>
      </c>
      <c r="L408" s="172">
        <f t="shared" si="85"/>
        <v>2019.5</v>
      </c>
      <c r="M408" s="230">
        <v>23659.56</v>
      </c>
      <c r="N408" s="230">
        <f t="shared" si="86"/>
        <v>23659.56</v>
      </c>
      <c r="O408" s="230">
        <f t="shared" si="87"/>
        <v>197.16300000000001</v>
      </c>
      <c r="P408" s="230">
        <f t="shared" si="88"/>
        <v>2365.9560000000001</v>
      </c>
      <c r="Q408" s="230">
        <f t="shared" si="89"/>
        <v>2365.9560000000001</v>
      </c>
      <c r="R408" s="230"/>
      <c r="S408" s="230">
        <f t="shared" si="90"/>
        <v>18927.648000000001</v>
      </c>
      <c r="T408" s="230">
        <f t="shared" si="91"/>
        <v>21293.603999999999</v>
      </c>
      <c r="U408" s="230">
        <f t="shared" si="92"/>
        <v>3548.9340000000011</v>
      </c>
    </row>
    <row r="409" spans="1:21" ht="12" customHeight="1">
      <c r="A409" s="3" t="s">
        <v>40</v>
      </c>
      <c r="C409" s="32" t="s">
        <v>92</v>
      </c>
      <c r="D409" s="32">
        <v>486</v>
      </c>
      <c r="E409" s="3" t="s">
        <v>190</v>
      </c>
      <c r="F409" s="3">
        <v>2010</v>
      </c>
      <c r="G409" s="3">
        <v>5</v>
      </c>
      <c r="H409" s="3">
        <v>0</v>
      </c>
      <c r="I409" s="3" t="s">
        <v>52</v>
      </c>
      <c r="J409" s="175">
        <v>10</v>
      </c>
      <c r="K409" s="3">
        <f t="shared" si="84"/>
        <v>2020</v>
      </c>
      <c r="L409" s="172">
        <f t="shared" si="85"/>
        <v>2020.4166666666667</v>
      </c>
      <c r="M409" s="230">
        <v>25141.599999999999</v>
      </c>
      <c r="N409" s="230">
        <f t="shared" si="86"/>
        <v>25141.599999999999</v>
      </c>
      <c r="O409" s="230">
        <f t="shared" si="87"/>
        <v>209.51333333333332</v>
      </c>
      <c r="P409" s="230">
        <f t="shared" si="88"/>
        <v>2514.16</v>
      </c>
      <c r="Q409" s="230">
        <f t="shared" si="89"/>
        <v>2514.16</v>
      </c>
      <c r="R409" s="230"/>
      <c r="S409" s="230">
        <f t="shared" si="90"/>
        <v>17599.12</v>
      </c>
      <c r="T409" s="230">
        <f t="shared" si="91"/>
        <v>20113.28</v>
      </c>
      <c r="U409" s="230">
        <f t="shared" si="92"/>
        <v>6285.4</v>
      </c>
    </row>
    <row r="410" spans="1:21" ht="12" customHeight="1">
      <c r="A410" s="3" t="s">
        <v>415</v>
      </c>
      <c r="C410" s="32" t="s">
        <v>506</v>
      </c>
      <c r="D410" s="32">
        <f>486+486</f>
        <v>972</v>
      </c>
      <c r="E410" s="3" t="s">
        <v>112</v>
      </c>
      <c r="F410" s="3">
        <v>2010</v>
      </c>
      <c r="G410" s="3">
        <v>11</v>
      </c>
      <c r="H410" s="3">
        <v>0</v>
      </c>
      <c r="I410" s="3" t="s">
        <v>52</v>
      </c>
      <c r="J410" s="175">
        <v>10</v>
      </c>
      <c r="K410" s="3">
        <f t="shared" si="84"/>
        <v>2020</v>
      </c>
      <c r="L410" s="172">
        <f t="shared" si="85"/>
        <v>2020.9166666666667</v>
      </c>
      <c r="M410" s="230">
        <f>23340.85+23340.85</f>
        <v>46681.7</v>
      </c>
      <c r="N410" s="230">
        <f t="shared" si="86"/>
        <v>46681.7</v>
      </c>
      <c r="O410" s="230">
        <f t="shared" si="87"/>
        <v>389.01416666666665</v>
      </c>
      <c r="P410" s="230">
        <f t="shared" si="88"/>
        <v>4668.17</v>
      </c>
      <c r="Q410" s="230">
        <f t="shared" si="89"/>
        <v>4668.17</v>
      </c>
      <c r="R410" s="230"/>
      <c r="S410" s="230">
        <f t="shared" si="90"/>
        <v>32677.190000000002</v>
      </c>
      <c r="T410" s="230">
        <f t="shared" si="91"/>
        <v>37345.360000000001</v>
      </c>
      <c r="U410" s="230">
        <f t="shared" si="92"/>
        <v>11670.424999999996</v>
      </c>
    </row>
    <row r="411" spans="1:21" ht="12" customHeight="1">
      <c r="A411" s="3" t="s">
        <v>40</v>
      </c>
      <c r="C411" s="32" t="s">
        <v>92</v>
      </c>
      <c r="D411" s="32">
        <v>243</v>
      </c>
      <c r="E411" s="3" t="s">
        <v>191</v>
      </c>
      <c r="F411" s="3">
        <v>2011</v>
      </c>
      <c r="G411" s="3">
        <v>7</v>
      </c>
      <c r="H411" s="3">
        <v>0</v>
      </c>
      <c r="I411" s="3" t="s">
        <v>52</v>
      </c>
      <c r="J411" s="175">
        <v>10</v>
      </c>
      <c r="K411" s="3">
        <f t="shared" si="84"/>
        <v>2021</v>
      </c>
      <c r="L411" s="172">
        <f t="shared" si="85"/>
        <v>2021.5833333333333</v>
      </c>
      <c r="M411" s="230">
        <v>13341.05</v>
      </c>
      <c r="N411" s="230">
        <f t="shared" si="86"/>
        <v>13341.05</v>
      </c>
      <c r="O411" s="230">
        <f t="shared" si="87"/>
        <v>111.17541666666666</v>
      </c>
      <c r="P411" s="230">
        <f t="shared" si="88"/>
        <v>1334.105</v>
      </c>
      <c r="Q411" s="230">
        <f t="shared" si="89"/>
        <v>1334.105</v>
      </c>
      <c r="R411" s="230"/>
      <c r="S411" s="230">
        <f t="shared" si="90"/>
        <v>8004.63</v>
      </c>
      <c r="T411" s="230">
        <f t="shared" si="91"/>
        <v>9338.7350000000006</v>
      </c>
      <c r="U411" s="230">
        <f t="shared" si="92"/>
        <v>4669.3674999999985</v>
      </c>
    </row>
    <row r="412" spans="1:21" ht="12" customHeight="1">
      <c r="A412" s="3" t="s">
        <v>415</v>
      </c>
      <c r="C412" s="32">
        <v>173283</v>
      </c>
      <c r="D412" s="32">
        <v>624</v>
      </c>
      <c r="E412" s="3" t="s">
        <v>112</v>
      </c>
      <c r="F412" s="3">
        <v>2011</v>
      </c>
      <c r="G412" s="3">
        <v>4</v>
      </c>
      <c r="H412" s="3">
        <v>0</v>
      </c>
      <c r="I412" s="3" t="s">
        <v>52</v>
      </c>
      <c r="J412" s="175">
        <v>10</v>
      </c>
      <c r="K412" s="3">
        <f t="shared" si="84"/>
        <v>2021</v>
      </c>
      <c r="L412" s="172">
        <f t="shared" si="85"/>
        <v>2021.3333333333333</v>
      </c>
      <c r="M412" s="230">
        <v>32802.68</v>
      </c>
      <c r="N412" s="230">
        <f t="shared" si="86"/>
        <v>32802.68</v>
      </c>
      <c r="O412" s="230">
        <f t="shared" si="87"/>
        <v>273.35566666666665</v>
      </c>
      <c r="P412" s="230">
        <f t="shared" si="88"/>
        <v>3280.268</v>
      </c>
      <c r="Q412" s="230">
        <f t="shared" si="89"/>
        <v>3280.268</v>
      </c>
      <c r="R412" s="230"/>
      <c r="S412" s="230">
        <f t="shared" si="90"/>
        <v>19681.608</v>
      </c>
      <c r="T412" s="230">
        <f t="shared" si="91"/>
        <v>22961.876</v>
      </c>
      <c r="U412" s="230">
        <f t="shared" si="92"/>
        <v>11480.938</v>
      </c>
    </row>
    <row r="413" spans="1:21" ht="12" customHeight="1">
      <c r="A413" s="3" t="s">
        <v>40</v>
      </c>
      <c r="C413" s="32" t="s">
        <v>92</v>
      </c>
      <c r="D413" s="32">
        <v>486</v>
      </c>
      <c r="E413" s="3" t="s">
        <v>191</v>
      </c>
      <c r="F413" s="3">
        <v>2012</v>
      </c>
      <c r="G413" s="3">
        <v>7</v>
      </c>
      <c r="H413" s="3">
        <v>0</v>
      </c>
      <c r="I413" s="3" t="s">
        <v>52</v>
      </c>
      <c r="J413" s="175">
        <v>10</v>
      </c>
      <c r="K413" s="3">
        <f t="shared" si="84"/>
        <v>2022</v>
      </c>
      <c r="L413" s="172">
        <f t="shared" si="85"/>
        <v>2022.5833333333333</v>
      </c>
      <c r="M413" s="230">
        <v>25365.119999999999</v>
      </c>
      <c r="N413" s="230">
        <f t="shared" si="86"/>
        <v>25365.119999999999</v>
      </c>
      <c r="O413" s="230">
        <f t="shared" si="87"/>
        <v>211.37599999999998</v>
      </c>
      <c r="P413" s="230">
        <f t="shared" si="88"/>
        <v>2536.5119999999997</v>
      </c>
      <c r="Q413" s="230">
        <f t="shared" si="89"/>
        <v>2536.5119999999997</v>
      </c>
      <c r="R413" s="230"/>
      <c r="S413" s="230">
        <f t="shared" si="90"/>
        <v>12682.559999999998</v>
      </c>
      <c r="T413" s="230">
        <f t="shared" si="91"/>
        <v>15219.071999999996</v>
      </c>
      <c r="U413" s="230">
        <f t="shared" si="92"/>
        <v>11414.304000000002</v>
      </c>
    </row>
    <row r="414" spans="1:21" ht="12" customHeight="1">
      <c r="A414" s="3" t="s">
        <v>415</v>
      </c>
      <c r="C414" s="32">
        <v>173289</v>
      </c>
      <c r="D414" s="32">
        <v>486</v>
      </c>
      <c r="E414" s="3" t="s">
        <v>112</v>
      </c>
      <c r="F414" s="3">
        <v>2012</v>
      </c>
      <c r="G414" s="3">
        <v>9</v>
      </c>
      <c r="H414" s="3">
        <v>0</v>
      </c>
      <c r="I414" s="3" t="s">
        <v>52</v>
      </c>
      <c r="J414" s="175">
        <v>10</v>
      </c>
      <c r="K414" s="3">
        <f t="shared" si="84"/>
        <v>2022</v>
      </c>
      <c r="L414" s="172">
        <f t="shared" si="85"/>
        <v>2022.75</v>
      </c>
      <c r="M414" s="230">
        <v>25116.76</v>
      </c>
      <c r="N414" s="230">
        <f t="shared" si="86"/>
        <v>25116.76</v>
      </c>
      <c r="O414" s="230">
        <f t="shared" si="87"/>
        <v>209.30633333333333</v>
      </c>
      <c r="P414" s="230">
        <f t="shared" si="88"/>
        <v>2511.6759999999999</v>
      </c>
      <c r="Q414" s="230">
        <f t="shared" si="89"/>
        <v>2511.6759999999999</v>
      </c>
      <c r="R414" s="230"/>
      <c r="S414" s="230">
        <f t="shared" si="90"/>
        <v>12558.38</v>
      </c>
      <c r="T414" s="230">
        <f t="shared" si="91"/>
        <v>15070.055999999999</v>
      </c>
      <c r="U414" s="230">
        <f t="shared" si="92"/>
        <v>11302.541999999999</v>
      </c>
    </row>
    <row r="415" spans="1:21" ht="12" customHeight="1">
      <c r="A415" s="3" t="s">
        <v>40</v>
      </c>
      <c r="C415" s="32" t="s">
        <v>92</v>
      </c>
      <c r="D415" s="32">
        <v>312</v>
      </c>
      <c r="E415" s="3" t="s">
        <v>297</v>
      </c>
      <c r="F415" s="3">
        <v>2013</v>
      </c>
      <c r="G415" s="3">
        <v>10</v>
      </c>
      <c r="H415" s="3">
        <v>0</v>
      </c>
      <c r="I415" s="3" t="s">
        <v>52</v>
      </c>
      <c r="J415" s="175">
        <v>10</v>
      </c>
      <c r="K415" s="3">
        <f t="shared" si="84"/>
        <v>2023</v>
      </c>
      <c r="L415" s="172">
        <f t="shared" si="85"/>
        <v>2023.8333333333333</v>
      </c>
      <c r="M415" s="230">
        <v>17116.18</v>
      </c>
      <c r="N415" s="230">
        <f t="shared" si="86"/>
        <v>17116.18</v>
      </c>
      <c r="O415" s="230">
        <f t="shared" si="87"/>
        <v>142.63483333333332</v>
      </c>
      <c r="P415" s="230">
        <f t="shared" si="88"/>
        <v>1711.6179999999999</v>
      </c>
      <c r="Q415" s="230">
        <f t="shared" si="89"/>
        <v>1711.6179999999999</v>
      </c>
      <c r="R415" s="230"/>
      <c r="S415" s="230">
        <f t="shared" si="90"/>
        <v>6846.4719999999998</v>
      </c>
      <c r="T415" s="230">
        <f t="shared" si="91"/>
        <v>8558.09</v>
      </c>
      <c r="U415" s="230">
        <f t="shared" si="92"/>
        <v>9413.8990000000013</v>
      </c>
    </row>
    <row r="416" spans="1:21" ht="12" customHeight="1">
      <c r="A416" s="3" t="s">
        <v>415</v>
      </c>
      <c r="C416" s="32">
        <v>173297</v>
      </c>
      <c r="D416" s="32">
        <v>486</v>
      </c>
      <c r="E416" s="3" t="s">
        <v>112</v>
      </c>
      <c r="F416" s="3">
        <v>2013</v>
      </c>
      <c r="G416" s="3">
        <v>8</v>
      </c>
      <c r="H416" s="3">
        <v>0</v>
      </c>
      <c r="I416" s="3" t="s">
        <v>52</v>
      </c>
      <c r="J416" s="175">
        <v>10</v>
      </c>
      <c r="K416" s="3">
        <f t="shared" si="84"/>
        <v>2023</v>
      </c>
      <c r="L416" s="172">
        <f t="shared" si="85"/>
        <v>2023.6666666666667</v>
      </c>
      <c r="M416" s="230">
        <v>26316.799999999999</v>
      </c>
      <c r="N416" s="230">
        <f t="shared" si="86"/>
        <v>26316.799999999999</v>
      </c>
      <c r="O416" s="230">
        <f t="shared" si="87"/>
        <v>219.30666666666664</v>
      </c>
      <c r="P416" s="230">
        <f t="shared" si="88"/>
        <v>2631.68</v>
      </c>
      <c r="Q416" s="230">
        <f t="shared" si="89"/>
        <v>2631.68</v>
      </c>
      <c r="R416" s="230"/>
      <c r="S416" s="230">
        <f t="shared" si="90"/>
        <v>10526.72</v>
      </c>
      <c r="T416" s="230">
        <f t="shared" si="91"/>
        <v>13158.4</v>
      </c>
      <c r="U416" s="230">
        <f t="shared" si="92"/>
        <v>14474.24</v>
      </c>
    </row>
    <row r="417" spans="1:21" ht="12" customHeight="1">
      <c r="A417" s="3" t="s">
        <v>40</v>
      </c>
      <c r="C417" s="32">
        <v>111626</v>
      </c>
      <c r="D417" s="32">
        <v>486</v>
      </c>
      <c r="E417" s="3" t="s">
        <v>297</v>
      </c>
      <c r="F417" s="3">
        <v>2014</v>
      </c>
      <c r="G417" s="3">
        <v>1</v>
      </c>
      <c r="H417" s="3">
        <v>0</v>
      </c>
      <c r="I417" s="3" t="s">
        <v>52</v>
      </c>
      <c r="J417" s="175">
        <v>10</v>
      </c>
      <c r="K417" s="3">
        <f t="shared" si="84"/>
        <v>2024</v>
      </c>
      <c r="L417" s="172">
        <f t="shared" si="85"/>
        <v>2024.0833333333333</v>
      </c>
      <c r="M417" s="230">
        <v>27313.39</v>
      </c>
      <c r="N417" s="230">
        <f t="shared" si="86"/>
        <v>27313.39</v>
      </c>
      <c r="O417" s="230">
        <f t="shared" si="87"/>
        <v>227.61158333333333</v>
      </c>
      <c r="P417" s="230">
        <f t="shared" si="88"/>
        <v>2731.3389999999999</v>
      </c>
      <c r="Q417" s="230">
        <f t="shared" si="89"/>
        <v>2731.3389999999999</v>
      </c>
      <c r="R417" s="230"/>
      <c r="S417" s="230">
        <f t="shared" si="90"/>
        <v>8194.0169999999998</v>
      </c>
      <c r="T417" s="230">
        <f t="shared" si="91"/>
        <v>10925.356</v>
      </c>
      <c r="U417" s="230">
        <f t="shared" si="92"/>
        <v>17753.7035</v>
      </c>
    </row>
    <row r="418" spans="1:21" ht="12" customHeight="1">
      <c r="A418" s="3" t="s">
        <v>40</v>
      </c>
      <c r="C418" s="32">
        <v>116095</v>
      </c>
      <c r="D418" s="32">
        <v>324</v>
      </c>
      <c r="E418" s="3" t="s">
        <v>297</v>
      </c>
      <c r="F418" s="3">
        <v>2014</v>
      </c>
      <c r="G418" s="3">
        <v>9</v>
      </c>
      <c r="H418" s="3">
        <v>0</v>
      </c>
      <c r="I418" s="3" t="s">
        <v>52</v>
      </c>
      <c r="J418" s="175">
        <v>10</v>
      </c>
      <c r="K418" s="3">
        <f t="shared" si="84"/>
        <v>2024</v>
      </c>
      <c r="L418" s="172">
        <f t="shared" si="85"/>
        <v>2024.75</v>
      </c>
      <c r="M418" s="230">
        <v>37546.959999999999</v>
      </c>
      <c r="N418" s="230">
        <f t="shared" si="86"/>
        <v>37546.959999999999</v>
      </c>
      <c r="O418" s="230">
        <f t="shared" si="87"/>
        <v>312.89133333333331</v>
      </c>
      <c r="P418" s="230">
        <f t="shared" si="88"/>
        <v>3754.6959999999999</v>
      </c>
      <c r="Q418" s="230">
        <f t="shared" si="89"/>
        <v>3754.6959999999999</v>
      </c>
      <c r="R418" s="230"/>
      <c r="S418" s="230">
        <f t="shared" si="90"/>
        <v>11264.088</v>
      </c>
      <c r="T418" s="230">
        <f t="shared" si="91"/>
        <v>15018.784</v>
      </c>
      <c r="U418" s="230">
        <f t="shared" si="92"/>
        <v>24405.523999999998</v>
      </c>
    </row>
    <row r="419" spans="1:21" ht="12" customHeight="1">
      <c r="A419" s="3" t="s">
        <v>415</v>
      </c>
      <c r="C419" s="32">
        <v>173301</v>
      </c>
      <c r="D419" s="32">
        <v>243</v>
      </c>
      <c r="E419" s="3" t="s">
        <v>112</v>
      </c>
      <c r="F419" s="3">
        <v>2014</v>
      </c>
      <c r="G419" s="3">
        <v>4</v>
      </c>
      <c r="H419" s="3">
        <v>0</v>
      </c>
      <c r="I419" s="3" t="s">
        <v>52</v>
      </c>
      <c r="J419" s="175">
        <v>10</v>
      </c>
      <c r="K419" s="3">
        <f t="shared" si="84"/>
        <v>2024</v>
      </c>
      <c r="L419" s="172">
        <f t="shared" si="85"/>
        <v>2024.3333333333333</v>
      </c>
      <c r="M419" s="230">
        <v>14367.99</v>
      </c>
      <c r="N419" s="230">
        <f t="shared" si="86"/>
        <v>14367.99</v>
      </c>
      <c r="O419" s="230">
        <f t="shared" si="87"/>
        <v>119.73325</v>
      </c>
      <c r="P419" s="230">
        <f t="shared" si="88"/>
        <v>1436.799</v>
      </c>
      <c r="Q419" s="230">
        <f t="shared" si="89"/>
        <v>1436.799</v>
      </c>
      <c r="R419" s="230"/>
      <c r="S419" s="230">
        <f t="shared" si="90"/>
        <v>4310.3969999999999</v>
      </c>
      <c r="T419" s="230">
        <f t="shared" si="91"/>
        <v>5747.1959999999999</v>
      </c>
      <c r="U419" s="230">
        <f t="shared" si="92"/>
        <v>9339.1935000000012</v>
      </c>
    </row>
    <row r="420" spans="1:21" ht="12" customHeight="1">
      <c r="A420" s="3" t="s">
        <v>40</v>
      </c>
      <c r="C420" s="32">
        <v>122194</v>
      </c>
      <c r="D420" s="32">
        <v>624</v>
      </c>
      <c r="E420" s="3" t="s">
        <v>297</v>
      </c>
      <c r="F420" s="3">
        <v>2015</v>
      </c>
      <c r="G420" s="3">
        <v>2</v>
      </c>
      <c r="H420" s="3">
        <v>0</v>
      </c>
      <c r="I420" s="3" t="s">
        <v>52</v>
      </c>
      <c r="J420" s="175">
        <v>10</v>
      </c>
      <c r="K420" s="3">
        <f t="shared" si="84"/>
        <v>2025</v>
      </c>
      <c r="L420" s="172">
        <f t="shared" si="85"/>
        <v>2025.1666666666667</v>
      </c>
      <c r="M420" s="230">
        <v>36128.58</v>
      </c>
      <c r="N420" s="230">
        <f t="shared" si="86"/>
        <v>36128.58</v>
      </c>
      <c r="O420" s="230">
        <f t="shared" si="87"/>
        <v>301.07150000000001</v>
      </c>
      <c r="P420" s="230">
        <f t="shared" si="88"/>
        <v>3612.8580000000002</v>
      </c>
      <c r="Q420" s="230">
        <f t="shared" si="89"/>
        <v>3612.8580000000002</v>
      </c>
      <c r="R420" s="230"/>
      <c r="S420" s="230">
        <f t="shared" si="90"/>
        <v>7225.7160000000003</v>
      </c>
      <c r="T420" s="230">
        <f t="shared" si="91"/>
        <v>10838.574000000001</v>
      </c>
      <c r="U420" s="230">
        <f t="shared" si="92"/>
        <v>27096.435000000001</v>
      </c>
    </row>
    <row r="421" spans="1:21" ht="12" customHeight="1">
      <c r="A421" s="3" t="s">
        <v>40</v>
      </c>
      <c r="C421" s="32">
        <v>126247</v>
      </c>
      <c r="D421" s="32">
        <v>528</v>
      </c>
      <c r="E421" s="3" t="s">
        <v>297</v>
      </c>
      <c r="F421" s="3">
        <v>2015</v>
      </c>
      <c r="G421" s="3">
        <v>5</v>
      </c>
      <c r="H421" s="3">
        <v>0</v>
      </c>
      <c r="I421" s="3" t="s">
        <v>52</v>
      </c>
      <c r="J421" s="175">
        <v>10</v>
      </c>
      <c r="K421" s="3">
        <f t="shared" si="84"/>
        <v>2025</v>
      </c>
      <c r="L421" s="172">
        <f t="shared" si="85"/>
        <v>2025.4166666666667</v>
      </c>
      <c r="M421" s="230">
        <v>27937.89</v>
      </c>
      <c r="N421" s="230">
        <f t="shared" si="86"/>
        <v>27937.89</v>
      </c>
      <c r="O421" s="230">
        <f t="shared" si="87"/>
        <v>232.81574999999998</v>
      </c>
      <c r="P421" s="230">
        <f t="shared" si="88"/>
        <v>2793.7889999999998</v>
      </c>
      <c r="Q421" s="230">
        <f t="shared" si="89"/>
        <v>2793.7889999999998</v>
      </c>
      <c r="R421" s="230"/>
      <c r="S421" s="230">
        <f t="shared" si="90"/>
        <v>5587.5779999999995</v>
      </c>
      <c r="T421" s="230">
        <f t="shared" si="91"/>
        <v>8381.3669999999984</v>
      </c>
      <c r="U421" s="230">
        <f t="shared" si="92"/>
        <v>20953.4175</v>
      </c>
    </row>
    <row r="422" spans="1:21" ht="12" customHeight="1">
      <c r="M422" s="230"/>
      <c r="N422" s="230"/>
      <c r="O422" s="230"/>
      <c r="P422" s="230"/>
      <c r="Q422" s="230"/>
      <c r="R422" s="230"/>
      <c r="S422" s="230"/>
      <c r="T422" s="230"/>
      <c r="U422" s="230"/>
    </row>
    <row r="423" spans="1:21" ht="12" customHeight="1">
      <c r="C423" s="181" t="s">
        <v>1026</v>
      </c>
      <c r="D423" s="181">
        <f>SUM(D393:D422)</f>
        <v>22234</v>
      </c>
      <c r="E423" s="169"/>
      <c r="F423" s="169"/>
      <c r="G423" s="169"/>
      <c r="H423" s="169"/>
      <c r="I423" s="169"/>
      <c r="J423" s="179"/>
      <c r="K423" s="169"/>
      <c r="L423" s="180"/>
      <c r="M423" s="171">
        <f t="shared" ref="M423:U423" si="93">SUM(M393:M422)</f>
        <v>1292121.31</v>
      </c>
      <c r="N423" s="171">
        <f t="shared" si="93"/>
        <v>1292121.31</v>
      </c>
      <c r="O423" s="171">
        <f t="shared" si="93"/>
        <v>11082.232083333332</v>
      </c>
      <c r="P423" s="171">
        <f t="shared" si="93"/>
        <v>132986.78499999997</v>
      </c>
      <c r="Q423" s="171">
        <f t="shared" si="93"/>
        <v>43891.365999999995</v>
      </c>
      <c r="R423" s="171">
        <f t="shared" si="93"/>
        <v>0</v>
      </c>
      <c r="S423" s="171">
        <f t="shared" si="93"/>
        <v>1077355.6940000001</v>
      </c>
      <c r="T423" s="171">
        <f t="shared" si="93"/>
        <v>1121247.0600000003</v>
      </c>
      <c r="U423" s="171">
        <f t="shared" si="93"/>
        <v>192819.93300000002</v>
      </c>
    </row>
    <row r="424" spans="1:21" ht="12" customHeight="1">
      <c r="M424" s="230"/>
      <c r="N424" s="230"/>
      <c r="O424" s="230"/>
      <c r="P424" s="230"/>
      <c r="Q424" s="230"/>
      <c r="R424" s="230"/>
      <c r="S424" s="230"/>
      <c r="T424" s="230"/>
      <c r="U424" s="230"/>
    </row>
    <row r="425" spans="1:21" ht="12" customHeight="1">
      <c r="M425" s="230"/>
      <c r="N425" s="230"/>
      <c r="O425" s="230"/>
      <c r="P425" s="230"/>
      <c r="Q425" s="230"/>
      <c r="R425" s="230"/>
      <c r="S425" s="230"/>
      <c r="T425" s="230"/>
      <c r="U425" s="230"/>
    </row>
    <row r="426" spans="1:21" s="1" customFormat="1" ht="12" customHeight="1">
      <c r="C426" s="176"/>
      <c r="D426" s="176"/>
      <c r="E426" s="1" t="s">
        <v>1035</v>
      </c>
      <c r="J426" s="7"/>
      <c r="L426" s="177"/>
      <c r="M426" s="178"/>
      <c r="N426" s="178"/>
      <c r="O426" s="178"/>
      <c r="P426" s="178"/>
      <c r="Q426" s="178"/>
      <c r="R426" s="178"/>
      <c r="S426" s="178"/>
      <c r="T426" s="178"/>
      <c r="U426" s="178"/>
    </row>
    <row r="427" spans="1:21" ht="12" customHeight="1">
      <c r="M427" s="230"/>
      <c r="N427" s="230"/>
      <c r="O427" s="230"/>
      <c r="P427" s="230"/>
      <c r="Q427" s="230"/>
      <c r="R427" s="230"/>
      <c r="S427" s="230"/>
      <c r="T427" s="230"/>
      <c r="U427" s="230"/>
    </row>
    <row r="428" spans="1:21" ht="12" customHeight="1">
      <c r="C428" s="32" t="s">
        <v>534</v>
      </c>
      <c r="D428" s="32">
        <v>1500</v>
      </c>
      <c r="E428" s="3" t="s">
        <v>526</v>
      </c>
      <c r="F428" s="3">
        <v>2017</v>
      </c>
      <c r="G428" s="3">
        <v>5</v>
      </c>
      <c r="H428" s="3">
        <v>0</v>
      </c>
      <c r="I428" s="3" t="s">
        <v>52</v>
      </c>
      <c r="J428" s="175">
        <v>7</v>
      </c>
      <c r="K428" s="3">
        <f>F428+J428</f>
        <v>2024</v>
      </c>
      <c r="L428" s="172">
        <f>+K428+(G428/12)</f>
        <v>2024.4166666666667</v>
      </c>
      <c r="M428" s="230">
        <f>58945.49+623.76</f>
        <v>59569.25</v>
      </c>
      <c r="N428" s="230">
        <f>M428-M428*H428</f>
        <v>59569.25</v>
      </c>
      <c r="O428" s="230">
        <f>N428/J428/12</f>
        <v>709.15773809523807</v>
      </c>
      <c r="P428" s="230">
        <f>+O428*12</f>
        <v>8509.8928571428569</v>
      </c>
      <c r="Q428" s="230">
        <f>+IF(L428&lt;=$N$5,0,IF(K428&gt;$N$4,P428,(O428*G428)))</f>
        <v>8509.8928571428569</v>
      </c>
      <c r="R428" s="230"/>
      <c r="S428" s="230">
        <f>+IF(Q428=0,M428,IF($N$3-F428&lt;1,0,(($N$3-F428)*P428)))</f>
        <v>0</v>
      </c>
      <c r="T428" s="230">
        <f>+IF(Q428=0,S428,S428+Q428)</f>
        <v>8509.8928571428569</v>
      </c>
      <c r="U428" s="230">
        <f>+IF(Q428=0,0,((M428-S428)+(M428-T428))/2)</f>
        <v>55314.303571428572</v>
      </c>
    </row>
    <row r="429" spans="1:21" ht="12" customHeight="1">
      <c r="C429" s="32" t="s">
        <v>531</v>
      </c>
      <c r="D429" s="32">
        <v>1500</v>
      </c>
      <c r="E429" s="3" t="s">
        <v>527</v>
      </c>
      <c r="F429" s="3">
        <v>2017</v>
      </c>
      <c r="G429" s="3">
        <v>5</v>
      </c>
      <c r="H429" s="3">
        <v>0</v>
      </c>
      <c r="I429" s="3" t="s">
        <v>52</v>
      </c>
      <c r="J429" s="175">
        <v>7</v>
      </c>
      <c r="K429" s="3">
        <f>F429+J429</f>
        <v>2024</v>
      </c>
      <c r="L429" s="172">
        <f>+K429+(G429/12)</f>
        <v>2024.4166666666667</v>
      </c>
      <c r="M429" s="230">
        <f>79480.89+623.76</f>
        <v>80104.649999999994</v>
      </c>
      <c r="N429" s="230">
        <f>M429-M429*H429</f>
        <v>80104.649999999994</v>
      </c>
      <c r="O429" s="230">
        <f>N429/J429/12</f>
        <v>953.62678571428569</v>
      </c>
      <c r="P429" s="230">
        <f>+O429*12</f>
        <v>11443.521428571428</v>
      </c>
      <c r="Q429" s="230">
        <f>+IF(L429&lt;=$N$5,0,IF(K429&gt;$N$4,P429,(O429*G429)))</f>
        <v>11443.521428571428</v>
      </c>
      <c r="R429" s="230"/>
      <c r="S429" s="230">
        <f>+IF(Q429=0,M429,IF($N$3-F429&lt;1,0,(($N$3-F429)*P429)))</f>
        <v>0</v>
      </c>
      <c r="T429" s="230">
        <f>+IF(Q429=0,S429,S429+Q429)</f>
        <v>11443.521428571428</v>
      </c>
      <c r="U429" s="230">
        <f>+IF(Q429=0,0,((M429-S429)+(M429-T429))/2)</f>
        <v>74382.889285714278</v>
      </c>
    </row>
    <row r="430" spans="1:21" ht="12" customHeight="1">
      <c r="C430" s="32" t="s">
        <v>532</v>
      </c>
      <c r="D430" s="32">
        <v>14000</v>
      </c>
      <c r="E430" s="3" t="s">
        <v>528</v>
      </c>
      <c r="F430" s="3">
        <v>2017</v>
      </c>
      <c r="G430" s="3">
        <v>5</v>
      </c>
      <c r="H430" s="3">
        <v>0</v>
      </c>
      <c r="I430" s="3" t="s">
        <v>52</v>
      </c>
      <c r="J430" s="175">
        <v>7</v>
      </c>
      <c r="K430" s="3">
        <f>F430+J430</f>
        <v>2024</v>
      </c>
      <c r="L430" s="172">
        <f>+K430+(G430/12)</f>
        <v>2024.4166666666667</v>
      </c>
      <c r="M430" s="230">
        <f>660879.97+5821.73</f>
        <v>666701.69999999995</v>
      </c>
      <c r="N430" s="230">
        <f>M430-M430*H430</f>
        <v>666701.69999999995</v>
      </c>
      <c r="O430" s="230">
        <f>N430/J430/12</f>
        <v>7936.9249999999993</v>
      </c>
      <c r="P430" s="230">
        <f>+O430*12</f>
        <v>95243.099999999991</v>
      </c>
      <c r="Q430" s="230">
        <f>+IF(L430&lt;=$N$5,0,IF(K430&gt;$N$4,P430,(O430*G430)))</f>
        <v>95243.099999999991</v>
      </c>
      <c r="R430" s="230"/>
      <c r="S430" s="230">
        <f>+IF(Q430=0,M430,IF($N$3-F430&lt;1,0,(($N$3-F430)*P430)))</f>
        <v>0</v>
      </c>
      <c r="T430" s="230">
        <f>+IF(Q430=0,S430,S430+Q430)</f>
        <v>95243.099999999991</v>
      </c>
      <c r="U430" s="230">
        <f>+IF(Q430=0,0,((M430-S430)+(M430-T430))/2)</f>
        <v>619080.14999999991</v>
      </c>
    </row>
    <row r="431" spans="1:21" ht="12" customHeight="1">
      <c r="C431" s="32" t="s">
        <v>533</v>
      </c>
      <c r="D431" s="32">
        <v>38500</v>
      </c>
      <c r="E431" s="3" t="s">
        <v>529</v>
      </c>
      <c r="F431" s="3">
        <v>2017</v>
      </c>
      <c r="G431" s="3">
        <v>5</v>
      </c>
      <c r="H431" s="3">
        <v>0</v>
      </c>
      <c r="I431" s="3" t="s">
        <v>52</v>
      </c>
      <c r="J431" s="175">
        <v>7</v>
      </c>
      <c r="K431" s="3">
        <f>F431+J431</f>
        <v>2024</v>
      </c>
      <c r="L431" s="172">
        <f>+K431+(G431/12)</f>
        <v>2024.4166666666667</v>
      </c>
      <c r="M431" s="230">
        <f>1531833.28+16009.75</f>
        <v>1547843.03</v>
      </c>
      <c r="N431" s="230">
        <f>M431-M431*H431</f>
        <v>1547843.03</v>
      </c>
      <c r="O431" s="230">
        <f>N431/J431/12</f>
        <v>18426.702738095239</v>
      </c>
      <c r="P431" s="230">
        <f>+O431*12</f>
        <v>221120.43285714288</v>
      </c>
      <c r="Q431" s="230">
        <f>+IF(L431&lt;=$N$5,0,IF(K431&gt;$N$4,P431,(O431*G431)))</f>
        <v>221120.43285714288</v>
      </c>
      <c r="R431" s="230"/>
      <c r="S431" s="230">
        <f>+IF(Q431=0,M431,IF($N$3-F431&lt;1,0,(($N$3-F431)*P431)))</f>
        <v>0</v>
      </c>
      <c r="T431" s="230">
        <f>+IF(Q431=0,S431,S431+Q431)</f>
        <v>221120.43285714288</v>
      </c>
      <c r="U431" s="230">
        <f>+IF(Q431=0,0,((M431-S431)+(M431-T431))/2)</f>
        <v>1437282.8135714284</v>
      </c>
    </row>
    <row r="432" spans="1:21" ht="12" customHeight="1">
      <c r="C432" s="32">
        <v>184822</v>
      </c>
      <c r="D432" s="32">
        <v>940</v>
      </c>
      <c r="E432" s="3" t="s">
        <v>530</v>
      </c>
      <c r="F432" s="3">
        <v>2017</v>
      </c>
      <c r="G432" s="3">
        <v>4</v>
      </c>
      <c r="H432" s="3">
        <v>0</v>
      </c>
      <c r="I432" s="3" t="s">
        <v>52</v>
      </c>
      <c r="J432" s="175">
        <v>7</v>
      </c>
      <c r="K432" s="3">
        <f>F432+J432</f>
        <v>2024</v>
      </c>
      <c r="L432" s="172">
        <f>+K432+(G432/12)</f>
        <v>2024.3333333333333</v>
      </c>
      <c r="M432" s="230">
        <v>35253.71</v>
      </c>
      <c r="N432" s="230">
        <f>M432-M432*H432</f>
        <v>35253.71</v>
      </c>
      <c r="O432" s="230">
        <f>N432/J432/12</f>
        <v>419.68702380952385</v>
      </c>
      <c r="P432" s="230">
        <f>+O432*12</f>
        <v>5036.244285714286</v>
      </c>
      <c r="Q432" s="230">
        <f>+IF(L432&lt;=$N$5,0,IF(K432&gt;$N$4,P432,(O432*G432)))</f>
        <v>5036.244285714286</v>
      </c>
      <c r="R432" s="230"/>
      <c r="S432" s="230">
        <f>+IF(Q432=0,M432,IF($N$3-F432&lt;1,0,(($N$3-F432)*P432)))</f>
        <v>0</v>
      </c>
      <c r="T432" s="230">
        <f>+IF(Q432=0,S432,S432+Q432)</f>
        <v>5036.244285714286</v>
      </c>
      <c r="U432" s="230">
        <f>+IF(Q432=0,0,((M432-S432)+(M432-T432))/2)</f>
        <v>32735.587857142855</v>
      </c>
    </row>
    <row r="433" spans="1:21" ht="12" customHeight="1">
      <c r="M433" s="230"/>
      <c r="N433" s="230"/>
      <c r="O433" s="230"/>
      <c r="P433" s="230"/>
      <c r="Q433" s="230"/>
      <c r="R433" s="230"/>
      <c r="S433" s="230"/>
      <c r="T433" s="230"/>
      <c r="U433" s="230"/>
    </row>
    <row r="434" spans="1:21" ht="12" customHeight="1">
      <c r="C434" s="181" t="s">
        <v>1026</v>
      </c>
      <c r="D434" s="181">
        <f>SUM(D428:D433)</f>
        <v>56440</v>
      </c>
      <c r="E434" s="169"/>
      <c r="F434" s="169"/>
      <c r="G434" s="169"/>
      <c r="H434" s="169"/>
      <c r="I434" s="169"/>
      <c r="J434" s="179"/>
      <c r="K434" s="169"/>
      <c r="L434" s="180"/>
      <c r="M434" s="171">
        <f t="shared" ref="M434:U434" si="94">SUM(M428:M433)</f>
        <v>2389472.34</v>
      </c>
      <c r="N434" s="171">
        <f t="shared" si="94"/>
        <v>2389472.34</v>
      </c>
      <c r="O434" s="171">
        <f t="shared" si="94"/>
        <v>28446.099285714288</v>
      </c>
      <c r="P434" s="171">
        <f t="shared" si="94"/>
        <v>341353.19142857142</v>
      </c>
      <c r="Q434" s="171">
        <f t="shared" si="94"/>
        <v>341353.19142857142</v>
      </c>
      <c r="R434" s="171">
        <f t="shared" si="94"/>
        <v>0</v>
      </c>
      <c r="S434" s="171">
        <f t="shared" si="94"/>
        <v>0</v>
      </c>
      <c r="T434" s="171">
        <f t="shared" si="94"/>
        <v>341353.19142857142</v>
      </c>
      <c r="U434" s="171">
        <f t="shared" si="94"/>
        <v>2218795.7442857143</v>
      </c>
    </row>
    <row r="435" spans="1:21" ht="13.5" customHeight="1">
      <c r="M435" s="230"/>
      <c r="N435" s="230"/>
      <c r="O435" s="230"/>
      <c r="P435" s="230"/>
      <c r="Q435" s="230"/>
      <c r="R435" s="230"/>
      <c r="S435" s="230"/>
      <c r="T435" s="230"/>
      <c r="U435" s="230"/>
    </row>
    <row r="436" spans="1:21" s="1" customFormat="1" ht="13.5" customHeight="1">
      <c r="C436" s="176"/>
      <c r="D436" s="176"/>
      <c r="E436" s="1" t="s">
        <v>1038</v>
      </c>
      <c r="J436" s="7"/>
      <c r="L436" s="177"/>
      <c r="M436" s="178"/>
      <c r="N436" s="178"/>
      <c r="O436" s="178"/>
      <c r="P436" s="178"/>
      <c r="Q436" s="178"/>
      <c r="R436" s="178"/>
      <c r="S436" s="178"/>
      <c r="T436" s="178"/>
      <c r="U436" s="178"/>
    </row>
    <row r="437" spans="1:21" ht="13.5" customHeight="1">
      <c r="M437" s="230"/>
      <c r="N437" s="230"/>
      <c r="O437" s="230"/>
      <c r="P437" s="230"/>
      <c r="Q437" s="230"/>
      <c r="R437" s="230"/>
      <c r="S437" s="230"/>
      <c r="T437" s="230"/>
      <c r="U437" s="230"/>
    </row>
    <row r="438" spans="1:21" ht="12" customHeight="1">
      <c r="C438" s="32">
        <v>190633</v>
      </c>
      <c r="D438" s="32">
        <v>312</v>
      </c>
      <c r="E438" s="3" t="s">
        <v>521</v>
      </c>
      <c r="F438" s="3">
        <v>2017</v>
      </c>
      <c r="G438" s="3">
        <v>11</v>
      </c>
      <c r="H438" s="3">
        <v>0</v>
      </c>
      <c r="I438" s="3" t="s">
        <v>52</v>
      </c>
      <c r="J438" s="175">
        <v>7</v>
      </c>
      <c r="K438" s="3">
        <f t="shared" ref="K438:K462" si="95">F438+J438</f>
        <v>2024</v>
      </c>
      <c r="L438" s="172">
        <f t="shared" ref="L438:L462" si="96">+K438+(G438/12)</f>
        <v>2024.9166666666667</v>
      </c>
      <c r="M438" s="230">
        <v>16322.37</v>
      </c>
      <c r="N438" s="230">
        <f t="shared" ref="N438:N462" si="97">M438-M438*H438</f>
        <v>16322.37</v>
      </c>
      <c r="O438" s="230">
        <f t="shared" ref="O438:O462" si="98">N438/J438/12</f>
        <v>194.31392857142859</v>
      </c>
      <c r="P438" s="230">
        <f t="shared" ref="P438:P462" si="99">+O438*12</f>
        <v>2331.767142857143</v>
      </c>
      <c r="Q438" s="230">
        <f t="shared" ref="Q438:Q462" si="100">+IF(L438&lt;=$N$5,0,IF(K438&gt;$N$4,P438,(O438*G438)))</f>
        <v>2331.767142857143</v>
      </c>
      <c r="R438" s="230"/>
      <c r="S438" s="230">
        <f t="shared" ref="S438:S462" si="101">+IF(Q438=0,M438,IF($N$3-F438&lt;1,0,(($N$3-F438)*P438)))</f>
        <v>0</v>
      </c>
      <c r="T438" s="230">
        <f t="shared" ref="T438:T462" si="102">+IF(Q438=0,S438,S438+Q438)</f>
        <v>2331.767142857143</v>
      </c>
      <c r="U438" s="230">
        <f t="shared" ref="U438:U462" si="103">+IF(Q438=0,0,((M438-S438)+(M438-T438))/2)</f>
        <v>15156.486428571428</v>
      </c>
    </row>
    <row r="439" spans="1:21" ht="12" customHeight="1">
      <c r="C439" s="32">
        <v>190632</v>
      </c>
      <c r="D439" s="32">
        <v>432</v>
      </c>
      <c r="E439" s="3" t="s">
        <v>522</v>
      </c>
      <c r="F439" s="3">
        <v>2017</v>
      </c>
      <c r="G439" s="3">
        <v>11</v>
      </c>
      <c r="H439" s="3">
        <v>0</v>
      </c>
      <c r="I439" s="3" t="s">
        <v>52</v>
      </c>
      <c r="J439" s="175">
        <v>7</v>
      </c>
      <c r="K439" s="3">
        <f t="shared" si="95"/>
        <v>2024</v>
      </c>
      <c r="L439" s="172">
        <f t="shared" si="96"/>
        <v>2024.9166666666667</v>
      </c>
      <c r="M439" s="230">
        <v>19988.98</v>
      </c>
      <c r="N439" s="230">
        <f t="shared" si="97"/>
        <v>19988.98</v>
      </c>
      <c r="O439" s="230">
        <f t="shared" si="98"/>
        <v>237.96404761904762</v>
      </c>
      <c r="P439" s="230">
        <f t="shared" si="99"/>
        <v>2855.5685714285714</v>
      </c>
      <c r="Q439" s="230">
        <f t="shared" si="100"/>
        <v>2855.5685714285714</v>
      </c>
      <c r="R439" s="230"/>
      <c r="S439" s="230">
        <f t="shared" si="101"/>
        <v>0</v>
      </c>
      <c r="T439" s="230">
        <f t="shared" si="102"/>
        <v>2855.5685714285714</v>
      </c>
      <c r="U439" s="230">
        <f t="shared" si="103"/>
        <v>18561.195714285714</v>
      </c>
    </row>
    <row r="440" spans="1:21" ht="12" customHeight="1">
      <c r="C440" s="32">
        <v>186746</v>
      </c>
      <c r="D440" s="32">
        <v>350</v>
      </c>
      <c r="E440" s="3" t="s">
        <v>523</v>
      </c>
      <c r="F440" s="3">
        <v>2017</v>
      </c>
      <c r="G440" s="3">
        <v>6</v>
      </c>
      <c r="H440" s="3">
        <v>0</v>
      </c>
      <c r="I440" s="3" t="s">
        <v>52</v>
      </c>
      <c r="J440" s="175">
        <v>7</v>
      </c>
      <c r="K440" s="3">
        <f t="shared" si="95"/>
        <v>2024</v>
      </c>
      <c r="L440" s="172">
        <f t="shared" si="96"/>
        <v>2024.5</v>
      </c>
      <c r="M440" s="230">
        <v>13501.74</v>
      </c>
      <c r="N440" s="230">
        <f t="shared" si="97"/>
        <v>13501.74</v>
      </c>
      <c r="O440" s="230">
        <f t="shared" si="98"/>
        <v>160.73499999999999</v>
      </c>
      <c r="P440" s="230">
        <f t="shared" si="99"/>
        <v>1928.8199999999997</v>
      </c>
      <c r="Q440" s="230">
        <f t="shared" si="100"/>
        <v>1928.8199999999997</v>
      </c>
      <c r="R440" s="230"/>
      <c r="S440" s="230">
        <f t="shared" si="101"/>
        <v>0</v>
      </c>
      <c r="T440" s="230">
        <f t="shared" si="102"/>
        <v>1928.8199999999997</v>
      </c>
      <c r="U440" s="230">
        <f t="shared" si="103"/>
        <v>12537.33</v>
      </c>
    </row>
    <row r="441" spans="1:21" ht="12" customHeight="1">
      <c r="C441" s="32">
        <v>186676</v>
      </c>
      <c r="D441" s="32">
        <v>624</v>
      </c>
      <c r="E441" s="3" t="s">
        <v>524</v>
      </c>
      <c r="F441" s="3">
        <v>2017</v>
      </c>
      <c r="G441" s="3">
        <v>3</v>
      </c>
      <c r="H441" s="3">
        <v>0</v>
      </c>
      <c r="I441" s="3" t="s">
        <v>52</v>
      </c>
      <c r="J441" s="175">
        <v>7</v>
      </c>
      <c r="K441" s="3">
        <f t="shared" si="95"/>
        <v>2024</v>
      </c>
      <c r="L441" s="172">
        <f t="shared" si="96"/>
        <v>2024.25</v>
      </c>
      <c r="M441" s="230">
        <v>32611.53</v>
      </c>
      <c r="N441" s="230">
        <f t="shared" si="97"/>
        <v>32611.53</v>
      </c>
      <c r="O441" s="230">
        <f t="shared" si="98"/>
        <v>388.23250000000002</v>
      </c>
      <c r="P441" s="230">
        <f t="shared" si="99"/>
        <v>4658.79</v>
      </c>
      <c r="Q441" s="230">
        <f t="shared" si="100"/>
        <v>4658.79</v>
      </c>
      <c r="R441" s="230"/>
      <c r="S441" s="230">
        <f t="shared" si="101"/>
        <v>0</v>
      </c>
      <c r="T441" s="230">
        <f t="shared" si="102"/>
        <v>4658.79</v>
      </c>
      <c r="U441" s="230">
        <f t="shared" si="103"/>
        <v>30282.134999999998</v>
      </c>
    </row>
    <row r="442" spans="1:21" ht="12" customHeight="1">
      <c r="C442" s="32">
        <v>185867</v>
      </c>
      <c r="D442" s="32">
        <v>430</v>
      </c>
      <c r="E442" s="3" t="s">
        <v>523</v>
      </c>
      <c r="F442" s="3">
        <v>2017</v>
      </c>
      <c r="G442" s="3">
        <v>7</v>
      </c>
      <c r="H442" s="3">
        <v>0</v>
      </c>
      <c r="I442" s="3" t="s">
        <v>52</v>
      </c>
      <c r="J442" s="175">
        <v>7</v>
      </c>
      <c r="K442" s="3">
        <f t="shared" si="95"/>
        <v>2024</v>
      </c>
      <c r="L442" s="172">
        <f t="shared" si="96"/>
        <v>2024.5833333333333</v>
      </c>
      <c r="M442" s="230">
        <v>18827.189999999999</v>
      </c>
      <c r="N442" s="230">
        <f t="shared" si="97"/>
        <v>18827.189999999999</v>
      </c>
      <c r="O442" s="230">
        <f t="shared" si="98"/>
        <v>224.13321428571427</v>
      </c>
      <c r="P442" s="230">
        <f t="shared" si="99"/>
        <v>2689.5985714285712</v>
      </c>
      <c r="Q442" s="230">
        <f t="shared" si="100"/>
        <v>2689.5985714285712</v>
      </c>
      <c r="R442" s="230"/>
      <c r="S442" s="230">
        <f t="shared" si="101"/>
        <v>0</v>
      </c>
      <c r="T442" s="230">
        <f t="shared" si="102"/>
        <v>2689.5985714285712</v>
      </c>
      <c r="U442" s="230">
        <f t="shared" si="103"/>
        <v>17482.390714285713</v>
      </c>
    </row>
    <row r="443" spans="1:21" ht="12" customHeight="1">
      <c r="C443" s="32">
        <v>185866</v>
      </c>
      <c r="D443" s="32">
        <v>220</v>
      </c>
      <c r="E443" s="3" t="s">
        <v>525</v>
      </c>
      <c r="F443" s="3">
        <v>2017</v>
      </c>
      <c r="G443" s="3">
        <v>7</v>
      </c>
      <c r="H443" s="3">
        <v>0</v>
      </c>
      <c r="I443" s="3" t="s">
        <v>52</v>
      </c>
      <c r="J443" s="175">
        <v>7</v>
      </c>
      <c r="K443" s="3">
        <f t="shared" si="95"/>
        <v>2024</v>
      </c>
      <c r="L443" s="172">
        <f t="shared" si="96"/>
        <v>2024.5833333333333</v>
      </c>
      <c r="M443" s="230">
        <v>13394.61</v>
      </c>
      <c r="N443" s="230">
        <f t="shared" si="97"/>
        <v>13394.61</v>
      </c>
      <c r="O443" s="230">
        <f t="shared" si="98"/>
        <v>159.45964285714288</v>
      </c>
      <c r="P443" s="230">
        <f t="shared" si="99"/>
        <v>1913.5157142857147</v>
      </c>
      <c r="Q443" s="230">
        <f t="shared" si="100"/>
        <v>1913.5157142857147</v>
      </c>
      <c r="R443" s="230"/>
      <c r="S443" s="230">
        <f t="shared" si="101"/>
        <v>0</v>
      </c>
      <c r="T443" s="230">
        <f t="shared" si="102"/>
        <v>1913.5157142857147</v>
      </c>
      <c r="U443" s="230">
        <f t="shared" si="103"/>
        <v>12437.852142857144</v>
      </c>
    </row>
    <row r="444" spans="1:21" ht="12" customHeight="1">
      <c r="C444" s="32">
        <v>189448</v>
      </c>
      <c r="D444" s="32">
        <v>312</v>
      </c>
      <c r="E444" s="3" t="s">
        <v>553</v>
      </c>
      <c r="F444" s="3">
        <v>2017</v>
      </c>
      <c r="G444" s="3">
        <v>9</v>
      </c>
      <c r="H444" s="3">
        <v>0</v>
      </c>
      <c r="I444" s="3" t="s">
        <v>52</v>
      </c>
      <c r="J444" s="175">
        <v>7</v>
      </c>
      <c r="K444" s="3">
        <f t="shared" si="95"/>
        <v>2024</v>
      </c>
      <c r="L444" s="172">
        <f t="shared" si="96"/>
        <v>2024.75</v>
      </c>
      <c r="M444" s="230">
        <v>16446.669999999998</v>
      </c>
      <c r="N444" s="230">
        <f t="shared" si="97"/>
        <v>16446.669999999998</v>
      </c>
      <c r="O444" s="230">
        <f t="shared" si="98"/>
        <v>195.79369047619045</v>
      </c>
      <c r="P444" s="230">
        <f t="shared" si="99"/>
        <v>2349.5242857142853</v>
      </c>
      <c r="Q444" s="230">
        <f t="shared" si="100"/>
        <v>2349.5242857142853</v>
      </c>
      <c r="R444" s="230"/>
      <c r="S444" s="230">
        <f t="shared" si="101"/>
        <v>0</v>
      </c>
      <c r="T444" s="230">
        <f t="shared" si="102"/>
        <v>2349.5242857142853</v>
      </c>
      <c r="U444" s="230">
        <f t="shared" si="103"/>
        <v>15271.907857142854</v>
      </c>
    </row>
    <row r="445" spans="1:21" ht="12" customHeight="1">
      <c r="C445" s="32">
        <v>189446</v>
      </c>
      <c r="D445" s="32">
        <v>864</v>
      </c>
      <c r="E445" s="3" t="s">
        <v>555</v>
      </c>
      <c r="F445" s="3">
        <v>2017</v>
      </c>
      <c r="G445" s="3">
        <v>8</v>
      </c>
      <c r="H445" s="3">
        <v>0</v>
      </c>
      <c r="I445" s="3" t="s">
        <v>52</v>
      </c>
      <c r="J445" s="175">
        <v>7</v>
      </c>
      <c r="K445" s="3">
        <f t="shared" si="95"/>
        <v>2024</v>
      </c>
      <c r="L445" s="172">
        <f t="shared" si="96"/>
        <v>2024.6666666666667</v>
      </c>
      <c r="M445" s="230">
        <v>39027.35</v>
      </c>
      <c r="N445" s="230">
        <f t="shared" si="97"/>
        <v>39027.35</v>
      </c>
      <c r="O445" s="230">
        <f t="shared" si="98"/>
        <v>464.6113095238095</v>
      </c>
      <c r="P445" s="230">
        <f t="shared" si="99"/>
        <v>5575.3357142857139</v>
      </c>
      <c r="Q445" s="230">
        <f t="shared" si="100"/>
        <v>5575.3357142857139</v>
      </c>
      <c r="R445" s="230"/>
      <c r="S445" s="230">
        <f t="shared" si="101"/>
        <v>0</v>
      </c>
      <c r="T445" s="230">
        <f t="shared" si="102"/>
        <v>5575.3357142857139</v>
      </c>
      <c r="U445" s="230">
        <f t="shared" si="103"/>
        <v>36239.682142857142</v>
      </c>
    </row>
    <row r="446" spans="1:21" ht="12.75" customHeight="1">
      <c r="A446" s="3" t="s">
        <v>679</v>
      </c>
      <c r="C446" s="32">
        <v>176874</v>
      </c>
      <c r="D446" s="32">
        <v>200</v>
      </c>
      <c r="E446" s="3" t="s">
        <v>844</v>
      </c>
      <c r="F446" s="3">
        <v>2017</v>
      </c>
      <c r="G446" s="3">
        <v>1</v>
      </c>
      <c r="H446" s="3">
        <v>0</v>
      </c>
      <c r="I446" s="3" t="s">
        <v>52</v>
      </c>
      <c r="J446" s="175">
        <v>6.11</v>
      </c>
      <c r="K446" s="3">
        <f t="shared" si="95"/>
        <v>2023.11</v>
      </c>
      <c r="L446" s="172">
        <f t="shared" si="96"/>
        <v>2023.1933333333332</v>
      </c>
      <c r="M446" s="230">
        <v>8450.67</v>
      </c>
      <c r="N446" s="230">
        <f t="shared" si="97"/>
        <v>8450.67</v>
      </c>
      <c r="O446" s="230">
        <f t="shared" si="98"/>
        <v>115.25736497545007</v>
      </c>
      <c r="P446" s="230">
        <f t="shared" si="99"/>
        <v>1383.0883797054009</v>
      </c>
      <c r="Q446" s="230">
        <f t="shared" si="100"/>
        <v>1383.0883797054009</v>
      </c>
      <c r="R446" s="230"/>
      <c r="S446" s="230">
        <f t="shared" si="101"/>
        <v>0</v>
      </c>
      <c r="T446" s="230">
        <f t="shared" si="102"/>
        <v>1383.0883797054009</v>
      </c>
      <c r="U446" s="230">
        <f t="shared" si="103"/>
        <v>7759.1258101472995</v>
      </c>
    </row>
    <row r="447" spans="1:21" ht="12.75" customHeight="1">
      <c r="A447" s="3" t="s">
        <v>679</v>
      </c>
      <c r="C447" s="32">
        <v>176875</v>
      </c>
      <c r="D447" s="32">
        <v>315</v>
      </c>
      <c r="E447" s="3" t="s">
        <v>519</v>
      </c>
      <c r="F447" s="3">
        <v>2017</v>
      </c>
      <c r="G447" s="3">
        <v>1</v>
      </c>
      <c r="H447" s="3">
        <v>0</v>
      </c>
      <c r="I447" s="3" t="s">
        <v>52</v>
      </c>
      <c r="J447" s="175">
        <v>6.11</v>
      </c>
      <c r="K447" s="3">
        <f t="shared" si="95"/>
        <v>2023.11</v>
      </c>
      <c r="L447" s="172">
        <f t="shared" si="96"/>
        <v>2023.1933333333332</v>
      </c>
      <c r="M447" s="230">
        <v>14550.04</v>
      </c>
      <c r="N447" s="230">
        <f t="shared" si="97"/>
        <v>14550.04</v>
      </c>
      <c r="O447" s="230">
        <f t="shared" si="98"/>
        <v>198.4457174031642</v>
      </c>
      <c r="P447" s="230">
        <f t="shared" si="99"/>
        <v>2381.3486088379705</v>
      </c>
      <c r="Q447" s="230">
        <f t="shared" si="100"/>
        <v>2381.3486088379705</v>
      </c>
      <c r="R447" s="230"/>
      <c r="S447" s="230">
        <f t="shared" si="101"/>
        <v>0</v>
      </c>
      <c r="T447" s="230">
        <f t="shared" si="102"/>
        <v>2381.3486088379705</v>
      </c>
      <c r="U447" s="230">
        <f t="shared" si="103"/>
        <v>13359.365695581015</v>
      </c>
    </row>
    <row r="448" spans="1:21" ht="12.75" customHeight="1">
      <c r="A448" s="3" t="s">
        <v>679</v>
      </c>
      <c r="C448" s="32">
        <v>176876</v>
      </c>
      <c r="D448" s="32">
        <v>90</v>
      </c>
      <c r="E448" s="3" t="s">
        <v>845</v>
      </c>
      <c r="F448" s="3">
        <v>2017</v>
      </c>
      <c r="G448" s="3">
        <v>1</v>
      </c>
      <c r="H448" s="3">
        <v>0</v>
      </c>
      <c r="I448" s="3" t="s">
        <v>52</v>
      </c>
      <c r="J448" s="175">
        <v>6.11</v>
      </c>
      <c r="K448" s="3">
        <f t="shared" si="95"/>
        <v>2023.11</v>
      </c>
      <c r="L448" s="172">
        <f t="shared" si="96"/>
        <v>2023.1933333333332</v>
      </c>
      <c r="M448" s="230">
        <v>4723.33</v>
      </c>
      <c r="N448" s="230">
        <f t="shared" si="97"/>
        <v>4723.33</v>
      </c>
      <c r="O448" s="230">
        <f t="shared" si="98"/>
        <v>64.420758319694485</v>
      </c>
      <c r="P448" s="230">
        <f t="shared" si="99"/>
        <v>773.04909983633388</v>
      </c>
      <c r="Q448" s="230">
        <f t="shared" si="100"/>
        <v>773.04909983633388</v>
      </c>
      <c r="R448" s="230"/>
      <c r="S448" s="230">
        <f t="shared" si="101"/>
        <v>0</v>
      </c>
      <c r="T448" s="230">
        <f t="shared" si="102"/>
        <v>773.04909983633388</v>
      </c>
      <c r="U448" s="230">
        <f t="shared" si="103"/>
        <v>4336.8054500818325</v>
      </c>
    </row>
    <row r="449" spans="1:21" ht="12.75" customHeight="1">
      <c r="A449" s="3" t="s">
        <v>679</v>
      </c>
      <c r="C449" s="32">
        <v>176877</v>
      </c>
      <c r="D449" s="32">
        <v>150</v>
      </c>
      <c r="E449" s="3" t="s">
        <v>843</v>
      </c>
      <c r="F449" s="3">
        <v>2017</v>
      </c>
      <c r="G449" s="3">
        <v>1</v>
      </c>
      <c r="H449" s="3">
        <v>0</v>
      </c>
      <c r="I449" s="3" t="s">
        <v>52</v>
      </c>
      <c r="J449" s="175">
        <v>6.11</v>
      </c>
      <c r="K449" s="3">
        <f t="shared" si="95"/>
        <v>2023.11</v>
      </c>
      <c r="L449" s="172">
        <f t="shared" si="96"/>
        <v>2023.1933333333332</v>
      </c>
      <c r="M449" s="230">
        <v>5169.1499999999996</v>
      </c>
      <c r="N449" s="230">
        <f t="shared" si="97"/>
        <v>5169.1499999999996</v>
      </c>
      <c r="O449" s="230">
        <f t="shared" si="98"/>
        <v>70.501227495908338</v>
      </c>
      <c r="P449" s="230">
        <f t="shared" si="99"/>
        <v>846.01472995090012</v>
      </c>
      <c r="Q449" s="230">
        <f t="shared" si="100"/>
        <v>846.01472995090012</v>
      </c>
      <c r="R449" s="230"/>
      <c r="S449" s="230">
        <f t="shared" si="101"/>
        <v>0</v>
      </c>
      <c r="T449" s="230">
        <f t="shared" si="102"/>
        <v>846.01472995090012</v>
      </c>
      <c r="U449" s="230">
        <f t="shared" si="103"/>
        <v>4746.1426350245492</v>
      </c>
    </row>
    <row r="450" spans="1:21" ht="12.75" customHeight="1">
      <c r="A450" s="3" t="s">
        <v>679</v>
      </c>
      <c r="C450" s="32">
        <v>176878</v>
      </c>
      <c r="D450" s="32">
        <v>840</v>
      </c>
      <c r="E450" s="3" t="s">
        <v>846</v>
      </c>
      <c r="F450" s="3">
        <v>2017</v>
      </c>
      <c r="G450" s="3">
        <v>1</v>
      </c>
      <c r="H450" s="3">
        <v>0</v>
      </c>
      <c r="I450" s="3" t="s">
        <v>52</v>
      </c>
      <c r="J450" s="175">
        <v>6.11</v>
      </c>
      <c r="K450" s="3">
        <f t="shared" si="95"/>
        <v>2023.11</v>
      </c>
      <c r="L450" s="172">
        <f t="shared" si="96"/>
        <v>2023.1933333333332</v>
      </c>
      <c r="M450" s="230">
        <v>34278.199999999997</v>
      </c>
      <c r="N450" s="230">
        <f t="shared" si="97"/>
        <v>34278.199999999997</v>
      </c>
      <c r="O450" s="230">
        <f t="shared" si="98"/>
        <v>467.5150027277686</v>
      </c>
      <c r="P450" s="230">
        <f t="shared" si="99"/>
        <v>5610.180032733223</v>
      </c>
      <c r="Q450" s="230">
        <f t="shared" si="100"/>
        <v>5610.180032733223</v>
      </c>
      <c r="R450" s="230"/>
      <c r="S450" s="230">
        <f t="shared" si="101"/>
        <v>0</v>
      </c>
      <c r="T450" s="230">
        <f t="shared" si="102"/>
        <v>5610.180032733223</v>
      </c>
      <c r="U450" s="230">
        <f t="shared" si="103"/>
        <v>31473.109983633385</v>
      </c>
    </row>
    <row r="451" spans="1:21" ht="12.75" customHeight="1">
      <c r="A451" s="3" t="s">
        <v>679</v>
      </c>
      <c r="C451" s="32">
        <v>176879</v>
      </c>
      <c r="D451" s="32" t="s">
        <v>757</v>
      </c>
      <c r="E451" s="3" t="s">
        <v>847</v>
      </c>
      <c r="F451" s="3">
        <v>2017</v>
      </c>
      <c r="G451" s="3">
        <v>1</v>
      </c>
      <c r="H451" s="3">
        <v>0</v>
      </c>
      <c r="I451" s="3" t="s">
        <v>52</v>
      </c>
      <c r="J451" s="175">
        <v>6.11</v>
      </c>
      <c r="K451" s="3">
        <f t="shared" si="95"/>
        <v>2023.11</v>
      </c>
      <c r="L451" s="172">
        <f t="shared" si="96"/>
        <v>2023.1933333333332</v>
      </c>
      <c r="M451" s="230">
        <v>7202.35</v>
      </c>
      <c r="N451" s="230">
        <f t="shared" si="97"/>
        <v>7202.35</v>
      </c>
      <c r="O451" s="230">
        <f t="shared" si="98"/>
        <v>98.231723949809052</v>
      </c>
      <c r="P451" s="230">
        <f t="shared" si="99"/>
        <v>1178.7806873977086</v>
      </c>
      <c r="Q451" s="230">
        <f t="shared" si="100"/>
        <v>1178.7806873977086</v>
      </c>
      <c r="R451" s="230"/>
      <c r="S451" s="230">
        <f t="shared" si="101"/>
        <v>0</v>
      </c>
      <c r="T451" s="230">
        <f t="shared" si="102"/>
        <v>1178.7806873977086</v>
      </c>
      <c r="U451" s="230">
        <f t="shared" si="103"/>
        <v>6612.9596563011455</v>
      </c>
    </row>
    <row r="452" spans="1:21" ht="12.75" customHeight="1">
      <c r="A452" s="3" t="s">
        <v>679</v>
      </c>
      <c r="C452" s="32">
        <v>176880</v>
      </c>
      <c r="D452" s="32">
        <v>210</v>
      </c>
      <c r="E452" s="3" t="s">
        <v>848</v>
      </c>
      <c r="F452" s="3">
        <v>2017</v>
      </c>
      <c r="G452" s="3">
        <v>1</v>
      </c>
      <c r="H452" s="3">
        <v>0</v>
      </c>
      <c r="I452" s="3" t="s">
        <v>52</v>
      </c>
      <c r="J452" s="175">
        <v>7</v>
      </c>
      <c r="K452" s="3">
        <f t="shared" si="95"/>
        <v>2024</v>
      </c>
      <c r="L452" s="172">
        <f t="shared" si="96"/>
        <v>2024.0833333333333</v>
      </c>
      <c r="M452" s="230">
        <v>7926.03</v>
      </c>
      <c r="N452" s="230">
        <f t="shared" si="97"/>
        <v>7926.03</v>
      </c>
      <c r="O452" s="230">
        <f t="shared" si="98"/>
        <v>94.357500000000002</v>
      </c>
      <c r="P452" s="230">
        <f t="shared" si="99"/>
        <v>1132.29</v>
      </c>
      <c r="Q452" s="230">
        <f t="shared" si="100"/>
        <v>1132.29</v>
      </c>
      <c r="R452" s="230"/>
      <c r="S452" s="230">
        <f t="shared" si="101"/>
        <v>0</v>
      </c>
      <c r="T452" s="230">
        <f t="shared" si="102"/>
        <v>1132.29</v>
      </c>
      <c r="U452" s="230">
        <f t="shared" si="103"/>
        <v>7359.8850000000002</v>
      </c>
    </row>
    <row r="453" spans="1:21" ht="12.75" customHeight="1">
      <c r="A453" s="3" t="s">
        <v>679</v>
      </c>
      <c r="C453" s="32">
        <v>176881</v>
      </c>
      <c r="D453" s="32">
        <v>630</v>
      </c>
      <c r="E453" s="3" t="s">
        <v>849</v>
      </c>
      <c r="F453" s="3">
        <v>2017</v>
      </c>
      <c r="G453" s="3">
        <v>1</v>
      </c>
      <c r="H453" s="3">
        <v>0</v>
      </c>
      <c r="I453" s="3" t="s">
        <v>52</v>
      </c>
      <c r="J453" s="175">
        <v>7</v>
      </c>
      <c r="K453" s="3">
        <f t="shared" si="95"/>
        <v>2024</v>
      </c>
      <c r="L453" s="172">
        <f t="shared" si="96"/>
        <v>2024.0833333333333</v>
      </c>
      <c r="M453" s="230">
        <v>25846</v>
      </c>
      <c r="N453" s="230">
        <f t="shared" si="97"/>
        <v>25846</v>
      </c>
      <c r="O453" s="230">
        <f t="shared" si="98"/>
        <v>307.6904761904762</v>
      </c>
      <c r="P453" s="230">
        <f t="shared" si="99"/>
        <v>3692.2857142857147</v>
      </c>
      <c r="Q453" s="230">
        <f t="shared" si="100"/>
        <v>3692.2857142857147</v>
      </c>
      <c r="R453" s="230"/>
      <c r="S453" s="230">
        <f t="shared" si="101"/>
        <v>0</v>
      </c>
      <c r="T453" s="230">
        <f t="shared" si="102"/>
        <v>3692.2857142857147</v>
      </c>
      <c r="U453" s="230">
        <f t="shared" si="103"/>
        <v>23999.857142857145</v>
      </c>
    </row>
    <row r="454" spans="1:21" ht="12.75" customHeight="1">
      <c r="A454" s="3" t="s">
        <v>679</v>
      </c>
      <c r="C454" s="32">
        <v>176925</v>
      </c>
      <c r="D454" s="32">
        <v>680</v>
      </c>
      <c r="E454" s="3" t="s">
        <v>851</v>
      </c>
      <c r="F454" s="3">
        <v>2017</v>
      </c>
      <c r="G454" s="3">
        <v>1</v>
      </c>
      <c r="H454" s="3">
        <v>0</v>
      </c>
      <c r="I454" s="3" t="s">
        <v>52</v>
      </c>
      <c r="J454" s="175">
        <v>7</v>
      </c>
      <c r="K454" s="3">
        <f t="shared" si="95"/>
        <v>2024</v>
      </c>
      <c r="L454" s="172">
        <f t="shared" si="96"/>
        <v>2024.0833333333333</v>
      </c>
      <c r="M454" s="230">
        <v>30658.51</v>
      </c>
      <c r="N454" s="230">
        <f t="shared" si="97"/>
        <v>30658.51</v>
      </c>
      <c r="O454" s="230">
        <f t="shared" si="98"/>
        <v>364.98226190476186</v>
      </c>
      <c r="P454" s="230">
        <f t="shared" si="99"/>
        <v>4379.7871428571425</v>
      </c>
      <c r="Q454" s="230">
        <f t="shared" si="100"/>
        <v>4379.7871428571425</v>
      </c>
      <c r="R454" s="230"/>
      <c r="S454" s="230">
        <f t="shared" si="101"/>
        <v>0</v>
      </c>
      <c r="T454" s="230">
        <f t="shared" si="102"/>
        <v>4379.7871428571425</v>
      </c>
      <c r="U454" s="230">
        <f t="shared" si="103"/>
        <v>28468.616428571426</v>
      </c>
    </row>
    <row r="455" spans="1:21" ht="12.75" customHeight="1">
      <c r="A455" s="3" t="s">
        <v>679</v>
      </c>
      <c r="C455" s="32">
        <v>176926</v>
      </c>
      <c r="D455" s="32">
        <v>840</v>
      </c>
      <c r="E455" s="3" t="s">
        <v>846</v>
      </c>
      <c r="F455" s="3">
        <v>2017</v>
      </c>
      <c r="G455" s="3">
        <v>1</v>
      </c>
      <c r="H455" s="3">
        <v>0</v>
      </c>
      <c r="I455" s="3" t="s">
        <v>52</v>
      </c>
      <c r="J455" s="175">
        <v>7</v>
      </c>
      <c r="K455" s="3">
        <f t="shared" si="95"/>
        <v>2024</v>
      </c>
      <c r="L455" s="172">
        <f t="shared" si="96"/>
        <v>2024.0833333333333</v>
      </c>
      <c r="M455" s="230">
        <v>34461.25</v>
      </c>
      <c r="N455" s="230">
        <f t="shared" si="97"/>
        <v>34461.25</v>
      </c>
      <c r="O455" s="230">
        <f t="shared" si="98"/>
        <v>410.2529761904762</v>
      </c>
      <c r="P455" s="230">
        <f t="shared" si="99"/>
        <v>4923.0357142857147</v>
      </c>
      <c r="Q455" s="230">
        <f t="shared" si="100"/>
        <v>4923.0357142857147</v>
      </c>
      <c r="R455" s="230"/>
      <c r="S455" s="230">
        <f t="shared" si="101"/>
        <v>0</v>
      </c>
      <c r="T455" s="230">
        <f t="shared" si="102"/>
        <v>4923.0357142857147</v>
      </c>
      <c r="U455" s="230">
        <f t="shared" si="103"/>
        <v>31999.732142857145</v>
      </c>
    </row>
    <row r="456" spans="1:21" ht="12.75" customHeight="1">
      <c r="A456" s="3" t="s">
        <v>679</v>
      </c>
      <c r="C456" s="32">
        <v>176927</v>
      </c>
      <c r="D456" s="32">
        <v>840</v>
      </c>
      <c r="E456" s="3" t="s">
        <v>846</v>
      </c>
      <c r="F456" s="3">
        <v>2017</v>
      </c>
      <c r="G456" s="3">
        <v>1</v>
      </c>
      <c r="H456" s="3">
        <v>0</v>
      </c>
      <c r="I456" s="3" t="s">
        <v>52</v>
      </c>
      <c r="J456" s="175">
        <v>7</v>
      </c>
      <c r="K456" s="3">
        <f t="shared" si="95"/>
        <v>2024</v>
      </c>
      <c r="L456" s="172">
        <f t="shared" si="96"/>
        <v>2024.0833333333333</v>
      </c>
      <c r="M456" s="230">
        <v>34461.25</v>
      </c>
      <c r="N456" s="230">
        <f t="shared" si="97"/>
        <v>34461.25</v>
      </c>
      <c r="O456" s="230">
        <f t="shared" si="98"/>
        <v>410.2529761904762</v>
      </c>
      <c r="P456" s="230">
        <f t="shared" si="99"/>
        <v>4923.0357142857147</v>
      </c>
      <c r="Q456" s="230">
        <f t="shared" si="100"/>
        <v>4923.0357142857147</v>
      </c>
      <c r="R456" s="230"/>
      <c r="S456" s="230">
        <f t="shared" si="101"/>
        <v>0</v>
      </c>
      <c r="T456" s="230">
        <f t="shared" si="102"/>
        <v>4923.0357142857147</v>
      </c>
      <c r="U456" s="230">
        <f t="shared" si="103"/>
        <v>31999.732142857145</v>
      </c>
    </row>
    <row r="457" spans="1:21" ht="12" customHeight="1">
      <c r="C457" s="32">
        <v>194936</v>
      </c>
      <c r="D457" s="32">
        <v>864</v>
      </c>
      <c r="E457" s="3" t="s">
        <v>519</v>
      </c>
      <c r="F457" s="3">
        <v>2018</v>
      </c>
      <c r="G457" s="3">
        <v>1</v>
      </c>
      <c r="H457" s="3">
        <v>0</v>
      </c>
      <c r="I457" s="3" t="s">
        <v>52</v>
      </c>
      <c r="J457" s="175">
        <v>7</v>
      </c>
      <c r="K457" s="3">
        <f t="shared" si="95"/>
        <v>2025</v>
      </c>
      <c r="L457" s="172">
        <f t="shared" si="96"/>
        <v>2025.0833333333333</v>
      </c>
      <c r="M457" s="230">
        <v>39634.949999999997</v>
      </c>
      <c r="N457" s="230">
        <f t="shared" si="97"/>
        <v>39634.949999999997</v>
      </c>
      <c r="O457" s="230">
        <f t="shared" si="98"/>
        <v>471.84464285714284</v>
      </c>
      <c r="P457" s="230">
        <f t="shared" si="99"/>
        <v>5662.1357142857141</v>
      </c>
      <c r="Q457" s="230">
        <f t="shared" si="100"/>
        <v>5662.1357142857141</v>
      </c>
      <c r="R457" s="230"/>
      <c r="S457" s="230">
        <f t="shared" si="101"/>
        <v>0</v>
      </c>
      <c r="T457" s="230">
        <f t="shared" si="102"/>
        <v>5662.1357142857141</v>
      </c>
      <c r="U457" s="230">
        <f t="shared" si="103"/>
        <v>36803.882142857139</v>
      </c>
    </row>
    <row r="458" spans="1:21" ht="12" customHeight="1">
      <c r="C458" s="32">
        <v>196547</v>
      </c>
      <c r="D458" s="32">
        <v>312</v>
      </c>
      <c r="E458" s="3" t="s">
        <v>552</v>
      </c>
      <c r="F458" s="3">
        <v>2018</v>
      </c>
      <c r="G458" s="3">
        <v>3</v>
      </c>
      <c r="H458" s="3">
        <v>0</v>
      </c>
      <c r="I458" s="3" t="s">
        <v>52</v>
      </c>
      <c r="J458" s="175">
        <v>7</v>
      </c>
      <c r="K458" s="3">
        <f t="shared" si="95"/>
        <v>2025</v>
      </c>
      <c r="L458" s="172">
        <f t="shared" si="96"/>
        <v>2025.25</v>
      </c>
      <c r="M458" s="230">
        <v>16631.830000000002</v>
      </c>
      <c r="N458" s="230">
        <f t="shared" si="97"/>
        <v>16631.830000000002</v>
      </c>
      <c r="O458" s="230">
        <f t="shared" si="98"/>
        <v>197.99797619047624</v>
      </c>
      <c r="P458" s="230">
        <f t="shared" si="99"/>
        <v>2375.9757142857147</v>
      </c>
      <c r="Q458" s="230">
        <f t="shared" si="100"/>
        <v>2375.9757142857147</v>
      </c>
      <c r="R458" s="230"/>
      <c r="S458" s="230">
        <f t="shared" si="101"/>
        <v>0</v>
      </c>
      <c r="T458" s="230">
        <f t="shared" si="102"/>
        <v>2375.9757142857147</v>
      </c>
      <c r="U458" s="230">
        <f t="shared" si="103"/>
        <v>15443.842142857146</v>
      </c>
    </row>
    <row r="459" spans="1:21" s="203" customFormat="1" ht="12" customHeight="1">
      <c r="C459" s="209">
        <v>203606</v>
      </c>
      <c r="D459" s="209">
        <v>475</v>
      </c>
      <c r="E459" s="203" t="s">
        <v>910</v>
      </c>
      <c r="F459" s="203">
        <v>2018</v>
      </c>
      <c r="G459" s="203">
        <v>7</v>
      </c>
      <c r="H459" s="203">
        <v>0</v>
      </c>
      <c r="I459" s="203" t="s">
        <v>52</v>
      </c>
      <c r="J459" s="210">
        <v>7</v>
      </c>
      <c r="K459" s="203">
        <f t="shared" si="95"/>
        <v>2025</v>
      </c>
      <c r="L459" s="204">
        <f t="shared" si="96"/>
        <v>2025.5833333333333</v>
      </c>
      <c r="M459" s="205">
        <v>18365.82</v>
      </c>
      <c r="N459" s="205">
        <f t="shared" si="97"/>
        <v>18365.82</v>
      </c>
      <c r="O459" s="205">
        <f t="shared" si="98"/>
        <v>218.64071428571427</v>
      </c>
      <c r="P459" s="205">
        <f t="shared" si="99"/>
        <v>2623.6885714285713</v>
      </c>
      <c r="Q459" s="205">
        <f t="shared" si="100"/>
        <v>2623.6885714285713</v>
      </c>
      <c r="R459" s="205"/>
      <c r="S459" s="205">
        <f t="shared" si="101"/>
        <v>0</v>
      </c>
      <c r="T459" s="205">
        <f t="shared" si="102"/>
        <v>2623.6885714285713</v>
      </c>
      <c r="U459" s="205">
        <f t="shared" si="103"/>
        <v>17053.975714285712</v>
      </c>
    </row>
    <row r="460" spans="1:21" s="203" customFormat="1" ht="12" customHeight="1">
      <c r="C460" s="209">
        <v>202609</v>
      </c>
      <c r="D460" s="209">
        <v>864</v>
      </c>
      <c r="E460" s="203" t="s">
        <v>911</v>
      </c>
      <c r="F460" s="203">
        <v>2018</v>
      </c>
      <c r="G460" s="203">
        <v>7</v>
      </c>
      <c r="H460" s="203">
        <v>0</v>
      </c>
      <c r="I460" s="203" t="s">
        <v>52</v>
      </c>
      <c r="J460" s="210">
        <v>7</v>
      </c>
      <c r="K460" s="203">
        <f t="shared" si="95"/>
        <v>2025</v>
      </c>
      <c r="L460" s="204">
        <f t="shared" si="96"/>
        <v>2025.5833333333333</v>
      </c>
      <c r="M460" s="205">
        <v>40306.68</v>
      </c>
      <c r="N460" s="205">
        <f t="shared" si="97"/>
        <v>40306.68</v>
      </c>
      <c r="O460" s="205">
        <f t="shared" si="98"/>
        <v>479.84142857142859</v>
      </c>
      <c r="P460" s="205">
        <f t="shared" si="99"/>
        <v>5758.0971428571429</v>
      </c>
      <c r="Q460" s="205">
        <f t="shared" si="100"/>
        <v>5758.0971428571429</v>
      </c>
      <c r="R460" s="205"/>
      <c r="S460" s="205">
        <f t="shared" si="101"/>
        <v>0</v>
      </c>
      <c r="T460" s="205">
        <f t="shared" si="102"/>
        <v>5758.0971428571429</v>
      </c>
      <c r="U460" s="205">
        <f t="shared" si="103"/>
        <v>37427.631428571432</v>
      </c>
    </row>
    <row r="461" spans="1:21" s="203" customFormat="1" ht="12" customHeight="1">
      <c r="C461" s="209">
        <v>202478</v>
      </c>
      <c r="D461" s="209">
        <v>864</v>
      </c>
      <c r="E461" s="203" t="s">
        <v>912</v>
      </c>
      <c r="F461" s="203">
        <v>2018</v>
      </c>
      <c r="G461" s="203">
        <v>6</v>
      </c>
      <c r="H461" s="203">
        <v>0</v>
      </c>
      <c r="I461" s="203" t="s">
        <v>52</v>
      </c>
      <c r="J461" s="210">
        <v>7</v>
      </c>
      <c r="K461" s="203">
        <f t="shared" si="95"/>
        <v>2025</v>
      </c>
      <c r="L461" s="204">
        <f t="shared" si="96"/>
        <v>2025.5</v>
      </c>
      <c r="M461" s="205">
        <v>40104.33</v>
      </c>
      <c r="N461" s="205">
        <f t="shared" si="97"/>
        <v>40104.33</v>
      </c>
      <c r="O461" s="205">
        <f t="shared" si="98"/>
        <v>477.43250000000006</v>
      </c>
      <c r="P461" s="205">
        <f t="shared" si="99"/>
        <v>5729.1900000000005</v>
      </c>
      <c r="Q461" s="205">
        <f t="shared" si="100"/>
        <v>5729.1900000000005</v>
      </c>
      <c r="R461" s="205"/>
      <c r="S461" s="205">
        <f t="shared" si="101"/>
        <v>0</v>
      </c>
      <c r="T461" s="205">
        <f t="shared" si="102"/>
        <v>5729.1900000000005</v>
      </c>
      <c r="U461" s="205">
        <f t="shared" si="103"/>
        <v>37239.735000000001</v>
      </c>
    </row>
    <row r="462" spans="1:21" s="203" customFormat="1" ht="12" customHeight="1">
      <c r="C462" s="209">
        <v>201172</v>
      </c>
      <c r="D462" s="209">
        <v>624</v>
      </c>
      <c r="E462" s="203" t="s">
        <v>912</v>
      </c>
      <c r="F462" s="203">
        <v>2018</v>
      </c>
      <c r="G462" s="203">
        <v>6</v>
      </c>
      <c r="H462" s="203">
        <v>0</v>
      </c>
      <c r="I462" s="203" t="s">
        <v>52</v>
      </c>
      <c r="J462" s="210">
        <v>7</v>
      </c>
      <c r="K462" s="203">
        <f t="shared" si="95"/>
        <v>2025</v>
      </c>
      <c r="L462" s="204">
        <f t="shared" si="96"/>
        <v>2025.5</v>
      </c>
      <c r="M462" s="205">
        <v>33629.019999999997</v>
      </c>
      <c r="N462" s="205">
        <f t="shared" si="97"/>
        <v>33629.019999999997</v>
      </c>
      <c r="O462" s="205">
        <f t="shared" si="98"/>
        <v>400.34547619047612</v>
      </c>
      <c r="P462" s="205">
        <f t="shared" si="99"/>
        <v>4804.1457142857134</v>
      </c>
      <c r="Q462" s="205">
        <f t="shared" si="100"/>
        <v>4804.1457142857134</v>
      </c>
      <c r="R462" s="205"/>
      <c r="S462" s="205">
        <f t="shared" si="101"/>
        <v>0</v>
      </c>
      <c r="T462" s="205">
        <f t="shared" si="102"/>
        <v>4804.1457142857134</v>
      </c>
      <c r="U462" s="205">
        <f t="shared" si="103"/>
        <v>31226.947142857141</v>
      </c>
    </row>
    <row r="463" spans="1:21" ht="13.5" customHeight="1">
      <c r="M463" s="230"/>
      <c r="N463" s="230"/>
      <c r="O463" s="230"/>
      <c r="P463" s="230"/>
      <c r="Q463" s="230"/>
      <c r="R463" s="230"/>
      <c r="S463" s="230"/>
      <c r="T463" s="230"/>
      <c r="U463" s="230"/>
    </row>
    <row r="464" spans="1:21" ht="12" customHeight="1">
      <c r="C464" s="181" t="s">
        <v>1027</v>
      </c>
      <c r="D464" s="181">
        <f>SUM(D438:D463)</f>
        <v>12342</v>
      </c>
      <c r="E464" s="169"/>
      <c r="F464" s="169"/>
      <c r="G464" s="169"/>
      <c r="H464" s="169"/>
      <c r="I464" s="169"/>
      <c r="J464" s="179"/>
      <c r="K464" s="169"/>
      <c r="L464" s="180"/>
      <c r="M464" s="171">
        <f t="shared" ref="M464:U464" si="104">SUM(M438:M463)</f>
        <v>566519.85000000009</v>
      </c>
      <c r="N464" s="171">
        <f t="shared" si="104"/>
        <v>566519.85000000009</v>
      </c>
      <c r="O464" s="171">
        <f t="shared" si="104"/>
        <v>6873.2540567765564</v>
      </c>
      <c r="P464" s="171">
        <f t="shared" si="104"/>
        <v>82479.048681318687</v>
      </c>
      <c r="Q464" s="171">
        <f t="shared" si="104"/>
        <v>82479.048681318687</v>
      </c>
      <c r="R464" s="171">
        <f t="shared" si="104"/>
        <v>0</v>
      </c>
      <c r="S464" s="171">
        <f t="shared" si="104"/>
        <v>0</v>
      </c>
      <c r="T464" s="171">
        <f t="shared" si="104"/>
        <v>82479.048681318687</v>
      </c>
      <c r="U464" s="171">
        <f t="shared" si="104"/>
        <v>525280.3256593406</v>
      </c>
    </row>
    <row r="465" spans="1:21" ht="12" customHeight="1">
      <c r="M465" s="230"/>
      <c r="N465" s="230"/>
      <c r="O465" s="230"/>
      <c r="P465" s="230"/>
      <c r="Q465" s="230"/>
      <c r="R465" s="230"/>
      <c r="S465" s="230"/>
      <c r="T465" s="230"/>
      <c r="U465" s="230"/>
    </row>
    <row r="466" spans="1:21" s="1" customFormat="1" ht="12" customHeight="1">
      <c r="C466" s="176"/>
      <c r="D466" s="176"/>
      <c r="E466" s="1" t="s">
        <v>1036</v>
      </c>
      <c r="J466" s="7"/>
      <c r="L466" s="177"/>
      <c r="M466" s="178"/>
      <c r="N466" s="178"/>
      <c r="O466" s="178"/>
      <c r="P466" s="178"/>
      <c r="Q466" s="178"/>
      <c r="R466" s="178"/>
      <c r="S466" s="178"/>
      <c r="T466" s="178"/>
      <c r="U466" s="178"/>
    </row>
    <row r="467" spans="1:21" ht="12" customHeight="1">
      <c r="M467" s="230"/>
      <c r="N467" s="230"/>
      <c r="O467" s="230"/>
      <c r="P467" s="230"/>
      <c r="Q467" s="230"/>
      <c r="R467" s="230"/>
      <c r="S467" s="230"/>
      <c r="T467" s="230"/>
      <c r="U467" s="230"/>
    </row>
    <row r="468" spans="1:21" ht="12" customHeight="1">
      <c r="A468" s="3" t="s">
        <v>40</v>
      </c>
      <c r="C468" s="32">
        <v>166867</v>
      </c>
      <c r="D468" s="32">
        <v>624</v>
      </c>
      <c r="E468" s="3" t="s">
        <v>297</v>
      </c>
      <c r="F468" s="3">
        <v>2016</v>
      </c>
      <c r="G468" s="3">
        <v>6</v>
      </c>
      <c r="H468" s="3">
        <v>0</v>
      </c>
      <c r="I468" s="3" t="s">
        <v>52</v>
      </c>
      <c r="J468" s="175">
        <v>7</v>
      </c>
      <c r="K468" s="3">
        <f t="shared" ref="K468:K479" si="105">F468+J468</f>
        <v>2023</v>
      </c>
      <c r="L468" s="172">
        <f t="shared" ref="L468:L479" si="106">+K468+(G468/12)</f>
        <v>2023.5</v>
      </c>
      <c r="M468" s="230">
        <v>31693.79</v>
      </c>
      <c r="N468" s="230">
        <f t="shared" ref="N468:N479" si="107">M468-M468*H468</f>
        <v>31693.79</v>
      </c>
      <c r="O468" s="230">
        <f t="shared" ref="O468:O479" si="108">N468/J468/12</f>
        <v>377.3070238095238</v>
      </c>
      <c r="P468" s="230">
        <f t="shared" ref="P468:P479" si="109">+O468*12</f>
        <v>4527.6842857142856</v>
      </c>
      <c r="Q468" s="230">
        <f t="shared" ref="Q468:Q479" si="110">+IF(L468&lt;=$N$5,0,IF(K468&gt;$N$4,P468,(O468*G468)))</f>
        <v>4527.6842857142856</v>
      </c>
      <c r="R468" s="230"/>
      <c r="S468" s="230">
        <f t="shared" ref="S468:S479" si="111">+IF(Q468=0,M468,IF($N$3-F468&lt;1,0,(($N$3-F468)*P468)))</f>
        <v>4527.6842857142856</v>
      </c>
      <c r="T468" s="230">
        <f t="shared" ref="T468:T479" si="112">+IF(Q468=0,S468,S468+Q468)</f>
        <v>9055.3685714285712</v>
      </c>
      <c r="U468" s="230">
        <f t="shared" ref="U468:U479" si="113">+IF(Q468=0,0,((M468-S468)+(M468-T468))/2)</f>
        <v>24902.263571428572</v>
      </c>
    </row>
    <row r="469" spans="1:21" ht="12" customHeight="1">
      <c r="A469" s="3" t="s">
        <v>40</v>
      </c>
      <c r="C469" s="32">
        <v>166868</v>
      </c>
      <c r="D469" s="32">
        <v>624</v>
      </c>
      <c r="E469" s="3" t="s">
        <v>297</v>
      </c>
      <c r="F469" s="3">
        <v>2016</v>
      </c>
      <c r="G469" s="3">
        <v>6</v>
      </c>
      <c r="H469" s="3">
        <v>0</v>
      </c>
      <c r="I469" s="3" t="s">
        <v>52</v>
      </c>
      <c r="J469" s="175">
        <v>7</v>
      </c>
      <c r="K469" s="3">
        <f t="shared" si="105"/>
        <v>2023</v>
      </c>
      <c r="L469" s="172">
        <f t="shared" si="106"/>
        <v>2023.5</v>
      </c>
      <c r="M469" s="230">
        <v>31693.8</v>
      </c>
      <c r="N469" s="230">
        <f t="shared" si="107"/>
        <v>31693.8</v>
      </c>
      <c r="O469" s="230">
        <f t="shared" si="108"/>
        <v>377.30714285714288</v>
      </c>
      <c r="P469" s="230">
        <f t="shared" si="109"/>
        <v>4527.6857142857143</v>
      </c>
      <c r="Q469" s="230">
        <f t="shared" si="110"/>
        <v>4527.6857142857143</v>
      </c>
      <c r="R469" s="230"/>
      <c r="S469" s="230">
        <f t="shared" si="111"/>
        <v>4527.6857142857143</v>
      </c>
      <c r="T469" s="230">
        <f t="shared" si="112"/>
        <v>9055.3714285714286</v>
      </c>
      <c r="U469" s="230">
        <f t="shared" si="113"/>
        <v>24902.271428571428</v>
      </c>
    </row>
    <row r="470" spans="1:21" ht="12" customHeight="1">
      <c r="A470" s="3" t="s">
        <v>415</v>
      </c>
      <c r="C470" s="32">
        <v>173327</v>
      </c>
      <c r="D470" s="32">
        <v>702</v>
      </c>
      <c r="E470" s="3" t="s">
        <v>112</v>
      </c>
      <c r="F470" s="3">
        <v>2016</v>
      </c>
      <c r="G470" s="3">
        <v>9</v>
      </c>
      <c r="H470" s="3">
        <v>0</v>
      </c>
      <c r="I470" s="3" t="s">
        <v>52</v>
      </c>
      <c r="J470" s="175">
        <v>7</v>
      </c>
      <c r="K470" s="3">
        <f t="shared" si="105"/>
        <v>2023</v>
      </c>
      <c r="L470" s="172">
        <f t="shared" si="106"/>
        <v>2023.75</v>
      </c>
      <c r="M470" s="230">
        <v>35858.47</v>
      </c>
      <c r="N470" s="230">
        <f t="shared" si="107"/>
        <v>35858.47</v>
      </c>
      <c r="O470" s="230">
        <f t="shared" si="108"/>
        <v>426.88654761904763</v>
      </c>
      <c r="P470" s="230">
        <f t="shared" si="109"/>
        <v>5122.6385714285716</v>
      </c>
      <c r="Q470" s="230">
        <f t="shared" si="110"/>
        <v>5122.6385714285716</v>
      </c>
      <c r="R470" s="230"/>
      <c r="S470" s="230">
        <f t="shared" si="111"/>
        <v>5122.6385714285716</v>
      </c>
      <c r="T470" s="230">
        <f t="shared" si="112"/>
        <v>10245.277142857143</v>
      </c>
      <c r="U470" s="230">
        <f t="shared" si="113"/>
        <v>28174.512142857144</v>
      </c>
    </row>
    <row r="471" spans="1:21" ht="12" customHeight="1">
      <c r="C471" s="32">
        <v>184821</v>
      </c>
      <c r="D471" s="32">
        <v>624</v>
      </c>
      <c r="E471" s="3" t="s">
        <v>518</v>
      </c>
      <c r="F471" s="3">
        <v>2017</v>
      </c>
      <c r="G471" s="3">
        <v>4</v>
      </c>
      <c r="H471" s="3">
        <v>0</v>
      </c>
      <c r="I471" s="3" t="s">
        <v>52</v>
      </c>
      <c r="J471" s="175">
        <v>7</v>
      </c>
      <c r="K471" s="3">
        <f t="shared" si="105"/>
        <v>2024</v>
      </c>
      <c r="L471" s="172">
        <f t="shared" si="106"/>
        <v>2024.3333333333333</v>
      </c>
      <c r="M471" s="230">
        <v>32760.57</v>
      </c>
      <c r="N471" s="230">
        <f t="shared" si="107"/>
        <v>32760.57</v>
      </c>
      <c r="O471" s="230">
        <f t="shared" si="108"/>
        <v>390.00678571428574</v>
      </c>
      <c r="P471" s="230">
        <f t="shared" si="109"/>
        <v>4680.0814285714287</v>
      </c>
      <c r="Q471" s="230">
        <f t="shared" si="110"/>
        <v>4680.0814285714287</v>
      </c>
      <c r="R471" s="230"/>
      <c r="S471" s="230">
        <f t="shared" si="111"/>
        <v>0</v>
      </c>
      <c r="T471" s="230">
        <f t="shared" si="112"/>
        <v>4680.0814285714287</v>
      </c>
      <c r="U471" s="230">
        <f t="shared" si="113"/>
        <v>30420.529285714285</v>
      </c>
    </row>
    <row r="472" spans="1:21" ht="12" customHeight="1">
      <c r="C472" s="32">
        <v>179047</v>
      </c>
      <c r="D472" s="32">
        <v>624</v>
      </c>
      <c r="E472" s="3" t="s">
        <v>518</v>
      </c>
      <c r="F472" s="3">
        <v>2017</v>
      </c>
      <c r="G472" s="3">
        <v>1</v>
      </c>
      <c r="H472" s="3">
        <v>0</v>
      </c>
      <c r="I472" s="3" t="s">
        <v>52</v>
      </c>
      <c r="J472" s="175">
        <v>7</v>
      </c>
      <c r="K472" s="3">
        <f t="shared" si="105"/>
        <v>2024</v>
      </c>
      <c r="L472" s="172">
        <f t="shared" si="106"/>
        <v>2024.0833333333333</v>
      </c>
      <c r="M472" s="230">
        <v>31928.87</v>
      </c>
      <c r="N472" s="230">
        <f t="shared" si="107"/>
        <v>31928.87</v>
      </c>
      <c r="O472" s="230">
        <f t="shared" si="108"/>
        <v>380.10559523809525</v>
      </c>
      <c r="P472" s="230">
        <f t="shared" si="109"/>
        <v>4561.267142857143</v>
      </c>
      <c r="Q472" s="230">
        <f t="shared" si="110"/>
        <v>4561.267142857143</v>
      </c>
      <c r="R472" s="230"/>
      <c r="S472" s="230">
        <f t="shared" si="111"/>
        <v>0</v>
      </c>
      <c r="T472" s="230">
        <f t="shared" si="112"/>
        <v>4561.267142857143</v>
      </c>
      <c r="U472" s="230">
        <f t="shared" si="113"/>
        <v>29648.236428571428</v>
      </c>
    </row>
    <row r="473" spans="1:21" ht="12" customHeight="1">
      <c r="C473" s="32">
        <v>189447</v>
      </c>
      <c r="D473" s="32">
        <v>312</v>
      </c>
      <c r="E473" s="3" t="s">
        <v>554</v>
      </c>
      <c r="F473" s="3">
        <v>2017</v>
      </c>
      <c r="G473" s="3">
        <v>9</v>
      </c>
      <c r="H473" s="3">
        <v>0</v>
      </c>
      <c r="I473" s="3" t="s">
        <v>52</v>
      </c>
      <c r="J473" s="175">
        <v>7</v>
      </c>
      <c r="K473" s="3">
        <f t="shared" si="105"/>
        <v>2024</v>
      </c>
      <c r="L473" s="172">
        <f t="shared" si="106"/>
        <v>2024.75</v>
      </c>
      <c r="M473" s="230">
        <v>16446.68</v>
      </c>
      <c r="N473" s="230">
        <f t="shared" si="107"/>
        <v>16446.68</v>
      </c>
      <c r="O473" s="230">
        <f t="shared" si="108"/>
        <v>195.79380952380953</v>
      </c>
      <c r="P473" s="230">
        <f t="shared" si="109"/>
        <v>2349.5257142857145</v>
      </c>
      <c r="Q473" s="230">
        <f t="shared" si="110"/>
        <v>2349.5257142857145</v>
      </c>
      <c r="R473" s="230"/>
      <c r="S473" s="230">
        <f t="shared" si="111"/>
        <v>0</v>
      </c>
      <c r="T473" s="230">
        <f t="shared" si="112"/>
        <v>2349.5257142857145</v>
      </c>
      <c r="U473" s="230">
        <f t="shared" si="113"/>
        <v>15271.917142857143</v>
      </c>
    </row>
    <row r="474" spans="1:21" ht="12" customHeight="1">
      <c r="C474" s="32">
        <v>189445</v>
      </c>
      <c r="D474" s="32">
        <v>624</v>
      </c>
      <c r="E474" s="3" t="s">
        <v>556</v>
      </c>
      <c r="F474" s="3">
        <v>2017</v>
      </c>
      <c r="G474" s="3">
        <v>7</v>
      </c>
      <c r="H474" s="3">
        <v>0</v>
      </c>
      <c r="I474" s="3" t="s">
        <v>52</v>
      </c>
      <c r="J474" s="175">
        <v>7</v>
      </c>
      <c r="K474" s="3">
        <f t="shared" si="105"/>
        <v>2024</v>
      </c>
      <c r="L474" s="172">
        <f t="shared" si="106"/>
        <v>2024.5833333333333</v>
      </c>
      <c r="M474" s="230">
        <v>32408.89</v>
      </c>
      <c r="N474" s="230">
        <f t="shared" si="107"/>
        <v>32408.89</v>
      </c>
      <c r="O474" s="230">
        <f t="shared" si="108"/>
        <v>385.82011904761907</v>
      </c>
      <c r="P474" s="230">
        <f t="shared" si="109"/>
        <v>4629.8414285714289</v>
      </c>
      <c r="Q474" s="230">
        <f t="shared" si="110"/>
        <v>4629.8414285714289</v>
      </c>
      <c r="R474" s="230"/>
      <c r="S474" s="230">
        <f t="shared" si="111"/>
        <v>0</v>
      </c>
      <c r="T474" s="230">
        <f t="shared" si="112"/>
        <v>4629.8414285714289</v>
      </c>
      <c r="U474" s="230">
        <f t="shared" si="113"/>
        <v>30093.969285714287</v>
      </c>
    </row>
    <row r="475" spans="1:21" ht="12.75" customHeight="1">
      <c r="A475" s="3" t="s">
        <v>679</v>
      </c>
      <c r="C475" s="32">
        <v>176924</v>
      </c>
      <c r="D475" s="32">
        <v>100</v>
      </c>
      <c r="E475" s="3" t="s">
        <v>850</v>
      </c>
      <c r="F475" s="3">
        <v>2017</v>
      </c>
      <c r="G475" s="3">
        <v>1</v>
      </c>
      <c r="H475" s="3">
        <v>0</v>
      </c>
      <c r="I475" s="3" t="s">
        <v>52</v>
      </c>
      <c r="J475" s="175">
        <v>7</v>
      </c>
      <c r="K475" s="3">
        <f t="shared" si="105"/>
        <v>2024</v>
      </c>
      <c r="L475" s="172">
        <f t="shared" si="106"/>
        <v>2024.0833333333333</v>
      </c>
      <c r="M475" s="230">
        <v>5137.42</v>
      </c>
      <c r="N475" s="230">
        <f t="shared" si="107"/>
        <v>5137.42</v>
      </c>
      <c r="O475" s="230">
        <f t="shared" si="108"/>
        <v>61.159761904761901</v>
      </c>
      <c r="P475" s="230">
        <f t="shared" si="109"/>
        <v>733.91714285714284</v>
      </c>
      <c r="Q475" s="230">
        <f t="shared" si="110"/>
        <v>733.91714285714284</v>
      </c>
      <c r="R475" s="230"/>
      <c r="S475" s="230">
        <f t="shared" si="111"/>
        <v>0</v>
      </c>
      <c r="T475" s="230">
        <f t="shared" si="112"/>
        <v>733.91714285714284</v>
      </c>
      <c r="U475" s="230">
        <f t="shared" si="113"/>
        <v>4770.4614285714288</v>
      </c>
    </row>
    <row r="476" spans="1:21" ht="12" customHeight="1">
      <c r="C476" s="32">
        <v>194937</v>
      </c>
      <c r="D476" s="32">
        <v>624</v>
      </c>
      <c r="E476" s="3" t="s">
        <v>518</v>
      </c>
      <c r="F476" s="3">
        <v>2018</v>
      </c>
      <c r="G476" s="3">
        <v>2</v>
      </c>
      <c r="H476" s="3">
        <v>0</v>
      </c>
      <c r="I476" s="3" t="s">
        <v>52</v>
      </c>
      <c r="J476" s="175">
        <v>7</v>
      </c>
      <c r="K476" s="3">
        <f t="shared" si="105"/>
        <v>2025</v>
      </c>
      <c r="L476" s="172">
        <f t="shared" si="106"/>
        <v>2025.1666666666667</v>
      </c>
      <c r="M476" s="230">
        <v>33120.080000000002</v>
      </c>
      <c r="N476" s="230">
        <f t="shared" si="107"/>
        <v>33120.080000000002</v>
      </c>
      <c r="O476" s="230">
        <f t="shared" si="108"/>
        <v>394.28666666666669</v>
      </c>
      <c r="P476" s="230">
        <f t="shared" si="109"/>
        <v>4731.4400000000005</v>
      </c>
      <c r="Q476" s="230">
        <f t="shared" si="110"/>
        <v>4731.4400000000005</v>
      </c>
      <c r="R476" s="230"/>
      <c r="S476" s="230">
        <f t="shared" si="111"/>
        <v>0</v>
      </c>
      <c r="T476" s="230">
        <f t="shared" si="112"/>
        <v>4731.4400000000005</v>
      </c>
      <c r="U476" s="230">
        <f t="shared" si="113"/>
        <v>30754.36</v>
      </c>
    </row>
    <row r="477" spans="1:21" ht="12" customHeight="1">
      <c r="C477" s="32">
        <v>194935</v>
      </c>
      <c r="D477" s="32">
        <v>624</v>
      </c>
      <c r="E477" s="3" t="s">
        <v>520</v>
      </c>
      <c r="F477" s="3">
        <v>2018</v>
      </c>
      <c r="G477" s="3">
        <v>1</v>
      </c>
      <c r="H477" s="3">
        <v>0</v>
      </c>
      <c r="I477" s="3" t="s">
        <v>52</v>
      </c>
      <c r="J477" s="175">
        <v>6.1</v>
      </c>
      <c r="K477" s="3">
        <f t="shared" si="105"/>
        <v>2024.1</v>
      </c>
      <c r="L477" s="172">
        <f t="shared" si="106"/>
        <v>2024.1833333333332</v>
      </c>
      <c r="M477" s="230">
        <v>32987.93</v>
      </c>
      <c r="N477" s="230">
        <f t="shared" si="107"/>
        <v>32987.93</v>
      </c>
      <c r="O477" s="230">
        <f t="shared" si="108"/>
        <v>450.654781420765</v>
      </c>
      <c r="P477" s="230">
        <f t="shared" si="109"/>
        <v>5407.8573770491803</v>
      </c>
      <c r="Q477" s="230">
        <f t="shared" si="110"/>
        <v>5407.8573770491803</v>
      </c>
      <c r="R477" s="230"/>
      <c r="S477" s="230">
        <f t="shared" si="111"/>
        <v>0</v>
      </c>
      <c r="T477" s="230">
        <f t="shared" si="112"/>
        <v>5407.8573770491803</v>
      </c>
      <c r="U477" s="230">
        <f t="shared" si="113"/>
        <v>30284.001311475411</v>
      </c>
    </row>
    <row r="478" spans="1:21" ht="12" customHeight="1">
      <c r="C478" s="32">
        <v>199443</v>
      </c>
      <c r="D478" s="32">
        <v>624</v>
      </c>
      <c r="E478" s="3" t="s">
        <v>550</v>
      </c>
      <c r="F478" s="3">
        <v>2018</v>
      </c>
      <c r="G478" s="3">
        <v>4</v>
      </c>
      <c r="H478" s="3">
        <v>0</v>
      </c>
      <c r="I478" s="3" t="s">
        <v>52</v>
      </c>
      <c r="J478" s="175">
        <v>7</v>
      </c>
      <c r="K478" s="3">
        <f t="shared" si="105"/>
        <v>2025</v>
      </c>
      <c r="L478" s="172">
        <f t="shared" si="106"/>
        <v>2025.3333333333333</v>
      </c>
      <c r="M478" s="230">
        <v>33245.019999999997</v>
      </c>
      <c r="N478" s="230">
        <f t="shared" si="107"/>
        <v>33245.019999999997</v>
      </c>
      <c r="O478" s="230">
        <f t="shared" si="108"/>
        <v>395.77404761904762</v>
      </c>
      <c r="P478" s="230">
        <f t="shared" si="109"/>
        <v>4749.2885714285712</v>
      </c>
      <c r="Q478" s="230">
        <f t="shared" si="110"/>
        <v>4749.2885714285712</v>
      </c>
      <c r="R478" s="230"/>
      <c r="S478" s="230">
        <f t="shared" si="111"/>
        <v>0</v>
      </c>
      <c r="T478" s="230">
        <f t="shared" si="112"/>
        <v>4749.2885714285712</v>
      </c>
      <c r="U478" s="230">
        <f t="shared" si="113"/>
        <v>30870.37571428571</v>
      </c>
    </row>
    <row r="479" spans="1:21" ht="12" customHeight="1">
      <c r="C479" s="32">
        <v>196548</v>
      </c>
      <c r="D479" s="32">
        <v>624</v>
      </c>
      <c r="E479" s="3" t="s">
        <v>551</v>
      </c>
      <c r="F479" s="3">
        <v>2018</v>
      </c>
      <c r="G479" s="3">
        <v>3</v>
      </c>
      <c r="H479" s="3">
        <v>0</v>
      </c>
      <c r="I479" s="3" t="s">
        <v>52</v>
      </c>
      <c r="J479" s="175">
        <v>7</v>
      </c>
      <c r="K479" s="3">
        <f t="shared" si="105"/>
        <v>2025</v>
      </c>
      <c r="L479" s="172">
        <f t="shared" si="106"/>
        <v>2025.25</v>
      </c>
      <c r="M479" s="230">
        <v>33263.65</v>
      </c>
      <c r="N479" s="230">
        <f t="shared" si="107"/>
        <v>33263.65</v>
      </c>
      <c r="O479" s="230">
        <f t="shared" si="108"/>
        <v>395.99583333333334</v>
      </c>
      <c r="P479" s="230">
        <f t="shared" si="109"/>
        <v>4751.95</v>
      </c>
      <c r="Q479" s="230">
        <f t="shared" si="110"/>
        <v>4751.95</v>
      </c>
      <c r="R479" s="230"/>
      <c r="S479" s="230">
        <f t="shared" si="111"/>
        <v>0</v>
      </c>
      <c r="T479" s="230">
        <f t="shared" si="112"/>
        <v>4751.95</v>
      </c>
      <c r="U479" s="230">
        <f t="shared" si="113"/>
        <v>30887.675000000003</v>
      </c>
    </row>
    <row r="480" spans="1:21">
      <c r="M480" s="230"/>
      <c r="N480" s="230"/>
      <c r="O480" s="230"/>
      <c r="P480" s="230"/>
      <c r="Q480" s="230"/>
      <c r="R480" s="230"/>
      <c r="S480" s="230"/>
      <c r="T480" s="230"/>
      <c r="U480" s="230"/>
    </row>
    <row r="481" spans="3:21" ht="12" customHeight="1">
      <c r="M481" s="230"/>
      <c r="N481" s="230"/>
      <c r="O481" s="230"/>
      <c r="P481" s="230"/>
      <c r="Q481" s="230"/>
      <c r="R481" s="230"/>
      <c r="S481" s="230"/>
      <c r="T481" s="230"/>
      <c r="U481" s="230"/>
    </row>
    <row r="482" spans="3:21" ht="12" customHeight="1">
      <c r="C482" s="181" t="s">
        <v>1027</v>
      </c>
      <c r="D482" s="181">
        <f>SUM(D468:D481)</f>
        <v>6730</v>
      </c>
      <c r="E482" s="169"/>
      <c r="F482" s="169"/>
      <c r="G482" s="169"/>
      <c r="H482" s="169"/>
      <c r="I482" s="169"/>
      <c r="J482" s="179"/>
      <c r="K482" s="169"/>
      <c r="L482" s="180"/>
      <c r="M482" s="171">
        <f t="shared" ref="M482:U482" si="114">SUM(M468:M481)</f>
        <v>350545.17000000004</v>
      </c>
      <c r="N482" s="171">
        <f t="shared" si="114"/>
        <v>350545.17000000004</v>
      </c>
      <c r="O482" s="171">
        <f t="shared" si="114"/>
        <v>4231.0981147540988</v>
      </c>
      <c r="P482" s="171">
        <f t="shared" si="114"/>
        <v>50773.177377049178</v>
      </c>
      <c r="Q482" s="171">
        <f t="shared" si="114"/>
        <v>50773.177377049178</v>
      </c>
      <c r="R482" s="171">
        <f t="shared" si="114"/>
        <v>0</v>
      </c>
      <c r="S482" s="171">
        <f t="shared" si="114"/>
        <v>14178.008571428571</v>
      </c>
      <c r="T482" s="171">
        <f t="shared" si="114"/>
        <v>64951.185948477752</v>
      </c>
      <c r="U482" s="171">
        <f t="shared" si="114"/>
        <v>310980.57274004683</v>
      </c>
    </row>
    <row r="483" spans="3:21" ht="12" customHeight="1">
      <c r="M483" s="230"/>
      <c r="N483" s="230"/>
      <c r="O483" s="230"/>
      <c r="P483" s="230"/>
      <c r="Q483" s="230"/>
      <c r="R483" s="230"/>
      <c r="S483" s="230"/>
      <c r="T483" s="230"/>
      <c r="U483" s="230"/>
    </row>
    <row r="484" spans="3:21" ht="12" customHeight="1">
      <c r="C484" s="181" t="s">
        <v>341</v>
      </c>
      <c r="D484" s="181">
        <f>D382+D388+D482+D434+D423+D464</f>
        <v>97791</v>
      </c>
      <c r="E484" s="169"/>
      <c r="F484" s="169"/>
      <c r="G484" s="169"/>
      <c r="H484" s="169"/>
      <c r="I484" s="169"/>
      <c r="J484" s="179"/>
      <c r="K484" s="169"/>
      <c r="L484" s="180"/>
      <c r="M484" s="171">
        <f>M382+M388+M482+M434+M423+M464</f>
        <v>9844474.8499999978</v>
      </c>
      <c r="N484" s="171">
        <f t="shared" ref="N484:U484" si="115">N382+N388+N482+N434+N423+N464</f>
        <v>9844474.8499999978</v>
      </c>
      <c r="O484" s="171">
        <f t="shared" si="115"/>
        <v>89774.980967165568</v>
      </c>
      <c r="P484" s="171">
        <f t="shared" si="115"/>
        <v>1077299.7716059871</v>
      </c>
      <c r="Q484" s="171">
        <f t="shared" si="115"/>
        <v>856624.66915360582</v>
      </c>
      <c r="R484" s="171">
        <f t="shared" si="115"/>
        <v>0</v>
      </c>
      <c r="S484" s="171">
        <f t="shared" si="115"/>
        <v>3562822.6374047617</v>
      </c>
      <c r="T484" s="171">
        <f t="shared" si="115"/>
        <v>4419447.3065583687</v>
      </c>
      <c r="U484" s="171">
        <f t="shared" si="115"/>
        <v>5853339.8780184351</v>
      </c>
    </row>
    <row r="485" spans="3:21" ht="12" customHeight="1">
      <c r="M485" s="230"/>
      <c r="N485" s="230"/>
      <c r="O485" s="230"/>
      <c r="P485" s="230"/>
      <c r="Q485" s="230"/>
      <c r="R485" s="230"/>
      <c r="S485" s="230"/>
      <c r="T485" s="230"/>
      <c r="U485" s="230"/>
    </row>
    <row r="486" spans="3:21">
      <c r="M486" s="230"/>
      <c r="N486" s="230"/>
      <c r="O486" s="230"/>
      <c r="P486" s="230"/>
      <c r="Q486" s="230"/>
      <c r="R486" s="230"/>
      <c r="S486" s="230"/>
      <c r="T486" s="230"/>
      <c r="U486" s="230"/>
    </row>
    <row r="487" spans="3:21">
      <c r="M487" s="170"/>
      <c r="N487" s="170"/>
      <c r="O487" s="170"/>
      <c r="P487" s="170"/>
      <c r="Q487" s="170"/>
      <c r="R487" s="170"/>
      <c r="S487" s="170"/>
      <c r="T487" s="170"/>
      <c r="U487" s="170"/>
    </row>
    <row r="488" spans="3:21">
      <c r="M488" s="170"/>
      <c r="N488" s="170"/>
      <c r="O488" s="170"/>
      <c r="P488" s="170"/>
      <c r="Q488" s="170"/>
      <c r="R488" s="170"/>
      <c r="S488" s="170"/>
      <c r="T488" s="170"/>
      <c r="U488" s="170"/>
    </row>
    <row r="489" spans="3:21">
      <c r="M489" s="170"/>
      <c r="N489" s="170"/>
      <c r="O489" s="170"/>
      <c r="P489" s="170"/>
      <c r="Q489" s="170"/>
      <c r="R489" s="170"/>
      <c r="S489" s="170"/>
      <c r="T489" s="170"/>
      <c r="U489" s="170"/>
    </row>
    <row r="490" spans="3:21">
      <c r="M490" s="170"/>
      <c r="N490" s="170"/>
      <c r="O490" s="170"/>
      <c r="P490" s="170"/>
      <c r="Q490" s="170"/>
      <c r="R490" s="170"/>
      <c r="S490" s="170"/>
      <c r="T490" s="170"/>
      <c r="U490" s="170"/>
    </row>
    <row r="491" spans="3:21">
      <c r="M491" s="170"/>
      <c r="N491" s="170"/>
      <c r="O491" s="170"/>
      <c r="P491" s="170"/>
      <c r="Q491" s="170"/>
      <c r="R491" s="170"/>
      <c r="S491" s="170"/>
      <c r="T491" s="170"/>
      <c r="U491" s="170"/>
    </row>
    <row r="492" spans="3:21">
      <c r="M492" s="170"/>
      <c r="N492" s="170"/>
      <c r="O492" s="170"/>
      <c r="P492" s="170"/>
      <c r="Q492" s="170"/>
      <c r="R492" s="170"/>
      <c r="S492" s="170"/>
      <c r="T492" s="170"/>
      <c r="U492" s="170"/>
    </row>
    <row r="493" spans="3:21">
      <c r="M493" s="170"/>
      <c r="N493" s="170"/>
      <c r="O493" s="170"/>
      <c r="P493" s="170"/>
      <c r="Q493" s="170"/>
      <c r="R493" s="170"/>
      <c r="S493" s="170"/>
      <c r="T493" s="170"/>
      <c r="U493" s="170"/>
    </row>
    <row r="494" spans="3:21">
      <c r="M494" s="170"/>
      <c r="N494" s="170"/>
      <c r="O494" s="170"/>
      <c r="P494" s="170"/>
      <c r="Q494" s="170"/>
      <c r="R494" s="170"/>
      <c r="S494" s="170"/>
      <c r="T494" s="170"/>
      <c r="U494" s="170"/>
    </row>
    <row r="495" spans="3:21">
      <c r="M495" s="170"/>
      <c r="N495" s="170"/>
      <c r="O495" s="170"/>
      <c r="P495" s="170"/>
      <c r="Q495" s="170"/>
      <c r="R495" s="170"/>
      <c r="S495" s="170"/>
      <c r="T495" s="170"/>
      <c r="U495" s="170"/>
    </row>
  </sheetData>
  <mergeCells count="1">
    <mergeCell ref="F9:G9"/>
  </mergeCells>
  <phoneticPr fontId="0" type="noConversion"/>
  <pageMargins left="0.5" right="0.5" top="0.5" bottom="0.55000000000000004" header="0.5" footer="0.5"/>
  <pageSetup scale="47" fitToHeight="0" orientation="landscape" r:id="rId1"/>
  <headerFooter alignWithMargins="0">
    <oddFooter>Page &amp;P of &amp;N</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9" tint="-0.249977111117893"/>
    <pageSetUpPr fitToPage="1"/>
  </sheetPr>
  <dimension ref="A1:V155"/>
  <sheetViews>
    <sheetView showGridLines="0" view="pageBreakPreview" zoomScale="60" zoomScaleNormal="85" workbookViewId="0">
      <pane xSplit="4" ySplit="11" topLeftCell="E12" activePane="bottomRight" state="frozen"/>
      <selection pane="topRight"/>
      <selection pane="bottomLeft"/>
      <selection pane="bottomRight"/>
    </sheetView>
  </sheetViews>
  <sheetFormatPr defaultRowHeight="15"/>
  <cols>
    <col min="1" max="1" width="5.88671875" style="3" customWidth="1"/>
    <col min="2" max="2" width="7" style="32" customWidth="1"/>
    <col min="3" max="3" width="7.6640625" style="32" bestFit="1" customWidth="1"/>
    <col min="4" max="4" width="7.21875" style="3" customWidth="1"/>
    <col min="5" max="5" width="34.21875" style="3" bestFit="1" customWidth="1"/>
    <col min="6" max="6" width="8" style="3" customWidth="1"/>
    <col min="7" max="7" width="4.44140625" style="3" customWidth="1"/>
    <col min="8" max="8" width="5.88671875" style="3" customWidth="1"/>
    <col min="9" max="9" width="6.33203125" style="3" customWidth="1"/>
    <col min="10" max="10" width="5.33203125" style="175" customWidth="1"/>
    <col min="11" max="11" width="6.88671875" style="3" customWidth="1"/>
    <col min="12" max="12" width="6.88671875" style="172" customWidth="1"/>
    <col min="13" max="13" width="11.88671875" style="3" customWidth="1"/>
    <col min="14" max="14" width="12.33203125" style="3" customWidth="1"/>
    <col min="15" max="15" width="9.109375" style="3" customWidth="1"/>
    <col min="16" max="16" width="11.21875" style="3" customWidth="1"/>
    <col min="17" max="17" width="9" style="3" bestFit="1" customWidth="1"/>
    <col min="18" max="18" width="2" style="3" customWidth="1"/>
    <col min="19" max="19" width="12.6640625" style="3" customWidth="1"/>
    <col min="20" max="20" width="11.88671875" style="3" customWidth="1"/>
    <col min="21" max="21" width="10.44140625" style="3" customWidth="1"/>
    <col min="22" max="16384" width="8.88671875" style="3"/>
  </cols>
  <sheetData>
    <row r="1" spans="1:22" s="195" customFormat="1">
      <c r="B1" s="176"/>
      <c r="C1" s="176"/>
      <c r="E1" s="195" t="s">
        <v>101</v>
      </c>
      <c r="J1" s="212" t="s">
        <v>608</v>
      </c>
      <c r="K1" s="198"/>
      <c r="L1" s="198"/>
      <c r="N1" s="195" t="s">
        <v>266</v>
      </c>
    </row>
    <row r="2" spans="1:22" s="195" customFormat="1">
      <c r="B2" s="176"/>
      <c r="C2" s="176"/>
      <c r="E2" s="195" t="s">
        <v>0</v>
      </c>
      <c r="J2" s="198"/>
      <c r="K2" s="198"/>
      <c r="L2" s="198"/>
      <c r="N2" s="189">
        <f>'2111 Trks'!N2</f>
        <v>1</v>
      </c>
      <c r="O2" s="195" t="s">
        <v>1</v>
      </c>
    </row>
    <row r="3" spans="1:22" s="195" customFormat="1">
      <c r="B3" s="176"/>
      <c r="C3" s="176"/>
      <c r="E3" s="185">
        <f>Summary!H5</f>
        <v>43373</v>
      </c>
      <c r="J3" s="198"/>
      <c r="K3" s="198"/>
      <c r="L3" s="198"/>
      <c r="N3" s="189">
        <f>'2111 Trks'!N3</f>
        <v>2017</v>
      </c>
      <c r="O3" s="195" t="s">
        <v>3</v>
      </c>
    </row>
    <row r="4" spans="1:22" s="195" customFormat="1">
      <c r="B4" s="176"/>
      <c r="C4" s="176"/>
      <c r="J4" s="198"/>
      <c r="K4" s="198"/>
      <c r="L4" s="198"/>
      <c r="N4" s="189">
        <f>'2111 Trks'!N4</f>
        <v>2018</v>
      </c>
      <c r="O4" s="195" t="s">
        <v>6</v>
      </c>
    </row>
    <row r="5" spans="1:22" s="195" customFormat="1">
      <c r="B5" s="176"/>
      <c r="C5" s="176"/>
      <c r="J5" s="7"/>
      <c r="L5" s="177"/>
      <c r="N5" s="189">
        <f>'2111 Trks'!N5</f>
        <v>2019</v>
      </c>
      <c r="O5" s="195" t="s">
        <v>11</v>
      </c>
    </row>
    <row r="8" spans="1:22">
      <c r="S8" s="7" t="s">
        <v>18</v>
      </c>
      <c r="T8" s="7" t="s">
        <v>118</v>
      </c>
      <c r="U8" s="175"/>
    </row>
    <row r="9" spans="1:22" s="1" customFormat="1">
      <c r="B9" s="176"/>
      <c r="C9" s="176"/>
      <c r="D9" s="1" t="s">
        <v>57</v>
      </c>
      <c r="E9" s="1" t="s">
        <v>58</v>
      </c>
      <c r="F9" s="255" t="s">
        <v>603</v>
      </c>
      <c r="G9" s="255"/>
      <c r="H9" s="1" t="s">
        <v>23</v>
      </c>
      <c r="I9" s="1" t="s">
        <v>57</v>
      </c>
      <c r="J9" s="7"/>
      <c r="K9" s="1" t="s">
        <v>24</v>
      </c>
      <c r="L9" s="177"/>
      <c r="M9" s="1" t="s">
        <v>57</v>
      </c>
      <c r="N9" s="1" t="s">
        <v>57</v>
      </c>
      <c r="S9" s="7" t="s">
        <v>117</v>
      </c>
      <c r="T9" s="7" t="s">
        <v>117</v>
      </c>
      <c r="U9" s="7" t="s">
        <v>38</v>
      </c>
    </row>
    <row r="10" spans="1:22" s="1" customFormat="1">
      <c r="B10" s="176"/>
      <c r="C10" s="176"/>
      <c r="D10" s="1" t="s">
        <v>116</v>
      </c>
      <c r="H10" s="1" t="s">
        <v>29</v>
      </c>
      <c r="J10" s="7" t="s">
        <v>64</v>
      </c>
      <c r="K10" s="1" t="s">
        <v>65</v>
      </c>
      <c r="L10" s="177" t="s">
        <v>605</v>
      </c>
      <c r="M10" s="1" t="s">
        <v>31</v>
      </c>
      <c r="N10" s="1" t="s">
        <v>67</v>
      </c>
      <c r="O10" s="1" t="s">
        <v>69</v>
      </c>
      <c r="P10" s="1" t="s">
        <v>604</v>
      </c>
      <c r="Q10" s="1" t="s">
        <v>33</v>
      </c>
      <c r="S10" s="7" t="s">
        <v>67</v>
      </c>
      <c r="T10" s="7" t="s">
        <v>67</v>
      </c>
      <c r="U10" s="7" t="s">
        <v>45</v>
      </c>
    </row>
    <row r="11" spans="1:22" s="1" customFormat="1">
      <c r="A11" s="1" t="s">
        <v>490</v>
      </c>
      <c r="B11" s="176" t="s">
        <v>226</v>
      </c>
      <c r="C11" s="176" t="s">
        <v>53</v>
      </c>
      <c r="D11" s="1" t="s">
        <v>62</v>
      </c>
      <c r="E11" s="1" t="s">
        <v>63</v>
      </c>
      <c r="F11" s="1" t="s">
        <v>24</v>
      </c>
      <c r="G11" s="1" t="s">
        <v>39</v>
      </c>
      <c r="H11" s="1" t="s">
        <v>34</v>
      </c>
      <c r="I11" s="1" t="s">
        <v>30</v>
      </c>
      <c r="J11" s="7" t="s">
        <v>66</v>
      </c>
      <c r="K11" s="1" t="s">
        <v>67</v>
      </c>
      <c r="L11" s="177" t="s">
        <v>606</v>
      </c>
      <c r="M11" s="1" t="s">
        <v>42</v>
      </c>
      <c r="N11" s="1" t="s">
        <v>42</v>
      </c>
      <c r="O11" s="1" t="s">
        <v>67</v>
      </c>
      <c r="P11" s="1" t="s">
        <v>67</v>
      </c>
      <c r="Q11" s="1" t="s">
        <v>44</v>
      </c>
      <c r="S11" s="185">
        <v>43009</v>
      </c>
      <c r="T11" s="185">
        <f>+Summary!G5</f>
        <v>43373</v>
      </c>
      <c r="U11" s="185">
        <f>+T11</f>
        <v>43373</v>
      </c>
    </row>
    <row r="12" spans="1:22" s="1" customFormat="1" ht="16.5" customHeight="1">
      <c r="B12" s="176"/>
      <c r="C12" s="176"/>
      <c r="J12" s="7"/>
      <c r="L12" s="177"/>
      <c r="M12" s="178"/>
      <c r="N12" s="178"/>
      <c r="O12" s="178"/>
      <c r="P12" s="178"/>
      <c r="Q12" s="178"/>
      <c r="R12" s="178"/>
      <c r="S12" s="178"/>
      <c r="T12" s="178"/>
      <c r="U12" s="178"/>
      <c r="V12" s="178"/>
    </row>
    <row r="13" spans="1:22" ht="16.5" customHeight="1">
      <c r="A13" s="3" t="s">
        <v>679</v>
      </c>
      <c r="B13" s="32">
        <v>173479</v>
      </c>
      <c r="D13" s="3">
        <v>432</v>
      </c>
      <c r="E13" s="3" t="s">
        <v>860</v>
      </c>
      <c r="F13" s="3">
        <v>2002</v>
      </c>
      <c r="G13" s="3">
        <v>6</v>
      </c>
      <c r="H13" s="3">
        <v>0</v>
      </c>
      <c r="I13" s="3" t="s">
        <v>52</v>
      </c>
      <c r="J13" s="175" t="s">
        <v>861</v>
      </c>
      <c r="K13" s="3">
        <f t="shared" ref="K13:K30" si="0">F13+J13</f>
        <v>2009</v>
      </c>
      <c r="L13" s="172">
        <f t="shared" ref="L13:L30" si="1">+K13+(G13/12)</f>
        <v>2009.5</v>
      </c>
      <c r="M13" s="230">
        <v>18514.439999999999</v>
      </c>
      <c r="N13" s="230">
        <f t="shared" ref="N13:N30" si="2">M13-M13*H13</f>
        <v>18514.439999999999</v>
      </c>
      <c r="O13" s="230">
        <f t="shared" ref="O13:O30" si="3">N13/J13/12</f>
        <v>220.40999999999997</v>
      </c>
      <c r="P13" s="230">
        <f t="shared" ref="P13:P30" si="4">+O13*12</f>
        <v>2644.9199999999996</v>
      </c>
      <c r="Q13" s="230">
        <f>+IF(L13&lt;='2111 Cont, DB'!$N$5,0,IF(K13&gt;'2111 Cont, DB'!$N$4,P13,(O13*G13)))</f>
        <v>0</v>
      </c>
      <c r="R13" s="230"/>
      <c r="S13" s="230">
        <f>+IF(Q13=0,M13,IF('2111 Cont, DB'!$N$3-F13&lt;1,0,(('2111 Cont, DB'!$N$3-F13)*P13)))</f>
        <v>18514.439999999999</v>
      </c>
      <c r="T13" s="230">
        <f t="shared" ref="T13:T30" si="5">+IF(Q13=0,S13,S13+Q13)</f>
        <v>18514.439999999999</v>
      </c>
      <c r="U13" s="230">
        <f t="shared" ref="U13:U30" si="6">+IF(Q13=0,0,((M13-S13)+(M13-T13))/2)</f>
        <v>0</v>
      </c>
      <c r="V13" s="230"/>
    </row>
    <row r="14" spans="1:22" ht="16.5" customHeight="1">
      <c r="A14" s="3" t="s">
        <v>40</v>
      </c>
      <c r="C14" s="32" t="s">
        <v>99</v>
      </c>
      <c r="D14" s="3">
        <v>768</v>
      </c>
      <c r="E14" s="3" t="s">
        <v>119</v>
      </c>
      <c r="F14" s="3">
        <v>2003</v>
      </c>
      <c r="G14" s="3">
        <v>3</v>
      </c>
      <c r="H14" s="3">
        <v>0</v>
      </c>
      <c r="I14" s="3" t="s">
        <v>52</v>
      </c>
      <c r="J14" s="175">
        <v>5</v>
      </c>
      <c r="K14" s="3">
        <f t="shared" si="0"/>
        <v>2008</v>
      </c>
      <c r="L14" s="172">
        <f t="shared" si="1"/>
        <v>2008.25</v>
      </c>
      <c r="M14" s="230">
        <v>33423.360000000001</v>
      </c>
      <c r="N14" s="230">
        <f t="shared" si="2"/>
        <v>33423.360000000001</v>
      </c>
      <c r="O14" s="230">
        <f t="shared" si="3"/>
        <v>557.05600000000004</v>
      </c>
      <c r="P14" s="230">
        <f t="shared" si="4"/>
        <v>6684.6720000000005</v>
      </c>
      <c r="Q14" s="230">
        <f>+IF(L14&lt;=$N$5,0,IF(K14&gt;$N$4,P14,(O14*G14)))</f>
        <v>0</v>
      </c>
      <c r="R14" s="230"/>
      <c r="S14" s="230">
        <f>+IF(Q14=0,M14,IF($N$3-F14&lt;1,0,(($N$3-F14)*P14)))</f>
        <v>33423.360000000001</v>
      </c>
      <c r="T14" s="230">
        <f t="shared" si="5"/>
        <v>33423.360000000001</v>
      </c>
      <c r="U14" s="230">
        <f t="shared" si="6"/>
        <v>0</v>
      </c>
      <c r="V14" s="230"/>
    </row>
    <row r="15" spans="1:22" ht="16.5" customHeight="1">
      <c r="A15" s="3" t="s">
        <v>40</v>
      </c>
      <c r="C15" s="32" t="s">
        <v>99</v>
      </c>
      <c r="D15" s="3">
        <v>1296</v>
      </c>
      <c r="E15" s="3" t="s">
        <v>119</v>
      </c>
      <c r="F15" s="3">
        <v>2003</v>
      </c>
      <c r="G15" s="3">
        <v>6</v>
      </c>
      <c r="H15" s="3">
        <v>0</v>
      </c>
      <c r="I15" s="3" t="s">
        <v>52</v>
      </c>
      <c r="J15" s="175">
        <v>5</v>
      </c>
      <c r="K15" s="3">
        <f t="shared" si="0"/>
        <v>2008</v>
      </c>
      <c r="L15" s="172">
        <f t="shared" si="1"/>
        <v>2008.5</v>
      </c>
      <c r="M15" s="230">
        <v>58417.83</v>
      </c>
      <c r="N15" s="230">
        <f t="shared" si="2"/>
        <v>58417.83</v>
      </c>
      <c r="O15" s="230">
        <f t="shared" si="3"/>
        <v>973.6305000000001</v>
      </c>
      <c r="P15" s="230">
        <f t="shared" si="4"/>
        <v>11683.566000000001</v>
      </c>
      <c r="Q15" s="230">
        <f>+IF(L15&lt;=$N$5,0,IF(K15&gt;$N$4,P15,(O15*G15)))</f>
        <v>0</v>
      </c>
      <c r="R15" s="230"/>
      <c r="S15" s="230">
        <f>+IF(Q15=0,M15,IF($N$3-F15&lt;1,0,(($N$3-F15)*P15)))</f>
        <v>58417.83</v>
      </c>
      <c r="T15" s="230">
        <f t="shared" si="5"/>
        <v>58417.83</v>
      </c>
      <c r="U15" s="230">
        <f t="shared" si="6"/>
        <v>0</v>
      </c>
      <c r="V15" s="230"/>
    </row>
    <row r="16" spans="1:22" ht="16.5" customHeight="1">
      <c r="A16" s="3" t="s">
        <v>679</v>
      </c>
      <c r="B16" s="32">
        <v>20894</v>
      </c>
      <c r="D16" s="3">
        <v>432</v>
      </c>
      <c r="E16" s="3" t="s">
        <v>536</v>
      </c>
      <c r="F16" s="3">
        <v>2003</v>
      </c>
      <c r="G16" s="3">
        <v>9</v>
      </c>
      <c r="H16" s="3">
        <v>0</v>
      </c>
      <c r="I16" s="3" t="s">
        <v>52</v>
      </c>
      <c r="J16" s="175">
        <v>12</v>
      </c>
      <c r="K16" s="3">
        <f t="shared" si="0"/>
        <v>2015</v>
      </c>
      <c r="L16" s="172">
        <f t="shared" si="1"/>
        <v>2015.75</v>
      </c>
      <c r="M16" s="230">
        <v>19710.21</v>
      </c>
      <c r="N16" s="230">
        <f t="shared" si="2"/>
        <v>19710.21</v>
      </c>
      <c r="O16" s="230">
        <f t="shared" si="3"/>
        <v>136.87645833333332</v>
      </c>
      <c r="P16" s="230">
        <f t="shared" si="4"/>
        <v>1642.5174999999999</v>
      </c>
      <c r="Q16" s="230">
        <f>+IF(L16&lt;='2111 Cont, DB'!$N$5,0,IF(K16&gt;'2111 Cont, DB'!$N$4,P16,(O16*G16)))</f>
        <v>0</v>
      </c>
      <c r="R16" s="230"/>
      <c r="S16" s="230">
        <f>+IF(Q16=0,M16,IF('2111 Cont, DB'!$N$3-F16&lt;1,0,(('2111 Cont, DB'!$N$3-F16)*P16)))</f>
        <v>19710.21</v>
      </c>
      <c r="T16" s="230">
        <f t="shared" si="5"/>
        <v>19710.21</v>
      </c>
      <c r="U16" s="230">
        <f t="shared" si="6"/>
        <v>0</v>
      </c>
      <c r="V16" s="230"/>
    </row>
    <row r="17" spans="1:22" ht="16.5" customHeight="1">
      <c r="A17" s="3" t="s">
        <v>679</v>
      </c>
      <c r="B17" s="32">
        <v>22088</v>
      </c>
      <c r="D17" s="3">
        <v>432</v>
      </c>
      <c r="E17" s="3" t="s">
        <v>536</v>
      </c>
      <c r="F17" s="3">
        <v>2003</v>
      </c>
      <c r="G17" s="3">
        <v>11</v>
      </c>
      <c r="H17" s="3">
        <v>0</v>
      </c>
      <c r="I17" s="3" t="s">
        <v>52</v>
      </c>
      <c r="J17" s="175" t="s">
        <v>861</v>
      </c>
      <c r="K17" s="3">
        <f t="shared" si="0"/>
        <v>2010</v>
      </c>
      <c r="L17" s="172">
        <f t="shared" si="1"/>
        <v>2010.9166666666667</v>
      </c>
      <c r="M17" s="230">
        <v>17390.599999999999</v>
      </c>
      <c r="N17" s="230">
        <f t="shared" si="2"/>
        <v>17390.599999999999</v>
      </c>
      <c r="O17" s="230">
        <f t="shared" si="3"/>
        <v>207.03095238095236</v>
      </c>
      <c r="P17" s="230">
        <f t="shared" si="4"/>
        <v>2484.3714285714282</v>
      </c>
      <c r="Q17" s="230">
        <f>+IF(L17&lt;='2111 Cont, DB'!$N$5,0,IF(K17&gt;'2111 Cont, DB'!$N$4,P17,(O17*G17)))</f>
        <v>0</v>
      </c>
      <c r="R17" s="230"/>
      <c r="S17" s="230">
        <f>+IF(Q17=0,M17,IF('2111 Cont, DB'!$N$3-F17&lt;1,0,(('2111 Cont, DB'!$N$3-F17)*P17)))</f>
        <v>17390.599999999999</v>
      </c>
      <c r="T17" s="230">
        <f t="shared" si="5"/>
        <v>17390.599999999999</v>
      </c>
      <c r="U17" s="230">
        <f t="shared" si="6"/>
        <v>0</v>
      </c>
      <c r="V17" s="230"/>
    </row>
    <row r="18" spans="1:22" ht="16.5" customHeight="1">
      <c r="A18" s="3" t="s">
        <v>40</v>
      </c>
      <c r="C18" s="32" t="s">
        <v>99</v>
      </c>
      <c r="D18" s="3">
        <v>432</v>
      </c>
      <c r="E18" s="3" t="s">
        <v>119</v>
      </c>
      <c r="F18" s="3">
        <v>2004</v>
      </c>
      <c r="G18" s="3">
        <v>7</v>
      </c>
      <c r="H18" s="3">
        <v>0</v>
      </c>
      <c r="I18" s="3" t="s">
        <v>52</v>
      </c>
      <c r="J18" s="175">
        <v>5</v>
      </c>
      <c r="K18" s="3">
        <f t="shared" si="0"/>
        <v>2009</v>
      </c>
      <c r="L18" s="172">
        <f t="shared" si="1"/>
        <v>2009.5833333333333</v>
      </c>
      <c r="M18" s="230">
        <v>18213.12</v>
      </c>
      <c r="N18" s="230">
        <f t="shared" si="2"/>
        <v>18213.12</v>
      </c>
      <c r="O18" s="230">
        <f t="shared" si="3"/>
        <v>303.55199999999996</v>
      </c>
      <c r="P18" s="230">
        <f t="shared" si="4"/>
        <v>3642.6239999999998</v>
      </c>
      <c r="Q18" s="230">
        <f>+IF(L18&lt;=$N$5,0,IF(K18&gt;$N$4,P18,(O18*G18)))</f>
        <v>0</v>
      </c>
      <c r="R18" s="230"/>
      <c r="S18" s="230">
        <f>+IF(Q18=0,M18,IF($N$3-F18&lt;1,0,(($N$3-F18)*P18)))</f>
        <v>18213.12</v>
      </c>
      <c r="T18" s="230">
        <f t="shared" si="5"/>
        <v>18213.12</v>
      </c>
      <c r="U18" s="230">
        <f t="shared" si="6"/>
        <v>0</v>
      </c>
      <c r="V18" s="230"/>
    </row>
    <row r="19" spans="1:22" ht="16.5" customHeight="1">
      <c r="A19" s="3" t="s">
        <v>40</v>
      </c>
      <c r="C19" s="32" t="s">
        <v>99</v>
      </c>
      <c r="D19" s="3">
        <v>432</v>
      </c>
      <c r="E19" s="3" t="s">
        <v>119</v>
      </c>
      <c r="F19" s="3">
        <v>2004</v>
      </c>
      <c r="G19" s="3">
        <v>12</v>
      </c>
      <c r="H19" s="3">
        <v>0</v>
      </c>
      <c r="I19" s="3" t="s">
        <v>52</v>
      </c>
      <c r="J19" s="175">
        <v>5</v>
      </c>
      <c r="K19" s="3">
        <f t="shared" si="0"/>
        <v>2009</v>
      </c>
      <c r="L19" s="172">
        <f t="shared" si="1"/>
        <v>2010</v>
      </c>
      <c r="M19" s="230">
        <v>18213.12</v>
      </c>
      <c r="N19" s="230">
        <f t="shared" si="2"/>
        <v>18213.12</v>
      </c>
      <c r="O19" s="230">
        <f t="shared" si="3"/>
        <v>303.55199999999996</v>
      </c>
      <c r="P19" s="230">
        <f t="shared" si="4"/>
        <v>3642.6239999999998</v>
      </c>
      <c r="Q19" s="230">
        <f>+IF(L19&lt;=$N$5,0,IF(K19&gt;$N$4,P19,(O19*G19)))</f>
        <v>0</v>
      </c>
      <c r="R19" s="230"/>
      <c r="S19" s="230">
        <f>+IF(Q19=0,M19,IF($N$3-F19&lt;1,0,(($N$3-F19)*P19)))</f>
        <v>18213.12</v>
      </c>
      <c r="T19" s="230">
        <f t="shared" si="5"/>
        <v>18213.12</v>
      </c>
      <c r="U19" s="230">
        <f t="shared" si="6"/>
        <v>0</v>
      </c>
      <c r="V19" s="230"/>
    </row>
    <row r="20" spans="1:22" ht="16.5" customHeight="1">
      <c r="A20" s="3" t="s">
        <v>679</v>
      </c>
      <c r="B20" s="32">
        <v>24739</v>
      </c>
      <c r="D20" s="3">
        <v>432</v>
      </c>
      <c r="E20" s="3" t="s">
        <v>536</v>
      </c>
      <c r="F20" s="3">
        <v>2004</v>
      </c>
      <c r="G20" s="3">
        <v>4</v>
      </c>
      <c r="H20" s="3">
        <v>0</v>
      </c>
      <c r="I20" s="3" t="s">
        <v>52</v>
      </c>
      <c r="J20" s="175" t="s">
        <v>861</v>
      </c>
      <c r="K20" s="3">
        <f t="shared" si="0"/>
        <v>2011</v>
      </c>
      <c r="L20" s="172">
        <f t="shared" si="1"/>
        <v>2011.3333333333333</v>
      </c>
      <c r="M20" s="230">
        <v>17860.599999999999</v>
      </c>
      <c r="N20" s="230">
        <f t="shared" si="2"/>
        <v>17860.599999999999</v>
      </c>
      <c r="O20" s="230">
        <f t="shared" si="3"/>
        <v>212.62619047619046</v>
      </c>
      <c r="P20" s="230">
        <f t="shared" si="4"/>
        <v>2551.5142857142855</v>
      </c>
      <c r="Q20" s="230">
        <f>+IF(L20&lt;='2111 Cont, DB'!$N$5,0,IF(K20&gt;'2111 Cont, DB'!$N$4,P20,(O20*G20)))</f>
        <v>0</v>
      </c>
      <c r="R20" s="230"/>
      <c r="S20" s="230">
        <f>+IF(Q20=0,M20,IF('2111 Cont, DB'!$N$3-F20&lt;1,0,(('2111 Cont, DB'!$N$3-F20)*P20)))</f>
        <v>17860.599999999999</v>
      </c>
      <c r="T20" s="230">
        <f t="shared" si="5"/>
        <v>17860.599999999999</v>
      </c>
      <c r="U20" s="230">
        <f t="shared" si="6"/>
        <v>0</v>
      </c>
      <c r="V20" s="230"/>
    </row>
    <row r="21" spans="1:22" ht="16.5" customHeight="1">
      <c r="A21" s="3" t="s">
        <v>679</v>
      </c>
      <c r="B21" s="32">
        <v>26814</v>
      </c>
      <c r="D21" s="3">
        <v>432</v>
      </c>
      <c r="E21" s="3" t="s">
        <v>852</v>
      </c>
      <c r="F21" s="3">
        <v>2004</v>
      </c>
      <c r="G21" s="3">
        <v>4</v>
      </c>
      <c r="H21" s="3">
        <v>0</v>
      </c>
      <c r="I21" s="3" t="s">
        <v>52</v>
      </c>
      <c r="J21" s="175" t="s">
        <v>861</v>
      </c>
      <c r="K21" s="3">
        <f t="shared" si="0"/>
        <v>2011</v>
      </c>
      <c r="L21" s="172">
        <f t="shared" si="1"/>
        <v>2011.3333333333333</v>
      </c>
      <c r="M21" s="230">
        <v>17860.599999999999</v>
      </c>
      <c r="N21" s="230">
        <f t="shared" si="2"/>
        <v>17860.599999999999</v>
      </c>
      <c r="O21" s="230">
        <f t="shared" si="3"/>
        <v>212.62619047619046</v>
      </c>
      <c r="P21" s="230">
        <f t="shared" si="4"/>
        <v>2551.5142857142855</v>
      </c>
      <c r="Q21" s="230">
        <f>+IF(L21&lt;='2111 Cont, DB'!$N$5,0,IF(K21&gt;'2111 Cont, DB'!$N$4,P21,(O21*G21)))</f>
        <v>0</v>
      </c>
      <c r="R21" s="230"/>
      <c r="S21" s="230">
        <f>+IF(Q21=0,M21,IF('2111 Cont, DB'!$N$3-F21&lt;1,0,(('2111 Cont, DB'!$N$3-F21)*P21)))</f>
        <v>17860.599999999999</v>
      </c>
      <c r="T21" s="230">
        <f t="shared" si="5"/>
        <v>17860.599999999999</v>
      </c>
      <c r="U21" s="230">
        <f t="shared" si="6"/>
        <v>0</v>
      </c>
      <c r="V21" s="230"/>
    </row>
    <row r="22" spans="1:22" ht="16.5" customHeight="1">
      <c r="A22" s="3" t="s">
        <v>679</v>
      </c>
      <c r="B22" s="32">
        <v>27476</v>
      </c>
      <c r="D22" s="3">
        <v>432</v>
      </c>
      <c r="E22" s="3" t="s">
        <v>853</v>
      </c>
      <c r="F22" s="3">
        <v>2004</v>
      </c>
      <c r="G22" s="3">
        <v>5</v>
      </c>
      <c r="H22" s="3">
        <v>0</v>
      </c>
      <c r="I22" s="3" t="s">
        <v>52</v>
      </c>
      <c r="J22" s="175" t="s">
        <v>861</v>
      </c>
      <c r="K22" s="3">
        <f t="shared" si="0"/>
        <v>2011</v>
      </c>
      <c r="L22" s="172">
        <f t="shared" si="1"/>
        <v>2011.4166666666667</v>
      </c>
      <c r="M22" s="230">
        <v>17860.599999999999</v>
      </c>
      <c r="N22" s="230">
        <f t="shared" si="2"/>
        <v>17860.599999999999</v>
      </c>
      <c r="O22" s="230">
        <f t="shared" si="3"/>
        <v>212.62619047619046</v>
      </c>
      <c r="P22" s="230">
        <f t="shared" si="4"/>
        <v>2551.5142857142855</v>
      </c>
      <c r="Q22" s="230">
        <f>+IF(L22&lt;='2111 Cont, DB'!$N$5,0,IF(K22&gt;'2111 Cont, DB'!$N$4,P22,(O22*G22)))</f>
        <v>0</v>
      </c>
      <c r="R22" s="230"/>
      <c r="S22" s="230">
        <f>+IF(Q22=0,M22,IF('2111 Cont, DB'!$N$3-F22&lt;1,0,(('2111 Cont, DB'!$N$3-F22)*P22)))</f>
        <v>17860.599999999999</v>
      </c>
      <c r="T22" s="230">
        <f t="shared" si="5"/>
        <v>17860.599999999999</v>
      </c>
      <c r="U22" s="230">
        <f t="shared" si="6"/>
        <v>0</v>
      </c>
      <c r="V22" s="230"/>
    </row>
    <row r="23" spans="1:22" ht="16.5" customHeight="1">
      <c r="A23" s="3" t="s">
        <v>679</v>
      </c>
      <c r="B23" s="32">
        <v>27477</v>
      </c>
      <c r="D23" s="3">
        <v>432</v>
      </c>
      <c r="E23" s="3" t="s">
        <v>853</v>
      </c>
      <c r="F23" s="3">
        <v>2004</v>
      </c>
      <c r="G23" s="3">
        <v>5</v>
      </c>
      <c r="H23" s="3">
        <v>0</v>
      </c>
      <c r="I23" s="3" t="s">
        <v>52</v>
      </c>
      <c r="J23" s="175" t="s">
        <v>861</v>
      </c>
      <c r="K23" s="3">
        <f t="shared" si="0"/>
        <v>2011</v>
      </c>
      <c r="L23" s="172">
        <f t="shared" si="1"/>
        <v>2011.4166666666667</v>
      </c>
      <c r="M23" s="230">
        <v>17860.599999999999</v>
      </c>
      <c r="N23" s="230">
        <f t="shared" si="2"/>
        <v>17860.599999999999</v>
      </c>
      <c r="O23" s="230">
        <f t="shared" si="3"/>
        <v>212.62619047619046</v>
      </c>
      <c r="P23" s="230">
        <f t="shared" si="4"/>
        <v>2551.5142857142855</v>
      </c>
      <c r="Q23" s="230">
        <f>+IF(L23&lt;='2111 Cont, DB'!$N$5,0,IF(K23&gt;'2111 Cont, DB'!$N$4,P23,(O23*G23)))</f>
        <v>0</v>
      </c>
      <c r="R23" s="230"/>
      <c r="S23" s="230">
        <f>+IF(Q23=0,M23,IF('2111 Cont, DB'!$N$3-F23&lt;1,0,(('2111 Cont, DB'!$N$3-F23)*P23)))</f>
        <v>17860.599999999999</v>
      </c>
      <c r="T23" s="230">
        <f t="shared" si="5"/>
        <v>17860.599999999999</v>
      </c>
      <c r="U23" s="230">
        <f t="shared" si="6"/>
        <v>0</v>
      </c>
      <c r="V23" s="230"/>
    </row>
    <row r="24" spans="1:22" ht="16.5" customHeight="1">
      <c r="A24" s="3" t="s">
        <v>40</v>
      </c>
      <c r="C24" s="32" t="s">
        <v>99</v>
      </c>
      <c r="D24" s="3">
        <v>864</v>
      </c>
      <c r="E24" s="3" t="s">
        <v>119</v>
      </c>
      <c r="F24" s="3">
        <v>2005</v>
      </c>
      <c r="G24" s="3">
        <v>5</v>
      </c>
      <c r="H24" s="3">
        <v>0</v>
      </c>
      <c r="I24" s="3" t="s">
        <v>52</v>
      </c>
      <c r="J24" s="175">
        <v>5</v>
      </c>
      <c r="K24" s="3">
        <f t="shared" si="0"/>
        <v>2010</v>
      </c>
      <c r="L24" s="172">
        <f t="shared" si="1"/>
        <v>2010.4166666666667</v>
      </c>
      <c r="M24" s="230">
        <v>38541.32</v>
      </c>
      <c r="N24" s="230">
        <f t="shared" si="2"/>
        <v>38541.32</v>
      </c>
      <c r="O24" s="230">
        <f t="shared" si="3"/>
        <v>642.35533333333331</v>
      </c>
      <c r="P24" s="230">
        <f t="shared" si="4"/>
        <v>7708.2639999999992</v>
      </c>
      <c r="Q24" s="230">
        <f>+IF(L24&lt;=$N$5,0,IF(K24&gt;$N$4,P24,(O24*G24)))</f>
        <v>0</v>
      </c>
      <c r="R24" s="230"/>
      <c r="S24" s="230">
        <f>+IF(Q24=0,M24,IF($N$3-F24&lt;1,0,(($N$3-F24)*P24)))</f>
        <v>38541.32</v>
      </c>
      <c r="T24" s="230">
        <f t="shared" si="5"/>
        <v>38541.32</v>
      </c>
      <c r="U24" s="230">
        <f t="shared" si="6"/>
        <v>0</v>
      </c>
      <c r="V24" s="230"/>
    </row>
    <row r="25" spans="1:22" ht="16.5" customHeight="1">
      <c r="A25" s="3" t="s">
        <v>40</v>
      </c>
      <c r="C25" s="32" t="s">
        <v>99</v>
      </c>
      <c r="D25" s="3">
        <v>427</v>
      </c>
      <c r="E25" s="3" t="s">
        <v>119</v>
      </c>
      <c r="F25" s="3">
        <v>2005</v>
      </c>
      <c r="G25" s="3">
        <v>10</v>
      </c>
      <c r="H25" s="3">
        <v>0</v>
      </c>
      <c r="I25" s="3" t="s">
        <v>52</v>
      </c>
      <c r="J25" s="175">
        <v>5</v>
      </c>
      <c r="K25" s="3">
        <f t="shared" si="0"/>
        <v>2010</v>
      </c>
      <c r="L25" s="172">
        <f t="shared" si="1"/>
        <v>2010.8333333333333</v>
      </c>
      <c r="M25" s="230">
        <v>20859.14</v>
      </c>
      <c r="N25" s="230">
        <f t="shared" si="2"/>
        <v>20859.14</v>
      </c>
      <c r="O25" s="230">
        <f t="shared" si="3"/>
        <v>347.65233333333327</v>
      </c>
      <c r="P25" s="230">
        <f t="shared" si="4"/>
        <v>4171.8279999999995</v>
      </c>
      <c r="Q25" s="230">
        <f>+IF(L25&lt;=$N$5,0,IF(K25&gt;$N$4,P25,(O25*G25)))</f>
        <v>0</v>
      </c>
      <c r="R25" s="230"/>
      <c r="S25" s="230">
        <f>+IF(Q25=0,M25,IF($N$3-F25&lt;1,0,(($N$3-F25)*P25)))</f>
        <v>20859.14</v>
      </c>
      <c r="T25" s="230">
        <f t="shared" si="5"/>
        <v>20859.14</v>
      </c>
      <c r="U25" s="230">
        <f t="shared" si="6"/>
        <v>0</v>
      </c>
      <c r="V25" s="230"/>
    </row>
    <row r="26" spans="1:22" ht="16.5" customHeight="1">
      <c r="A26" s="3" t="s">
        <v>40</v>
      </c>
      <c r="C26" s="32" t="s">
        <v>99</v>
      </c>
      <c r="D26" s="3">
        <v>432</v>
      </c>
      <c r="E26" s="3" t="s">
        <v>119</v>
      </c>
      <c r="F26" s="3">
        <v>2005</v>
      </c>
      <c r="G26" s="3">
        <v>11</v>
      </c>
      <c r="H26" s="3">
        <v>0</v>
      </c>
      <c r="I26" s="3" t="s">
        <v>52</v>
      </c>
      <c r="J26" s="175">
        <v>5</v>
      </c>
      <c r="K26" s="3">
        <f t="shared" si="0"/>
        <v>2010</v>
      </c>
      <c r="L26" s="172">
        <f t="shared" si="1"/>
        <v>2010.9166666666667</v>
      </c>
      <c r="M26" s="230">
        <v>21738.23</v>
      </c>
      <c r="N26" s="230">
        <f t="shared" si="2"/>
        <v>21738.23</v>
      </c>
      <c r="O26" s="230">
        <f t="shared" si="3"/>
        <v>362.30383333333333</v>
      </c>
      <c r="P26" s="230">
        <f t="shared" si="4"/>
        <v>4347.6459999999997</v>
      </c>
      <c r="Q26" s="230">
        <f>+IF(L26&lt;=$N$5,0,IF(K26&gt;$N$4,P26,(O26*G26)))</f>
        <v>0</v>
      </c>
      <c r="R26" s="230"/>
      <c r="S26" s="230">
        <f>+IF(Q26=0,M26,IF($N$3-F26&lt;1,0,(($N$3-F26)*P26)))</f>
        <v>21738.23</v>
      </c>
      <c r="T26" s="230">
        <f t="shared" si="5"/>
        <v>21738.23</v>
      </c>
      <c r="U26" s="230">
        <f t="shared" si="6"/>
        <v>0</v>
      </c>
      <c r="V26" s="230"/>
    </row>
    <row r="27" spans="1:22" ht="16.5" customHeight="1">
      <c r="A27" s="3" t="s">
        <v>415</v>
      </c>
      <c r="B27" s="32" t="s">
        <v>498</v>
      </c>
      <c r="C27" s="32" t="s">
        <v>99</v>
      </c>
      <c r="D27" s="3">
        <v>864</v>
      </c>
      <c r="E27" s="3" t="s">
        <v>480</v>
      </c>
      <c r="F27" s="3">
        <v>2005</v>
      </c>
      <c r="G27" s="3">
        <v>5</v>
      </c>
      <c r="H27" s="3">
        <v>0</v>
      </c>
      <c r="I27" s="3" t="s">
        <v>52</v>
      </c>
      <c r="J27" s="175">
        <v>5</v>
      </c>
      <c r="K27" s="3">
        <f t="shared" si="0"/>
        <v>2010</v>
      </c>
      <c r="L27" s="172">
        <f t="shared" si="1"/>
        <v>2010.4166666666667</v>
      </c>
      <c r="M27" s="230">
        <v>38541.32</v>
      </c>
      <c r="N27" s="230">
        <f t="shared" si="2"/>
        <v>38541.32</v>
      </c>
      <c r="O27" s="230">
        <f t="shared" si="3"/>
        <v>642.35533333333331</v>
      </c>
      <c r="P27" s="230">
        <f t="shared" si="4"/>
        <v>7708.2639999999992</v>
      </c>
      <c r="Q27" s="230">
        <f>+IF(L27&lt;=$N$5,0,IF(K27&gt;$N$4,P27,(O27*G27)))</f>
        <v>0</v>
      </c>
      <c r="R27" s="230"/>
      <c r="S27" s="230">
        <f>+IF(Q27=0,M27,IF($N$3-F27&lt;1,0,(($N$3-F27)*P27)))</f>
        <v>38541.32</v>
      </c>
      <c r="T27" s="230">
        <f t="shared" si="5"/>
        <v>38541.32</v>
      </c>
      <c r="U27" s="230">
        <f t="shared" si="6"/>
        <v>0</v>
      </c>
      <c r="V27" s="230"/>
    </row>
    <row r="28" spans="1:22" ht="16.5" customHeight="1">
      <c r="A28" s="3" t="s">
        <v>679</v>
      </c>
      <c r="B28" s="32">
        <v>34410</v>
      </c>
      <c r="D28" s="3">
        <v>432</v>
      </c>
      <c r="E28" s="3" t="s">
        <v>854</v>
      </c>
      <c r="F28" s="3">
        <v>2005</v>
      </c>
      <c r="G28" s="3">
        <v>5</v>
      </c>
      <c r="H28" s="3">
        <v>0</v>
      </c>
      <c r="I28" s="3" t="s">
        <v>52</v>
      </c>
      <c r="J28" s="175" t="s">
        <v>861</v>
      </c>
      <c r="K28" s="3">
        <f t="shared" si="0"/>
        <v>2012</v>
      </c>
      <c r="L28" s="172">
        <f t="shared" si="1"/>
        <v>2012.4166666666667</v>
      </c>
      <c r="M28" s="230">
        <v>21609.86</v>
      </c>
      <c r="N28" s="230">
        <f t="shared" si="2"/>
        <v>21609.86</v>
      </c>
      <c r="O28" s="230">
        <f t="shared" si="3"/>
        <v>257.26023809523809</v>
      </c>
      <c r="P28" s="230">
        <f t="shared" si="4"/>
        <v>3087.1228571428574</v>
      </c>
      <c r="Q28" s="230">
        <f>+IF(L28&lt;='2111 Cont, DB'!$N$5,0,IF(K28&gt;'2111 Cont, DB'!$N$4,P28,(O28*G28)))</f>
        <v>0</v>
      </c>
      <c r="R28" s="230"/>
      <c r="S28" s="230">
        <f>+IF(Q28=0,M28,IF('2111 Cont, DB'!$N$3-F28&lt;1,0,(('2111 Cont, DB'!$N$3-F28)*P28)))</f>
        <v>21609.86</v>
      </c>
      <c r="T28" s="230">
        <f t="shared" si="5"/>
        <v>21609.86</v>
      </c>
      <c r="U28" s="230">
        <f t="shared" si="6"/>
        <v>0</v>
      </c>
      <c r="V28" s="230"/>
    </row>
    <row r="29" spans="1:22" ht="16.5" customHeight="1">
      <c r="A29" s="3" t="s">
        <v>679</v>
      </c>
      <c r="B29" s="32">
        <v>34411</v>
      </c>
      <c r="D29" s="3">
        <v>432</v>
      </c>
      <c r="E29" s="3" t="s">
        <v>854</v>
      </c>
      <c r="F29" s="3">
        <v>2005</v>
      </c>
      <c r="G29" s="3">
        <v>5</v>
      </c>
      <c r="H29" s="3">
        <v>0</v>
      </c>
      <c r="I29" s="3" t="s">
        <v>52</v>
      </c>
      <c r="J29" s="175" t="s">
        <v>861</v>
      </c>
      <c r="K29" s="3">
        <f t="shared" si="0"/>
        <v>2012</v>
      </c>
      <c r="L29" s="172">
        <f t="shared" si="1"/>
        <v>2012.4166666666667</v>
      </c>
      <c r="M29" s="230">
        <v>21609.86</v>
      </c>
      <c r="N29" s="230">
        <f t="shared" si="2"/>
        <v>21609.86</v>
      </c>
      <c r="O29" s="230">
        <f t="shared" si="3"/>
        <v>257.26023809523809</v>
      </c>
      <c r="P29" s="230">
        <f t="shared" si="4"/>
        <v>3087.1228571428574</v>
      </c>
      <c r="Q29" s="230">
        <f>+IF(L29&lt;='2111 Cont, DB'!$N$5,0,IF(K29&gt;'2111 Cont, DB'!$N$4,P29,(O29*G29)))</f>
        <v>0</v>
      </c>
      <c r="R29" s="230"/>
      <c r="S29" s="230">
        <f>+IF(Q29=0,M29,IF('2111 Cont, DB'!$N$3-F29&lt;1,0,(('2111 Cont, DB'!$N$3-F29)*P29)))</f>
        <v>21609.86</v>
      </c>
      <c r="T29" s="230">
        <f t="shared" si="5"/>
        <v>21609.86</v>
      </c>
      <c r="U29" s="230">
        <f t="shared" si="6"/>
        <v>0</v>
      </c>
      <c r="V29" s="230"/>
    </row>
    <row r="30" spans="1:22" ht="16.5" customHeight="1">
      <c r="A30" s="3" t="s">
        <v>679</v>
      </c>
      <c r="B30" s="32">
        <v>34412</v>
      </c>
      <c r="D30" s="3">
        <v>432</v>
      </c>
      <c r="E30" s="3" t="s">
        <v>854</v>
      </c>
      <c r="F30" s="3">
        <v>2005</v>
      </c>
      <c r="G30" s="3">
        <v>5</v>
      </c>
      <c r="H30" s="3">
        <v>0</v>
      </c>
      <c r="I30" s="3" t="s">
        <v>52</v>
      </c>
      <c r="J30" s="175" t="s">
        <v>861</v>
      </c>
      <c r="K30" s="3">
        <f t="shared" si="0"/>
        <v>2012</v>
      </c>
      <c r="L30" s="172">
        <f t="shared" si="1"/>
        <v>2012.4166666666667</v>
      </c>
      <c r="M30" s="230">
        <v>21609.86</v>
      </c>
      <c r="N30" s="230">
        <f t="shared" si="2"/>
        <v>21609.86</v>
      </c>
      <c r="O30" s="230">
        <f t="shared" si="3"/>
        <v>257.26023809523809</v>
      </c>
      <c r="P30" s="230">
        <f t="shared" si="4"/>
        <v>3087.1228571428574</v>
      </c>
      <c r="Q30" s="230">
        <f>+IF(L30&lt;='2111 Cont, DB'!$N$5,0,IF(K30&gt;'2111 Cont, DB'!$N$4,P30,(O30*G30)))</f>
        <v>0</v>
      </c>
      <c r="R30" s="230"/>
      <c r="S30" s="230">
        <f>+IF(Q30=0,M30,IF('2111 Cont, DB'!$N$3-F30&lt;1,0,(('2111 Cont, DB'!$N$3-F30)*P30)))</f>
        <v>21609.86</v>
      </c>
      <c r="T30" s="230">
        <f t="shared" si="5"/>
        <v>21609.86</v>
      </c>
      <c r="U30" s="230">
        <f t="shared" si="6"/>
        <v>0</v>
      </c>
      <c r="V30" s="230"/>
    </row>
    <row r="31" spans="1:22" ht="16.5" customHeight="1">
      <c r="A31" s="3" t="s">
        <v>679</v>
      </c>
      <c r="B31" s="32">
        <v>34413</v>
      </c>
      <c r="D31" s="3">
        <v>432</v>
      </c>
      <c r="E31" s="3" t="s">
        <v>854</v>
      </c>
      <c r="F31" s="3">
        <v>2005</v>
      </c>
      <c r="G31" s="3">
        <v>5</v>
      </c>
      <c r="H31" s="3">
        <v>0</v>
      </c>
      <c r="I31" s="3" t="s">
        <v>52</v>
      </c>
      <c r="J31" s="175" t="s">
        <v>861</v>
      </c>
      <c r="K31" s="3">
        <f t="shared" ref="K31:K62" si="7">F31+J31</f>
        <v>2012</v>
      </c>
      <c r="L31" s="172">
        <f t="shared" ref="L31:L62" si="8">+K31+(G31/12)</f>
        <v>2012.4166666666667</v>
      </c>
      <c r="M31" s="230">
        <v>21609.86</v>
      </c>
      <c r="N31" s="230">
        <f t="shared" ref="N31:N62" si="9">M31-M31*H31</f>
        <v>21609.86</v>
      </c>
      <c r="O31" s="230">
        <f t="shared" ref="O31:O62" si="10">N31/J31/12</f>
        <v>257.26023809523809</v>
      </c>
      <c r="P31" s="230">
        <f t="shared" ref="P31:P62" si="11">+O31*12</f>
        <v>3087.1228571428574</v>
      </c>
      <c r="Q31" s="230">
        <f>+IF(L31&lt;='2111 Cont, DB'!$N$5,0,IF(K31&gt;'2111 Cont, DB'!$N$4,P31,(O31*G31)))</f>
        <v>0</v>
      </c>
      <c r="R31" s="230"/>
      <c r="S31" s="230">
        <f>+IF(Q31=0,M31,IF('2111 Cont, DB'!$N$3-F31&lt;1,0,(('2111 Cont, DB'!$N$3-F31)*P31)))</f>
        <v>21609.86</v>
      </c>
      <c r="T31" s="230">
        <f t="shared" ref="T31:T62" si="12">+IF(Q31=0,S31,S31+Q31)</f>
        <v>21609.86</v>
      </c>
      <c r="U31" s="230">
        <f t="shared" ref="U31:U62" si="13">+IF(Q31=0,0,((M31-S31)+(M31-T31))/2)</f>
        <v>0</v>
      </c>
      <c r="V31" s="230"/>
    </row>
    <row r="32" spans="1:22" ht="16.5" customHeight="1">
      <c r="A32" s="3" t="s">
        <v>40</v>
      </c>
      <c r="C32" s="32" t="s">
        <v>99</v>
      </c>
      <c r="D32" s="3">
        <v>854</v>
      </c>
      <c r="E32" s="3" t="s">
        <v>119</v>
      </c>
      <c r="F32" s="3">
        <v>2006</v>
      </c>
      <c r="G32" s="3">
        <v>3</v>
      </c>
      <c r="H32" s="3">
        <v>0</v>
      </c>
      <c r="I32" s="3" t="s">
        <v>52</v>
      </c>
      <c r="J32" s="175">
        <v>5</v>
      </c>
      <c r="K32" s="3">
        <f t="shared" si="7"/>
        <v>2011</v>
      </c>
      <c r="L32" s="172">
        <f t="shared" si="8"/>
        <v>2011.25</v>
      </c>
      <c r="M32" s="230">
        <v>47348.1</v>
      </c>
      <c r="N32" s="230">
        <f t="shared" si="9"/>
        <v>47348.1</v>
      </c>
      <c r="O32" s="230">
        <f t="shared" si="10"/>
        <v>789.13499999999988</v>
      </c>
      <c r="P32" s="230">
        <f t="shared" si="11"/>
        <v>9469.619999999999</v>
      </c>
      <c r="Q32" s="230">
        <f t="shared" ref="Q32:Q49" si="14">+IF(L32&lt;=$N$5,0,IF(K32&gt;$N$4,P32,(O32*G32)))</f>
        <v>0</v>
      </c>
      <c r="R32" s="230"/>
      <c r="S32" s="230">
        <f t="shared" ref="S32:S49" si="15">+IF(Q32=0,M32,IF($N$3-F32&lt;1,0,(($N$3-F32)*P32)))</f>
        <v>47348.1</v>
      </c>
      <c r="T32" s="230">
        <f t="shared" si="12"/>
        <v>47348.1</v>
      </c>
      <c r="U32" s="230">
        <f t="shared" si="13"/>
        <v>0</v>
      </c>
      <c r="V32" s="230"/>
    </row>
    <row r="33" spans="1:22" ht="16.5" customHeight="1">
      <c r="A33" s="3" t="s">
        <v>40</v>
      </c>
      <c r="C33" s="32" t="s">
        <v>99</v>
      </c>
      <c r="D33" s="3">
        <v>588</v>
      </c>
      <c r="E33" s="3" t="s">
        <v>119</v>
      </c>
      <c r="F33" s="3">
        <v>2006</v>
      </c>
      <c r="G33" s="3">
        <v>7</v>
      </c>
      <c r="H33" s="3">
        <v>0</v>
      </c>
      <c r="I33" s="3" t="s">
        <v>52</v>
      </c>
      <c r="J33" s="175">
        <v>5</v>
      </c>
      <c r="K33" s="3">
        <f t="shared" si="7"/>
        <v>2011</v>
      </c>
      <c r="L33" s="172">
        <f t="shared" si="8"/>
        <v>2011.5833333333333</v>
      </c>
      <c r="M33" s="230">
        <v>35558.019999999997</v>
      </c>
      <c r="N33" s="230">
        <f t="shared" si="9"/>
        <v>35558.019999999997</v>
      </c>
      <c r="O33" s="230">
        <f t="shared" si="10"/>
        <v>592.63366666666661</v>
      </c>
      <c r="P33" s="230">
        <f t="shared" si="11"/>
        <v>7111.6039999999994</v>
      </c>
      <c r="Q33" s="230">
        <f t="shared" si="14"/>
        <v>0</v>
      </c>
      <c r="R33" s="230"/>
      <c r="S33" s="230">
        <f t="shared" si="15"/>
        <v>35558.019999999997</v>
      </c>
      <c r="T33" s="230">
        <f t="shared" si="12"/>
        <v>35558.019999999997</v>
      </c>
      <c r="U33" s="230">
        <f t="shared" si="13"/>
        <v>0</v>
      </c>
      <c r="V33" s="230"/>
    </row>
    <row r="34" spans="1:22" ht="16.5" customHeight="1">
      <c r="A34" s="3" t="s">
        <v>40</v>
      </c>
      <c r="C34" s="32" t="s">
        <v>99</v>
      </c>
      <c r="D34" s="3">
        <v>854</v>
      </c>
      <c r="E34" s="3" t="s">
        <v>119</v>
      </c>
      <c r="F34" s="3">
        <v>2006</v>
      </c>
      <c r="G34" s="3">
        <v>8</v>
      </c>
      <c r="H34" s="3">
        <v>0</v>
      </c>
      <c r="I34" s="3" t="s">
        <v>52</v>
      </c>
      <c r="J34" s="175">
        <v>5</v>
      </c>
      <c r="K34" s="3">
        <f t="shared" si="7"/>
        <v>2011</v>
      </c>
      <c r="L34" s="172">
        <f t="shared" si="8"/>
        <v>2011.6666666666667</v>
      </c>
      <c r="M34" s="230">
        <v>35558.019999999997</v>
      </c>
      <c r="N34" s="230">
        <f t="shared" si="9"/>
        <v>35558.019999999997</v>
      </c>
      <c r="O34" s="230">
        <f t="shared" si="10"/>
        <v>592.63366666666661</v>
      </c>
      <c r="P34" s="230">
        <f t="shared" si="11"/>
        <v>7111.6039999999994</v>
      </c>
      <c r="Q34" s="230">
        <f t="shared" si="14"/>
        <v>0</v>
      </c>
      <c r="R34" s="230"/>
      <c r="S34" s="230">
        <f t="shared" si="15"/>
        <v>35558.019999999997</v>
      </c>
      <c r="T34" s="230">
        <f t="shared" si="12"/>
        <v>35558.019999999997</v>
      </c>
      <c r="U34" s="230">
        <f t="shared" si="13"/>
        <v>0</v>
      </c>
      <c r="V34" s="230"/>
    </row>
    <row r="35" spans="1:22" ht="16.5" customHeight="1">
      <c r="A35" s="3" t="s">
        <v>40</v>
      </c>
      <c r="C35" s="32" t="s">
        <v>99</v>
      </c>
      <c r="D35" s="3">
        <v>427</v>
      </c>
      <c r="E35" s="3" t="s">
        <v>119</v>
      </c>
      <c r="F35" s="3">
        <v>2006</v>
      </c>
      <c r="G35" s="3">
        <v>10</v>
      </c>
      <c r="H35" s="3">
        <v>0</v>
      </c>
      <c r="I35" s="3" t="s">
        <v>52</v>
      </c>
      <c r="J35" s="175">
        <v>5</v>
      </c>
      <c r="K35" s="3">
        <f t="shared" si="7"/>
        <v>2011</v>
      </c>
      <c r="L35" s="172">
        <f t="shared" si="8"/>
        <v>2011.8333333333333</v>
      </c>
      <c r="M35" s="230">
        <v>23341.42</v>
      </c>
      <c r="N35" s="230">
        <f t="shared" si="9"/>
        <v>23341.42</v>
      </c>
      <c r="O35" s="230">
        <f t="shared" si="10"/>
        <v>389.02366666666666</v>
      </c>
      <c r="P35" s="230">
        <f t="shared" si="11"/>
        <v>4668.2839999999997</v>
      </c>
      <c r="Q35" s="230">
        <f t="shared" si="14"/>
        <v>0</v>
      </c>
      <c r="R35" s="230"/>
      <c r="S35" s="230">
        <f t="shared" si="15"/>
        <v>23341.42</v>
      </c>
      <c r="T35" s="230">
        <f t="shared" si="12"/>
        <v>23341.42</v>
      </c>
      <c r="U35" s="230">
        <f t="shared" si="13"/>
        <v>0</v>
      </c>
      <c r="V35" s="230"/>
    </row>
    <row r="36" spans="1:22" ht="16.5" customHeight="1">
      <c r="A36" s="3" t="s">
        <v>415</v>
      </c>
      <c r="B36" s="32" t="s">
        <v>499</v>
      </c>
      <c r="C36" s="32" t="s">
        <v>99</v>
      </c>
      <c r="D36" s="3">
        <f>432+432</f>
        <v>864</v>
      </c>
      <c r="E36" s="3" t="s">
        <v>480</v>
      </c>
      <c r="F36" s="3">
        <v>2006</v>
      </c>
      <c r="G36" s="3">
        <v>5</v>
      </c>
      <c r="H36" s="3">
        <v>0</v>
      </c>
      <c r="I36" s="3" t="s">
        <v>52</v>
      </c>
      <c r="J36" s="175">
        <v>5</v>
      </c>
      <c r="K36" s="3">
        <f t="shared" si="7"/>
        <v>2011</v>
      </c>
      <c r="L36" s="172">
        <f t="shared" si="8"/>
        <v>2011.4166666666667</v>
      </c>
      <c r="M36" s="230">
        <f>23461.41+23284.6</f>
        <v>46746.009999999995</v>
      </c>
      <c r="N36" s="230">
        <f t="shared" si="9"/>
        <v>46746.009999999995</v>
      </c>
      <c r="O36" s="230">
        <f t="shared" si="10"/>
        <v>779.10016666666661</v>
      </c>
      <c r="P36" s="230">
        <f t="shared" si="11"/>
        <v>9349.2019999999993</v>
      </c>
      <c r="Q36" s="230">
        <f t="shared" si="14"/>
        <v>0</v>
      </c>
      <c r="R36" s="230"/>
      <c r="S36" s="230">
        <f t="shared" si="15"/>
        <v>46746.009999999995</v>
      </c>
      <c r="T36" s="230">
        <f t="shared" si="12"/>
        <v>46746.009999999995</v>
      </c>
      <c r="U36" s="230">
        <f t="shared" si="13"/>
        <v>0</v>
      </c>
      <c r="V36" s="230"/>
    </row>
    <row r="37" spans="1:22" ht="16.5" customHeight="1">
      <c r="A37" s="3" t="s">
        <v>415</v>
      </c>
      <c r="C37" s="32" t="s">
        <v>99</v>
      </c>
      <c r="D37" s="3">
        <f>432+432</f>
        <v>864</v>
      </c>
      <c r="E37" s="3" t="s">
        <v>480</v>
      </c>
      <c r="F37" s="3">
        <v>2006</v>
      </c>
      <c r="G37" s="3">
        <v>7</v>
      </c>
      <c r="H37" s="3">
        <v>0</v>
      </c>
      <c r="I37" s="3" t="s">
        <v>52</v>
      </c>
      <c r="J37" s="175">
        <v>5</v>
      </c>
      <c r="K37" s="3">
        <f t="shared" si="7"/>
        <v>2011</v>
      </c>
      <c r="L37" s="172">
        <f t="shared" si="8"/>
        <v>2011.5833333333333</v>
      </c>
      <c r="M37" s="230">
        <v>35666.82</v>
      </c>
      <c r="N37" s="230">
        <f t="shared" si="9"/>
        <v>35666.82</v>
      </c>
      <c r="O37" s="230">
        <f t="shared" si="10"/>
        <v>594.447</v>
      </c>
      <c r="P37" s="230">
        <f t="shared" si="11"/>
        <v>7133.3639999999996</v>
      </c>
      <c r="Q37" s="230">
        <f t="shared" si="14"/>
        <v>0</v>
      </c>
      <c r="R37" s="230"/>
      <c r="S37" s="230">
        <f t="shared" si="15"/>
        <v>35666.82</v>
      </c>
      <c r="T37" s="230">
        <f t="shared" si="12"/>
        <v>35666.82</v>
      </c>
      <c r="U37" s="230">
        <f t="shared" si="13"/>
        <v>0</v>
      </c>
      <c r="V37" s="230"/>
    </row>
    <row r="38" spans="1:22" ht="16.5" customHeight="1">
      <c r="A38" s="3" t="s">
        <v>40</v>
      </c>
      <c r="C38" s="32" t="s">
        <v>99</v>
      </c>
      <c r="D38" s="3">
        <f>427+427</f>
        <v>854</v>
      </c>
      <c r="E38" s="3" t="s">
        <v>119</v>
      </c>
      <c r="F38" s="3">
        <v>2007</v>
      </c>
      <c r="G38" s="3">
        <v>5</v>
      </c>
      <c r="H38" s="3">
        <v>0</v>
      </c>
      <c r="I38" s="3" t="s">
        <v>52</v>
      </c>
      <c r="J38" s="175">
        <v>5</v>
      </c>
      <c r="K38" s="3">
        <f t="shared" si="7"/>
        <v>2012</v>
      </c>
      <c r="L38" s="172">
        <f t="shared" si="8"/>
        <v>2012.4166666666667</v>
      </c>
      <c r="M38" s="230">
        <f>23353.89+20171.91</f>
        <v>43525.8</v>
      </c>
      <c r="N38" s="230">
        <f t="shared" si="9"/>
        <v>43525.8</v>
      </c>
      <c r="O38" s="230">
        <f t="shared" si="10"/>
        <v>725.43</v>
      </c>
      <c r="P38" s="230">
        <f t="shared" si="11"/>
        <v>8705.16</v>
      </c>
      <c r="Q38" s="230">
        <f t="shared" si="14"/>
        <v>0</v>
      </c>
      <c r="R38" s="230"/>
      <c r="S38" s="230">
        <f t="shared" si="15"/>
        <v>43525.8</v>
      </c>
      <c r="T38" s="230">
        <f t="shared" si="12"/>
        <v>43525.8</v>
      </c>
      <c r="U38" s="230">
        <f t="shared" si="13"/>
        <v>0</v>
      </c>
      <c r="V38" s="230"/>
    </row>
    <row r="39" spans="1:22" ht="16.5" customHeight="1">
      <c r="A39" s="3" t="s">
        <v>40</v>
      </c>
      <c r="C39" s="32" t="s">
        <v>99</v>
      </c>
      <c r="D39" s="3">
        <v>486</v>
      </c>
      <c r="E39" s="3" t="s">
        <v>119</v>
      </c>
      <c r="F39" s="3">
        <v>2007</v>
      </c>
      <c r="G39" s="3">
        <v>5</v>
      </c>
      <c r="H39" s="3">
        <v>0</v>
      </c>
      <c r="I39" s="3" t="s">
        <v>52</v>
      </c>
      <c r="J39" s="175">
        <v>5</v>
      </c>
      <c r="K39" s="3">
        <f t="shared" si="7"/>
        <v>2012</v>
      </c>
      <c r="L39" s="172">
        <f t="shared" si="8"/>
        <v>2012.4166666666667</v>
      </c>
      <c r="M39" s="230">
        <v>26554.73</v>
      </c>
      <c r="N39" s="230">
        <f t="shared" si="9"/>
        <v>26554.73</v>
      </c>
      <c r="O39" s="230">
        <f t="shared" si="10"/>
        <v>442.57883333333331</v>
      </c>
      <c r="P39" s="230">
        <f t="shared" si="11"/>
        <v>5310.9459999999999</v>
      </c>
      <c r="Q39" s="230">
        <f t="shared" si="14"/>
        <v>0</v>
      </c>
      <c r="R39" s="230"/>
      <c r="S39" s="230">
        <f t="shared" si="15"/>
        <v>26554.73</v>
      </c>
      <c r="T39" s="230">
        <f t="shared" si="12"/>
        <v>26554.73</v>
      </c>
      <c r="U39" s="230">
        <f t="shared" si="13"/>
        <v>0</v>
      </c>
      <c r="V39" s="230"/>
    </row>
    <row r="40" spans="1:22" ht="16.5" customHeight="1">
      <c r="A40" s="3" t="s">
        <v>40</v>
      </c>
      <c r="C40" s="32" t="s">
        <v>99</v>
      </c>
      <c r="D40" s="3">
        <f>427</f>
        <v>427</v>
      </c>
      <c r="E40" s="3" t="s">
        <v>119</v>
      </c>
      <c r="F40" s="3">
        <v>2007</v>
      </c>
      <c r="G40" s="3">
        <v>7</v>
      </c>
      <c r="H40" s="3">
        <v>0</v>
      </c>
      <c r="I40" s="3" t="s">
        <v>52</v>
      </c>
      <c r="J40" s="175">
        <v>5</v>
      </c>
      <c r="K40" s="3">
        <f t="shared" si="7"/>
        <v>2012</v>
      </c>
      <c r="L40" s="172">
        <f t="shared" si="8"/>
        <v>2012.5833333333333</v>
      </c>
      <c r="M40" s="230">
        <f>21898.65</f>
        <v>21898.65</v>
      </c>
      <c r="N40" s="230">
        <f t="shared" si="9"/>
        <v>21898.65</v>
      </c>
      <c r="O40" s="230">
        <f t="shared" si="10"/>
        <v>364.97750000000002</v>
      </c>
      <c r="P40" s="230">
        <f t="shared" si="11"/>
        <v>4379.7300000000005</v>
      </c>
      <c r="Q40" s="230">
        <f t="shared" si="14"/>
        <v>0</v>
      </c>
      <c r="R40" s="230"/>
      <c r="S40" s="230">
        <f t="shared" si="15"/>
        <v>21898.65</v>
      </c>
      <c r="T40" s="230">
        <f t="shared" si="12"/>
        <v>21898.65</v>
      </c>
      <c r="U40" s="230">
        <f t="shared" si="13"/>
        <v>0</v>
      </c>
      <c r="V40" s="230"/>
    </row>
    <row r="41" spans="1:22" ht="16.5" customHeight="1">
      <c r="A41" s="3" t="s">
        <v>40</v>
      </c>
      <c r="C41" s="32" t="s">
        <v>99</v>
      </c>
      <c r="D41" s="3">
        <f>486+486</f>
        <v>972</v>
      </c>
      <c r="E41" s="3" t="s">
        <v>119</v>
      </c>
      <c r="F41" s="3">
        <v>2007</v>
      </c>
      <c r="G41" s="3">
        <v>8</v>
      </c>
      <c r="H41" s="3">
        <v>0</v>
      </c>
      <c r="I41" s="3" t="s">
        <v>52</v>
      </c>
      <c r="J41" s="175">
        <v>5</v>
      </c>
      <c r="K41" s="3">
        <f t="shared" si="7"/>
        <v>2012</v>
      </c>
      <c r="L41" s="172">
        <f t="shared" si="8"/>
        <v>2012.6666666666667</v>
      </c>
      <c r="M41" s="230">
        <f>27210.4+27210.4</f>
        <v>54420.800000000003</v>
      </c>
      <c r="N41" s="230">
        <f t="shared" si="9"/>
        <v>54420.800000000003</v>
      </c>
      <c r="O41" s="230">
        <f t="shared" si="10"/>
        <v>907.01333333333332</v>
      </c>
      <c r="P41" s="230">
        <f t="shared" si="11"/>
        <v>10884.16</v>
      </c>
      <c r="Q41" s="230">
        <f t="shared" si="14"/>
        <v>0</v>
      </c>
      <c r="R41" s="230"/>
      <c r="S41" s="230">
        <f t="shared" si="15"/>
        <v>54420.800000000003</v>
      </c>
      <c r="T41" s="230">
        <f t="shared" si="12"/>
        <v>54420.800000000003</v>
      </c>
      <c r="U41" s="230">
        <f t="shared" si="13"/>
        <v>0</v>
      </c>
      <c r="V41" s="230"/>
    </row>
    <row r="42" spans="1:22" ht="16.5" customHeight="1">
      <c r="A42" s="3" t="s">
        <v>40</v>
      </c>
      <c r="C42" s="32" t="s">
        <v>99</v>
      </c>
      <c r="D42" s="3">
        <v>486</v>
      </c>
      <c r="E42" s="3" t="s">
        <v>119</v>
      </c>
      <c r="F42" s="3">
        <v>2007</v>
      </c>
      <c r="G42" s="3">
        <v>10</v>
      </c>
      <c r="H42" s="3">
        <v>0</v>
      </c>
      <c r="I42" s="3" t="s">
        <v>52</v>
      </c>
      <c r="J42" s="175">
        <v>5</v>
      </c>
      <c r="K42" s="3">
        <f t="shared" si="7"/>
        <v>2012</v>
      </c>
      <c r="L42" s="172">
        <f t="shared" si="8"/>
        <v>2012.8333333333333</v>
      </c>
      <c r="M42" s="230">
        <v>28267.94</v>
      </c>
      <c r="N42" s="230">
        <f t="shared" si="9"/>
        <v>28267.94</v>
      </c>
      <c r="O42" s="230">
        <f t="shared" si="10"/>
        <v>471.13233333333329</v>
      </c>
      <c r="P42" s="230">
        <f t="shared" si="11"/>
        <v>5653.5879999999997</v>
      </c>
      <c r="Q42" s="230">
        <f t="shared" si="14"/>
        <v>0</v>
      </c>
      <c r="R42" s="230"/>
      <c r="S42" s="230">
        <f t="shared" si="15"/>
        <v>28267.94</v>
      </c>
      <c r="T42" s="230">
        <f t="shared" si="12"/>
        <v>28267.94</v>
      </c>
      <c r="U42" s="230">
        <f t="shared" si="13"/>
        <v>0</v>
      </c>
      <c r="V42" s="230"/>
    </row>
    <row r="43" spans="1:22" ht="16.5" customHeight="1">
      <c r="A43" s="3" t="s">
        <v>40</v>
      </c>
      <c r="C43" s="32" t="s">
        <v>99</v>
      </c>
      <c r="D43" s="3">
        <v>427</v>
      </c>
      <c r="E43" s="3" t="s">
        <v>119</v>
      </c>
      <c r="F43" s="3">
        <v>2007</v>
      </c>
      <c r="G43" s="3">
        <v>12</v>
      </c>
      <c r="H43" s="3">
        <v>0</v>
      </c>
      <c r="I43" s="3" t="s">
        <v>52</v>
      </c>
      <c r="J43" s="175">
        <v>5</v>
      </c>
      <c r="K43" s="3">
        <f t="shared" si="7"/>
        <v>2012</v>
      </c>
      <c r="L43" s="172">
        <f t="shared" si="8"/>
        <v>2013</v>
      </c>
      <c r="M43" s="230">
        <v>25797.360000000001</v>
      </c>
      <c r="N43" s="230">
        <f t="shared" si="9"/>
        <v>25797.360000000001</v>
      </c>
      <c r="O43" s="230">
        <f t="shared" si="10"/>
        <v>429.95599999999996</v>
      </c>
      <c r="P43" s="230">
        <f t="shared" si="11"/>
        <v>5159.4719999999998</v>
      </c>
      <c r="Q43" s="230">
        <f t="shared" si="14"/>
        <v>0</v>
      </c>
      <c r="R43" s="230"/>
      <c r="S43" s="230">
        <f t="shared" si="15"/>
        <v>25797.360000000001</v>
      </c>
      <c r="T43" s="230">
        <f t="shared" si="12"/>
        <v>25797.360000000001</v>
      </c>
      <c r="U43" s="230">
        <f t="shared" si="13"/>
        <v>0</v>
      </c>
      <c r="V43" s="230"/>
    </row>
    <row r="44" spans="1:22" ht="16.5" customHeight="1">
      <c r="A44" s="3" t="s">
        <v>415</v>
      </c>
      <c r="B44" s="32">
        <v>173240</v>
      </c>
      <c r="C44" s="32" t="s">
        <v>99</v>
      </c>
      <c r="D44" s="3">
        <v>486</v>
      </c>
      <c r="E44" s="3" t="s">
        <v>480</v>
      </c>
      <c r="F44" s="3">
        <v>2007</v>
      </c>
      <c r="G44" s="3">
        <v>5</v>
      </c>
      <c r="H44" s="3">
        <v>0</v>
      </c>
      <c r="I44" s="3" t="s">
        <v>52</v>
      </c>
      <c r="J44" s="175">
        <v>5</v>
      </c>
      <c r="K44" s="3">
        <f t="shared" si="7"/>
        <v>2012</v>
      </c>
      <c r="L44" s="172">
        <f t="shared" si="8"/>
        <v>2012.4166666666667</v>
      </c>
      <c r="M44" s="230">
        <v>26554.73</v>
      </c>
      <c r="N44" s="230">
        <f t="shared" si="9"/>
        <v>26554.73</v>
      </c>
      <c r="O44" s="230">
        <f t="shared" si="10"/>
        <v>442.57883333333331</v>
      </c>
      <c r="P44" s="230">
        <f t="shared" si="11"/>
        <v>5310.9459999999999</v>
      </c>
      <c r="Q44" s="230">
        <f t="shared" si="14"/>
        <v>0</v>
      </c>
      <c r="R44" s="230"/>
      <c r="S44" s="230">
        <f t="shared" si="15"/>
        <v>26554.73</v>
      </c>
      <c r="T44" s="230">
        <f t="shared" si="12"/>
        <v>26554.73</v>
      </c>
      <c r="U44" s="230">
        <f t="shared" si="13"/>
        <v>0</v>
      </c>
      <c r="V44" s="230"/>
    </row>
    <row r="45" spans="1:22" ht="16.5" customHeight="1">
      <c r="A45" s="3" t="s">
        <v>415</v>
      </c>
      <c r="C45" s="32" t="s">
        <v>99</v>
      </c>
      <c r="D45" s="3">
        <f>486+486</f>
        <v>972</v>
      </c>
      <c r="E45" s="3" t="s">
        <v>480</v>
      </c>
      <c r="F45" s="3">
        <v>2007</v>
      </c>
      <c r="G45" s="3">
        <v>6</v>
      </c>
      <c r="H45" s="3">
        <v>0</v>
      </c>
      <c r="I45" s="3" t="s">
        <v>52</v>
      </c>
      <c r="J45" s="175">
        <v>5</v>
      </c>
      <c r="K45" s="3">
        <f t="shared" si="7"/>
        <v>2012</v>
      </c>
      <c r="L45" s="172">
        <f t="shared" si="8"/>
        <v>2012.5</v>
      </c>
      <c r="M45" s="230">
        <f>26258.62+26258.62</f>
        <v>52517.24</v>
      </c>
      <c r="N45" s="230">
        <f t="shared" si="9"/>
        <v>52517.24</v>
      </c>
      <c r="O45" s="230">
        <f t="shared" si="10"/>
        <v>875.28733333333332</v>
      </c>
      <c r="P45" s="230">
        <f t="shared" si="11"/>
        <v>10503.448</v>
      </c>
      <c r="Q45" s="230">
        <f t="shared" si="14"/>
        <v>0</v>
      </c>
      <c r="R45" s="230"/>
      <c r="S45" s="230">
        <f t="shared" si="15"/>
        <v>52517.24</v>
      </c>
      <c r="T45" s="230">
        <f t="shared" si="12"/>
        <v>52517.24</v>
      </c>
      <c r="U45" s="230">
        <f t="shared" si="13"/>
        <v>0</v>
      </c>
      <c r="V45" s="230"/>
    </row>
    <row r="46" spans="1:22" ht="16.5" customHeight="1">
      <c r="A46" s="3" t="s">
        <v>415</v>
      </c>
      <c r="B46" s="32">
        <v>173245</v>
      </c>
      <c r="C46" s="32" t="s">
        <v>99</v>
      </c>
      <c r="D46" s="3">
        <v>486</v>
      </c>
      <c r="E46" s="3" t="s">
        <v>480</v>
      </c>
      <c r="F46" s="3">
        <v>2007</v>
      </c>
      <c r="G46" s="3">
        <v>7</v>
      </c>
      <c r="H46" s="3">
        <v>0</v>
      </c>
      <c r="I46" s="3" t="s">
        <v>52</v>
      </c>
      <c r="J46" s="175">
        <v>5</v>
      </c>
      <c r="K46" s="3">
        <f t="shared" si="7"/>
        <v>2012</v>
      </c>
      <c r="L46" s="172">
        <f t="shared" si="8"/>
        <v>2012.5833333333333</v>
      </c>
      <c r="M46" s="230">
        <v>24439.65</v>
      </c>
      <c r="N46" s="230">
        <f t="shared" si="9"/>
        <v>24439.65</v>
      </c>
      <c r="O46" s="230">
        <f t="shared" si="10"/>
        <v>407.32750000000004</v>
      </c>
      <c r="P46" s="230">
        <f t="shared" si="11"/>
        <v>4887.93</v>
      </c>
      <c r="Q46" s="230">
        <f t="shared" si="14"/>
        <v>0</v>
      </c>
      <c r="R46" s="230"/>
      <c r="S46" s="230">
        <f t="shared" si="15"/>
        <v>24439.65</v>
      </c>
      <c r="T46" s="230">
        <f t="shared" si="12"/>
        <v>24439.65</v>
      </c>
      <c r="U46" s="230">
        <f t="shared" si="13"/>
        <v>0</v>
      </c>
      <c r="V46" s="230"/>
    </row>
    <row r="47" spans="1:22" ht="16.5" customHeight="1">
      <c r="A47" s="3" t="s">
        <v>40</v>
      </c>
      <c r="C47" s="32" t="s">
        <v>99</v>
      </c>
      <c r="D47" s="3">
        <v>427</v>
      </c>
      <c r="E47" s="3" t="s">
        <v>119</v>
      </c>
      <c r="F47" s="3">
        <v>2008</v>
      </c>
      <c r="G47" s="3">
        <v>1</v>
      </c>
      <c r="H47" s="3">
        <v>0</v>
      </c>
      <c r="I47" s="3" t="s">
        <v>52</v>
      </c>
      <c r="J47" s="175">
        <v>5</v>
      </c>
      <c r="K47" s="3">
        <f t="shared" si="7"/>
        <v>2013</v>
      </c>
      <c r="L47" s="172">
        <f t="shared" si="8"/>
        <v>2013.0833333333333</v>
      </c>
      <c r="M47" s="230">
        <v>22067.360000000001</v>
      </c>
      <c r="N47" s="230">
        <f t="shared" si="9"/>
        <v>22067.360000000001</v>
      </c>
      <c r="O47" s="230">
        <f t="shared" si="10"/>
        <v>367.78933333333333</v>
      </c>
      <c r="P47" s="230">
        <f t="shared" si="11"/>
        <v>4413.4719999999998</v>
      </c>
      <c r="Q47" s="230">
        <f t="shared" si="14"/>
        <v>0</v>
      </c>
      <c r="R47" s="230"/>
      <c r="S47" s="230">
        <f t="shared" si="15"/>
        <v>22067.360000000001</v>
      </c>
      <c r="T47" s="230">
        <f t="shared" si="12"/>
        <v>22067.360000000001</v>
      </c>
      <c r="U47" s="230">
        <f t="shared" si="13"/>
        <v>0</v>
      </c>
      <c r="V47" s="230"/>
    </row>
    <row r="48" spans="1:22" ht="16.5" customHeight="1">
      <c r="A48" s="3" t="s">
        <v>40</v>
      </c>
      <c r="C48" s="32" t="s">
        <v>99</v>
      </c>
      <c r="D48" s="3">
        <f>486+486</f>
        <v>972</v>
      </c>
      <c r="E48" s="3" t="s">
        <v>119</v>
      </c>
      <c r="F48" s="3">
        <v>2008</v>
      </c>
      <c r="G48" s="3">
        <v>5</v>
      </c>
      <c r="H48" s="3">
        <v>0</v>
      </c>
      <c r="I48" s="3" t="s">
        <v>52</v>
      </c>
      <c r="J48" s="175">
        <v>5</v>
      </c>
      <c r="K48" s="3">
        <f t="shared" si="7"/>
        <v>2013</v>
      </c>
      <c r="L48" s="172">
        <f t="shared" si="8"/>
        <v>2013.4166666666667</v>
      </c>
      <c r="M48" s="230">
        <f>56800.26</f>
        <v>56800.26</v>
      </c>
      <c r="N48" s="230">
        <f t="shared" si="9"/>
        <v>56800.26</v>
      </c>
      <c r="O48" s="230">
        <f t="shared" si="10"/>
        <v>946.67099999999994</v>
      </c>
      <c r="P48" s="230">
        <f t="shared" si="11"/>
        <v>11360.052</v>
      </c>
      <c r="Q48" s="230">
        <f t="shared" si="14"/>
        <v>0</v>
      </c>
      <c r="R48" s="230"/>
      <c r="S48" s="230">
        <f t="shared" si="15"/>
        <v>56800.26</v>
      </c>
      <c r="T48" s="230">
        <f t="shared" si="12"/>
        <v>56800.26</v>
      </c>
      <c r="U48" s="230">
        <f t="shared" si="13"/>
        <v>0</v>
      </c>
      <c r="V48" s="230"/>
    </row>
    <row r="49" spans="1:22" ht="16.5" customHeight="1">
      <c r="A49" s="3" t="s">
        <v>415</v>
      </c>
      <c r="B49" s="32" t="s">
        <v>500</v>
      </c>
      <c r="C49" s="32" t="s">
        <v>99</v>
      </c>
      <c r="D49" s="3">
        <f>486+486</f>
        <v>972</v>
      </c>
      <c r="E49" s="3" t="s">
        <v>480</v>
      </c>
      <c r="F49" s="3">
        <v>2008</v>
      </c>
      <c r="G49" s="3">
        <v>8</v>
      </c>
      <c r="H49" s="3">
        <v>0</v>
      </c>
      <c r="I49" s="3" t="s">
        <v>52</v>
      </c>
      <c r="J49" s="175">
        <v>5</v>
      </c>
      <c r="K49" s="3">
        <f t="shared" si="7"/>
        <v>2013</v>
      </c>
      <c r="L49" s="172">
        <f t="shared" si="8"/>
        <v>2013.6666666666667</v>
      </c>
      <c r="M49" s="230">
        <f>28400.13+28400.13</f>
        <v>56800.26</v>
      </c>
      <c r="N49" s="230">
        <f t="shared" si="9"/>
        <v>56800.26</v>
      </c>
      <c r="O49" s="230">
        <f t="shared" si="10"/>
        <v>946.67099999999994</v>
      </c>
      <c r="P49" s="230">
        <f t="shared" si="11"/>
        <v>11360.052</v>
      </c>
      <c r="Q49" s="230">
        <f t="shared" si="14"/>
        <v>0</v>
      </c>
      <c r="R49" s="230"/>
      <c r="S49" s="230">
        <f t="shared" si="15"/>
        <v>56800.26</v>
      </c>
      <c r="T49" s="230">
        <f t="shared" si="12"/>
        <v>56800.26</v>
      </c>
      <c r="U49" s="230">
        <f t="shared" si="13"/>
        <v>0</v>
      </c>
      <c r="V49" s="230"/>
    </row>
    <row r="50" spans="1:22" ht="16.5" customHeight="1">
      <c r="A50" s="3" t="s">
        <v>679</v>
      </c>
      <c r="B50" s="32">
        <v>58130</v>
      </c>
      <c r="D50" s="3">
        <v>486</v>
      </c>
      <c r="E50" s="3" t="s">
        <v>855</v>
      </c>
      <c r="F50" s="3">
        <v>2008</v>
      </c>
      <c r="G50" s="3">
        <v>7</v>
      </c>
      <c r="H50" s="3">
        <v>0</v>
      </c>
      <c r="I50" s="3" t="s">
        <v>52</v>
      </c>
      <c r="J50" s="175" t="s">
        <v>861</v>
      </c>
      <c r="K50" s="3">
        <f t="shared" si="7"/>
        <v>2015</v>
      </c>
      <c r="L50" s="172">
        <f t="shared" si="8"/>
        <v>2015.5833333333333</v>
      </c>
      <c r="M50" s="230">
        <v>28400.13</v>
      </c>
      <c r="N50" s="230">
        <f t="shared" si="9"/>
        <v>28400.13</v>
      </c>
      <c r="O50" s="230">
        <f t="shared" si="10"/>
        <v>338.09678571428572</v>
      </c>
      <c r="P50" s="230">
        <f t="shared" si="11"/>
        <v>4057.1614285714286</v>
      </c>
      <c r="Q50" s="230">
        <f>+IF(L50&lt;='2111 Cont, DB'!$N$5,0,IF(K50&gt;'2111 Cont, DB'!$N$4,P50,(O50*G50)))</f>
        <v>0</v>
      </c>
      <c r="R50" s="230"/>
      <c r="S50" s="230">
        <f>+IF(Q50=0,M50,IF('2111 Cont, DB'!$N$3-F50&lt;1,0,(('2111 Cont, DB'!$N$3-F50)*P50)))</f>
        <v>28400.13</v>
      </c>
      <c r="T50" s="230">
        <f t="shared" si="12"/>
        <v>28400.13</v>
      </c>
      <c r="U50" s="230">
        <f t="shared" si="13"/>
        <v>0</v>
      </c>
      <c r="V50" s="230"/>
    </row>
    <row r="51" spans="1:22" ht="16.5" customHeight="1">
      <c r="A51" s="3" t="s">
        <v>679</v>
      </c>
      <c r="B51" s="32">
        <v>58184</v>
      </c>
      <c r="D51" s="3">
        <v>486</v>
      </c>
      <c r="E51" s="3" t="s">
        <v>856</v>
      </c>
      <c r="F51" s="3">
        <v>2008</v>
      </c>
      <c r="G51" s="3">
        <v>7</v>
      </c>
      <c r="H51" s="3">
        <v>0</v>
      </c>
      <c r="I51" s="3" t="s">
        <v>52</v>
      </c>
      <c r="J51" s="175" t="s">
        <v>861</v>
      </c>
      <c r="K51" s="3">
        <f t="shared" si="7"/>
        <v>2015</v>
      </c>
      <c r="L51" s="172">
        <f t="shared" si="8"/>
        <v>2015.5833333333333</v>
      </c>
      <c r="M51" s="230">
        <v>28400.13</v>
      </c>
      <c r="N51" s="230">
        <f t="shared" si="9"/>
        <v>28400.13</v>
      </c>
      <c r="O51" s="230">
        <f t="shared" si="10"/>
        <v>338.09678571428572</v>
      </c>
      <c r="P51" s="230">
        <f t="shared" si="11"/>
        <v>4057.1614285714286</v>
      </c>
      <c r="Q51" s="230">
        <f>+IF(L51&lt;='2111 Cont, DB'!$N$5,0,IF(K51&gt;'2111 Cont, DB'!$N$4,P51,(O51*G51)))</f>
        <v>0</v>
      </c>
      <c r="R51" s="230"/>
      <c r="S51" s="230">
        <f>+IF(Q51=0,M51,IF('2111 Cont, DB'!$N$3-F51&lt;1,0,(('2111 Cont, DB'!$N$3-F51)*P51)))</f>
        <v>28400.13</v>
      </c>
      <c r="T51" s="230">
        <f t="shared" si="12"/>
        <v>28400.13</v>
      </c>
      <c r="U51" s="230">
        <f t="shared" si="13"/>
        <v>0</v>
      </c>
      <c r="V51" s="230"/>
    </row>
    <row r="52" spans="1:22" ht="16.5" customHeight="1">
      <c r="A52" s="3" t="s">
        <v>40</v>
      </c>
      <c r="C52" s="32" t="s">
        <v>99</v>
      </c>
      <c r="D52" s="3">
        <v>486</v>
      </c>
      <c r="E52" s="3" t="s">
        <v>119</v>
      </c>
      <c r="F52" s="3">
        <v>2009</v>
      </c>
      <c r="G52" s="3">
        <v>5</v>
      </c>
      <c r="H52" s="3">
        <v>0</v>
      </c>
      <c r="I52" s="3" t="s">
        <v>52</v>
      </c>
      <c r="J52" s="175">
        <v>5</v>
      </c>
      <c r="K52" s="3">
        <f t="shared" si="7"/>
        <v>2014</v>
      </c>
      <c r="L52" s="172">
        <f t="shared" si="8"/>
        <v>2014.4166666666667</v>
      </c>
      <c r="M52" s="230">
        <v>23659.56</v>
      </c>
      <c r="N52" s="230">
        <f t="shared" si="9"/>
        <v>23659.56</v>
      </c>
      <c r="O52" s="230">
        <f t="shared" si="10"/>
        <v>394.32600000000002</v>
      </c>
      <c r="P52" s="230">
        <f t="shared" si="11"/>
        <v>4731.9120000000003</v>
      </c>
      <c r="Q52" s="230">
        <f>+IF(L52&lt;=$N$5,0,IF(K52&gt;$N$4,P52,(O52*G52)))</f>
        <v>0</v>
      </c>
      <c r="R52" s="230"/>
      <c r="S52" s="230">
        <f>+IF(Q52=0,M52,IF($N$3-F52&lt;1,0,(($N$3-F52)*P52)))</f>
        <v>23659.56</v>
      </c>
      <c r="T52" s="230">
        <f t="shared" si="12"/>
        <v>23659.56</v>
      </c>
      <c r="U52" s="230">
        <f t="shared" si="13"/>
        <v>0</v>
      </c>
      <c r="V52" s="230"/>
    </row>
    <row r="53" spans="1:22" ht="16.5" customHeight="1">
      <c r="A53" s="3" t="s">
        <v>40</v>
      </c>
      <c r="C53" s="32" t="s">
        <v>99</v>
      </c>
      <c r="D53" s="3">
        <v>415</v>
      </c>
      <c r="E53" s="3" t="s">
        <v>119</v>
      </c>
      <c r="F53" s="3">
        <v>2009</v>
      </c>
      <c r="G53" s="3">
        <v>6</v>
      </c>
      <c r="H53" s="3">
        <v>0</v>
      </c>
      <c r="I53" s="3" t="s">
        <v>52</v>
      </c>
      <c r="J53" s="175">
        <v>5</v>
      </c>
      <c r="K53" s="3">
        <f t="shared" si="7"/>
        <v>2014</v>
      </c>
      <c r="L53" s="172">
        <f t="shared" si="8"/>
        <v>2014.5</v>
      </c>
      <c r="M53" s="230">
        <v>20203.11</v>
      </c>
      <c r="N53" s="230">
        <f t="shared" si="9"/>
        <v>20203.11</v>
      </c>
      <c r="O53" s="230">
        <f t="shared" si="10"/>
        <v>336.71850000000001</v>
      </c>
      <c r="P53" s="230">
        <f t="shared" si="11"/>
        <v>4040.6220000000003</v>
      </c>
      <c r="Q53" s="230">
        <f>+IF(L53&lt;=$N$5,0,IF(K53&gt;$N$4,P53,(O53*G53)))</f>
        <v>0</v>
      </c>
      <c r="R53" s="230"/>
      <c r="S53" s="230">
        <f>+IF(Q53=0,M53,IF($N$3-F53&lt;1,0,(($N$3-F53)*P53)))</f>
        <v>20203.11</v>
      </c>
      <c r="T53" s="230">
        <f t="shared" si="12"/>
        <v>20203.11</v>
      </c>
      <c r="U53" s="230">
        <f t="shared" si="13"/>
        <v>0</v>
      </c>
      <c r="V53" s="230"/>
    </row>
    <row r="54" spans="1:22" ht="16.5" customHeight="1">
      <c r="A54" s="3" t="s">
        <v>415</v>
      </c>
      <c r="B54" s="32">
        <v>173271</v>
      </c>
      <c r="C54" s="32" t="s">
        <v>99</v>
      </c>
      <c r="D54" s="3">
        <v>624</v>
      </c>
      <c r="E54" s="3" t="s">
        <v>480</v>
      </c>
      <c r="F54" s="3">
        <v>2009</v>
      </c>
      <c r="G54" s="3">
        <v>9</v>
      </c>
      <c r="H54" s="3">
        <v>0</v>
      </c>
      <c r="I54" s="3" t="s">
        <v>52</v>
      </c>
      <c r="J54" s="175">
        <v>5</v>
      </c>
      <c r="K54" s="3">
        <f t="shared" si="7"/>
        <v>2014</v>
      </c>
      <c r="L54" s="172">
        <f t="shared" si="8"/>
        <v>2014.75</v>
      </c>
      <c r="M54" s="230">
        <v>29186.16</v>
      </c>
      <c r="N54" s="230">
        <f t="shared" si="9"/>
        <v>29186.16</v>
      </c>
      <c r="O54" s="230">
        <f t="shared" si="10"/>
        <v>486.43599999999998</v>
      </c>
      <c r="P54" s="230">
        <f t="shared" si="11"/>
        <v>5837.232</v>
      </c>
      <c r="Q54" s="230">
        <f>+IF(L54&lt;=$N$5,0,IF(K54&gt;$N$4,P54,(O54*G54)))</f>
        <v>0</v>
      </c>
      <c r="R54" s="230"/>
      <c r="S54" s="230">
        <f>+IF(Q54=0,M54,IF($N$3-F54&lt;1,0,(($N$3-F54)*P54)))</f>
        <v>29186.16</v>
      </c>
      <c r="T54" s="230">
        <f t="shared" si="12"/>
        <v>29186.16</v>
      </c>
      <c r="U54" s="230">
        <f t="shared" si="13"/>
        <v>0</v>
      </c>
      <c r="V54" s="230"/>
    </row>
    <row r="55" spans="1:22" ht="16.5" customHeight="1">
      <c r="A55" s="3" t="s">
        <v>679</v>
      </c>
      <c r="B55" s="32">
        <v>69855</v>
      </c>
      <c r="D55" s="3">
        <v>624</v>
      </c>
      <c r="E55" s="4" t="s">
        <v>857</v>
      </c>
      <c r="F55" s="3">
        <v>2009</v>
      </c>
      <c r="G55" s="3">
        <v>10</v>
      </c>
      <c r="H55" s="3">
        <v>0</v>
      </c>
      <c r="I55" s="3" t="s">
        <v>52</v>
      </c>
      <c r="J55" s="175" t="s">
        <v>861</v>
      </c>
      <c r="K55" s="3">
        <f t="shared" si="7"/>
        <v>2016</v>
      </c>
      <c r="L55" s="172">
        <f t="shared" si="8"/>
        <v>2016.8333333333333</v>
      </c>
      <c r="M55" s="230">
        <v>29186.16</v>
      </c>
      <c r="N55" s="230">
        <f t="shared" si="9"/>
        <v>29186.16</v>
      </c>
      <c r="O55" s="230">
        <f t="shared" si="10"/>
        <v>347.45428571428573</v>
      </c>
      <c r="P55" s="230">
        <f t="shared" si="11"/>
        <v>4169.4514285714286</v>
      </c>
      <c r="Q55" s="230">
        <f>+IF(L55&lt;='2111 Cont, DB'!$N$5,0,IF(K55&gt;'2111 Cont, DB'!$N$4,P55,(O55*G55)))</f>
        <v>0</v>
      </c>
      <c r="R55" s="230"/>
      <c r="S55" s="230">
        <f>+IF(Q55=0,M55,IF('2111 Cont, DB'!$N$3-F55&lt;1,0,(('2111 Cont, DB'!$N$3-F55)*P55)))</f>
        <v>29186.16</v>
      </c>
      <c r="T55" s="230">
        <f t="shared" si="12"/>
        <v>29186.16</v>
      </c>
      <c r="U55" s="230">
        <f t="shared" si="13"/>
        <v>0</v>
      </c>
      <c r="V55" s="230"/>
    </row>
    <row r="56" spans="1:22" ht="16.5" customHeight="1">
      <c r="A56" s="3" t="s">
        <v>40</v>
      </c>
      <c r="C56" s="32" t="s">
        <v>99</v>
      </c>
      <c r="D56" s="3">
        <v>486</v>
      </c>
      <c r="E56" s="4" t="s">
        <v>119</v>
      </c>
      <c r="F56" s="3">
        <v>2010</v>
      </c>
      <c r="G56" s="3">
        <v>11</v>
      </c>
      <c r="H56" s="3">
        <v>0</v>
      </c>
      <c r="I56" s="3" t="s">
        <v>52</v>
      </c>
      <c r="J56" s="175">
        <v>7</v>
      </c>
      <c r="K56" s="3">
        <f t="shared" si="7"/>
        <v>2017</v>
      </c>
      <c r="L56" s="172">
        <f t="shared" si="8"/>
        <v>2017.9166666666667</v>
      </c>
      <c r="M56" s="230">
        <v>23872.04</v>
      </c>
      <c r="N56" s="230">
        <f t="shared" si="9"/>
        <v>23872.04</v>
      </c>
      <c r="O56" s="230">
        <f t="shared" si="10"/>
        <v>284.19095238095241</v>
      </c>
      <c r="P56" s="230">
        <f t="shared" si="11"/>
        <v>3410.2914285714287</v>
      </c>
      <c r="Q56" s="230">
        <f>+IF(L56&lt;=$N$5,0,IF(K56&gt;$N$4,P56,(O56*G56)))</f>
        <v>0</v>
      </c>
      <c r="R56" s="230"/>
      <c r="S56" s="230">
        <f>+IF(Q56=0,M56,IF($N$3-F56&lt;1,0,(($N$3-F56)*P56)))</f>
        <v>23872.04</v>
      </c>
      <c r="T56" s="230">
        <f t="shared" si="12"/>
        <v>23872.04</v>
      </c>
      <c r="U56" s="230">
        <f t="shared" si="13"/>
        <v>0</v>
      </c>
      <c r="V56" s="230"/>
    </row>
    <row r="57" spans="1:22" ht="16.5" customHeight="1">
      <c r="A57" s="3" t="s">
        <v>415</v>
      </c>
      <c r="B57" s="32">
        <v>173276</v>
      </c>
      <c r="C57" s="32" t="s">
        <v>99</v>
      </c>
      <c r="D57" s="3">
        <v>486</v>
      </c>
      <c r="E57" s="4" t="s">
        <v>480</v>
      </c>
      <c r="F57" s="3">
        <v>2010</v>
      </c>
      <c r="G57" s="3">
        <v>7</v>
      </c>
      <c r="H57" s="3">
        <v>0</v>
      </c>
      <c r="I57" s="3" t="s">
        <v>52</v>
      </c>
      <c r="J57" s="175">
        <v>7</v>
      </c>
      <c r="K57" s="3">
        <f t="shared" si="7"/>
        <v>2017</v>
      </c>
      <c r="L57" s="172">
        <f t="shared" si="8"/>
        <v>2017.5833333333333</v>
      </c>
      <c r="M57" s="230">
        <v>24211.15</v>
      </c>
      <c r="N57" s="230">
        <f t="shared" si="9"/>
        <v>24211.15</v>
      </c>
      <c r="O57" s="230">
        <f t="shared" si="10"/>
        <v>288.22797619047623</v>
      </c>
      <c r="P57" s="230">
        <f t="shared" si="11"/>
        <v>3458.7357142857145</v>
      </c>
      <c r="Q57" s="230">
        <f>+IF(L57&lt;=$N$5,0,IF(K57&gt;$N$4,P57,(O57*G57)))</f>
        <v>0</v>
      </c>
      <c r="R57" s="230"/>
      <c r="S57" s="230">
        <f>+IF(Q57=0,M57,IF($N$3-F57&lt;1,0,(($N$3-F57)*P57)))</f>
        <v>24211.15</v>
      </c>
      <c r="T57" s="230">
        <f t="shared" si="12"/>
        <v>24211.15</v>
      </c>
      <c r="U57" s="230">
        <f t="shared" si="13"/>
        <v>0</v>
      </c>
      <c r="V57" s="230"/>
    </row>
    <row r="58" spans="1:22" ht="16.5" customHeight="1">
      <c r="A58" s="3" t="s">
        <v>40</v>
      </c>
      <c r="C58" s="32" t="s">
        <v>99</v>
      </c>
      <c r="D58" s="3">
        <f>486+243</f>
        <v>729</v>
      </c>
      <c r="E58" s="4" t="s">
        <v>196</v>
      </c>
      <c r="F58" s="3">
        <v>2011</v>
      </c>
      <c r="G58" s="3">
        <v>7</v>
      </c>
      <c r="H58" s="3">
        <v>0</v>
      </c>
      <c r="I58" s="3" t="s">
        <v>52</v>
      </c>
      <c r="J58" s="175">
        <v>7</v>
      </c>
      <c r="K58" s="3">
        <f t="shared" si="7"/>
        <v>2018</v>
      </c>
      <c r="L58" s="172">
        <f t="shared" si="8"/>
        <v>2018.5833333333333</v>
      </c>
      <c r="M58" s="230">
        <f>26150.87+13075.44</f>
        <v>39226.31</v>
      </c>
      <c r="N58" s="230">
        <f t="shared" si="9"/>
        <v>39226.31</v>
      </c>
      <c r="O58" s="230">
        <f t="shared" si="10"/>
        <v>466.97988095238094</v>
      </c>
      <c r="P58" s="230">
        <f t="shared" si="11"/>
        <v>5603.7585714285715</v>
      </c>
      <c r="Q58" s="230">
        <f>+IF(L58&lt;=$N$5,0,IF(K58&gt;$N$4,P58,(O58*G58)))</f>
        <v>0</v>
      </c>
      <c r="R58" s="230"/>
      <c r="S58" s="230">
        <f>+IF(Q58=0,M58,IF($N$3-F58&lt;1,0,(($N$3-F58)*P58)))</f>
        <v>39226.31</v>
      </c>
      <c r="T58" s="230">
        <f t="shared" si="12"/>
        <v>39226.31</v>
      </c>
      <c r="U58" s="230">
        <f t="shared" si="13"/>
        <v>0</v>
      </c>
      <c r="V58" s="230"/>
    </row>
    <row r="59" spans="1:22" ht="16.5" customHeight="1">
      <c r="A59" s="3" t="s">
        <v>40</v>
      </c>
      <c r="C59" s="32" t="s">
        <v>99</v>
      </c>
      <c r="D59" s="3">
        <v>486</v>
      </c>
      <c r="E59" s="4" t="s">
        <v>196</v>
      </c>
      <c r="F59" s="3">
        <v>2011</v>
      </c>
      <c r="G59" s="3">
        <v>8</v>
      </c>
      <c r="H59" s="3">
        <v>0</v>
      </c>
      <c r="I59" s="3" t="s">
        <v>52</v>
      </c>
      <c r="J59" s="175">
        <v>7</v>
      </c>
      <c r="K59" s="3">
        <f t="shared" si="7"/>
        <v>2018</v>
      </c>
      <c r="L59" s="172">
        <f t="shared" si="8"/>
        <v>2018.6666666666667</v>
      </c>
      <c r="M59" s="230">
        <v>26150.87</v>
      </c>
      <c r="N59" s="230">
        <f t="shared" si="9"/>
        <v>26150.87</v>
      </c>
      <c r="O59" s="230">
        <f t="shared" si="10"/>
        <v>311.31988095238097</v>
      </c>
      <c r="P59" s="230">
        <f t="shared" si="11"/>
        <v>3735.8385714285714</v>
      </c>
      <c r="Q59" s="230">
        <f>+IF(L59&lt;=$N$5,0,IF(K59&gt;$N$4,P59,(O59*G59)))</f>
        <v>0</v>
      </c>
      <c r="R59" s="230"/>
      <c r="S59" s="230">
        <f>+IF(Q59=0,M59,IF($N$3-F59&lt;1,0,(($N$3-F59)*P59)))</f>
        <v>26150.87</v>
      </c>
      <c r="T59" s="230">
        <f t="shared" si="12"/>
        <v>26150.87</v>
      </c>
      <c r="U59" s="230">
        <f t="shared" si="13"/>
        <v>0</v>
      </c>
      <c r="V59" s="230"/>
    </row>
    <row r="60" spans="1:22" ht="16.5" customHeight="1">
      <c r="A60" s="3" t="s">
        <v>415</v>
      </c>
      <c r="B60" s="32">
        <v>173282</v>
      </c>
      <c r="C60" s="32" t="s">
        <v>99</v>
      </c>
      <c r="D60" s="3">
        <v>624</v>
      </c>
      <c r="E60" s="4" t="s">
        <v>480</v>
      </c>
      <c r="F60" s="3">
        <v>2011</v>
      </c>
      <c r="G60" s="3">
        <v>4</v>
      </c>
      <c r="H60" s="3">
        <v>0</v>
      </c>
      <c r="I60" s="3" t="s">
        <v>52</v>
      </c>
      <c r="J60" s="175">
        <v>7</v>
      </c>
      <c r="K60" s="3">
        <f t="shared" si="7"/>
        <v>2018</v>
      </c>
      <c r="L60" s="172">
        <f t="shared" si="8"/>
        <v>2018.3333333333333</v>
      </c>
      <c r="M60" s="230">
        <v>32802.68</v>
      </c>
      <c r="N60" s="230">
        <f t="shared" si="9"/>
        <v>32802.68</v>
      </c>
      <c r="O60" s="230">
        <f t="shared" si="10"/>
        <v>390.50809523809522</v>
      </c>
      <c r="P60" s="230">
        <f t="shared" si="11"/>
        <v>4686.0971428571429</v>
      </c>
      <c r="Q60" s="230">
        <f>+IF(L60&lt;=$N$5,0,IF(K60&gt;$N$4,P60,(O60*G60)))</f>
        <v>0</v>
      </c>
      <c r="R60" s="230"/>
      <c r="S60" s="230">
        <f>+IF(Q60=0,M60,IF($N$3-F60&lt;1,0,(($N$3-F60)*P60)))</f>
        <v>32802.68</v>
      </c>
      <c r="T60" s="230">
        <f t="shared" si="12"/>
        <v>32802.68</v>
      </c>
      <c r="U60" s="230">
        <f t="shared" si="13"/>
        <v>0</v>
      </c>
      <c r="V60" s="230"/>
    </row>
    <row r="61" spans="1:22" ht="16.5" customHeight="1">
      <c r="A61" s="3" t="s">
        <v>679</v>
      </c>
      <c r="B61" s="32">
        <v>87499</v>
      </c>
      <c r="D61" s="3">
        <v>486</v>
      </c>
      <c r="E61" s="4" t="s">
        <v>842</v>
      </c>
      <c r="F61" s="3">
        <v>2011</v>
      </c>
      <c r="G61" s="3">
        <v>10</v>
      </c>
      <c r="H61" s="3">
        <v>0</v>
      </c>
      <c r="I61" s="3" t="s">
        <v>52</v>
      </c>
      <c r="J61" s="175">
        <v>7</v>
      </c>
      <c r="K61" s="3">
        <f t="shared" si="7"/>
        <v>2018</v>
      </c>
      <c r="L61" s="172">
        <f t="shared" si="8"/>
        <v>2018.8333333333333</v>
      </c>
      <c r="M61" s="230">
        <v>26230.55</v>
      </c>
      <c r="N61" s="230">
        <f t="shared" si="9"/>
        <v>26230.55</v>
      </c>
      <c r="O61" s="230">
        <f t="shared" si="10"/>
        <v>312.2684523809524</v>
      </c>
      <c r="P61" s="230">
        <f t="shared" si="11"/>
        <v>3747.221428571429</v>
      </c>
      <c r="Q61" s="230">
        <f>+IF(L61&lt;='2111 Cont, DB'!$N$5,0,IF(K61&gt;'2111 Cont, DB'!$N$4,P61,(O61*G61)))</f>
        <v>0</v>
      </c>
      <c r="R61" s="230"/>
      <c r="S61" s="230">
        <f>+IF(Q61=0,M61,IF('2111 Cont, DB'!$N$3-F61&lt;1,0,(('2111 Cont, DB'!$N$3-F61)*P61)))</f>
        <v>26230.55</v>
      </c>
      <c r="T61" s="230">
        <f t="shared" si="12"/>
        <v>26230.55</v>
      </c>
      <c r="U61" s="230">
        <f t="shared" si="13"/>
        <v>0</v>
      </c>
      <c r="V61" s="230"/>
    </row>
    <row r="62" spans="1:22" ht="16.5" customHeight="1">
      <c r="A62" s="3" t="s">
        <v>40</v>
      </c>
      <c r="B62" s="32">
        <v>104634</v>
      </c>
      <c r="C62" s="32" t="s">
        <v>99</v>
      </c>
      <c r="D62" s="3">
        <v>486</v>
      </c>
      <c r="E62" s="4" t="s">
        <v>119</v>
      </c>
      <c r="F62" s="3">
        <v>2013</v>
      </c>
      <c r="G62" s="3">
        <v>6</v>
      </c>
      <c r="H62" s="3">
        <v>0</v>
      </c>
      <c r="I62" s="3" t="s">
        <v>52</v>
      </c>
      <c r="J62" s="175">
        <v>7</v>
      </c>
      <c r="K62" s="3">
        <f t="shared" si="7"/>
        <v>2020</v>
      </c>
      <c r="L62" s="172">
        <f t="shared" si="8"/>
        <v>2020.5</v>
      </c>
      <c r="M62" s="230">
        <v>26316.799999999999</v>
      </c>
      <c r="N62" s="230">
        <f t="shared" si="9"/>
        <v>26316.799999999999</v>
      </c>
      <c r="O62" s="230">
        <f t="shared" si="10"/>
        <v>313.29523809523806</v>
      </c>
      <c r="P62" s="230">
        <f t="shared" si="11"/>
        <v>3759.5428571428565</v>
      </c>
      <c r="Q62" s="230">
        <f t="shared" ref="Q62:Q69" si="16">+IF(L62&lt;=$N$5,0,IF(K62&gt;$N$4,P62,(O62*G62)))</f>
        <v>3759.5428571428565</v>
      </c>
      <c r="R62" s="230"/>
      <c r="S62" s="230">
        <f t="shared" ref="S62:S69" si="17">+IF(Q62=0,M62,IF($N$3-F62&lt;1,0,(($N$3-F62)*P62)))</f>
        <v>15038.171428571426</v>
      </c>
      <c r="T62" s="230">
        <f t="shared" si="12"/>
        <v>18797.714285714283</v>
      </c>
      <c r="U62" s="230">
        <f t="shared" si="13"/>
        <v>9398.8571428571449</v>
      </c>
      <c r="V62" s="230"/>
    </row>
    <row r="63" spans="1:22" ht="16.5" customHeight="1">
      <c r="A63" s="3" t="s">
        <v>40</v>
      </c>
      <c r="B63" s="32">
        <v>105992</v>
      </c>
      <c r="C63" s="32" t="s">
        <v>99</v>
      </c>
      <c r="D63" s="3">
        <v>486</v>
      </c>
      <c r="E63" s="4" t="s">
        <v>119</v>
      </c>
      <c r="F63" s="3">
        <v>2013</v>
      </c>
      <c r="G63" s="3">
        <v>7</v>
      </c>
      <c r="H63" s="3">
        <v>0</v>
      </c>
      <c r="I63" s="3" t="s">
        <v>52</v>
      </c>
      <c r="J63" s="175">
        <v>7</v>
      </c>
      <c r="K63" s="3">
        <f t="shared" ref="K63:K91" si="18">F63+J63</f>
        <v>2020</v>
      </c>
      <c r="L63" s="172">
        <f t="shared" ref="L63:L91" si="19">+K63+(G63/12)</f>
        <v>2020.5833333333333</v>
      </c>
      <c r="M63" s="230">
        <v>26316.799999999999</v>
      </c>
      <c r="N63" s="230">
        <f t="shared" ref="N63:N91" si="20">M63-M63*H63</f>
        <v>26316.799999999999</v>
      </c>
      <c r="O63" s="230">
        <f t="shared" ref="O63:O91" si="21">N63/J63/12</f>
        <v>313.29523809523806</v>
      </c>
      <c r="P63" s="230">
        <f t="shared" ref="P63:P91" si="22">+O63*12</f>
        <v>3759.5428571428565</v>
      </c>
      <c r="Q63" s="230">
        <f t="shared" si="16"/>
        <v>3759.5428571428565</v>
      </c>
      <c r="R63" s="230"/>
      <c r="S63" s="230">
        <f t="shared" si="17"/>
        <v>15038.171428571426</v>
      </c>
      <c r="T63" s="230">
        <f t="shared" ref="T63:T91" si="23">+IF(Q63=0,S63,S63+Q63)</f>
        <v>18797.714285714283</v>
      </c>
      <c r="U63" s="230">
        <f t="shared" ref="U63:U91" si="24">+IF(Q63=0,0,((M63-S63)+(M63-T63))/2)</f>
        <v>9398.8571428571449</v>
      </c>
      <c r="V63" s="230"/>
    </row>
    <row r="64" spans="1:22" ht="16.5" customHeight="1">
      <c r="A64" s="3" t="s">
        <v>40</v>
      </c>
      <c r="B64" s="32">
        <v>107975</v>
      </c>
      <c r="C64" s="32" t="s">
        <v>99</v>
      </c>
      <c r="D64" s="3">
        <v>312</v>
      </c>
      <c r="E64" s="3" t="s">
        <v>119</v>
      </c>
      <c r="F64" s="3">
        <v>2013</v>
      </c>
      <c r="G64" s="3">
        <v>10</v>
      </c>
      <c r="H64" s="3">
        <v>0</v>
      </c>
      <c r="I64" s="3" t="s">
        <v>52</v>
      </c>
      <c r="J64" s="175">
        <v>7</v>
      </c>
      <c r="K64" s="3">
        <f t="shared" si="18"/>
        <v>2020</v>
      </c>
      <c r="L64" s="172">
        <f t="shared" si="19"/>
        <v>2020.8333333333333</v>
      </c>
      <c r="M64" s="230">
        <v>17201.509999999998</v>
      </c>
      <c r="N64" s="230">
        <f t="shared" si="20"/>
        <v>17201.509999999998</v>
      </c>
      <c r="O64" s="230">
        <f t="shared" si="21"/>
        <v>204.77988095238095</v>
      </c>
      <c r="P64" s="230">
        <f t="shared" si="22"/>
        <v>2457.3585714285714</v>
      </c>
      <c r="Q64" s="230">
        <f t="shared" si="16"/>
        <v>2457.3585714285714</v>
      </c>
      <c r="R64" s="230"/>
      <c r="S64" s="230">
        <f t="shared" si="17"/>
        <v>9829.4342857142856</v>
      </c>
      <c r="T64" s="230">
        <f t="shared" si="23"/>
        <v>12286.792857142857</v>
      </c>
      <c r="U64" s="230">
        <f t="shared" si="24"/>
        <v>6143.3964285714274</v>
      </c>
      <c r="V64" s="230"/>
    </row>
    <row r="65" spans="1:22" ht="16.5" customHeight="1">
      <c r="A65" s="3" t="s">
        <v>40</v>
      </c>
      <c r="B65" s="32">
        <v>111444</v>
      </c>
      <c r="C65" s="32" t="s">
        <v>99</v>
      </c>
      <c r="D65" s="3">
        <v>624</v>
      </c>
      <c r="E65" s="3" t="s">
        <v>119</v>
      </c>
      <c r="F65" s="3">
        <v>2014</v>
      </c>
      <c r="G65" s="3">
        <v>3</v>
      </c>
      <c r="H65" s="3">
        <v>0</v>
      </c>
      <c r="I65" s="3" t="s">
        <v>52</v>
      </c>
      <c r="J65" s="175">
        <v>7</v>
      </c>
      <c r="K65" s="3">
        <f t="shared" si="18"/>
        <v>2021</v>
      </c>
      <c r="L65" s="172">
        <f t="shared" si="19"/>
        <v>2021.25</v>
      </c>
      <c r="M65" s="230">
        <v>35948.660000000003</v>
      </c>
      <c r="N65" s="230">
        <f t="shared" si="20"/>
        <v>35948.660000000003</v>
      </c>
      <c r="O65" s="230">
        <f t="shared" si="21"/>
        <v>427.96023809523814</v>
      </c>
      <c r="P65" s="230">
        <f t="shared" si="22"/>
        <v>5135.5228571428579</v>
      </c>
      <c r="Q65" s="230">
        <f t="shared" si="16"/>
        <v>5135.5228571428579</v>
      </c>
      <c r="R65" s="230"/>
      <c r="S65" s="230">
        <f t="shared" si="17"/>
        <v>15406.568571428574</v>
      </c>
      <c r="T65" s="230">
        <f t="shared" si="23"/>
        <v>20542.091428571432</v>
      </c>
      <c r="U65" s="230">
        <f t="shared" si="24"/>
        <v>17974.330000000002</v>
      </c>
      <c r="V65" s="230"/>
    </row>
    <row r="66" spans="1:22" ht="16.5" customHeight="1">
      <c r="A66" s="3" t="s">
        <v>40</v>
      </c>
      <c r="B66" s="32">
        <v>113921</v>
      </c>
      <c r="C66" s="32" t="s">
        <v>99</v>
      </c>
      <c r="D66" s="3">
        <v>486</v>
      </c>
      <c r="E66" s="3" t="s">
        <v>309</v>
      </c>
      <c r="F66" s="3">
        <v>2014</v>
      </c>
      <c r="G66" s="3">
        <v>6</v>
      </c>
      <c r="H66" s="3">
        <v>0</v>
      </c>
      <c r="I66" s="3" t="s">
        <v>52</v>
      </c>
      <c r="J66" s="175">
        <v>7</v>
      </c>
      <c r="K66" s="3">
        <f t="shared" si="18"/>
        <v>2021</v>
      </c>
      <c r="L66" s="172">
        <f t="shared" si="19"/>
        <v>2021.5</v>
      </c>
      <c r="M66" s="230">
        <v>28330.85</v>
      </c>
      <c r="N66" s="230">
        <f t="shared" si="20"/>
        <v>28330.85</v>
      </c>
      <c r="O66" s="230">
        <f t="shared" si="21"/>
        <v>337.27202380952377</v>
      </c>
      <c r="P66" s="230">
        <f t="shared" si="22"/>
        <v>4047.2642857142855</v>
      </c>
      <c r="Q66" s="230">
        <f t="shared" si="16"/>
        <v>4047.2642857142855</v>
      </c>
      <c r="R66" s="230"/>
      <c r="S66" s="230">
        <f t="shared" si="17"/>
        <v>12141.792857142857</v>
      </c>
      <c r="T66" s="230">
        <f t="shared" si="23"/>
        <v>16189.057142857142</v>
      </c>
      <c r="U66" s="230">
        <f t="shared" si="24"/>
        <v>14165.424999999999</v>
      </c>
      <c r="V66" s="230"/>
    </row>
    <row r="67" spans="1:22" ht="16.5" customHeight="1">
      <c r="A67" s="3" t="s">
        <v>40</v>
      </c>
      <c r="B67" s="32">
        <v>115031</v>
      </c>
      <c r="C67" s="32" t="s">
        <v>99</v>
      </c>
      <c r="D67" s="3">
        <v>486</v>
      </c>
      <c r="E67" s="3" t="s">
        <v>119</v>
      </c>
      <c r="F67" s="3">
        <v>2014</v>
      </c>
      <c r="G67" s="3">
        <v>7</v>
      </c>
      <c r="H67" s="3">
        <v>0</v>
      </c>
      <c r="I67" s="3" t="s">
        <v>52</v>
      </c>
      <c r="J67" s="175">
        <v>7</v>
      </c>
      <c r="K67" s="3">
        <f t="shared" si="18"/>
        <v>2021</v>
      </c>
      <c r="L67" s="172">
        <f t="shared" si="19"/>
        <v>2021.5833333333333</v>
      </c>
      <c r="M67" s="230">
        <v>28330.85</v>
      </c>
      <c r="N67" s="230">
        <f t="shared" si="20"/>
        <v>28330.85</v>
      </c>
      <c r="O67" s="230">
        <f t="shared" si="21"/>
        <v>337.27202380952377</v>
      </c>
      <c r="P67" s="230">
        <f t="shared" si="22"/>
        <v>4047.2642857142855</v>
      </c>
      <c r="Q67" s="230">
        <f t="shared" si="16"/>
        <v>4047.2642857142855</v>
      </c>
      <c r="R67" s="230"/>
      <c r="S67" s="230">
        <f t="shared" si="17"/>
        <v>12141.792857142857</v>
      </c>
      <c r="T67" s="230">
        <f t="shared" si="23"/>
        <v>16189.057142857142</v>
      </c>
      <c r="U67" s="230">
        <f t="shared" si="24"/>
        <v>14165.424999999999</v>
      </c>
      <c r="V67" s="230"/>
    </row>
    <row r="68" spans="1:22" ht="16.5" customHeight="1">
      <c r="A68" s="3" t="s">
        <v>415</v>
      </c>
      <c r="B68" s="32">
        <v>173302</v>
      </c>
      <c r="C68" s="32" t="s">
        <v>99</v>
      </c>
      <c r="D68" s="3">
        <v>243</v>
      </c>
      <c r="E68" s="3" t="s">
        <v>480</v>
      </c>
      <c r="F68" s="3">
        <v>2014</v>
      </c>
      <c r="G68" s="3">
        <v>4</v>
      </c>
      <c r="H68" s="3">
        <v>0</v>
      </c>
      <c r="I68" s="3" t="s">
        <v>52</v>
      </c>
      <c r="J68" s="175">
        <v>7</v>
      </c>
      <c r="K68" s="3">
        <f t="shared" si="18"/>
        <v>2021</v>
      </c>
      <c r="L68" s="172">
        <f t="shared" si="19"/>
        <v>2021.3333333333333</v>
      </c>
      <c r="M68" s="230">
        <v>13865.54</v>
      </c>
      <c r="N68" s="230">
        <f t="shared" si="20"/>
        <v>13865.54</v>
      </c>
      <c r="O68" s="230">
        <f t="shared" si="21"/>
        <v>165.06595238095238</v>
      </c>
      <c r="P68" s="230">
        <f t="shared" si="22"/>
        <v>1980.7914285714287</v>
      </c>
      <c r="Q68" s="230">
        <f t="shared" si="16"/>
        <v>1980.7914285714287</v>
      </c>
      <c r="R68" s="230"/>
      <c r="S68" s="230">
        <f t="shared" si="17"/>
        <v>5942.3742857142861</v>
      </c>
      <c r="T68" s="230">
        <f t="shared" si="23"/>
        <v>7923.1657142857148</v>
      </c>
      <c r="U68" s="230">
        <f t="shared" si="24"/>
        <v>6932.77</v>
      </c>
      <c r="V68" s="230"/>
    </row>
    <row r="69" spans="1:22" ht="16.5" customHeight="1">
      <c r="A69" s="3" t="s">
        <v>415</v>
      </c>
      <c r="B69" s="32">
        <v>173303</v>
      </c>
      <c r="C69" s="32" t="s">
        <v>99</v>
      </c>
      <c r="D69" s="3">
        <v>486</v>
      </c>
      <c r="E69" s="3" t="s">
        <v>480</v>
      </c>
      <c r="F69" s="3">
        <v>2014</v>
      </c>
      <c r="G69" s="3">
        <v>5</v>
      </c>
      <c r="H69" s="3">
        <v>0</v>
      </c>
      <c r="I69" s="3" t="s">
        <v>52</v>
      </c>
      <c r="J69" s="175">
        <v>7</v>
      </c>
      <c r="K69" s="3">
        <f t="shared" si="18"/>
        <v>2021</v>
      </c>
      <c r="L69" s="172">
        <f t="shared" si="19"/>
        <v>2021.4166666666667</v>
      </c>
      <c r="M69" s="230">
        <v>28330.85</v>
      </c>
      <c r="N69" s="230">
        <f t="shared" si="20"/>
        <v>28330.85</v>
      </c>
      <c r="O69" s="230">
        <f t="shared" si="21"/>
        <v>337.27202380952377</v>
      </c>
      <c r="P69" s="230">
        <f t="shared" si="22"/>
        <v>4047.2642857142855</v>
      </c>
      <c r="Q69" s="230">
        <f t="shared" si="16"/>
        <v>4047.2642857142855</v>
      </c>
      <c r="R69" s="230"/>
      <c r="S69" s="230">
        <f t="shared" si="17"/>
        <v>12141.792857142857</v>
      </c>
      <c r="T69" s="230">
        <f t="shared" si="23"/>
        <v>16189.057142857142</v>
      </c>
      <c r="U69" s="230">
        <f t="shared" si="24"/>
        <v>14165.424999999999</v>
      </c>
      <c r="V69" s="230"/>
    </row>
    <row r="70" spans="1:22" ht="16.5" customHeight="1">
      <c r="A70" s="3" t="s">
        <v>679</v>
      </c>
      <c r="B70" s="32">
        <v>115363</v>
      </c>
      <c r="D70" s="3">
        <v>486</v>
      </c>
      <c r="E70" s="3" t="s">
        <v>858</v>
      </c>
      <c r="F70" s="3">
        <v>2014</v>
      </c>
      <c r="G70" s="3">
        <v>8</v>
      </c>
      <c r="H70" s="3">
        <v>0</v>
      </c>
      <c r="I70" s="3" t="s">
        <v>52</v>
      </c>
      <c r="J70" s="175" t="s">
        <v>861</v>
      </c>
      <c r="K70" s="3">
        <f t="shared" si="18"/>
        <v>2021</v>
      </c>
      <c r="L70" s="172">
        <f t="shared" si="19"/>
        <v>2021.6666666666667</v>
      </c>
      <c r="M70" s="230">
        <v>27665.15</v>
      </c>
      <c r="N70" s="230">
        <f t="shared" si="20"/>
        <v>27665.15</v>
      </c>
      <c r="O70" s="230">
        <f t="shared" si="21"/>
        <v>329.34702380952382</v>
      </c>
      <c r="P70" s="230">
        <f t="shared" si="22"/>
        <v>3952.1642857142861</v>
      </c>
      <c r="Q70" s="230">
        <f>+IF(L70&lt;='2111 Cont, DB'!$N$5,0,IF(K70&gt;'2111 Cont, DB'!$N$4,P70,(O70*G70)))</f>
        <v>3952.1642857142861</v>
      </c>
      <c r="R70" s="230"/>
      <c r="S70" s="230">
        <f>+IF(Q70=0,M70,IF('2111 Cont, DB'!$N$3-F70&lt;1,0,(('2111 Cont, DB'!$N$3-F70)*P70)))</f>
        <v>11856.492857142857</v>
      </c>
      <c r="T70" s="230">
        <f t="shared" si="23"/>
        <v>15808.657142857144</v>
      </c>
      <c r="U70" s="230">
        <f t="shared" si="24"/>
        <v>13832.575000000001</v>
      </c>
      <c r="V70" s="230"/>
    </row>
    <row r="71" spans="1:22" ht="16.5" customHeight="1">
      <c r="A71" s="3" t="s">
        <v>40</v>
      </c>
      <c r="B71" s="32">
        <v>121001</v>
      </c>
      <c r="C71" s="32" t="s">
        <v>99</v>
      </c>
      <c r="D71" s="3">
        <v>624</v>
      </c>
      <c r="E71" s="3" t="s">
        <v>119</v>
      </c>
      <c r="F71" s="3">
        <v>2015</v>
      </c>
      <c r="G71" s="3">
        <v>2</v>
      </c>
      <c r="H71" s="3">
        <v>0</v>
      </c>
      <c r="I71" s="3" t="s">
        <v>52</v>
      </c>
      <c r="J71" s="175">
        <v>7</v>
      </c>
      <c r="K71" s="3">
        <f t="shared" si="18"/>
        <v>2022</v>
      </c>
      <c r="L71" s="172">
        <f t="shared" si="19"/>
        <v>2022.1666666666667</v>
      </c>
      <c r="M71" s="230">
        <v>34343.910000000003</v>
      </c>
      <c r="N71" s="230">
        <f t="shared" si="20"/>
        <v>34343.910000000003</v>
      </c>
      <c r="O71" s="230">
        <f t="shared" si="21"/>
        <v>408.85607142857151</v>
      </c>
      <c r="P71" s="230">
        <f t="shared" si="22"/>
        <v>4906.2728571428579</v>
      </c>
      <c r="Q71" s="230">
        <f t="shared" ref="Q71:Q81" si="25">+IF(L71&lt;=$N$5,0,IF(K71&gt;$N$4,P71,(O71*G71)))</f>
        <v>4906.2728571428579</v>
      </c>
      <c r="R71" s="230"/>
      <c r="S71" s="230">
        <f t="shared" ref="S71:S81" si="26">+IF(Q71=0,M71,IF($N$3-F71&lt;1,0,(($N$3-F71)*P71)))</f>
        <v>9812.5457142857158</v>
      </c>
      <c r="T71" s="230">
        <f t="shared" si="23"/>
        <v>14718.818571428574</v>
      </c>
      <c r="U71" s="230">
        <f t="shared" si="24"/>
        <v>22078.227857142861</v>
      </c>
      <c r="V71" s="230"/>
    </row>
    <row r="72" spans="1:22" ht="16.5" customHeight="1">
      <c r="A72" s="3" t="s">
        <v>40</v>
      </c>
      <c r="B72" s="32">
        <v>124066</v>
      </c>
      <c r="C72" s="32" t="s">
        <v>99</v>
      </c>
      <c r="D72" s="3">
        <v>624</v>
      </c>
      <c r="E72" s="3" t="s">
        <v>119</v>
      </c>
      <c r="F72" s="3">
        <v>2015</v>
      </c>
      <c r="G72" s="3">
        <v>6</v>
      </c>
      <c r="H72" s="3">
        <v>0</v>
      </c>
      <c r="I72" s="3" t="s">
        <v>52</v>
      </c>
      <c r="J72" s="175">
        <v>7</v>
      </c>
      <c r="K72" s="3">
        <f t="shared" si="18"/>
        <v>2022</v>
      </c>
      <c r="L72" s="172">
        <f t="shared" si="19"/>
        <v>2022.5</v>
      </c>
      <c r="M72" s="230">
        <v>33030.050000000003</v>
      </c>
      <c r="N72" s="230">
        <f t="shared" si="20"/>
        <v>33030.050000000003</v>
      </c>
      <c r="O72" s="230">
        <f t="shared" si="21"/>
        <v>393.21488095238101</v>
      </c>
      <c r="P72" s="230">
        <f t="shared" si="22"/>
        <v>4718.5785714285721</v>
      </c>
      <c r="Q72" s="230">
        <f t="shared" si="25"/>
        <v>4718.5785714285721</v>
      </c>
      <c r="R72" s="230"/>
      <c r="S72" s="230">
        <f t="shared" si="26"/>
        <v>9437.1571428571442</v>
      </c>
      <c r="T72" s="230">
        <f t="shared" si="23"/>
        <v>14155.735714285716</v>
      </c>
      <c r="U72" s="230">
        <f t="shared" si="24"/>
        <v>21233.603571428575</v>
      </c>
      <c r="V72" s="230"/>
    </row>
    <row r="73" spans="1:22" ht="16.5" customHeight="1">
      <c r="A73" s="3" t="s">
        <v>415</v>
      </c>
      <c r="B73" s="32">
        <v>173309</v>
      </c>
      <c r="C73" s="32" t="s">
        <v>99</v>
      </c>
      <c r="D73" s="3">
        <v>348</v>
      </c>
      <c r="E73" s="3" t="s">
        <v>480</v>
      </c>
      <c r="F73" s="3">
        <v>2015</v>
      </c>
      <c r="G73" s="3">
        <v>4</v>
      </c>
      <c r="H73" s="3">
        <v>0</v>
      </c>
      <c r="I73" s="3" t="s">
        <v>52</v>
      </c>
      <c r="J73" s="175">
        <v>7</v>
      </c>
      <c r="K73" s="3">
        <f t="shared" si="18"/>
        <v>2022</v>
      </c>
      <c r="L73" s="172">
        <f t="shared" si="19"/>
        <v>2022.3333333333333</v>
      </c>
      <c r="M73" s="230">
        <v>19406.59</v>
      </c>
      <c r="N73" s="230">
        <f t="shared" si="20"/>
        <v>19406.59</v>
      </c>
      <c r="O73" s="230">
        <f t="shared" si="21"/>
        <v>231.03083333333333</v>
      </c>
      <c r="P73" s="230">
        <f t="shared" si="22"/>
        <v>2772.37</v>
      </c>
      <c r="Q73" s="230">
        <f t="shared" si="25"/>
        <v>2772.37</v>
      </c>
      <c r="R73" s="230"/>
      <c r="S73" s="230">
        <f t="shared" si="26"/>
        <v>5544.74</v>
      </c>
      <c r="T73" s="230">
        <f t="shared" si="23"/>
        <v>8317.11</v>
      </c>
      <c r="U73" s="230">
        <f t="shared" si="24"/>
        <v>12475.665000000001</v>
      </c>
      <c r="V73" s="230"/>
    </row>
    <row r="74" spans="1:22" ht="16.5" customHeight="1">
      <c r="A74" s="3" t="s">
        <v>415</v>
      </c>
      <c r="B74" s="32">
        <v>173310</v>
      </c>
      <c r="C74" s="32" t="s">
        <v>99</v>
      </c>
      <c r="D74" s="3">
        <v>486</v>
      </c>
      <c r="E74" s="3" t="s">
        <v>480</v>
      </c>
      <c r="F74" s="3">
        <v>2015</v>
      </c>
      <c r="G74" s="3">
        <v>4</v>
      </c>
      <c r="H74" s="3">
        <v>0</v>
      </c>
      <c r="I74" s="3" t="s">
        <v>52</v>
      </c>
      <c r="J74" s="175">
        <v>7</v>
      </c>
      <c r="K74" s="3">
        <f t="shared" si="18"/>
        <v>2022</v>
      </c>
      <c r="L74" s="172">
        <f t="shared" si="19"/>
        <v>2022.3333333333333</v>
      </c>
      <c r="M74" s="230">
        <v>26191.29</v>
      </c>
      <c r="N74" s="230">
        <f t="shared" si="20"/>
        <v>26191.29</v>
      </c>
      <c r="O74" s="230">
        <f t="shared" si="21"/>
        <v>311.80107142857145</v>
      </c>
      <c r="P74" s="230">
        <f t="shared" si="22"/>
        <v>3741.6128571428571</v>
      </c>
      <c r="Q74" s="230">
        <f t="shared" si="25"/>
        <v>3741.6128571428571</v>
      </c>
      <c r="R74" s="230"/>
      <c r="S74" s="230">
        <f t="shared" si="26"/>
        <v>7483.2257142857143</v>
      </c>
      <c r="T74" s="230">
        <f t="shared" si="23"/>
        <v>11224.838571428572</v>
      </c>
      <c r="U74" s="230">
        <f t="shared" si="24"/>
        <v>16837.25785714286</v>
      </c>
      <c r="V74" s="230"/>
    </row>
    <row r="75" spans="1:22" ht="16.5" customHeight="1">
      <c r="A75" s="3" t="s">
        <v>415</v>
      </c>
      <c r="B75" s="32">
        <v>173314</v>
      </c>
      <c r="C75" s="32" t="s">
        <v>99</v>
      </c>
      <c r="D75" s="3">
        <v>333</v>
      </c>
      <c r="E75" s="3" t="s">
        <v>480</v>
      </c>
      <c r="F75" s="3">
        <v>2015</v>
      </c>
      <c r="G75" s="3">
        <v>11</v>
      </c>
      <c r="H75" s="3">
        <v>0</v>
      </c>
      <c r="I75" s="3" t="s">
        <v>52</v>
      </c>
      <c r="J75" s="175">
        <v>7</v>
      </c>
      <c r="K75" s="3">
        <f t="shared" si="18"/>
        <v>2022</v>
      </c>
      <c r="L75" s="172">
        <f t="shared" si="19"/>
        <v>2022.9166666666667</v>
      </c>
      <c r="M75" s="230">
        <v>19105.13</v>
      </c>
      <c r="N75" s="230">
        <f t="shared" si="20"/>
        <v>19105.13</v>
      </c>
      <c r="O75" s="230">
        <f t="shared" si="21"/>
        <v>227.44202380952382</v>
      </c>
      <c r="P75" s="230">
        <f t="shared" si="22"/>
        <v>2729.3042857142859</v>
      </c>
      <c r="Q75" s="230">
        <f t="shared" si="25"/>
        <v>2729.3042857142859</v>
      </c>
      <c r="R75" s="230"/>
      <c r="S75" s="230">
        <f t="shared" si="26"/>
        <v>5458.6085714285718</v>
      </c>
      <c r="T75" s="230">
        <f t="shared" si="23"/>
        <v>8187.9128571428573</v>
      </c>
      <c r="U75" s="230">
        <f t="shared" si="24"/>
        <v>12281.869285714285</v>
      </c>
      <c r="V75" s="230"/>
    </row>
    <row r="76" spans="1:22" ht="16.5" customHeight="1">
      <c r="A76" s="3" t="s">
        <v>40</v>
      </c>
      <c r="B76" s="32">
        <v>130302</v>
      </c>
      <c r="C76" s="32" t="s">
        <v>99</v>
      </c>
      <c r="D76" s="3">
        <v>624</v>
      </c>
      <c r="E76" s="3" t="s">
        <v>309</v>
      </c>
      <c r="F76" s="3">
        <v>2016</v>
      </c>
      <c r="G76" s="3">
        <v>2</v>
      </c>
      <c r="H76" s="3">
        <v>0</v>
      </c>
      <c r="I76" s="3" t="s">
        <v>52</v>
      </c>
      <c r="J76" s="175">
        <v>7</v>
      </c>
      <c r="K76" s="3">
        <f t="shared" si="18"/>
        <v>2023</v>
      </c>
      <c r="L76" s="172">
        <f t="shared" si="19"/>
        <v>2023.1666666666667</v>
      </c>
      <c r="M76" s="230">
        <v>32708.5</v>
      </c>
      <c r="N76" s="230">
        <f t="shared" si="20"/>
        <v>32708.5</v>
      </c>
      <c r="O76" s="230">
        <f t="shared" si="21"/>
        <v>389.38690476190476</v>
      </c>
      <c r="P76" s="230">
        <f t="shared" si="22"/>
        <v>4672.6428571428569</v>
      </c>
      <c r="Q76" s="230">
        <f t="shared" si="25"/>
        <v>4672.6428571428569</v>
      </c>
      <c r="R76" s="230"/>
      <c r="S76" s="230">
        <f t="shared" si="26"/>
        <v>4672.6428571428569</v>
      </c>
      <c r="T76" s="230">
        <f t="shared" si="23"/>
        <v>9345.2857142857138</v>
      </c>
      <c r="U76" s="230">
        <f t="shared" si="24"/>
        <v>25699.535714285717</v>
      </c>
      <c r="V76" s="230"/>
    </row>
    <row r="77" spans="1:22" ht="16.5" customHeight="1">
      <c r="A77" s="3" t="s">
        <v>40</v>
      </c>
      <c r="B77" s="32">
        <v>131256</v>
      </c>
      <c r="C77" s="32" t="s">
        <v>99</v>
      </c>
      <c r="D77" s="3">
        <v>624</v>
      </c>
      <c r="E77" s="3" t="s">
        <v>309</v>
      </c>
      <c r="F77" s="3">
        <v>2016</v>
      </c>
      <c r="G77" s="3">
        <v>2</v>
      </c>
      <c r="H77" s="3">
        <v>0</v>
      </c>
      <c r="I77" s="3" t="s">
        <v>52</v>
      </c>
      <c r="J77" s="175">
        <v>7</v>
      </c>
      <c r="K77" s="3">
        <f t="shared" si="18"/>
        <v>2023</v>
      </c>
      <c r="L77" s="172">
        <f t="shared" si="19"/>
        <v>2023.1666666666667</v>
      </c>
      <c r="M77" s="230">
        <v>32025.85</v>
      </c>
      <c r="N77" s="230">
        <f t="shared" si="20"/>
        <v>32025.85</v>
      </c>
      <c r="O77" s="230">
        <f t="shared" si="21"/>
        <v>381.26011904761907</v>
      </c>
      <c r="P77" s="230">
        <f t="shared" si="22"/>
        <v>4575.1214285714286</v>
      </c>
      <c r="Q77" s="230">
        <f t="shared" si="25"/>
        <v>4575.1214285714286</v>
      </c>
      <c r="R77" s="230"/>
      <c r="S77" s="230">
        <f t="shared" si="26"/>
        <v>4575.1214285714286</v>
      </c>
      <c r="T77" s="230">
        <f t="shared" si="23"/>
        <v>9150.2428571428572</v>
      </c>
      <c r="U77" s="230">
        <f t="shared" si="24"/>
        <v>25163.167857142857</v>
      </c>
      <c r="V77" s="230"/>
    </row>
    <row r="78" spans="1:22" ht="16.5" customHeight="1">
      <c r="A78" s="3" t="s">
        <v>415</v>
      </c>
      <c r="B78" s="32">
        <v>173316</v>
      </c>
      <c r="C78" s="32" t="s">
        <v>99</v>
      </c>
      <c r="D78" s="3">
        <v>624</v>
      </c>
      <c r="E78" s="3" t="s">
        <v>480</v>
      </c>
      <c r="F78" s="3">
        <v>2016</v>
      </c>
      <c r="G78" s="3">
        <v>1</v>
      </c>
      <c r="H78" s="3">
        <v>0</v>
      </c>
      <c r="I78" s="3" t="s">
        <v>52</v>
      </c>
      <c r="J78" s="175">
        <v>7</v>
      </c>
      <c r="K78" s="3">
        <f t="shared" si="18"/>
        <v>2023</v>
      </c>
      <c r="L78" s="172">
        <f t="shared" si="19"/>
        <v>2023.0833333333333</v>
      </c>
      <c r="M78" s="230">
        <v>31910.84</v>
      </c>
      <c r="N78" s="230">
        <f t="shared" si="20"/>
        <v>31910.84</v>
      </c>
      <c r="O78" s="230">
        <f t="shared" si="21"/>
        <v>379.89095238095234</v>
      </c>
      <c r="P78" s="230">
        <f t="shared" si="22"/>
        <v>4558.6914285714283</v>
      </c>
      <c r="Q78" s="230">
        <f t="shared" si="25"/>
        <v>4558.6914285714283</v>
      </c>
      <c r="R78" s="230"/>
      <c r="S78" s="230">
        <f t="shared" si="26"/>
        <v>4558.6914285714283</v>
      </c>
      <c r="T78" s="230">
        <f t="shared" si="23"/>
        <v>9117.3828571428567</v>
      </c>
      <c r="U78" s="230">
        <f t="shared" si="24"/>
        <v>25072.802857142859</v>
      </c>
      <c r="V78" s="230"/>
    </row>
    <row r="79" spans="1:22" ht="16.5" customHeight="1">
      <c r="A79" s="3" t="s">
        <v>415</v>
      </c>
      <c r="B79" s="32">
        <v>173319</v>
      </c>
      <c r="C79" s="32" t="s">
        <v>99</v>
      </c>
      <c r="D79" s="3">
        <v>1053</v>
      </c>
      <c r="E79" s="3" t="s">
        <v>480</v>
      </c>
      <c r="F79" s="3">
        <v>2016</v>
      </c>
      <c r="G79" s="3">
        <v>4</v>
      </c>
      <c r="H79" s="3">
        <v>0</v>
      </c>
      <c r="I79" s="3" t="s">
        <v>52</v>
      </c>
      <c r="J79" s="175">
        <v>7</v>
      </c>
      <c r="K79" s="3">
        <f t="shared" si="18"/>
        <v>2023</v>
      </c>
      <c r="L79" s="172">
        <f t="shared" si="19"/>
        <v>2023.3333333333333</v>
      </c>
      <c r="M79" s="230">
        <v>53440.33</v>
      </c>
      <c r="N79" s="230">
        <f t="shared" si="20"/>
        <v>53440.33</v>
      </c>
      <c r="O79" s="230">
        <f t="shared" si="21"/>
        <v>636.19440476190482</v>
      </c>
      <c r="P79" s="230">
        <f t="shared" si="22"/>
        <v>7634.3328571428574</v>
      </c>
      <c r="Q79" s="230">
        <f t="shared" si="25"/>
        <v>7634.3328571428574</v>
      </c>
      <c r="R79" s="230"/>
      <c r="S79" s="230">
        <f t="shared" si="26"/>
        <v>7634.3328571428574</v>
      </c>
      <c r="T79" s="230">
        <f t="shared" si="23"/>
        <v>15268.665714285715</v>
      </c>
      <c r="U79" s="230">
        <f t="shared" si="24"/>
        <v>41988.830714285716</v>
      </c>
      <c r="V79" s="230"/>
    </row>
    <row r="80" spans="1:22" ht="16.5" customHeight="1">
      <c r="A80" s="3" t="s">
        <v>415</v>
      </c>
      <c r="B80" s="32">
        <v>173320</v>
      </c>
      <c r="C80" s="32" t="s">
        <v>99</v>
      </c>
      <c r="D80" s="3">
        <v>324</v>
      </c>
      <c r="E80" s="3" t="s">
        <v>481</v>
      </c>
      <c r="F80" s="3">
        <v>2016</v>
      </c>
      <c r="G80" s="3">
        <v>4</v>
      </c>
      <c r="H80" s="3">
        <v>0</v>
      </c>
      <c r="I80" s="3" t="s">
        <v>52</v>
      </c>
      <c r="J80" s="175">
        <v>7</v>
      </c>
      <c r="K80" s="3">
        <f t="shared" si="18"/>
        <v>2023</v>
      </c>
      <c r="L80" s="172">
        <f t="shared" si="19"/>
        <v>2023.3333333333333</v>
      </c>
      <c r="M80" s="230">
        <v>12863.21</v>
      </c>
      <c r="N80" s="230">
        <f t="shared" si="20"/>
        <v>12863.21</v>
      </c>
      <c r="O80" s="230">
        <f t="shared" si="21"/>
        <v>153.13345238095238</v>
      </c>
      <c r="P80" s="230">
        <f t="shared" si="22"/>
        <v>1837.6014285714286</v>
      </c>
      <c r="Q80" s="230">
        <f t="shared" si="25"/>
        <v>1837.6014285714286</v>
      </c>
      <c r="R80" s="230"/>
      <c r="S80" s="230">
        <f t="shared" si="26"/>
        <v>1837.6014285714286</v>
      </c>
      <c r="T80" s="230">
        <f t="shared" si="23"/>
        <v>3675.2028571428573</v>
      </c>
      <c r="U80" s="230">
        <f t="shared" si="24"/>
        <v>10106.807857142856</v>
      </c>
      <c r="V80" s="230"/>
    </row>
    <row r="81" spans="1:22" ht="16.5" customHeight="1">
      <c r="A81" s="3" t="s">
        <v>415</v>
      </c>
      <c r="B81" s="32">
        <v>173328</v>
      </c>
      <c r="C81" s="32" t="s">
        <v>99</v>
      </c>
      <c r="D81" s="3">
        <v>702</v>
      </c>
      <c r="E81" s="3" t="s">
        <v>480</v>
      </c>
      <c r="F81" s="3">
        <v>2016</v>
      </c>
      <c r="G81" s="3">
        <v>11</v>
      </c>
      <c r="H81" s="3">
        <v>0</v>
      </c>
      <c r="I81" s="3" t="s">
        <v>52</v>
      </c>
      <c r="J81" s="175">
        <v>7</v>
      </c>
      <c r="K81" s="3">
        <f t="shared" si="18"/>
        <v>2023</v>
      </c>
      <c r="L81" s="172">
        <f t="shared" si="19"/>
        <v>2023.9166666666667</v>
      </c>
      <c r="M81" s="230">
        <v>35858.480000000003</v>
      </c>
      <c r="N81" s="230">
        <f t="shared" si="20"/>
        <v>35858.480000000003</v>
      </c>
      <c r="O81" s="230">
        <f t="shared" si="21"/>
        <v>426.88666666666671</v>
      </c>
      <c r="P81" s="230">
        <f t="shared" si="22"/>
        <v>5122.6400000000003</v>
      </c>
      <c r="Q81" s="230">
        <f t="shared" si="25"/>
        <v>5122.6400000000003</v>
      </c>
      <c r="R81" s="230"/>
      <c r="S81" s="230">
        <f t="shared" si="26"/>
        <v>5122.6400000000003</v>
      </c>
      <c r="T81" s="230">
        <f t="shared" si="23"/>
        <v>10245.280000000001</v>
      </c>
      <c r="U81" s="230">
        <f t="shared" si="24"/>
        <v>28174.520000000004</v>
      </c>
      <c r="V81" s="230"/>
    </row>
    <row r="82" spans="1:22" ht="16.5" customHeight="1">
      <c r="A82" s="3" t="s">
        <v>679</v>
      </c>
      <c r="B82" s="32">
        <v>166919</v>
      </c>
      <c r="D82" s="3">
        <v>624</v>
      </c>
      <c r="E82" s="3" t="s">
        <v>859</v>
      </c>
      <c r="F82" s="3">
        <v>2016</v>
      </c>
      <c r="G82" s="3">
        <v>6</v>
      </c>
      <c r="H82" s="3">
        <v>0</v>
      </c>
      <c r="I82" s="3" t="s">
        <v>52</v>
      </c>
      <c r="J82" s="175" t="s">
        <v>861</v>
      </c>
      <c r="K82" s="3">
        <f t="shared" si="18"/>
        <v>2023</v>
      </c>
      <c r="L82" s="172">
        <f t="shared" si="19"/>
        <v>2023.5</v>
      </c>
      <c r="M82" s="230">
        <v>31550.43</v>
      </c>
      <c r="N82" s="230">
        <f t="shared" si="20"/>
        <v>31550.43</v>
      </c>
      <c r="O82" s="230">
        <f t="shared" si="21"/>
        <v>375.60035714285715</v>
      </c>
      <c r="P82" s="230">
        <f t="shared" si="22"/>
        <v>4507.204285714286</v>
      </c>
      <c r="Q82" s="230">
        <f>+IF(L82&lt;='2111 Cont, DB'!$N$5,0,IF(K82&gt;'2111 Cont, DB'!$N$4,P82,(O82*G82)))</f>
        <v>4507.204285714286</v>
      </c>
      <c r="R82" s="230"/>
      <c r="S82" s="230">
        <f>+IF(Q82=0,M82,IF('2111 Cont, DB'!$N$3-F82&lt;1,0,(('2111 Cont, DB'!$N$3-F82)*P82)))</f>
        <v>4507.204285714286</v>
      </c>
      <c r="T82" s="230">
        <f t="shared" si="23"/>
        <v>9014.408571428572</v>
      </c>
      <c r="U82" s="230">
        <f t="shared" si="24"/>
        <v>24789.623571428572</v>
      </c>
      <c r="V82" s="230"/>
    </row>
    <row r="83" spans="1:22" ht="16.5" customHeight="1">
      <c r="A83" s="3" t="s">
        <v>679</v>
      </c>
      <c r="B83" s="32">
        <v>169354</v>
      </c>
      <c r="D83" s="3">
        <v>624</v>
      </c>
      <c r="E83" s="3" t="s">
        <v>859</v>
      </c>
      <c r="F83" s="3">
        <v>2016</v>
      </c>
      <c r="G83" s="3">
        <v>8</v>
      </c>
      <c r="H83" s="3">
        <v>0</v>
      </c>
      <c r="I83" s="3" t="s">
        <v>52</v>
      </c>
      <c r="J83" s="175" t="s">
        <v>861</v>
      </c>
      <c r="K83" s="3">
        <f t="shared" si="18"/>
        <v>2023</v>
      </c>
      <c r="L83" s="172">
        <f t="shared" si="19"/>
        <v>2023.6666666666667</v>
      </c>
      <c r="M83" s="230">
        <v>32431.58</v>
      </c>
      <c r="N83" s="230">
        <f t="shared" si="20"/>
        <v>32431.58</v>
      </c>
      <c r="O83" s="230">
        <f t="shared" si="21"/>
        <v>386.09023809523813</v>
      </c>
      <c r="P83" s="230">
        <f t="shared" si="22"/>
        <v>4633.0828571428574</v>
      </c>
      <c r="Q83" s="230">
        <f>+IF(L83&lt;='2111 Cont, DB'!$N$5,0,IF(K83&gt;'2111 Cont, DB'!$N$4,P83,(O83*G83)))</f>
        <v>4633.0828571428574</v>
      </c>
      <c r="R83" s="230"/>
      <c r="S83" s="230">
        <f>+IF(Q83=0,M83,IF('2111 Cont, DB'!$N$3-F83&lt;1,0,(('2111 Cont, DB'!$N$3-F83)*P83)))</f>
        <v>4633.0828571428574</v>
      </c>
      <c r="T83" s="230">
        <f t="shared" si="23"/>
        <v>9266.1657142857148</v>
      </c>
      <c r="U83" s="230">
        <f t="shared" si="24"/>
        <v>25481.955714285716</v>
      </c>
      <c r="V83" s="230"/>
    </row>
    <row r="84" spans="1:22" ht="16.5" customHeight="1">
      <c r="B84" s="32">
        <v>185865</v>
      </c>
      <c r="C84" s="32" t="s">
        <v>99</v>
      </c>
      <c r="D84" s="3">
        <v>702</v>
      </c>
      <c r="E84" s="3" t="s">
        <v>536</v>
      </c>
      <c r="F84" s="3">
        <v>2017</v>
      </c>
      <c r="G84" s="3">
        <v>6</v>
      </c>
      <c r="H84" s="3">
        <v>0</v>
      </c>
      <c r="I84" s="3" t="s">
        <v>52</v>
      </c>
      <c r="J84" s="175">
        <v>7</v>
      </c>
      <c r="K84" s="3">
        <f t="shared" si="18"/>
        <v>2024</v>
      </c>
      <c r="L84" s="172">
        <f t="shared" si="19"/>
        <v>2024.5</v>
      </c>
      <c r="M84" s="230">
        <v>35294.01</v>
      </c>
      <c r="N84" s="230">
        <f t="shared" si="20"/>
        <v>35294.01</v>
      </c>
      <c r="O84" s="230">
        <f t="shared" si="21"/>
        <v>420.16678571428571</v>
      </c>
      <c r="P84" s="230">
        <f t="shared" si="22"/>
        <v>5042.0014285714287</v>
      </c>
      <c r="Q84" s="230">
        <f t="shared" ref="Q84:Q91" si="27">+IF(L84&lt;=$N$5,0,IF(K84&gt;$N$4,P84,(O84*G84)))</f>
        <v>5042.0014285714287</v>
      </c>
      <c r="R84" s="230"/>
      <c r="S84" s="230">
        <f t="shared" ref="S84:S91" si="28">+IF(Q84=0,M84,IF($N$3-F84&lt;1,0,(($N$3-F84)*P84)))</f>
        <v>0</v>
      </c>
      <c r="T84" s="230">
        <f t="shared" si="23"/>
        <v>5042.0014285714287</v>
      </c>
      <c r="U84" s="230">
        <f t="shared" si="24"/>
        <v>32773.009285714288</v>
      </c>
      <c r="V84" s="230"/>
    </row>
    <row r="85" spans="1:22" ht="16.5" customHeight="1">
      <c r="B85" s="32">
        <v>185864</v>
      </c>
      <c r="C85" s="32" t="s">
        <v>99</v>
      </c>
      <c r="D85" s="3">
        <v>702</v>
      </c>
      <c r="E85" s="3" t="s">
        <v>536</v>
      </c>
      <c r="F85" s="3">
        <v>2017</v>
      </c>
      <c r="G85" s="3">
        <v>6</v>
      </c>
      <c r="H85" s="3">
        <v>0</v>
      </c>
      <c r="I85" s="3" t="s">
        <v>52</v>
      </c>
      <c r="J85" s="175">
        <v>7</v>
      </c>
      <c r="K85" s="3">
        <f t="shared" si="18"/>
        <v>2024</v>
      </c>
      <c r="L85" s="172">
        <f t="shared" si="19"/>
        <v>2024.5</v>
      </c>
      <c r="M85" s="230">
        <v>35294.01</v>
      </c>
      <c r="N85" s="230">
        <f t="shared" si="20"/>
        <v>35294.01</v>
      </c>
      <c r="O85" s="230">
        <f t="shared" si="21"/>
        <v>420.16678571428571</v>
      </c>
      <c r="P85" s="230">
        <f t="shared" si="22"/>
        <v>5042.0014285714287</v>
      </c>
      <c r="Q85" s="230">
        <f t="shared" si="27"/>
        <v>5042.0014285714287</v>
      </c>
      <c r="R85" s="230"/>
      <c r="S85" s="230">
        <f t="shared" si="28"/>
        <v>0</v>
      </c>
      <c r="T85" s="230">
        <f t="shared" si="23"/>
        <v>5042.0014285714287</v>
      </c>
      <c r="U85" s="230">
        <f t="shared" si="24"/>
        <v>32773.009285714288</v>
      </c>
      <c r="V85" s="230"/>
    </row>
    <row r="86" spans="1:22" ht="16.5" customHeight="1">
      <c r="B86" s="32">
        <v>185863</v>
      </c>
      <c r="C86" s="32" t="s">
        <v>99</v>
      </c>
      <c r="D86" s="3">
        <v>702</v>
      </c>
      <c r="E86" s="3" t="s">
        <v>536</v>
      </c>
      <c r="F86" s="3">
        <v>2017</v>
      </c>
      <c r="G86" s="3">
        <v>1</v>
      </c>
      <c r="H86" s="3">
        <v>0</v>
      </c>
      <c r="I86" s="3" t="s">
        <v>52</v>
      </c>
      <c r="J86" s="175">
        <v>7</v>
      </c>
      <c r="K86" s="3">
        <f t="shared" si="18"/>
        <v>2024</v>
      </c>
      <c r="L86" s="172">
        <f t="shared" si="19"/>
        <v>2024.0833333333333</v>
      </c>
      <c r="M86" s="230">
        <v>36186.67</v>
      </c>
      <c r="N86" s="230">
        <f t="shared" si="20"/>
        <v>36186.67</v>
      </c>
      <c r="O86" s="230">
        <f t="shared" si="21"/>
        <v>430.79369047619048</v>
      </c>
      <c r="P86" s="230">
        <f t="shared" si="22"/>
        <v>5169.5242857142857</v>
      </c>
      <c r="Q86" s="230">
        <f t="shared" si="27"/>
        <v>5169.5242857142857</v>
      </c>
      <c r="R86" s="230"/>
      <c r="S86" s="230">
        <f t="shared" si="28"/>
        <v>0</v>
      </c>
      <c r="T86" s="230">
        <f t="shared" si="23"/>
        <v>5169.5242857142857</v>
      </c>
      <c r="U86" s="230">
        <f t="shared" si="24"/>
        <v>33601.907857142854</v>
      </c>
      <c r="V86" s="230"/>
    </row>
    <row r="87" spans="1:22" ht="16.5" customHeight="1">
      <c r="B87" s="32">
        <v>185862</v>
      </c>
      <c r="C87" s="32" t="s">
        <v>99</v>
      </c>
      <c r="D87" s="3">
        <v>702</v>
      </c>
      <c r="E87" s="3" t="s">
        <v>536</v>
      </c>
      <c r="F87" s="3">
        <v>2017</v>
      </c>
      <c r="G87" s="3">
        <v>1</v>
      </c>
      <c r="H87" s="3">
        <v>0</v>
      </c>
      <c r="I87" s="3" t="s">
        <v>52</v>
      </c>
      <c r="J87" s="175">
        <v>7</v>
      </c>
      <c r="K87" s="3">
        <f t="shared" si="18"/>
        <v>2024</v>
      </c>
      <c r="L87" s="172">
        <f t="shared" si="19"/>
        <v>2024.0833333333333</v>
      </c>
      <c r="M87" s="230">
        <v>36186.67</v>
      </c>
      <c r="N87" s="230">
        <f t="shared" si="20"/>
        <v>36186.67</v>
      </c>
      <c r="O87" s="230">
        <f t="shared" si="21"/>
        <v>430.79369047619048</v>
      </c>
      <c r="P87" s="230">
        <f t="shared" si="22"/>
        <v>5169.5242857142857</v>
      </c>
      <c r="Q87" s="230">
        <f t="shared" si="27"/>
        <v>5169.5242857142857</v>
      </c>
      <c r="R87" s="230"/>
      <c r="S87" s="230">
        <f t="shared" si="28"/>
        <v>0</v>
      </c>
      <c r="T87" s="230">
        <f t="shared" si="23"/>
        <v>5169.5242857142857</v>
      </c>
      <c r="U87" s="230">
        <f t="shared" si="24"/>
        <v>33601.907857142854</v>
      </c>
      <c r="V87" s="230"/>
    </row>
    <row r="88" spans="1:22" ht="16.5" customHeight="1">
      <c r="B88" s="32">
        <v>196666</v>
      </c>
      <c r="C88" s="32" t="s">
        <v>99</v>
      </c>
      <c r="D88" s="3">
        <v>624</v>
      </c>
      <c r="E88" s="3" t="s">
        <v>535</v>
      </c>
      <c r="F88" s="3">
        <v>2018</v>
      </c>
      <c r="G88" s="3">
        <v>3</v>
      </c>
      <c r="H88" s="3">
        <v>0</v>
      </c>
      <c r="I88" s="3" t="s">
        <v>52</v>
      </c>
      <c r="J88" s="175">
        <v>7</v>
      </c>
      <c r="K88" s="3">
        <f t="shared" si="18"/>
        <v>2025</v>
      </c>
      <c r="L88" s="172">
        <f t="shared" si="19"/>
        <v>2025.25</v>
      </c>
      <c r="M88" s="230">
        <v>32931.01</v>
      </c>
      <c r="N88" s="230">
        <f t="shared" si="20"/>
        <v>32931.01</v>
      </c>
      <c r="O88" s="230">
        <f t="shared" si="21"/>
        <v>392.03583333333336</v>
      </c>
      <c r="P88" s="230">
        <f t="shared" si="22"/>
        <v>4704.43</v>
      </c>
      <c r="Q88" s="230">
        <f t="shared" si="27"/>
        <v>4704.43</v>
      </c>
      <c r="R88" s="230"/>
      <c r="S88" s="230">
        <f t="shared" si="28"/>
        <v>0</v>
      </c>
      <c r="T88" s="230">
        <f t="shared" si="23"/>
        <v>4704.43</v>
      </c>
      <c r="U88" s="230">
        <f t="shared" si="24"/>
        <v>30578.795000000002</v>
      </c>
      <c r="V88" s="230"/>
    </row>
    <row r="89" spans="1:22" ht="16.5" customHeight="1">
      <c r="B89" s="32">
        <v>196665</v>
      </c>
      <c r="C89" s="32" t="s">
        <v>99</v>
      </c>
      <c r="D89" s="3">
        <v>624</v>
      </c>
      <c r="E89" s="3" t="s">
        <v>535</v>
      </c>
      <c r="F89" s="3">
        <v>2018</v>
      </c>
      <c r="G89" s="3">
        <v>4</v>
      </c>
      <c r="H89" s="3">
        <v>0</v>
      </c>
      <c r="I89" s="3" t="s">
        <v>52</v>
      </c>
      <c r="J89" s="175">
        <v>7</v>
      </c>
      <c r="K89" s="3">
        <f t="shared" si="18"/>
        <v>2025</v>
      </c>
      <c r="L89" s="172">
        <f t="shared" si="19"/>
        <v>2025.3333333333333</v>
      </c>
      <c r="M89" s="230">
        <v>32912.57</v>
      </c>
      <c r="N89" s="230">
        <f t="shared" si="20"/>
        <v>32912.57</v>
      </c>
      <c r="O89" s="230">
        <f t="shared" si="21"/>
        <v>391.81630952380948</v>
      </c>
      <c r="P89" s="230">
        <f t="shared" si="22"/>
        <v>4701.795714285714</v>
      </c>
      <c r="Q89" s="230">
        <f t="shared" si="27"/>
        <v>4701.795714285714</v>
      </c>
      <c r="R89" s="230"/>
      <c r="S89" s="230">
        <f t="shared" si="28"/>
        <v>0</v>
      </c>
      <c r="T89" s="230">
        <f t="shared" si="23"/>
        <v>4701.795714285714</v>
      </c>
      <c r="U89" s="230">
        <f t="shared" si="24"/>
        <v>30561.672142857144</v>
      </c>
      <c r="V89" s="230"/>
    </row>
    <row r="90" spans="1:22" ht="16.5" customHeight="1">
      <c r="B90" s="32">
        <v>196664</v>
      </c>
      <c r="C90" s="32" t="s">
        <v>99</v>
      </c>
      <c r="D90" s="3">
        <v>624</v>
      </c>
      <c r="E90" s="3" t="s">
        <v>535</v>
      </c>
      <c r="F90" s="3">
        <v>2018</v>
      </c>
      <c r="G90" s="3">
        <v>4</v>
      </c>
      <c r="H90" s="3">
        <v>0</v>
      </c>
      <c r="I90" s="3" t="s">
        <v>52</v>
      </c>
      <c r="J90" s="175">
        <v>7</v>
      </c>
      <c r="K90" s="3">
        <f t="shared" si="18"/>
        <v>2025</v>
      </c>
      <c r="L90" s="172">
        <f t="shared" si="19"/>
        <v>2025.3333333333333</v>
      </c>
      <c r="M90" s="230">
        <v>32912.57</v>
      </c>
      <c r="N90" s="230">
        <f t="shared" si="20"/>
        <v>32912.57</v>
      </c>
      <c r="O90" s="230">
        <f t="shared" si="21"/>
        <v>391.81630952380948</v>
      </c>
      <c r="P90" s="230">
        <f t="shared" si="22"/>
        <v>4701.795714285714</v>
      </c>
      <c r="Q90" s="230">
        <f t="shared" si="27"/>
        <v>4701.795714285714</v>
      </c>
      <c r="R90" s="230"/>
      <c r="S90" s="230">
        <f t="shared" si="28"/>
        <v>0</v>
      </c>
      <c r="T90" s="230">
        <f t="shared" si="23"/>
        <v>4701.795714285714</v>
      </c>
      <c r="U90" s="230">
        <f t="shared" si="24"/>
        <v>30561.672142857144</v>
      </c>
      <c r="V90" s="230"/>
    </row>
    <row r="91" spans="1:22" ht="16.5" customHeight="1">
      <c r="B91" s="32">
        <v>196546</v>
      </c>
      <c r="C91" s="32" t="s">
        <v>99</v>
      </c>
      <c r="D91" s="3">
        <v>312</v>
      </c>
      <c r="E91" s="3" t="s">
        <v>557</v>
      </c>
      <c r="F91" s="3">
        <v>2018</v>
      </c>
      <c r="G91" s="3">
        <v>3</v>
      </c>
      <c r="H91" s="3">
        <v>0</v>
      </c>
      <c r="I91" s="3" t="s">
        <v>52</v>
      </c>
      <c r="J91" s="175">
        <v>7</v>
      </c>
      <c r="K91" s="3">
        <f t="shared" si="18"/>
        <v>2025</v>
      </c>
      <c r="L91" s="172">
        <f t="shared" si="19"/>
        <v>2025.25</v>
      </c>
      <c r="M91" s="230">
        <v>16631.830000000002</v>
      </c>
      <c r="N91" s="230">
        <f t="shared" si="20"/>
        <v>16631.830000000002</v>
      </c>
      <c r="O91" s="230">
        <f t="shared" si="21"/>
        <v>197.99797619047624</v>
      </c>
      <c r="P91" s="230">
        <f t="shared" si="22"/>
        <v>2375.9757142857147</v>
      </c>
      <c r="Q91" s="230">
        <f t="shared" si="27"/>
        <v>2375.9757142857147</v>
      </c>
      <c r="R91" s="230"/>
      <c r="S91" s="230">
        <f t="shared" si="28"/>
        <v>0</v>
      </c>
      <c r="T91" s="230">
        <f t="shared" si="23"/>
        <v>2375.9757142857147</v>
      </c>
      <c r="U91" s="230">
        <f t="shared" si="24"/>
        <v>15443.842142857146</v>
      </c>
      <c r="V91" s="230"/>
    </row>
    <row r="92" spans="1:22" s="203" customFormat="1" ht="16.5" customHeight="1">
      <c r="C92" s="209">
        <v>203608</v>
      </c>
      <c r="D92" s="209">
        <v>624</v>
      </c>
      <c r="E92" s="203" t="s">
        <v>908</v>
      </c>
      <c r="F92" s="203">
        <v>2018</v>
      </c>
      <c r="G92" s="203">
        <v>7</v>
      </c>
      <c r="H92" s="203">
        <v>0</v>
      </c>
      <c r="I92" s="203" t="s">
        <v>52</v>
      </c>
      <c r="J92" s="210">
        <v>7</v>
      </c>
      <c r="K92" s="203">
        <f>F92+J92</f>
        <v>2025</v>
      </c>
      <c r="L92" s="204">
        <f>+K92+(G92/12)</f>
        <v>2025.5833333333333</v>
      </c>
      <c r="M92" s="205">
        <v>33831.370000000003</v>
      </c>
      <c r="N92" s="205">
        <f>M92-M92*H92</f>
        <v>33831.370000000003</v>
      </c>
      <c r="O92" s="205">
        <f>N92/J92/12</f>
        <v>402.75440476190482</v>
      </c>
      <c r="P92" s="205">
        <f>+O92*12</f>
        <v>4833.0528571428576</v>
      </c>
      <c r="Q92" s="205">
        <f>+IF(L92&lt;='2111 Cont, DB'!$N$5,0,IF(K92&gt;'2111 Cont, DB'!$N$4,P92,(O92*G92)))</f>
        <v>4833.0528571428576</v>
      </c>
      <c r="R92" s="205"/>
      <c r="S92" s="205">
        <f>+IF(Q92=0,M92,IF('2111 Cont, DB'!$N$3-F92&lt;1,0,(('2111 Cont, DB'!$N$3-F92)*P92)))</f>
        <v>0</v>
      </c>
      <c r="T92" s="205">
        <f>+IF(Q92=0,S92,S92+Q92)</f>
        <v>4833.0528571428576</v>
      </c>
      <c r="U92" s="205">
        <f>+IF(Q92=0,0,((M92-S92)+(M92-T92))/2)</f>
        <v>31414.843571428573</v>
      </c>
      <c r="V92" s="205"/>
    </row>
    <row r="93" spans="1:22" s="203" customFormat="1" ht="16.5" customHeight="1">
      <c r="C93" s="209">
        <v>203607</v>
      </c>
      <c r="D93" s="209">
        <v>312</v>
      </c>
      <c r="E93" s="203" t="s">
        <v>909</v>
      </c>
      <c r="F93" s="203">
        <v>2018</v>
      </c>
      <c r="G93" s="203">
        <v>7</v>
      </c>
      <c r="H93" s="203">
        <v>0</v>
      </c>
      <c r="I93" s="203" t="s">
        <v>52</v>
      </c>
      <c r="J93" s="210">
        <v>7</v>
      </c>
      <c r="K93" s="203">
        <f>F93+J93</f>
        <v>2025</v>
      </c>
      <c r="L93" s="204">
        <f>+K93+(G93/12)</f>
        <v>2025.5833333333333</v>
      </c>
      <c r="M93" s="205">
        <v>16915.689999999999</v>
      </c>
      <c r="N93" s="205">
        <f>M93-M93*H93</f>
        <v>16915.689999999999</v>
      </c>
      <c r="O93" s="205">
        <f>N93/J93/12</f>
        <v>201.37726190476189</v>
      </c>
      <c r="P93" s="205">
        <f>+O93*12</f>
        <v>2416.5271428571427</v>
      </c>
      <c r="Q93" s="205">
        <f>+IF(L93&lt;='2111 Cont, DB'!$N$5,0,IF(K93&gt;'2111 Cont, DB'!$N$4,P93,(O93*G93)))</f>
        <v>2416.5271428571427</v>
      </c>
      <c r="R93" s="205"/>
      <c r="S93" s="205">
        <f>+IF(Q93=0,M93,IF('2111 Cont, DB'!$N$3-F93&lt;1,0,(('2111 Cont, DB'!$N$3-F93)*P93)))</f>
        <v>0</v>
      </c>
      <c r="T93" s="205">
        <f>+IF(Q93=0,S93,S93+Q93)</f>
        <v>2416.5271428571427</v>
      </c>
      <c r="U93" s="205">
        <f>+IF(Q93=0,0,((M93-S93)+(M93-T93))/2)</f>
        <v>15707.426428571427</v>
      </c>
      <c r="V93" s="205"/>
    </row>
    <row r="94" spans="1:22" s="203" customFormat="1" ht="16.5" customHeight="1">
      <c r="C94" s="209">
        <v>201171</v>
      </c>
      <c r="D94" s="209">
        <v>624</v>
      </c>
      <c r="E94" s="203" t="s">
        <v>908</v>
      </c>
      <c r="F94" s="203">
        <v>2018</v>
      </c>
      <c r="G94" s="203">
        <v>6</v>
      </c>
      <c r="H94" s="203">
        <v>0</v>
      </c>
      <c r="I94" s="203" t="s">
        <v>52</v>
      </c>
      <c r="J94" s="210">
        <v>7</v>
      </c>
      <c r="K94" s="203">
        <f>F94+J94</f>
        <v>2025</v>
      </c>
      <c r="L94" s="204">
        <f>+K94+(G94/12)</f>
        <v>2025.5</v>
      </c>
      <c r="M94" s="205">
        <v>33629.03</v>
      </c>
      <c r="N94" s="205">
        <f>M94-M94*H94</f>
        <v>33629.03</v>
      </c>
      <c r="O94" s="205">
        <f>N94/J94/12</f>
        <v>400.34559523809526</v>
      </c>
      <c r="P94" s="205">
        <f>+O94*12</f>
        <v>4804.1471428571431</v>
      </c>
      <c r="Q94" s="205">
        <f>+IF(L94&lt;='2111 Cont, DB'!$N$5,0,IF(K94&gt;'2111 Cont, DB'!$N$4,P94,(O94*G94)))</f>
        <v>4804.1471428571431</v>
      </c>
      <c r="R94" s="205"/>
      <c r="S94" s="205">
        <f>+IF(Q94=0,M94,IF('2111 Cont, DB'!$N$3-F94&lt;1,0,(('2111 Cont, DB'!$N$3-F94)*P94)))</f>
        <v>0</v>
      </c>
      <c r="T94" s="205">
        <f>+IF(Q94=0,S94,S94+Q94)</f>
        <v>4804.1471428571431</v>
      </c>
      <c r="U94" s="205">
        <f>+IF(Q94=0,0,((M94-S94)+(M94-T94))/2)</f>
        <v>31226.95642857143</v>
      </c>
      <c r="V94" s="205"/>
    </row>
    <row r="95" spans="1:22" s="203" customFormat="1" ht="16.5" customHeight="1">
      <c r="C95" s="209">
        <v>201170</v>
      </c>
      <c r="D95" s="209">
        <v>624</v>
      </c>
      <c r="E95" s="203" t="s">
        <v>913</v>
      </c>
      <c r="F95" s="203">
        <v>2018</v>
      </c>
      <c r="G95" s="203">
        <v>6</v>
      </c>
      <c r="H95" s="203">
        <v>0</v>
      </c>
      <c r="I95" s="203" t="s">
        <v>52</v>
      </c>
      <c r="J95" s="210">
        <v>7</v>
      </c>
      <c r="K95" s="203">
        <f>F95+J95</f>
        <v>2025</v>
      </c>
      <c r="L95" s="204">
        <f>+K95+(G95/12)</f>
        <v>2025.5</v>
      </c>
      <c r="M95" s="205">
        <v>34685.120000000003</v>
      </c>
      <c r="N95" s="205">
        <f>M95-M95*H95</f>
        <v>34685.120000000003</v>
      </c>
      <c r="O95" s="205">
        <f>N95/J95/12</f>
        <v>412.91809523809525</v>
      </c>
      <c r="P95" s="205">
        <f>+O95*12</f>
        <v>4955.017142857143</v>
      </c>
      <c r="Q95" s="205">
        <f>+IF(L95&lt;='2111 Cont, DB'!$N$5,0,IF(K95&gt;'2111 Cont, DB'!$N$4,P95,(O95*G95)))</f>
        <v>4955.017142857143</v>
      </c>
      <c r="R95" s="205"/>
      <c r="S95" s="205">
        <f>+IF(Q95=0,M95,IF('2111 Cont, DB'!$N$3-F95&lt;1,0,(('2111 Cont, DB'!$N$3-F95)*P95)))</f>
        <v>0</v>
      </c>
      <c r="T95" s="205">
        <f>+IF(Q95=0,S95,S95+Q95)</f>
        <v>4955.017142857143</v>
      </c>
      <c r="U95" s="205">
        <f>+IF(Q95=0,0,((M95-S95)+(M95-T95))/2)</f>
        <v>32207.611428571432</v>
      </c>
      <c r="V95" s="205"/>
    </row>
    <row r="96" spans="1:22" ht="16.5" customHeight="1">
      <c r="M96" s="230"/>
      <c r="N96" s="230"/>
      <c r="O96" s="230"/>
      <c r="P96" s="230"/>
      <c r="Q96" s="230"/>
      <c r="R96" s="230"/>
      <c r="S96" s="230"/>
      <c r="T96" s="230"/>
      <c r="U96" s="230"/>
      <c r="V96" s="230"/>
    </row>
    <row r="97" spans="4:22" ht="16.5" customHeight="1">
      <c r="D97" s="169">
        <f>SUM(D12:D96)</f>
        <v>47988</v>
      </c>
      <c r="E97" s="169"/>
      <c r="F97" s="169" t="s">
        <v>100</v>
      </c>
      <c r="G97" s="169"/>
      <c r="H97" s="169"/>
      <c r="I97" s="169"/>
      <c r="J97" s="179"/>
      <c r="K97" s="169"/>
      <c r="L97" s="180"/>
      <c r="M97" s="171">
        <f t="shared" ref="M97:U97" si="29">SUM(M12:M96)</f>
        <v>2461420.2999999993</v>
      </c>
      <c r="N97" s="171">
        <f t="shared" si="29"/>
        <v>2461420.2999999993</v>
      </c>
      <c r="O97" s="171">
        <f t="shared" si="29"/>
        <v>33894.660577380942</v>
      </c>
      <c r="P97" s="171">
        <f>SUM(P12:P96)</f>
        <v>406735.92692857131</v>
      </c>
      <c r="Q97" s="171">
        <f>SUM(Q12:Q96)</f>
        <v>143511.96428571426</v>
      </c>
      <c r="R97" s="171">
        <f t="shared" si="29"/>
        <v>0</v>
      </c>
      <c r="S97" s="171">
        <f t="shared" si="29"/>
        <v>1641650.7357142854</v>
      </c>
      <c r="T97" s="171">
        <f t="shared" si="29"/>
        <v>1785162.7000000004</v>
      </c>
      <c r="U97" s="171">
        <f t="shared" si="29"/>
        <v>748013.58214285737</v>
      </c>
      <c r="V97" s="230"/>
    </row>
    <row r="98" spans="4:22" ht="16.5" customHeight="1">
      <c r="M98" s="230"/>
      <c r="N98" s="230"/>
      <c r="O98" s="230"/>
      <c r="P98" s="230"/>
      <c r="Q98" s="230"/>
      <c r="R98" s="230"/>
      <c r="S98" s="230"/>
      <c r="T98" s="230"/>
      <c r="U98" s="230"/>
      <c r="V98" s="230"/>
    </row>
    <row r="99" spans="4:22" ht="16.5" customHeight="1">
      <c r="E99" s="3" t="s">
        <v>57</v>
      </c>
      <c r="M99" s="230"/>
      <c r="N99" s="230"/>
      <c r="O99" s="230"/>
      <c r="P99" s="230"/>
      <c r="Q99" s="230"/>
      <c r="R99" s="230"/>
      <c r="S99" s="230"/>
      <c r="T99" s="230"/>
      <c r="U99" s="230"/>
      <c r="V99" s="230"/>
    </row>
    <row r="100" spans="4:22" ht="16.5" customHeight="1">
      <c r="D100" s="169">
        <f>D97</f>
        <v>47988</v>
      </c>
      <c r="E100" s="169" t="s">
        <v>115</v>
      </c>
      <c r="F100" s="169"/>
      <c r="G100" s="169"/>
      <c r="H100" s="169"/>
      <c r="I100" s="169"/>
      <c r="J100" s="179"/>
      <c r="K100" s="169"/>
      <c r="L100" s="180"/>
      <c r="M100" s="171">
        <f>M97</f>
        <v>2461420.2999999993</v>
      </c>
      <c r="N100" s="171">
        <f t="shared" ref="N100:U100" si="30">N97</f>
        <v>2461420.2999999993</v>
      </c>
      <c r="O100" s="171">
        <f t="shared" si="30"/>
        <v>33894.660577380942</v>
      </c>
      <c r="P100" s="171">
        <f t="shared" si="30"/>
        <v>406735.92692857131</v>
      </c>
      <c r="Q100" s="171">
        <f t="shared" si="30"/>
        <v>143511.96428571426</v>
      </c>
      <c r="R100" s="171">
        <f t="shared" si="30"/>
        <v>0</v>
      </c>
      <c r="S100" s="171">
        <f t="shared" si="30"/>
        <v>1641650.7357142854</v>
      </c>
      <c r="T100" s="171">
        <f t="shared" si="30"/>
        <v>1785162.7000000004</v>
      </c>
      <c r="U100" s="171">
        <f t="shared" si="30"/>
        <v>748013.58214285737</v>
      </c>
      <c r="V100" s="230"/>
    </row>
    <row r="101" spans="4:22" ht="16.5" customHeight="1">
      <c r="M101" s="230"/>
      <c r="N101" s="230"/>
      <c r="O101" s="230"/>
      <c r="P101" s="230"/>
      <c r="Q101" s="230"/>
      <c r="R101" s="230"/>
      <c r="S101" s="230"/>
      <c r="T101" s="230"/>
      <c r="U101" s="230"/>
      <c r="V101" s="230"/>
    </row>
    <row r="102" spans="4:22" ht="16.5" customHeight="1">
      <c r="M102" s="230"/>
      <c r="N102" s="230"/>
      <c r="O102" s="230"/>
      <c r="P102" s="230"/>
      <c r="Q102" s="230"/>
      <c r="R102" s="230"/>
      <c r="S102" s="230"/>
      <c r="T102" s="230"/>
      <c r="U102" s="230"/>
      <c r="V102" s="230"/>
    </row>
    <row r="103" spans="4:22" ht="16.5" customHeight="1">
      <c r="M103" s="230"/>
      <c r="N103" s="230"/>
      <c r="O103" s="230"/>
      <c r="P103" s="230"/>
      <c r="Q103" s="230"/>
      <c r="R103" s="230"/>
      <c r="S103" s="230"/>
      <c r="T103" s="230"/>
      <c r="U103" s="230"/>
      <c r="V103" s="230"/>
    </row>
    <row r="104" spans="4:22" ht="16.5" customHeight="1">
      <c r="M104" s="230"/>
      <c r="N104" s="230"/>
      <c r="O104" s="230"/>
      <c r="P104" s="230"/>
      <c r="Q104" s="230"/>
      <c r="R104" s="230"/>
      <c r="S104" s="230"/>
      <c r="T104" s="230"/>
      <c r="U104" s="230"/>
      <c r="V104" s="230"/>
    </row>
    <row r="105" spans="4:22" ht="16.5" customHeight="1">
      <c r="M105" s="170"/>
      <c r="N105" s="170"/>
      <c r="O105" s="170"/>
      <c r="P105" s="170"/>
      <c r="Q105" s="170"/>
      <c r="R105" s="170"/>
      <c r="S105" s="170"/>
      <c r="T105" s="170"/>
      <c r="U105" s="170"/>
      <c r="V105" s="170"/>
    </row>
    <row r="106" spans="4:22" ht="16.5" customHeight="1">
      <c r="M106" s="170"/>
      <c r="N106" s="170"/>
      <c r="O106" s="170"/>
      <c r="P106" s="170"/>
      <c r="Q106" s="170"/>
      <c r="R106" s="170"/>
      <c r="S106" s="170"/>
      <c r="T106" s="170"/>
      <c r="U106" s="170"/>
      <c r="V106" s="170"/>
    </row>
    <row r="107" spans="4:22" ht="16.5" customHeight="1">
      <c r="M107" s="170"/>
      <c r="N107" s="170"/>
      <c r="O107" s="170"/>
      <c r="P107" s="170"/>
      <c r="Q107" s="170"/>
      <c r="R107" s="170"/>
      <c r="S107" s="170"/>
      <c r="T107" s="170"/>
      <c r="U107" s="170"/>
      <c r="V107" s="170"/>
    </row>
    <row r="108" spans="4:22">
      <c r="M108" s="170"/>
      <c r="N108" s="170"/>
      <c r="O108" s="170"/>
      <c r="P108" s="170"/>
      <c r="Q108" s="170"/>
      <c r="R108" s="170"/>
      <c r="S108" s="170"/>
      <c r="T108" s="170"/>
      <c r="U108" s="170"/>
      <c r="V108" s="170"/>
    </row>
    <row r="109" spans="4:22">
      <c r="M109" s="170"/>
      <c r="N109" s="170"/>
      <c r="O109" s="170"/>
      <c r="P109" s="170"/>
      <c r="Q109" s="170"/>
      <c r="R109" s="170"/>
      <c r="S109" s="170"/>
      <c r="T109" s="170"/>
      <c r="U109" s="170"/>
      <c r="V109" s="170"/>
    </row>
    <row r="110" spans="4:22">
      <c r="M110" s="170"/>
      <c r="N110" s="170"/>
      <c r="O110" s="170"/>
      <c r="P110" s="170"/>
      <c r="Q110" s="170"/>
      <c r="R110" s="170"/>
      <c r="S110" s="170"/>
      <c r="T110" s="170"/>
      <c r="U110" s="170"/>
      <c r="V110" s="170"/>
    </row>
    <row r="111" spans="4:22">
      <c r="M111" s="170"/>
      <c r="N111" s="170"/>
      <c r="O111" s="170"/>
      <c r="P111" s="170"/>
      <c r="Q111" s="170"/>
      <c r="R111" s="170"/>
      <c r="S111" s="170"/>
      <c r="T111" s="170"/>
      <c r="U111" s="170"/>
      <c r="V111" s="170"/>
    </row>
    <row r="112" spans="4:22">
      <c r="M112" s="170"/>
      <c r="N112" s="170"/>
      <c r="O112" s="170"/>
      <c r="P112" s="170"/>
      <c r="Q112" s="170"/>
      <c r="R112" s="170"/>
      <c r="S112" s="170"/>
      <c r="T112" s="170"/>
      <c r="U112" s="170"/>
      <c r="V112" s="170"/>
    </row>
    <row r="113" spans="13:22">
      <c r="M113" s="170"/>
      <c r="N113" s="170"/>
      <c r="O113" s="170"/>
      <c r="P113" s="170"/>
      <c r="Q113" s="170"/>
      <c r="R113" s="170"/>
      <c r="S113" s="170"/>
      <c r="T113" s="170"/>
      <c r="U113" s="170"/>
      <c r="V113" s="170"/>
    </row>
    <row r="114" spans="13:22">
      <c r="M114" s="170"/>
      <c r="N114" s="170"/>
      <c r="O114" s="170"/>
      <c r="P114" s="170"/>
      <c r="Q114" s="170"/>
      <c r="R114" s="170"/>
      <c r="S114" s="170"/>
      <c r="T114" s="170"/>
      <c r="U114" s="170"/>
      <c r="V114" s="170"/>
    </row>
    <row r="115" spans="13:22">
      <c r="M115" s="170"/>
      <c r="N115" s="170"/>
      <c r="O115" s="170"/>
      <c r="P115" s="170"/>
      <c r="Q115" s="170"/>
      <c r="R115" s="170"/>
      <c r="S115" s="170"/>
      <c r="T115" s="170"/>
      <c r="U115" s="170"/>
      <c r="V115" s="170"/>
    </row>
    <row r="116" spans="13:22">
      <c r="M116" s="170"/>
      <c r="N116" s="170"/>
      <c r="O116" s="170"/>
      <c r="P116" s="170"/>
      <c r="Q116" s="170"/>
      <c r="R116" s="170"/>
      <c r="S116" s="170"/>
      <c r="T116" s="170"/>
      <c r="U116" s="170"/>
      <c r="V116" s="170"/>
    </row>
    <row r="117" spans="13:22">
      <c r="M117" s="170"/>
      <c r="N117" s="170"/>
      <c r="O117" s="170"/>
      <c r="P117" s="170"/>
      <c r="Q117" s="170"/>
      <c r="R117" s="170"/>
      <c r="S117" s="170"/>
      <c r="T117" s="170"/>
      <c r="U117" s="170"/>
      <c r="V117" s="170"/>
    </row>
    <row r="118" spans="13:22">
      <c r="M118" s="170"/>
      <c r="N118" s="170"/>
      <c r="O118" s="170"/>
      <c r="P118" s="170"/>
      <c r="Q118" s="170"/>
      <c r="R118" s="170"/>
      <c r="S118" s="170"/>
      <c r="T118" s="170"/>
      <c r="U118" s="170"/>
      <c r="V118" s="170"/>
    </row>
    <row r="119" spans="13:22">
      <c r="M119" s="170"/>
      <c r="N119" s="170"/>
      <c r="O119" s="170"/>
      <c r="P119" s="170"/>
      <c r="Q119" s="170"/>
      <c r="R119" s="170"/>
      <c r="S119" s="170"/>
      <c r="T119" s="170"/>
      <c r="U119" s="170"/>
      <c r="V119" s="170"/>
    </row>
    <row r="120" spans="13:22">
      <c r="M120" s="170"/>
      <c r="N120" s="170"/>
      <c r="O120" s="170"/>
      <c r="P120" s="170"/>
      <c r="Q120" s="170"/>
      <c r="R120" s="170"/>
      <c r="S120" s="170"/>
      <c r="T120" s="170"/>
      <c r="U120" s="170"/>
      <c r="V120" s="170"/>
    </row>
    <row r="121" spans="13:22">
      <c r="M121" s="170"/>
      <c r="N121" s="170"/>
      <c r="O121" s="170"/>
      <c r="P121" s="170"/>
      <c r="Q121" s="170"/>
      <c r="R121" s="170"/>
      <c r="S121" s="170"/>
      <c r="T121" s="170"/>
      <c r="U121" s="170"/>
      <c r="V121" s="170"/>
    </row>
    <row r="122" spans="13:22">
      <c r="M122" s="170"/>
      <c r="N122" s="170"/>
      <c r="O122" s="170"/>
      <c r="P122" s="170"/>
      <c r="Q122" s="170"/>
      <c r="R122" s="170"/>
      <c r="S122" s="170"/>
      <c r="T122" s="170"/>
      <c r="U122" s="170"/>
      <c r="V122" s="170"/>
    </row>
    <row r="123" spans="13:22">
      <c r="M123" s="170"/>
      <c r="N123" s="170"/>
      <c r="O123" s="170"/>
      <c r="P123" s="170"/>
      <c r="Q123" s="170"/>
      <c r="R123" s="170"/>
      <c r="S123" s="170"/>
      <c r="T123" s="170"/>
      <c r="U123" s="170"/>
      <c r="V123" s="170"/>
    </row>
    <row r="124" spans="13:22">
      <c r="M124" s="170"/>
      <c r="N124" s="170"/>
      <c r="O124" s="170"/>
      <c r="P124" s="170"/>
      <c r="Q124" s="170"/>
      <c r="R124" s="170"/>
      <c r="S124" s="170"/>
      <c r="T124" s="170"/>
      <c r="U124" s="170"/>
      <c r="V124" s="170"/>
    </row>
    <row r="125" spans="13:22">
      <c r="M125" s="170"/>
      <c r="N125" s="170"/>
      <c r="O125" s="170"/>
      <c r="P125" s="170"/>
      <c r="Q125" s="170"/>
      <c r="R125" s="170"/>
      <c r="S125" s="170"/>
      <c r="T125" s="170"/>
      <c r="U125" s="170"/>
      <c r="V125" s="170"/>
    </row>
    <row r="126" spans="13:22">
      <c r="M126" s="170"/>
      <c r="N126" s="170"/>
      <c r="O126" s="170"/>
      <c r="P126" s="170"/>
      <c r="Q126" s="170"/>
      <c r="R126" s="170"/>
      <c r="S126" s="170"/>
      <c r="T126" s="170"/>
      <c r="U126" s="170"/>
      <c r="V126" s="170"/>
    </row>
    <row r="127" spans="13:22">
      <c r="M127" s="170"/>
      <c r="N127" s="170"/>
      <c r="O127" s="170"/>
      <c r="P127" s="170"/>
      <c r="Q127" s="170"/>
      <c r="R127" s="170"/>
      <c r="S127" s="170"/>
      <c r="T127" s="170"/>
      <c r="U127" s="170"/>
      <c r="V127" s="170"/>
    </row>
    <row r="128" spans="13:22">
      <c r="M128" s="170"/>
      <c r="N128" s="170"/>
      <c r="O128" s="170"/>
      <c r="P128" s="170"/>
      <c r="Q128" s="170"/>
      <c r="R128" s="170"/>
      <c r="S128" s="170"/>
      <c r="T128" s="170"/>
      <c r="U128" s="170"/>
      <c r="V128" s="170"/>
    </row>
    <row r="129" spans="13:22">
      <c r="M129" s="170"/>
      <c r="N129" s="170"/>
      <c r="O129" s="170"/>
      <c r="P129" s="170"/>
      <c r="Q129" s="170"/>
      <c r="R129" s="170"/>
      <c r="S129" s="170"/>
      <c r="T129" s="170"/>
      <c r="U129" s="170"/>
      <c r="V129" s="170"/>
    </row>
    <row r="130" spans="13:22">
      <c r="M130" s="170"/>
      <c r="N130" s="170"/>
      <c r="O130" s="170"/>
      <c r="P130" s="170"/>
      <c r="Q130" s="170"/>
      <c r="R130" s="170"/>
      <c r="S130" s="170"/>
      <c r="T130" s="170"/>
      <c r="U130" s="170"/>
      <c r="V130" s="170"/>
    </row>
    <row r="131" spans="13:22">
      <c r="M131" s="170"/>
      <c r="N131" s="170"/>
      <c r="O131" s="170"/>
      <c r="P131" s="170"/>
      <c r="Q131" s="170"/>
      <c r="R131" s="170"/>
      <c r="S131" s="170"/>
      <c r="T131" s="170"/>
      <c r="U131" s="170"/>
      <c r="V131" s="170"/>
    </row>
    <row r="132" spans="13:22">
      <c r="M132" s="170"/>
      <c r="N132" s="170"/>
      <c r="O132" s="170"/>
      <c r="P132" s="170"/>
      <c r="Q132" s="170"/>
      <c r="R132" s="170"/>
      <c r="S132" s="170"/>
      <c r="T132" s="170"/>
      <c r="U132" s="170"/>
      <c r="V132" s="170"/>
    </row>
    <row r="133" spans="13:22">
      <c r="M133" s="170"/>
      <c r="N133" s="170"/>
      <c r="O133" s="170"/>
      <c r="P133" s="170"/>
      <c r="Q133" s="170"/>
      <c r="R133" s="170"/>
      <c r="S133" s="170"/>
      <c r="T133" s="170"/>
      <c r="U133" s="170"/>
      <c r="V133" s="170"/>
    </row>
    <row r="134" spans="13:22">
      <c r="M134" s="170"/>
      <c r="N134" s="170"/>
      <c r="O134" s="170"/>
      <c r="P134" s="170"/>
      <c r="Q134" s="170"/>
      <c r="R134" s="170"/>
      <c r="S134" s="170"/>
      <c r="T134" s="170"/>
      <c r="U134" s="170"/>
      <c r="V134" s="170"/>
    </row>
    <row r="135" spans="13:22">
      <c r="M135" s="170"/>
      <c r="N135" s="170"/>
      <c r="O135" s="170"/>
      <c r="P135" s="170"/>
      <c r="Q135" s="170"/>
      <c r="R135" s="170"/>
      <c r="S135" s="170"/>
      <c r="T135" s="170"/>
      <c r="U135" s="170"/>
      <c r="V135" s="170"/>
    </row>
    <row r="136" spans="13:22">
      <c r="M136" s="170"/>
      <c r="N136" s="170"/>
      <c r="O136" s="170"/>
      <c r="P136" s="170"/>
      <c r="Q136" s="170"/>
      <c r="R136" s="170"/>
      <c r="S136" s="170"/>
      <c r="T136" s="170"/>
      <c r="U136" s="170"/>
      <c r="V136" s="170"/>
    </row>
    <row r="137" spans="13:22">
      <c r="M137" s="170"/>
      <c r="N137" s="170"/>
      <c r="O137" s="170"/>
      <c r="P137" s="170"/>
      <c r="Q137" s="170"/>
      <c r="R137" s="170"/>
      <c r="S137" s="170"/>
      <c r="T137" s="170"/>
      <c r="U137" s="170"/>
      <c r="V137" s="170"/>
    </row>
    <row r="138" spans="13:22">
      <c r="M138" s="170"/>
      <c r="N138" s="170"/>
      <c r="O138" s="170"/>
      <c r="P138" s="170"/>
      <c r="Q138" s="170"/>
      <c r="R138" s="170"/>
      <c r="S138" s="170"/>
      <c r="T138" s="170"/>
      <c r="U138" s="170"/>
      <c r="V138" s="170"/>
    </row>
    <row r="139" spans="13:22">
      <c r="M139" s="170"/>
      <c r="N139" s="170"/>
      <c r="O139" s="170"/>
      <c r="P139" s="170"/>
      <c r="Q139" s="170"/>
      <c r="R139" s="170"/>
      <c r="S139" s="170"/>
      <c r="T139" s="170"/>
      <c r="U139" s="170"/>
      <c r="V139" s="170"/>
    </row>
    <row r="140" spans="13:22">
      <c r="M140" s="170"/>
      <c r="N140" s="170"/>
      <c r="O140" s="170"/>
      <c r="P140" s="170"/>
      <c r="Q140" s="170"/>
      <c r="R140" s="170"/>
      <c r="S140" s="170"/>
      <c r="T140" s="170"/>
      <c r="U140" s="170"/>
      <c r="V140" s="170"/>
    </row>
    <row r="141" spans="13:22">
      <c r="M141" s="170"/>
      <c r="N141" s="170"/>
      <c r="O141" s="170"/>
      <c r="P141" s="170"/>
      <c r="Q141" s="170"/>
      <c r="R141" s="170"/>
      <c r="S141" s="170"/>
      <c r="T141" s="170"/>
      <c r="U141" s="170"/>
      <c r="V141" s="170"/>
    </row>
    <row r="142" spans="13:22">
      <c r="M142" s="170"/>
      <c r="N142" s="170"/>
      <c r="O142" s="170"/>
      <c r="P142" s="170"/>
      <c r="Q142" s="170"/>
      <c r="R142" s="170"/>
      <c r="S142" s="170"/>
      <c r="T142" s="170"/>
      <c r="U142" s="170"/>
      <c r="V142" s="170"/>
    </row>
    <row r="143" spans="13:22">
      <c r="M143" s="170"/>
      <c r="N143" s="170"/>
      <c r="O143" s="170"/>
      <c r="P143" s="170"/>
      <c r="Q143" s="170"/>
      <c r="R143" s="170"/>
      <c r="S143" s="170"/>
      <c r="T143" s="170"/>
      <c r="U143" s="170"/>
      <c r="V143" s="170"/>
    </row>
    <row r="144" spans="13:22">
      <c r="M144" s="170"/>
      <c r="N144" s="170"/>
      <c r="O144" s="170"/>
      <c r="P144" s="170"/>
      <c r="Q144" s="170"/>
      <c r="R144" s="170"/>
      <c r="S144" s="170"/>
      <c r="T144" s="170"/>
      <c r="U144" s="170"/>
      <c r="V144" s="170"/>
    </row>
    <row r="145" spans="13:21">
      <c r="M145" s="170"/>
      <c r="N145" s="170"/>
      <c r="O145" s="170"/>
      <c r="P145" s="170"/>
      <c r="Q145" s="170"/>
      <c r="R145" s="170"/>
      <c r="S145" s="170"/>
      <c r="T145" s="170"/>
      <c r="U145" s="170"/>
    </row>
    <row r="146" spans="13:21">
      <c r="M146" s="170"/>
      <c r="N146" s="170"/>
      <c r="O146" s="170"/>
      <c r="P146" s="170"/>
      <c r="Q146" s="170"/>
      <c r="R146" s="170"/>
      <c r="S146" s="170"/>
      <c r="T146" s="170"/>
      <c r="U146" s="170"/>
    </row>
    <row r="147" spans="13:21">
      <c r="M147" s="170"/>
      <c r="N147" s="170"/>
      <c r="O147" s="170"/>
      <c r="P147" s="170"/>
      <c r="Q147" s="170"/>
      <c r="R147" s="170"/>
      <c r="S147" s="170"/>
      <c r="T147" s="170"/>
      <c r="U147" s="170"/>
    </row>
    <row r="148" spans="13:21">
      <c r="M148" s="170"/>
      <c r="N148" s="170"/>
      <c r="O148" s="170"/>
      <c r="P148" s="170"/>
      <c r="Q148" s="170"/>
      <c r="R148" s="170"/>
      <c r="S148" s="170"/>
      <c r="T148" s="170"/>
      <c r="U148" s="170"/>
    </row>
    <row r="149" spans="13:21">
      <c r="M149" s="170"/>
      <c r="N149" s="170"/>
      <c r="O149" s="170"/>
      <c r="P149" s="170"/>
      <c r="Q149" s="170"/>
      <c r="R149" s="170"/>
      <c r="S149" s="170"/>
      <c r="T149" s="170"/>
      <c r="U149" s="170"/>
    </row>
    <row r="150" spans="13:21">
      <c r="M150" s="170"/>
      <c r="N150" s="170"/>
      <c r="O150" s="170"/>
      <c r="P150" s="170"/>
      <c r="Q150" s="170"/>
      <c r="R150" s="170"/>
      <c r="S150" s="170"/>
      <c r="T150" s="170"/>
      <c r="U150" s="170"/>
    </row>
    <row r="151" spans="13:21">
      <c r="M151" s="170"/>
      <c r="N151" s="170"/>
      <c r="O151" s="170"/>
      <c r="P151" s="170"/>
      <c r="Q151" s="170"/>
      <c r="R151" s="170"/>
      <c r="S151" s="170"/>
      <c r="T151" s="170"/>
      <c r="U151" s="170"/>
    </row>
    <row r="152" spans="13:21">
      <c r="M152" s="170"/>
      <c r="N152" s="170"/>
      <c r="O152" s="170"/>
      <c r="P152" s="170"/>
      <c r="Q152" s="170"/>
      <c r="R152" s="170"/>
      <c r="S152" s="170"/>
      <c r="T152" s="170"/>
      <c r="U152" s="170"/>
    </row>
    <row r="153" spans="13:21">
      <c r="M153" s="170"/>
      <c r="N153" s="170"/>
      <c r="O153" s="170"/>
      <c r="P153" s="170"/>
      <c r="Q153" s="170"/>
      <c r="R153" s="170"/>
      <c r="S153" s="170"/>
      <c r="T153" s="170"/>
      <c r="U153" s="170"/>
    </row>
    <row r="154" spans="13:21">
      <c r="M154" s="170"/>
      <c r="N154" s="170"/>
      <c r="O154" s="170"/>
      <c r="P154" s="170"/>
      <c r="Q154" s="170"/>
      <c r="R154" s="170"/>
      <c r="S154" s="170"/>
      <c r="T154" s="170"/>
      <c r="U154" s="170"/>
    </row>
    <row r="155" spans="13:21">
      <c r="M155" s="170"/>
      <c r="N155" s="170"/>
      <c r="O155" s="170"/>
      <c r="P155" s="170"/>
      <c r="Q155" s="170"/>
      <c r="R155" s="170"/>
      <c r="S155" s="170"/>
      <c r="T155" s="170"/>
      <c r="U155" s="170"/>
    </row>
  </sheetData>
  <mergeCells count="1">
    <mergeCell ref="F9:G9"/>
  </mergeCells>
  <phoneticPr fontId="0" type="noConversion"/>
  <pageMargins left="0.5" right="0.5" top="0.5" bottom="0.55000000000000004" header="0.5" footer="0.5"/>
  <pageSetup scale="54" fitToHeight="0" orientation="landscape" r:id="rId1"/>
  <headerFooter alignWithMargins="0">
    <oddFooter>Page &amp;P of &amp;N</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9" tint="-0.249977111117893"/>
    <pageSetUpPr fitToPage="1"/>
  </sheetPr>
  <dimension ref="A1:U235"/>
  <sheetViews>
    <sheetView showGridLines="0" view="pageBreakPreview" zoomScale="85" zoomScaleNormal="85" zoomScaleSheetLayoutView="85" workbookViewId="0">
      <pane xSplit="5" ySplit="11" topLeftCell="F12" activePane="bottomRight" state="frozen"/>
      <selection pane="topRight"/>
      <selection pane="bottomLeft"/>
      <selection pane="bottomRight"/>
    </sheetView>
  </sheetViews>
  <sheetFormatPr defaultRowHeight="15"/>
  <cols>
    <col min="1" max="1" width="6.44140625" style="3" customWidth="1"/>
    <col min="2" max="2" width="6.88671875" style="3" bestFit="1" customWidth="1"/>
    <col min="3" max="3" width="6.44140625" style="3" customWidth="1"/>
    <col min="4" max="4" width="3" style="3" customWidth="1"/>
    <col min="5" max="5" width="33.33203125" style="3" bestFit="1" customWidth="1"/>
    <col min="6" max="6" width="5.77734375" style="3" bestFit="1" customWidth="1"/>
    <col min="7" max="7" width="4.77734375" style="3" customWidth="1"/>
    <col min="8" max="8" width="5.5546875" style="3" bestFit="1" customWidth="1"/>
    <col min="9" max="9" width="5.44140625" style="3" bestFit="1" customWidth="1"/>
    <col min="10" max="10" width="4.44140625" style="3" bestFit="1" customWidth="1"/>
    <col min="11" max="11" width="4.33203125" style="3" bestFit="1" customWidth="1"/>
    <col min="12" max="12" width="7.44140625" style="3" bestFit="1" customWidth="1"/>
    <col min="13" max="13" width="13.109375" style="3" customWidth="1"/>
    <col min="14" max="14" width="13.5546875" style="3" customWidth="1"/>
    <col min="15" max="17" width="11.33203125" style="3" customWidth="1"/>
    <col min="18" max="18" width="1.109375" style="3" customWidth="1"/>
    <col min="19" max="21" width="11.33203125" style="3" customWidth="1"/>
    <col min="22" max="16384" width="8.88671875" style="3"/>
  </cols>
  <sheetData>
    <row r="1" spans="1:21" s="168" customFormat="1" ht="13.5" customHeight="1">
      <c r="E1" s="182" t="s">
        <v>101</v>
      </c>
      <c r="J1" s="182"/>
      <c r="K1" s="212" t="s">
        <v>608</v>
      </c>
      <c r="L1" s="198"/>
      <c r="M1" s="198"/>
      <c r="N1" s="182"/>
      <c r="O1" s="182"/>
      <c r="P1" s="182"/>
    </row>
    <row r="2" spans="1:21" s="168" customFormat="1" ht="13.5" customHeight="1">
      <c r="E2" s="182" t="s">
        <v>0</v>
      </c>
      <c r="J2" s="182"/>
      <c r="K2" s="198"/>
      <c r="L2" s="198"/>
      <c r="M2" s="198"/>
      <c r="N2" s="183">
        <f>'2111 Trks'!N2</f>
        <v>1</v>
      </c>
      <c r="O2" s="182" t="s">
        <v>1</v>
      </c>
      <c r="P2" s="182"/>
    </row>
    <row r="3" spans="1:21" s="168" customFormat="1" ht="13.5" customHeight="1">
      <c r="E3" s="184">
        <f>Summary!H5</f>
        <v>43373</v>
      </c>
      <c r="J3" s="182"/>
      <c r="K3" s="198"/>
      <c r="L3" s="198"/>
      <c r="M3" s="198"/>
      <c r="N3" s="183">
        <f>'2111 Trks'!N3</f>
        <v>2017</v>
      </c>
      <c r="O3" s="182" t="s">
        <v>3</v>
      </c>
      <c r="P3" s="182"/>
    </row>
    <row r="4" spans="1:21" s="168" customFormat="1" ht="13.5" customHeight="1">
      <c r="J4" s="182"/>
      <c r="K4" s="198"/>
      <c r="L4" s="198"/>
      <c r="M4" s="198"/>
      <c r="N4" s="183">
        <f>'2111 Trks'!N4</f>
        <v>2018</v>
      </c>
      <c r="O4" s="182" t="s">
        <v>6</v>
      </c>
      <c r="P4" s="182"/>
    </row>
    <row r="5" spans="1:21" s="168" customFormat="1" ht="13.5" customHeight="1">
      <c r="J5" s="182"/>
      <c r="K5" s="182"/>
      <c r="L5" s="182"/>
      <c r="M5" s="182"/>
      <c r="N5" s="183">
        <f>'2111 Trks'!N5</f>
        <v>2019</v>
      </c>
      <c r="O5" s="182" t="s">
        <v>11</v>
      </c>
      <c r="P5" s="182"/>
    </row>
    <row r="6" spans="1:21" ht="13.5" customHeight="1">
      <c r="J6" s="195"/>
      <c r="K6" s="195"/>
      <c r="L6" s="195"/>
      <c r="M6" s="195"/>
      <c r="N6" s="195"/>
      <c r="O6" s="195"/>
      <c r="P6" s="195"/>
    </row>
    <row r="7" spans="1:21" ht="13.5" customHeight="1">
      <c r="S7" s="231"/>
      <c r="T7" s="231"/>
      <c r="U7" s="231"/>
    </row>
    <row r="8" spans="1:21" s="195" customFormat="1" ht="13.5" customHeight="1">
      <c r="F8" s="7"/>
      <c r="G8" s="7"/>
      <c r="H8" s="7"/>
      <c r="I8" s="7"/>
      <c r="J8" s="7"/>
      <c r="K8" s="7"/>
      <c r="L8" s="7"/>
      <c r="M8" s="7"/>
      <c r="N8" s="7"/>
      <c r="O8" s="7"/>
      <c r="P8" s="7"/>
      <c r="Q8" s="7"/>
      <c r="S8" s="232" t="s">
        <v>18</v>
      </c>
      <c r="T8" s="232" t="s">
        <v>118</v>
      </c>
      <c r="U8" s="232"/>
    </row>
    <row r="9" spans="1:21" s="195" customFormat="1" ht="13.5" customHeight="1">
      <c r="C9" s="195" t="s">
        <v>57</v>
      </c>
      <c r="F9" s="257" t="s">
        <v>603</v>
      </c>
      <c r="G9" s="257"/>
      <c r="H9" s="7" t="s">
        <v>23</v>
      </c>
      <c r="I9" s="7" t="s">
        <v>57</v>
      </c>
      <c r="J9" s="7"/>
      <c r="K9" s="7" t="s">
        <v>24</v>
      </c>
      <c r="L9" s="7"/>
      <c r="M9" s="7" t="s">
        <v>57</v>
      </c>
      <c r="N9" s="7" t="s">
        <v>57</v>
      </c>
      <c r="O9" s="7"/>
      <c r="P9" s="7"/>
      <c r="Q9" s="7" t="s">
        <v>68</v>
      </c>
      <c r="S9" s="232" t="s">
        <v>117</v>
      </c>
      <c r="T9" s="232" t="s">
        <v>117</v>
      </c>
      <c r="U9" s="232" t="s">
        <v>38</v>
      </c>
    </row>
    <row r="10" spans="1:21" s="195" customFormat="1" ht="13.5" customHeight="1">
      <c r="E10" s="195" t="s">
        <v>249</v>
      </c>
      <c r="F10" s="7"/>
      <c r="G10" s="7"/>
      <c r="H10" s="7" t="s">
        <v>29</v>
      </c>
      <c r="I10" s="7" t="s">
        <v>30</v>
      </c>
      <c r="J10" s="7" t="s">
        <v>64</v>
      </c>
      <c r="K10" s="7" t="s">
        <v>65</v>
      </c>
      <c r="L10" s="7" t="s">
        <v>605</v>
      </c>
      <c r="M10" s="7" t="s">
        <v>31</v>
      </c>
      <c r="N10" s="7" t="s">
        <v>67</v>
      </c>
      <c r="O10" s="7" t="s">
        <v>69</v>
      </c>
      <c r="P10" s="7" t="s">
        <v>604</v>
      </c>
      <c r="Q10" s="7" t="s">
        <v>24</v>
      </c>
      <c r="S10" s="232" t="s">
        <v>67</v>
      </c>
      <c r="T10" s="232" t="s">
        <v>67</v>
      </c>
      <c r="U10" s="232" t="s">
        <v>45</v>
      </c>
    </row>
    <row r="11" spans="1:21" s="195" customFormat="1" ht="13.5" customHeight="1">
      <c r="A11" s="195" t="s">
        <v>841</v>
      </c>
      <c r="B11" s="195" t="s">
        <v>53</v>
      </c>
      <c r="C11" s="195" t="s">
        <v>62</v>
      </c>
      <c r="E11" s="195" t="s">
        <v>63</v>
      </c>
      <c r="F11" s="7" t="s">
        <v>24</v>
      </c>
      <c r="G11" s="7" t="s">
        <v>39</v>
      </c>
      <c r="H11" s="7" t="s">
        <v>34</v>
      </c>
      <c r="I11" s="7" t="s">
        <v>40</v>
      </c>
      <c r="J11" s="7" t="s">
        <v>66</v>
      </c>
      <c r="K11" s="7" t="s">
        <v>67</v>
      </c>
      <c r="L11" s="233" t="s">
        <v>606</v>
      </c>
      <c r="M11" s="7" t="s">
        <v>42</v>
      </c>
      <c r="N11" s="7" t="s">
        <v>42</v>
      </c>
      <c r="O11" s="7" t="s">
        <v>67</v>
      </c>
      <c r="P11" s="7" t="s">
        <v>67</v>
      </c>
      <c r="Q11" s="7" t="s">
        <v>67</v>
      </c>
      <c r="S11" s="185">
        <f>Summary!F5</f>
        <v>43009</v>
      </c>
      <c r="T11" s="185">
        <f>+E3</f>
        <v>43373</v>
      </c>
      <c r="U11" s="185">
        <f>T11</f>
        <v>43373</v>
      </c>
    </row>
    <row r="12" spans="1:21" ht="13.5" customHeight="1">
      <c r="A12" s="3" t="s">
        <v>40</v>
      </c>
      <c r="E12" s="3" t="s">
        <v>220</v>
      </c>
      <c r="F12" s="3">
        <v>2011</v>
      </c>
      <c r="G12" s="3">
        <v>12</v>
      </c>
      <c r="H12" s="3">
        <v>0</v>
      </c>
      <c r="I12" s="3" t="s">
        <v>52</v>
      </c>
      <c r="J12" s="3">
        <v>20</v>
      </c>
      <c r="K12" s="3">
        <f>F12+J12</f>
        <v>2031</v>
      </c>
      <c r="L12" s="173">
        <f>+K12+(G12/12)</f>
        <v>2032</v>
      </c>
      <c r="M12" s="170">
        <f>1664.5</f>
        <v>1664.5</v>
      </c>
      <c r="N12" s="170">
        <f>M12-M12*H12</f>
        <v>1664.5</v>
      </c>
      <c r="O12" s="170">
        <f>N12/J12/12</f>
        <v>6.9354166666666659</v>
      </c>
      <c r="P12" s="170">
        <f>+O12*12</f>
        <v>83.224999999999994</v>
      </c>
      <c r="Q12" s="170">
        <f>+IF(L12&lt;=$N$5,0,IF(K12&gt;$N$4,P12,(O12*G12)))</f>
        <v>83.224999999999994</v>
      </c>
      <c r="R12" s="170"/>
      <c r="S12" s="170">
        <f>+IF(Q12=0,M12,IF($N$3-F12&lt;1,0,(($N$3-F12)*P12)))</f>
        <v>499.34999999999997</v>
      </c>
      <c r="T12" s="170">
        <f>+IF(Q12=0,S12,S12+Q12)</f>
        <v>582.57499999999993</v>
      </c>
      <c r="U12" s="170">
        <f>+IF(Q12=0,0,((M12-S12)+(M12-T12))/2)</f>
        <v>1123.5375000000001</v>
      </c>
    </row>
    <row r="13" spans="1:21" ht="13.5" customHeight="1">
      <c r="A13" s="3" t="s">
        <v>40</v>
      </c>
      <c r="B13" s="3">
        <v>98430</v>
      </c>
      <c r="E13" s="3" t="s">
        <v>246</v>
      </c>
      <c r="F13" s="3">
        <v>2012</v>
      </c>
      <c r="G13" s="3">
        <v>1</v>
      </c>
      <c r="H13" s="3">
        <v>0</v>
      </c>
      <c r="I13" s="3" t="s">
        <v>52</v>
      </c>
      <c r="J13" s="3">
        <v>30</v>
      </c>
      <c r="K13" s="3">
        <f>F13+J13</f>
        <v>2042</v>
      </c>
      <c r="L13" s="173">
        <f>+K13+(G13/12)</f>
        <v>2042.0833333333333</v>
      </c>
      <c r="M13" s="170">
        <f>753818</f>
        <v>753818</v>
      </c>
      <c r="N13" s="170">
        <f>M13-M13*H13</f>
        <v>753818</v>
      </c>
      <c r="O13" s="170">
        <f>N13/J13/12</f>
        <v>2093.9388888888889</v>
      </c>
      <c r="P13" s="170">
        <f>+O13*12</f>
        <v>25127.266666666666</v>
      </c>
      <c r="Q13" s="170">
        <f>+IF(L13&lt;=$N$5,0,IF(K13&gt;$N$4,P13,(O13*G13)))</f>
        <v>25127.266666666666</v>
      </c>
      <c r="R13" s="170"/>
      <c r="S13" s="170">
        <f>+IF(Q13=0,M13,IF($N$3-F13&lt;1,0,(($N$3-F13)*P13)))</f>
        <v>125636.33333333333</v>
      </c>
      <c r="T13" s="170">
        <f>+IF(Q13=0,S13,S13+Q13)</f>
        <v>150763.6</v>
      </c>
      <c r="U13" s="170">
        <f>+IF(Q13=0,0,((M13-S13)+(M13-T13))/2)</f>
        <v>615618.03333333333</v>
      </c>
    </row>
    <row r="14" spans="1:21" ht="13.5" customHeight="1">
      <c r="A14" s="3" t="s">
        <v>40</v>
      </c>
      <c r="B14" s="3">
        <v>109566</v>
      </c>
      <c r="E14" s="3" t="s">
        <v>298</v>
      </c>
      <c r="F14" s="3">
        <v>2013</v>
      </c>
      <c r="G14" s="3">
        <v>12</v>
      </c>
      <c r="H14" s="3">
        <v>0</v>
      </c>
      <c r="I14" s="3" t="s">
        <v>52</v>
      </c>
      <c r="J14" s="3">
        <v>40</v>
      </c>
      <c r="K14" s="3">
        <f>F14+J14</f>
        <v>2053</v>
      </c>
      <c r="L14" s="173">
        <f>+K14+(G14/12)</f>
        <v>2054</v>
      </c>
      <c r="M14" s="170">
        <f>5573344.73+1650.8+3969.58+42201.92+306599.73+1301.63+11814.1+29651.93+2520+742.58-1288.93+631.14</f>
        <v>5973139.209999999</v>
      </c>
      <c r="N14" s="170">
        <f>M14-M14*H14</f>
        <v>5973139.209999999</v>
      </c>
      <c r="O14" s="170">
        <f>N14/J14/12</f>
        <v>12444.04002083333</v>
      </c>
      <c r="P14" s="170">
        <f>+O14*12</f>
        <v>149328.48024999996</v>
      </c>
      <c r="Q14" s="170">
        <f>+IF(L14&lt;=$N$5,0,IF(K14&gt;$N$4,P14,(O14*G14)))</f>
        <v>149328.48024999996</v>
      </c>
      <c r="R14" s="170"/>
      <c r="S14" s="170">
        <f>+IF(Q14=0,M14,IF($N$3-F14&lt;1,0,(($N$3-F14)*P14)))</f>
        <v>597313.92099999986</v>
      </c>
      <c r="T14" s="170">
        <f>+IF(Q14=0,S14,S14+Q14)</f>
        <v>746642.40124999988</v>
      </c>
      <c r="U14" s="170">
        <f>+IF(Q14=0,0,((M14-S14)+(M14-T14))/2)</f>
        <v>5301161.0488749985</v>
      </c>
    </row>
    <row r="15" spans="1:21" ht="13.5" customHeight="1">
      <c r="A15" s="3" t="s">
        <v>40</v>
      </c>
      <c r="B15" s="3">
        <v>170429</v>
      </c>
      <c r="E15" s="3" t="s">
        <v>414</v>
      </c>
      <c r="F15" s="3">
        <v>2016</v>
      </c>
      <c r="G15" s="3">
        <v>11</v>
      </c>
      <c r="H15" s="3">
        <v>0</v>
      </c>
      <c r="I15" s="3" t="s">
        <v>52</v>
      </c>
      <c r="J15" s="3">
        <v>10</v>
      </c>
      <c r="K15" s="3">
        <f>F15+J15</f>
        <v>2026</v>
      </c>
      <c r="L15" s="173">
        <f>+K15+(G15/12)</f>
        <v>2026.9166666666667</v>
      </c>
      <c r="M15" s="170">
        <v>17748.240000000002</v>
      </c>
      <c r="N15" s="170">
        <f>M15-M15*H15</f>
        <v>17748.240000000002</v>
      </c>
      <c r="O15" s="170">
        <f>N15/J15/12</f>
        <v>147.90200000000002</v>
      </c>
      <c r="P15" s="170">
        <f>+O15*12</f>
        <v>1774.8240000000001</v>
      </c>
      <c r="Q15" s="170">
        <f>+IF(L15&lt;=$N$5,0,IF(K15&gt;$N$4,P15,(O15*G15)))</f>
        <v>1774.8240000000001</v>
      </c>
      <c r="R15" s="170"/>
      <c r="S15" s="170">
        <f>+IF(Q15=0,M15,IF($N$3-F15&lt;1,0,(($N$3-F15)*P15)))</f>
        <v>1774.8240000000001</v>
      </c>
      <c r="T15" s="170">
        <f>+IF(Q15=0,S15,S15+Q15)</f>
        <v>3549.6480000000001</v>
      </c>
      <c r="U15" s="170">
        <f>+IF(Q15=0,0,((M15-S15)+(M15-T15))/2)</f>
        <v>15086.004000000001</v>
      </c>
    </row>
    <row r="16" spans="1:21" s="197" customFormat="1" ht="13.5" customHeight="1">
      <c r="E16" s="197" t="s">
        <v>1041</v>
      </c>
      <c r="F16" s="197">
        <v>2018</v>
      </c>
      <c r="G16" s="197">
        <v>9</v>
      </c>
      <c r="H16" s="197">
        <v>0</v>
      </c>
      <c r="I16" s="197" t="s">
        <v>1042</v>
      </c>
      <c r="J16" s="197">
        <v>20</v>
      </c>
      <c r="K16" s="197">
        <f>F16+J16</f>
        <v>2038</v>
      </c>
      <c r="L16" s="173">
        <f>+K16+(G16/12)</f>
        <v>2038.75</v>
      </c>
      <c r="M16" s="211">
        <f>[4]Summary!$D$1+[4]Summary!$D$5</f>
        <v>1782708.07</v>
      </c>
      <c r="N16" s="211">
        <f>M16-M16*H16</f>
        <v>1782708.07</v>
      </c>
      <c r="O16" s="211">
        <f>N16/J16/12</f>
        <v>7427.950291666667</v>
      </c>
      <c r="P16" s="211">
        <f>+O16*12</f>
        <v>89135.4035</v>
      </c>
      <c r="Q16" s="211">
        <f>+IF(L16&lt;=$N$5,0,IF(K16&gt;$N$4,P16,(O16*G16)))</f>
        <v>89135.4035</v>
      </c>
      <c r="R16" s="211"/>
      <c r="S16" s="211">
        <f>+IF(Q16=0,M16,IF($N$3-F16&lt;1,0,(($N$3-F16)*P16)))</f>
        <v>0</v>
      </c>
      <c r="T16" s="211">
        <f>+IF(Q16=0,S16,S16+Q16)</f>
        <v>89135.4035</v>
      </c>
      <c r="U16" s="211">
        <f>+IF(Q16=0,0,((M16-S16)+(M16-T16))/2)</f>
        <v>1738140.3682500001</v>
      </c>
    </row>
    <row r="17" spans="1:21" ht="13.5" customHeight="1">
      <c r="L17" s="173"/>
      <c r="M17" s="170"/>
      <c r="N17" s="170"/>
      <c r="O17" s="170"/>
      <c r="P17" s="170"/>
      <c r="Q17" s="170"/>
      <c r="R17" s="170"/>
      <c r="S17" s="170"/>
      <c r="T17" s="170"/>
      <c r="U17" s="170"/>
    </row>
    <row r="18" spans="1:21" ht="13.5" customHeight="1">
      <c r="E18" s="169" t="s">
        <v>250</v>
      </c>
      <c r="F18" s="169"/>
      <c r="G18" s="169"/>
      <c r="H18" s="169"/>
      <c r="I18" s="169"/>
      <c r="J18" s="169"/>
      <c r="K18" s="169"/>
      <c r="L18" s="174"/>
      <c r="M18" s="171">
        <f t="shared" ref="M18:U18" si="0">SUM(M12:M17)</f>
        <v>8529078.0199999996</v>
      </c>
      <c r="N18" s="171">
        <f t="shared" si="0"/>
        <v>8529078.0199999996</v>
      </c>
      <c r="O18" s="171">
        <f t="shared" si="0"/>
        <v>22120.766618055553</v>
      </c>
      <c r="P18" s="171">
        <f t="shared" si="0"/>
        <v>265449.19941666664</v>
      </c>
      <c r="Q18" s="171">
        <f t="shared" si="0"/>
        <v>265449.19941666664</v>
      </c>
      <c r="R18" s="171">
        <f t="shared" si="0"/>
        <v>0</v>
      </c>
      <c r="S18" s="171">
        <f t="shared" si="0"/>
        <v>725224.42833333323</v>
      </c>
      <c r="T18" s="171">
        <f t="shared" si="0"/>
        <v>990673.62774999999</v>
      </c>
      <c r="U18" s="171">
        <f t="shared" si="0"/>
        <v>7671128.9919583313</v>
      </c>
    </row>
    <row r="19" spans="1:21" ht="13.5" customHeight="1">
      <c r="L19" s="173"/>
      <c r="M19" s="170"/>
      <c r="N19" s="170"/>
      <c r="O19" s="170"/>
      <c r="P19" s="170"/>
      <c r="Q19" s="170"/>
      <c r="R19" s="170"/>
      <c r="S19" s="170"/>
      <c r="T19" s="170"/>
      <c r="U19" s="170"/>
    </row>
    <row r="20" spans="1:21" ht="13.5" customHeight="1">
      <c r="E20" s="182" t="s">
        <v>269</v>
      </c>
      <c r="L20" s="173"/>
      <c r="M20" s="170"/>
      <c r="N20" s="170"/>
      <c r="O20" s="170"/>
      <c r="P20" s="170"/>
      <c r="Q20" s="170"/>
      <c r="R20" s="170"/>
      <c r="S20" s="170"/>
      <c r="T20" s="170"/>
      <c r="U20" s="170"/>
    </row>
    <row r="21" spans="1:21" ht="13.5" customHeight="1">
      <c r="A21" s="3" t="s">
        <v>40</v>
      </c>
      <c r="C21" s="3" t="s">
        <v>77</v>
      </c>
      <c r="E21" s="3" t="s">
        <v>138</v>
      </c>
      <c r="F21" s="3">
        <v>2000</v>
      </c>
      <c r="G21" s="3">
        <v>7</v>
      </c>
      <c r="H21" s="3">
        <v>0</v>
      </c>
      <c r="I21" s="3" t="s">
        <v>52</v>
      </c>
      <c r="J21" s="3">
        <v>15</v>
      </c>
      <c r="K21" s="3">
        <f t="shared" ref="K21:K30" si="1">F21+J21</f>
        <v>2015</v>
      </c>
      <c r="L21" s="173">
        <f t="shared" ref="L21:L30" si="2">+K21+(G21/12)</f>
        <v>2015.5833333333333</v>
      </c>
      <c r="M21" s="170">
        <v>5273.66</v>
      </c>
      <c r="N21" s="170">
        <f>M21-M21*H21</f>
        <v>5273.66</v>
      </c>
      <c r="O21" s="170">
        <f>N21/J21/12</f>
        <v>29.298111111111112</v>
      </c>
      <c r="P21" s="170">
        <f t="shared" ref="P21:P30" si="3">+O21*12</f>
        <v>351.57733333333334</v>
      </c>
      <c r="Q21" s="170">
        <f>+IF(L21&lt;=$N$5,0,IF(K21&gt;$N$4,P21,(O21*G21)))</f>
        <v>0</v>
      </c>
      <c r="R21" s="170"/>
      <c r="S21" s="170">
        <f>+IF(Q21=0,M21,IF($N$3-F21&lt;1,0,(($N$3-F21)*P21)))</f>
        <v>5273.66</v>
      </c>
      <c r="T21" s="170">
        <f>+IF(Q21=0,S21,S21+Q21)</f>
        <v>5273.66</v>
      </c>
      <c r="U21" s="170">
        <f>+IF(Q21=0,0,((M21-S21)+(M21-T21))/2)</f>
        <v>0</v>
      </c>
    </row>
    <row r="22" spans="1:21" ht="13.5" customHeight="1">
      <c r="A22" s="3" t="s">
        <v>40</v>
      </c>
      <c r="C22" s="3" t="s">
        <v>77</v>
      </c>
      <c r="E22" s="3" t="s">
        <v>139</v>
      </c>
      <c r="F22" s="3">
        <v>2000</v>
      </c>
      <c r="G22" s="3">
        <v>7</v>
      </c>
      <c r="H22" s="3">
        <v>0</v>
      </c>
      <c r="I22" s="3" t="s">
        <v>52</v>
      </c>
      <c r="J22" s="3">
        <v>15</v>
      </c>
      <c r="K22" s="3">
        <f t="shared" si="1"/>
        <v>2015</v>
      </c>
      <c r="L22" s="173">
        <f t="shared" si="2"/>
        <v>2015.5833333333333</v>
      </c>
      <c r="M22" s="170">
        <v>16198.88</v>
      </c>
      <c r="N22" s="170">
        <f t="shared" ref="N22:N30" si="4">M22-M22*H22</f>
        <v>16198.88</v>
      </c>
      <c r="O22" s="170">
        <f t="shared" ref="O22:O30" si="5">N22/J22/12</f>
        <v>89.99377777777778</v>
      </c>
      <c r="P22" s="170">
        <f t="shared" si="3"/>
        <v>1079.9253333333334</v>
      </c>
      <c r="Q22" s="170">
        <f t="shared" ref="Q22:Q30" si="6">+IF(L22&lt;=$N$5,0,IF(K22&gt;$N$4,P22,(O22*G22)))</f>
        <v>0</v>
      </c>
      <c r="R22" s="170"/>
      <c r="S22" s="170">
        <f t="shared" ref="S22:S30" si="7">+IF(Q22=0,M22,IF($N$3-F22&lt;1,0,(($N$3-F22)*P22)))</f>
        <v>16198.88</v>
      </c>
      <c r="T22" s="170">
        <f t="shared" ref="T22:T30" si="8">+IF(Q22=0,S22,S22+Q22)</f>
        <v>16198.88</v>
      </c>
      <c r="U22" s="170">
        <f t="shared" ref="U22:U30" si="9">+IF(Q22=0,0,((M22-S22)+(M22-T22))/2)</f>
        <v>0</v>
      </c>
    </row>
    <row r="23" spans="1:21" ht="13.5" customHeight="1">
      <c r="A23" s="3" t="s">
        <v>40</v>
      </c>
      <c r="E23" s="3" t="s">
        <v>140</v>
      </c>
      <c r="F23" s="3">
        <v>2007</v>
      </c>
      <c r="G23" s="3">
        <v>7</v>
      </c>
      <c r="H23" s="3">
        <v>0</v>
      </c>
      <c r="I23" s="3" t="s">
        <v>52</v>
      </c>
      <c r="J23" s="3">
        <v>20</v>
      </c>
      <c r="K23" s="3">
        <f t="shared" si="1"/>
        <v>2027</v>
      </c>
      <c r="L23" s="173">
        <f t="shared" si="2"/>
        <v>2027.5833333333333</v>
      </c>
      <c r="M23" s="170">
        <f>[5]Reconciliation!$F$8</f>
        <v>734487.29999999993</v>
      </c>
      <c r="N23" s="170">
        <f t="shared" si="4"/>
        <v>734487.29999999993</v>
      </c>
      <c r="O23" s="170">
        <f t="shared" si="5"/>
        <v>3060.36375</v>
      </c>
      <c r="P23" s="170">
        <f t="shared" si="3"/>
        <v>36724.364999999998</v>
      </c>
      <c r="Q23" s="170">
        <f t="shared" si="6"/>
        <v>36724.364999999998</v>
      </c>
      <c r="R23" s="170"/>
      <c r="S23" s="170">
        <f t="shared" si="7"/>
        <v>367243.64999999997</v>
      </c>
      <c r="T23" s="170">
        <f t="shared" si="8"/>
        <v>403968.01499999996</v>
      </c>
      <c r="U23" s="170">
        <f t="shared" si="9"/>
        <v>348881.46749999997</v>
      </c>
    </row>
    <row r="24" spans="1:21" ht="13.5" customHeight="1">
      <c r="A24" s="3" t="s">
        <v>40</v>
      </c>
      <c r="E24" s="3" t="s">
        <v>257</v>
      </c>
      <c r="F24" s="3">
        <v>2007</v>
      </c>
      <c r="G24" s="3">
        <v>7</v>
      </c>
      <c r="H24" s="3">
        <v>0</v>
      </c>
      <c r="I24" s="3" t="s">
        <v>52</v>
      </c>
      <c r="J24" s="3">
        <v>20</v>
      </c>
      <c r="K24" s="3">
        <f t="shared" si="1"/>
        <v>2027</v>
      </c>
      <c r="L24" s="173">
        <f t="shared" si="2"/>
        <v>2027.5833333333333</v>
      </c>
      <c r="M24" s="170">
        <f>[5]Reconciliation!$F$9</f>
        <v>1306485.8600000001</v>
      </c>
      <c r="N24" s="170">
        <f t="shared" si="4"/>
        <v>1306485.8600000001</v>
      </c>
      <c r="O24" s="170">
        <f t="shared" si="5"/>
        <v>5443.6910833333341</v>
      </c>
      <c r="P24" s="170">
        <f t="shared" si="3"/>
        <v>65324.293000000005</v>
      </c>
      <c r="Q24" s="170">
        <f t="shared" si="6"/>
        <v>65324.293000000005</v>
      </c>
      <c r="R24" s="170"/>
      <c r="S24" s="170">
        <f t="shared" si="7"/>
        <v>653242.93000000005</v>
      </c>
      <c r="T24" s="170">
        <f t="shared" si="8"/>
        <v>718567.223</v>
      </c>
      <c r="U24" s="170">
        <f t="shared" si="9"/>
        <v>620580.78350000014</v>
      </c>
    </row>
    <row r="25" spans="1:21" ht="13.5" customHeight="1">
      <c r="A25" s="3" t="s">
        <v>40</v>
      </c>
      <c r="E25" s="3" t="s">
        <v>258</v>
      </c>
      <c r="F25" s="3">
        <v>2008</v>
      </c>
      <c r="G25" s="3">
        <v>1</v>
      </c>
      <c r="H25" s="3">
        <v>0</v>
      </c>
      <c r="I25" s="3" t="s">
        <v>52</v>
      </c>
      <c r="J25" s="3">
        <v>20</v>
      </c>
      <c r="K25" s="3">
        <f t="shared" si="1"/>
        <v>2028</v>
      </c>
      <c r="L25" s="173">
        <f t="shared" si="2"/>
        <v>2028.0833333333333</v>
      </c>
      <c r="M25" s="170">
        <f>[5]Reconciliation!$F$10</f>
        <v>226036.81</v>
      </c>
      <c r="N25" s="170">
        <f t="shared" si="4"/>
        <v>226036.81</v>
      </c>
      <c r="O25" s="170">
        <f t="shared" si="5"/>
        <v>941.82004166666673</v>
      </c>
      <c r="P25" s="170">
        <f t="shared" si="3"/>
        <v>11301.8405</v>
      </c>
      <c r="Q25" s="170">
        <f t="shared" si="6"/>
        <v>11301.8405</v>
      </c>
      <c r="R25" s="170"/>
      <c r="S25" s="170">
        <f t="shared" si="7"/>
        <v>101716.56450000001</v>
      </c>
      <c r="T25" s="170">
        <f t="shared" si="8"/>
        <v>113018.40500000001</v>
      </c>
      <c r="U25" s="170">
        <f t="shared" si="9"/>
        <v>118669.32524999999</v>
      </c>
    </row>
    <row r="26" spans="1:21" ht="13.5" customHeight="1">
      <c r="A26" s="3" t="s">
        <v>40</v>
      </c>
      <c r="C26" s="3" t="s">
        <v>77</v>
      </c>
      <c r="E26" s="3" t="s">
        <v>219</v>
      </c>
      <c r="F26" s="3">
        <v>2011</v>
      </c>
      <c r="G26" s="3">
        <v>12</v>
      </c>
      <c r="H26" s="3">
        <v>0</v>
      </c>
      <c r="I26" s="3" t="s">
        <v>52</v>
      </c>
      <c r="J26" s="3">
        <v>10</v>
      </c>
      <c r="K26" s="3">
        <f t="shared" si="1"/>
        <v>2021</v>
      </c>
      <c r="L26" s="173">
        <f t="shared" si="2"/>
        <v>2022</v>
      </c>
      <c r="M26" s="170">
        <v>458063.9</v>
      </c>
      <c r="N26" s="170">
        <f t="shared" si="4"/>
        <v>458063.9</v>
      </c>
      <c r="O26" s="170">
        <f t="shared" si="5"/>
        <v>3817.1991666666668</v>
      </c>
      <c r="P26" s="170">
        <f t="shared" si="3"/>
        <v>45806.39</v>
      </c>
      <c r="Q26" s="170">
        <f t="shared" si="6"/>
        <v>45806.39</v>
      </c>
      <c r="R26" s="170"/>
      <c r="S26" s="170">
        <f t="shared" si="7"/>
        <v>274838.33999999997</v>
      </c>
      <c r="T26" s="170">
        <f t="shared" si="8"/>
        <v>320644.73</v>
      </c>
      <c r="U26" s="170">
        <f t="shared" si="9"/>
        <v>160322.36500000005</v>
      </c>
    </row>
    <row r="27" spans="1:21" ht="13.5" customHeight="1">
      <c r="A27" s="3" t="s">
        <v>40</v>
      </c>
      <c r="E27" s="3" t="s">
        <v>252</v>
      </c>
      <c r="F27" s="3">
        <v>2012</v>
      </c>
      <c r="G27" s="3">
        <v>3</v>
      </c>
      <c r="H27" s="3">
        <v>0</v>
      </c>
      <c r="I27" s="3" t="s">
        <v>52</v>
      </c>
      <c r="J27" s="3">
        <v>20</v>
      </c>
      <c r="K27" s="3">
        <f t="shared" si="1"/>
        <v>2032</v>
      </c>
      <c r="L27" s="173">
        <f t="shared" si="2"/>
        <v>2032.25</v>
      </c>
      <c r="M27" s="170">
        <v>157686.68</v>
      </c>
      <c r="N27" s="170">
        <f t="shared" si="4"/>
        <v>157686.68</v>
      </c>
      <c r="O27" s="170">
        <f t="shared" si="5"/>
        <v>657.02783333333332</v>
      </c>
      <c r="P27" s="170">
        <f t="shared" si="3"/>
        <v>7884.3339999999998</v>
      </c>
      <c r="Q27" s="170">
        <f t="shared" si="6"/>
        <v>7884.3339999999998</v>
      </c>
      <c r="R27" s="170"/>
      <c r="S27" s="170">
        <f t="shared" si="7"/>
        <v>39421.67</v>
      </c>
      <c r="T27" s="170">
        <f t="shared" si="8"/>
        <v>47306.004000000001</v>
      </c>
      <c r="U27" s="170">
        <f t="shared" si="9"/>
        <v>114322.84299999999</v>
      </c>
    </row>
    <row r="28" spans="1:21" ht="13.5" customHeight="1">
      <c r="A28" s="3" t="s">
        <v>40</v>
      </c>
      <c r="B28" s="3">
        <v>102874</v>
      </c>
      <c r="E28" s="3" t="s">
        <v>271</v>
      </c>
      <c r="F28" s="3">
        <v>2013</v>
      </c>
      <c r="G28" s="3">
        <v>3</v>
      </c>
      <c r="H28" s="3">
        <v>0</v>
      </c>
      <c r="I28" s="3" t="s">
        <v>52</v>
      </c>
      <c r="J28" s="3">
        <v>5</v>
      </c>
      <c r="K28" s="3">
        <f t="shared" si="1"/>
        <v>2018</v>
      </c>
      <c r="L28" s="173">
        <f t="shared" si="2"/>
        <v>2018.25</v>
      </c>
      <c r="M28" s="170">
        <v>34953.300000000003</v>
      </c>
      <c r="N28" s="170">
        <f t="shared" si="4"/>
        <v>34953.300000000003</v>
      </c>
      <c r="O28" s="170">
        <f t="shared" si="5"/>
        <v>582.55500000000006</v>
      </c>
      <c r="P28" s="170">
        <f t="shared" si="3"/>
        <v>6990.6600000000008</v>
      </c>
      <c r="Q28" s="170">
        <f t="shared" si="6"/>
        <v>0</v>
      </c>
      <c r="R28" s="170"/>
      <c r="S28" s="170">
        <f t="shared" si="7"/>
        <v>34953.300000000003</v>
      </c>
      <c r="T28" s="170">
        <f t="shared" si="8"/>
        <v>34953.300000000003</v>
      </c>
      <c r="U28" s="170">
        <f t="shared" si="9"/>
        <v>0</v>
      </c>
    </row>
    <row r="29" spans="1:21" ht="13.5" customHeight="1">
      <c r="A29" s="3" t="s">
        <v>40</v>
      </c>
      <c r="B29" s="3">
        <v>107185</v>
      </c>
      <c r="C29" s="3" t="s">
        <v>77</v>
      </c>
      <c r="E29" s="3" t="s">
        <v>305</v>
      </c>
      <c r="F29" s="3">
        <v>2013</v>
      </c>
      <c r="G29" s="3">
        <v>10</v>
      </c>
      <c r="H29" s="3">
        <v>0</v>
      </c>
      <c r="I29" s="3" t="s">
        <v>52</v>
      </c>
      <c r="J29" s="3">
        <v>5</v>
      </c>
      <c r="K29" s="3">
        <f t="shared" si="1"/>
        <v>2018</v>
      </c>
      <c r="L29" s="173">
        <f t="shared" si="2"/>
        <v>2018.8333333333333</v>
      </c>
      <c r="M29" s="170">
        <f>(42435.72/84)*59</f>
        <v>29806.041428571429</v>
      </c>
      <c r="N29" s="170">
        <f t="shared" si="4"/>
        <v>29806.041428571429</v>
      </c>
      <c r="O29" s="170">
        <f t="shared" si="5"/>
        <v>496.76735714285718</v>
      </c>
      <c r="P29" s="170">
        <f t="shared" si="3"/>
        <v>5961.2082857142859</v>
      </c>
      <c r="Q29" s="170">
        <f t="shared" si="6"/>
        <v>0</v>
      </c>
      <c r="R29" s="170"/>
      <c r="S29" s="170">
        <f t="shared" si="7"/>
        <v>29806.041428571429</v>
      </c>
      <c r="T29" s="170">
        <f t="shared" si="8"/>
        <v>29806.041428571429</v>
      </c>
      <c r="U29" s="170">
        <f t="shared" si="9"/>
        <v>0</v>
      </c>
    </row>
    <row r="30" spans="1:21" ht="13.5" customHeight="1">
      <c r="A30" s="3" t="s">
        <v>40</v>
      </c>
      <c r="B30" s="3">
        <v>107166</v>
      </c>
      <c r="C30" s="3" t="s">
        <v>303</v>
      </c>
      <c r="E30" s="3" t="s">
        <v>306</v>
      </c>
      <c r="F30" s="3">
        <v>2013</v>
      </c>
      <c r="G30" s="3">
        <v>10</v>
      </c>
      <c r="H30" s="3">
        <v>0</v>
      </c>
      <c r="I30" s="3" t="s">
        <v>52</v>
      </c>
      <c r="J30" s="3">
        <v>5</v>
      </c>
      <c r="K30" s="3">
        <f t="shared" si="1"/>
        <v>2018</v>
      </c>
      <c r="L30" s="173">
        <f t="shared" si="2"/>
        <v>2018.8333333333333</v>
      </c>
      <c r="M30" s="170">
        <f>(116633.6/84)*9</f>
        <v>12496.457142857143</v>
      </c>
      <c r="N30" s="170">
        <f t="shared" si="4"/>
        <v>12496.457142857143</v>
      </c>
      <c r="O30" s="170">
        <f t="shared" si="5"/>
        <v>208.27428571428572</v>
      </c>
      <c r="P30" s="170">
        <f t="shared" si="3"/>
        <v>2499.2914285714287</v>
      </c>
      <c r="Q30" s="170">
        <f t="shared" si="6"/>
        <v>0</v>
      </c>
      <c r="R30" s="170"/>
      <c r="S30" s="170">
        <f t="shared" si="7"/>
        <v>12496.457142857143</v>
      </c>
      <c r="T30" s="170">
        <f t="shared" si="8"/>
        <v>12496.457142857143</v>
      </c>
      <c r="U30" s="170">
        <f t="shared" si="9"/>
        <v>0</v>
      </c>
    </row>
    <row r="31" spans="1:21" ht="13.5" customHeight="1">
      <c r="A31" s="3" t="s">
        <v>679</v>
      </c>
      <c r="B31" s="3">
        <v>7978</v>
      </c>
      <c r="C31" s="3" t="s">
        <v>77</v>
      </c>
      <c r="E31" s="3" t="s">
        <v>930</v>
      </c>
      <c r="F31" s="3">
        <v>1982</v>
      </c>
      <c r="G31" s="3">
        <v>4</v>
      </c>
      <c r="H31" s="3">
        <v>0</v>
      </c>
      <c r="I31" s="3" t="s">
        <v>52</v>
      </c>
      <c r="J31" s="3">
        <v>20</v>
      </c>
      <c r="K31" s="3">
        <f t="shared" ref="K31:K37" si="10">F31+J31</f>
        <v>2002</v>
      </c>
      <c r="L31" s="173">
        <f t="shared" ref="L31:L37" si="11">+K31+(G31/12)</f>
        <v>2002.3333333333333</v>
      </c>
      <c r="M31" s="170">
        <v>48950.36</v>
      </c>
      <c r="N31" s="170">
        <f t="shared" ref="N31:N36" si="12">M31-M31*H31</f>
        <v>48950.36</v>
      </c>
      <c r="O31" s="170">
        <f t="shared" ref="O31:O36" si="13">N31/J31/12</f>
        <v>203.95983333333334</v>
      </c>
      <c r="P31" s="170">
        <f t="shared" ref="P31:P36" si="14">+O31*12</f>
        <v>2447.518</v>
      </c>
      <c r="Q31" s="170">
        <f t="shared" ref="Q31:Q36" si="15">+IF(L31&lt;=$N$5,0,IF(K31&gt;$N$4,P31,(O31*G31)))</f>
        <v>0</v>
      </c>
      <c r="R31" s="170"/>
      <c r="S31" s="170">
        <f t="shared" ref="S31:S36" si="16">+IF(Q31=0,M31,IF($N$3-F31&lt;1,0,(($N$3-F31)*P31)))</f>
        <v>48950.36</v>
      </c>
      <c r="T31" s="170">
        <f t="shared" ref="T31:T36" si="17">+IF(Q31=0,S31,S31+Q31)</f>
        <v>48950.36</v>
      </c>
      <c r="U31" s="170">
        <f t="shared" ref="U31:U36" si="18">+IF(Q31=0,0,((M31-S31)+(M31-T31))/2)</f>
        <v>0</v>
      </c>
    </row>
    <row r="32" spans="1:21" ht="13.5" customHeight="1">
      <c r="B32" s="3">
        <v>7957</v>
      </c>
      <c r="C32" s="3" t="s">
        <v>77</v>
      </c>
      <c r="E32" s="3" t="s">
        <v>263</v>
      </c>
      <c r="F32" s="3">
        <v>1983</v>
      </c>
      <c r="G32" s="3">
        <v>6</v>
      </c>
      <c r="H32" s="3">
        <v>0</v>
      </c>
      <c r="I32" s="3" t="s">
        <v>52</v>
      </c>
      <c r="J32" s="3">
        <v>20</v>
      </c>
      <c r="K32" s="3">
        <f t="shared" si="10"/>
        <v>2003</v>
      </c>
      <c r="L32" s="173">
        <f t="shared" si="11"/>
        <v>2003.5</v>
      </c>
      <c r="M32" s="170">
        <v>11994.75</v>
      </c>
      <c r="N32" s="170">
        <f t="shared" si="12"/>
        <v>11994.75</v>
      </c>
      <c r="O32" s="170">
        <f t="shared" si="13"/>
        <v>49.978124999999999</v>
      </c>
      <c r="P32" s="170">
        <f t="shared" si="14"/>
        <v>599.73749999999995</v>
      </c>
      <c r="Q32" s="170">
        <f t="shared" si="15"/>
        <v>0</v>
      </c>
      <c r="R32" s="170"/>
      <c r="S32" s="170">
        <f t="shared" si="16"/>
        <v>11994.75</v>
      </c>
      <c r="T32" s="170">
        <f t="shared" si="17"/>
        <v>11994.75</v>
      </c>
      <c r="U32" s="170">
        <f t="shared" si="18"/>
        <v>0</v>
      </c>
    </row>
    <row r="33" spans="1:21" ht="13.5" customHeight="1">
      <c r="B33" s="3">
        <v>7959</v>
      </c>
      <c r="C33" s="3" t="s">
        <v>77</v>
      </c>
      <c r="E33" s="3" t="s">
        <v>931</v>
      </c>
      <c r="F33" s="3">
        <v>1983</v>
      </c>
      <c r="G33" s="3">
        <v>9</v>
      </c>
      <c r="H33" s="3">
        <v>0</v>
      </c>
      <c r="I33" s="3" t="s">
        <v>52</v>
      </c>
      <c r="J33" s="3">
        <v>5</v>
      </c>
      <c r="K33" s="3">
        <f t="shared" si="10"/>
        <v>1988</v>
      </c>
      <c r="L33" s="173">
        <f t="shared" si="11"/>
        <v>1988.75</v>
      </c>
      <c r="M33" s="170">
        <v>7426</v>
      </c>
      <c r="N33" s="170">
        <f t="shared" si="12"/>
        <v>7426</v>
      </c>
      <c r="O33" s="170">
        <f t="shared" si="13"/>
        <v>123.76666666666667</v>
      </c>
      <c r="P33" s="170">
        <f t="shared" si="14"/>
        <v>1485.2</v>
      </c>
      <c r="Q33" s="170">
        <f t="shared" si="15"/>
        <v>0</v>
      </c>
      <c r="R33" s="170"/>
      <c r="S33" s="170">
        <f t="shared" si="16"/>
        <v>7426</v>
      </c>
      <c r="T33" s="170">
        <f t="shared" si="17"/>
        <v>7426</v>
      </c>
      <c r="U33" s="170">
        <f t="shared" si="18"/>
        <v>0</v>
      </c>
    </row>
    <row r="34" spans="1:21" ht="13.5" customHeight="1">
      <c r="B34" s="3" t="s">
        <v>929</v>
      </c>
      <c r="C34" s="3" t="s">
        <v>77</v>
      </c>
      <c r="E34" s="3" t="s">
        <v>932</v>
      </c>
      <c r="F34" s="3">
        <v>1985</v>
      </c>
      <c r="G34" s="3">
        <v>10</v>
      </c>
      <c r="H34" s="3">
        <v>0</v>
      </c>
      <c r="I34" s="3" t="s">
        <v>52</v>
      </c>
      <c r="J34" s="3">
        <v>20</v>
      </c>
      <c r="K34" s="3">
        <f t="shared" si="10"/>
        <v>2005</v>
      </c>
      <c r="L34" s="173">
        <f t="shared" si="11"/>
        <v>2005.8333333333333</v>
      </c>
      <c r="M34" s="170">
        <v>54559.86</v>
      </c>
      <c r="N34" s="170">
        <f t="shared" si="12"/>
        <v>54559.86</v>
      </c>
      <c r="O34" s="170">
        <f t="shared" si="13"/>
        <v>227.33275</v>
      </c>
      <c r="P34" s="170">
        <f t="shared" si="14"/>
        <v>2727.9929999999999</v>
      </c>
      <c r="Q34" s="170">
        <f t="shared" si="15"/>
        <v>0</v>
      </c>
      <c r="R34" s="170"/>
      <c r="S34" s="170">
        <f t="shared" si="16"/>
        <v>54559.86</v>
      </c>
      <c r="T34" s="170">
        <f t="shared" si="17"/>
        <v>54559.86</v>
      </c>
      <c r="U34" s="170">
        <f t="shared" si="18"/>
        <v>0</v>
      </c>
    </row>
    <row r="35" spans="1:21" ht="13.5" customHeight="1">
      <c r="B35" s="3">
        <v>7988</v>
      </c>
      <c r="C35" s="3" t="s">
        <v>77</v>
      </c>
      <c r="E35" s="3" t="s">
        <v>219</v>
      </c>
      <c r="F35" s="3">
        <v>2000</v>
      </c>
      <c r="G35" s="3">
        <v>1</v>
      </c>
      <c r="H35" s="3">
        <v>0</v>
      </c>
      <c r="I35" s="3" t="s">
        <v>52</v>
      </c>
      <c r="J35" s="3">
        <v>20</v>
      </c>
      <c r="K35" s="3">
        <f t="shared" si="10"/>
        <v>2020</v>
      </c>
      <c r="L35" s="173">
        <f t="shared" si="11"/>
        <v>2020.0833333333333</v>
      </c>
      <c r="M35" s="170">
        <v>10468.719999999999</v>
      </c>
      <c r="N35" s="170">
        <f t="shared" si="12"/>
        <v>10468.719999999999</v>
      </c>
      <c r="O35" s="170">
        <f t="shared" si="13"/>
        <v>43.61966666666666</v>
      </c>
      <c r="P35" s="170">
        <f t="shared" si="14"/>
        <v>523.43599999999992</v>
      </c>
      <c r="Q35" s="170">
        <f t="shared" si="15"/>
        <v>523.43599999999992</v>
      </c>
      <c r="R35" s="170"/>
      <c r="S35" s="170">
        <f t="shared" si="16"/>
        <v>8898.4119999999984</v>
      </c>
      <c r="T35" s="170">
        <f t="shared" si="17"/>
        <v>9421.8479999999981</v>
      </c>
      <c r="U35" s="170">
        <f t="shared" si="18"/>
        <v>1308.5900000000011</v>
      </c>
    </row>
    <row r="36" spans="1:21" ht="13.5" customHeight="1">
      <c r="B36" s="3">
        <v>52046</v>
      </c>
      <c r="C36" s="3" t="s">
        <v>77</v>
      </c>
      <c r="E36" s="3" t="s">
        <v>933</v>
      </c>
      <c r="F36" s="3">
        <v>2007</v>
      </c>
      <c r="G36" s="3">
        <v>1</v>
      </c>
      <c r="H36" s="3">
        <v>0</v>
      </c>
      <c r="I36" s="3" t="s">
        <v>52</v>
      </c>
      <c r="J36" s="3">
        <v>20</v>
      </c>
      <c r="K36" s="3">
        <f t="shared" si="10"/>
        <v>2027</v>
      </c>
      <c r="L36" s="173">
        <f t="shared" si="11"/>
        <v>2027.0833333333333</v>
      </c>
      <c r="M36" s="170">
        <v>14783.47</v>
      </c>
      <c r="N36" s="170">
        <f t="shared" si="12"/>
        <v>14783.47</v>
      </c>
      <c r="O36" s="170">
        <f t="shared" si="13"/>
        <v>61.597791666666666</v>
      </c>
      <c r="P36" s="170">
        <f t="shared" si="14"/>
        <v>739.17349999999999</v>
      </c>
      <c r="Q36" s="170">
        <f t="shared" si="15"/>
        <v>739.17349999999999</v>
      </c>
      <c r="R36" s="170"/>
      <c r="S36" s="170">
        <f t="shared" si="16"/>
        <v>7391.7349999999997</v>
      </c>
      <c r="T36" s="170">
        <f t="shared" si="17"/>
        <v>8130.9084999999995</v>
      </c>
      <c r="U36" s="170">
        <f t="shared" si="18"/>
        <v>7022.1482500000002</v>
      </c>
    </row>
    <row r="37" spans="1:21" s="197" customFormat="1" ht="13.5" customHeight="1">
      <c r="C37" s="197" t="s">
        <v>77</v>
      </c>
      <c r="E37" s="197" t="s">
        <v>1040</v>
      </c>
      <c r="F37" s="197">
        <v>2018</v>
      </c>
      <c r="G37" s="197">
        <v>9</v>
      </c>
      <c r="H37" s="197">
        <v>0</v>
      </c>
      <c r="I37" s="197" t="s">
        <v>52</v>
      </c>
      <c r="J37" s="197">
        <v>20</v>
      </c>
      <c r="K37" s="197">
        <f t="shared" si="10"/>
        <v>2038</v>
      </c>
      <c r="L37" s="173">
        <f t="shared" si="11"/>
        <v>2038.75</v>
      </c>
      <c r="M37" s="211">
        <f>[4]Summary!$D$2</f>
        <v>710636.12999999989</v>
      </c>
      <c r="N37" s="211">
        <f t="shared" ref="N37" si="19">M37-M37*H37</f>
        <v>710636.12999999989</v>
      </c>
      <c r="O37" s="211">
        <f t="shared" ref="O37" si="20">N37/J37/12</f>
        <v>2960.9838749999994</v>
      </c>
      <c r="P37" s="211">
        <f t="shared" ref="P37" si="21">+O37*12</f>
        <v>35531.806499999992</v>
      </c>
      <c r="Q37" s="211">
        <f t="shared" ref="Q37" si="22">+IF(L37&lt;=$N$5,0,IF(K37&gt;$N$4,P37,(O37*G37)))</f>
        <v>35531.806499999992</v>
      </c>
      <c r="R37" s="211"/>
      <c r="S37" s="211">
        <f t="shared" ref="S37" si="23">+IF(Q37=0,M37,IF($N$3-F37&lt;1,0,(($N$3-F37)*P37)))</f>
        <v>0</v>
      </c>
      <c r="T37" s="211">
        <f t="shared" ref="T37" si="24">+IF(Q37=0,S37,S37+Q37)</f>
        <v>35531.806499999992</v>
      </c>
      <c r="U37" s="211">
        <f t="shared" ref="U37" si="25">+IF(Q37=0,0,((M37-S37)+(M37-T37))/2)</f>
        <v>692870.22674999991</v>
      </c>
    </row>
    <row r="38" spans="1:21" ht="13.5" customHeight="1">
      <c r="L38" s="173"/>
      <c r="M38" s="170"/>
      <c r="N38" s="170"/>
      <c r="O38" s="170"/>
      <c r="P38" s="170"/>
      <c r="Q38" s="170"/>
      <c r="R38" s="170"/>
      <c r="S38" s="170"/>
      <c r="T38" s="170"/>
      <c r="U38" s="170"/>
    </row>
    <row r="39" spans="1:21" ht="13.5" customHeight="1">
      <c r="E39" s="169" t="s">
        <v>270</v>
      </c>
      <c r="F39" s="169"/>
      <c r="G39" s="169"/>
      <c r="H39" s="169"/>
      <c r="I39" s="169"/>
      <c r="J39" s="169"/>
      <c r="K39" s="169"/>
      <c r="L39" s="174"/>
      <c r="M39" s="171">
        <f>SUM(M21:M38)</f>
        <v>3840308.1785714291</v>
      </c>
      <c r="N39" s="171">
        <f>SUM(N21:N38)</f>
        <v>3840308.1785714291</v>
      </c>
      <c r="O39" s="171">
        <f>SUM(O21:O38)</f>
        <v>18998.229115079364</v>
      </c>
      <c r="P39" s="171">
        <f>SUM(P21:P38)</f>
        <v>227978.74938095239</v>
      </c>
      <c r="Q39" s="171">
        <f>SUM(Q21:Q38)</f>
        <v>203835.6385</v>
      </c>
      <c r="R39" s="171">
        <f>SUM(R12:R38)</f>
        <v>0</v>
      </c>
      <c r="S39" s="171">
        <f>SUM(S21:S38)</f>
        <v>1674412.6100714286</v>
      </c>
      <c r="T39" s="171">
        <f>SUM(T21:T38)</f>
        <v>1878248.2485714285</v>
      </c>
      <c r="U39" s="171">
        <f>SUM(U21:U38)</f>
        <v>2063977.7492500001</v>
      </c>
    </row>
    <row r="40" spans="1:21" ht="13.5" customHeight="1">
      <c r="C40" s="3" t="s">
        <v>57</v>
      </c>
      <c r="L40" s="173"/>
      <c r="M40" s="170"/>
      <c r="N40" s="170"/>
      <c r="O40" s="170"/>
      <c r="P40" s="170"/>
      <c r="Q40" s="170"/>
      <c r="R40" s="170"/>
      <c r="S40" s="170"/>
      <c r="T40" s="170"/>
      <c r="U40" s="170"/>
    </row>
    <row r="41" spans="1:21" ht="13.5" customHeight="1">
      <c r="E41" s="182" t="s">
        <v>142</v>
      </c>
      <c r="L41" s="173"/>
      <c r="M41" s="170"/>
      <c r="N41" s="170"/>
      <c r="O41" s="170"/>
      <c r="P41" s="170"/>
      <c r="Q41" s="170"/>
      <c r="R41" s="170"/>
      <c r="S41" s="170"/>
      <c r="T41" s="170"/>
      <c r="U41" s="170"/>
    </row>
    <row r="42" spans="1:21" ht="13.5" customHeight="1">
      <c r="A42" s="3" t="s">
        <v>40</v>
      </c>
      <c r="B42" s="3">
        <v>17346</v>
      </c>
      <c r="C42" s="3">
        <v>6</v>
      </c>
      <c r="E42" s="3" t="s">
        <v>366</v>
      </c>
      <c r="F42" s="3">
        <v>2002</v>
      </c>
      <c r="G42" s="3">
        <v>11</v>
      </c>
      <c r="H42" s="3">
        <v>0</v>
      </c>
      <c r="I42" s="3" t="s">
        <v>52</v>
      </c>
      <c r="J42" s="3">
        <v>7</v>
      </c>
      <c r="K42" s="3">
        <f t="shared" ref="K42:K51" si="26">F42+J42</f>
        <v>2009</v>
      </c>
      <c r="L42" s="173">
        <f t="shared" ref="L42:L51" si="27">+K42+(G42/12)</f>
        <v>2009.9166666666667</v>
      </c>
      <c r="M42" s="170">
        <f>+'2111 Other - Orig'!O40</f>
        <v>23999.792000000001</v>
      </c>
      <c r="N42" s="170">
        <f t="shared" ref="N42:N51" si="28">M42-M42*H42</f>
        <v>23999.792000000001</v>
      </c>
      <c r="O42" s="170">
        <f t="shared" ref="O42:O51" si="29">N42/J42/12</f>
        <v>285.71180952380956</v>
      </c>
      <c r="P42" s="170">
        <f t="shared" ref="P42:P51" si="30">+O42*12</f>
        <v>3428.541714285715</v>
      </c>
      <c r="Q42" s="170">
        <f t="shared" ref="Q42:Q51" si="31">+IF(L42&lt;=$N$5,0,IF(K42&gt;$N$4,P42,(O42*G42)))</f>
        <v>0</v>
      </c>
      <c r="R42" s="170"/>
      <c r="S42" s="170">
        <f t="shared" ref="S42:S51" si="32">+IF(Q42=0,M42,IF($N$3-F42&lt;1,0,(($N$3-F42)*P42)))</f>
        <v>23999.792000000001</v>
      </c>
      <c r="T42" s="170">
        <f t="shared" ref="T42:T51" si="33">+IF(Q42=0,S42,S42+Q42)</f>
        <v>23999.792000000001</v>
      </c>
      <c r="U42" s="170">
        <f t="shared" ref="U42:U51" si="34">+IF(Q42=0,0,((M42-S42)+(M42-T42))/2)</f>
        <v>0</v>
      </c>
    </row>
    <row r="43" spans="1:21" ht="13.5" customHeight="1">
      <c r="A43" s="200"/>
      <c r="B43" s="200"/>
      <c r="C43" s="200">
        <v>6</v>
      </c>
      <c r="D43" s="200"/>
      <c r="E43" s="200" t="s">
        <v>669</v>
      </c>
      <c r="F43" s="200">
        <v>2017</v>
      </c>
      <c r="G43" s="200">
        <v>10</v>
      </c>
      <c r="H43" s="200">
        <v>0</v>
      </c>
      <c r="I43" s="200" t="s">
        <v>52</v>
      </c>
      <c r="J43" s="200">
        <f>+IF(K42-$N$3&gt;=3,K42-$N$3,3)</f>
        <v>3</v>
      </c>
      <c r="K43" s="200">
        <f t="shared" si="26"/>
        <v>2020</v>
      </c>
      <c r="L43" s="207">
        <f t="shared" si="27"/>
        <v>2020.8333333333333</v>
      </c>
      <c r="M43" s="201">
        <f>+'2111 Other - Orig'!M40-'2111 Other'!M42</f>
        <v>5999.9480000000003</v>
      </c>
      <c r="N43" s="201">
        <f t="shared" si="28"/>
        <v>5999.9480000000003</v>
      </c>
      <c r="O43" s="201">
        <f t="shared" si="29"/>
        <v>166.66522222222224</v>
      </c>
      <c r="P43" s="201">
        <f t="shared" si="30"/>
        <v>1999.9826666666668</v>
      </c>
      <c r="Q43" s="201">
        <f t="shared" si="31"/>
        <v>1999.9826666666668</v>
      </c>
      <c r="R43" s="201"/>
      <c r="S43" s="201">
        <f t="shared" si="32"/>
        <v>0</v>
      </c>
      <c r="T43" s="201">
        <f t="shared" si="33"/>
        <v>1999.9826666666668</v>
      </c>
      <c r="U43" s="201">
        <f t="shared" si="34"/>
        <v>4999.9566666666669</v>
      </c>
    </row>
    <row r="44" spans="1:21" s="197" customFormat="1" ht="13.5" customHeight="1">
      <c r="A44" s="197" t="s">
        <v>40</v>
      </c>
      <c r="B44" s="197">
        <v>75142</v>
      </c>
      <c r="C44" s="197">
        <v>3</v>
      </c>
      <c r="E44" s="197" t="s">
        <v>189</v>
      </c>
      <c r="F44" s="197">
        <v>2010</v>
      </c>
      <c r="G44" s="197">
        <v>6</v>
      </c>
      <c r="H44" s="197">
        <v>0</v>
      </c>
      <c r="I44" s="197" t="s">
        <v>52</v>
      </c>
      <c r="J44" s="197">
        <v>5</v>
      </c>
      <c r="K44" s="197">
        <f t="shared" si="26"/>
        <v>2015</v>
      </c>
      <c r="L44" s="173">
        <f t="shared" si="27"/>
        <v>2015.5</v>
      </c>
      <c r="M44" s="196">
        <f>+'2111 Other - Orig'!O41</f>
        <v>16838.239000000001</v>
      </c>
      <c r="N44" s="196">
        <f t="shared" si="28"/>
        <v>16838.239000000001</v>
      </c>
      <c r="O44" s="196">
        <f t="shared" si="29"/>
        <v>280.63731666666666</v>
      </c>
      <c r="P44" s="196">
        <f t="shared" si="30"/>
        <v>3367.6477999999997</v>
      </c>
      <c r="Q44" s="196">
        <f t="shared" si="31"/>
        <v>0</v>
      </c>
      <c r="R44" s="196"/>
      <c r="S44" s="196">
        <f t="shared" si="32"/>
        <v>16838.239000000001</v>
      </c>
      <c r="T44" s="196">
        <f t="shared" si="33"/>
        <v>16838.239000000001</v>
      </c>
      <c r="U44" s="196">
        <f t="shared" si="34"/>
        <v>0</v>
      </c>
    </row>
    <row r="45" spans="1:21" s="197" customFormat="1" ht="13.5" customHeight="1">
      <c r="A45" s="200"/>
      <c r="B45" s="200"/>
      <c r="C45" s="200">
        <v>6</v>
      </c>
      <c r="D45" s="200"/>
      <c r="E45" s="200" t="s">
        <v>669</v>
      </c>
      <c r="F45" s="200">
        <v>2017</v>
      </c>
      <c r="G45" s="200">
        <v>10</v>
      </c>
      <c r="H45" s="200">
        <v>0</v>
      </c>
      <c r="I45" s="200" t="s">
        <v>52</v>
      </c>
      <c r="J45" s="200">
        <f>+IF(K44-$N$3&gt;=3,K44-$N$3,3)</f>
        <v>3</v>
      </c>
      <c r="K45" s="200">
        <f t="shared" si="26"/>
        <v>2020</v>
      </c>
      <c r="L45" s="207">
        <f t="shared" si="27"/>
        <v>2020.8333333333333</v>
      </c>
      <c r="M45" s="201">
        <f>+'2111 Other - Orig'!M41-'2111 Other'!M44</f>
        <v>8293.4609999999993</v>
      </c>
      <c r="N45" s="201">
        <f t="shared" si="28"/>
        <v>8293.4609999999993</v>
      </c>
      <c r="O45" s="201">
        <f t="shared" si="29"/>
        <v>230.37391666666664</v>
      </c>
      <c r="P45" s="201">
        <f t="shared" si="30"/>
        <v>2764.4869999999996</v>
      </c>
      <c r="Q45" s="201">
        <f t="shared" si="31"/>
        <v>2764.4869999999996</v>
      </c>
      <c r="R45" s="201"/>
      <c r="S45" s="201">
        <f t="shared" si="32"/>
        <v>0</v>
      </c>
      <c r="T45" s="201">
        <f t="shared" si="33"/>
        <v>2764.4869999999996</v>
      </c>
      <c r="U45" s="201">
        <f t="shared" si="34"/>
        <v>6911.2174999999997</v>
      </c>
    </row>
    <row r="46" spans="1:21" s="197" customFormat="1" ht="13.5" customHeight="1">
      <c r="A46" s="197" t="s">
        <v>415</v>
      </c>
      <c r="B46" s="197">
        <v>173295</v>
      </c>
      <c r="C46" s="197">
        <v>12</v>
      </c>
      <c r="E46" s="197" t="s">
        <v>482</v>
      </c>
      <c r="F46" s="197">
        <v>2011</v>
      </c>
      <c r="G46" s="197">
        <v>12</v>
      </c>
      <c r="H46" s="197">
        <v>0</v>
      </c>
      <c r="I46" s="197" t="s">
        <v>52</v>
      </c>
      <c r="J46" s="197">
        <v>5</v>
      </c>
      <c r="K46" s="197">
        <f t="shared" si="26"/>
        <v>2016</v>
      </c>
      <c r="L46" s="173">
        <f t="shared" si="27"/>
        <v>2017</v>
      </c>
      <c r="M46" s="196">
        <v>13318</v>
      </c>
      <c r="N46" s="196">
        <f t="shared" si="28"/>
        <v>13318</v>
      </c>
      <c r="O46" s="196">
        <f t="shared" si="29"/>
        <v>221.96666666666667</v>
      </c>
      <c r="P46" s="196">
        <f t="shared" si="30"/>
        <v>2663.6</v>
      </c>
      <c r="Q46" s="196">
        <f t="shared" si="31"/>
        <v>0</v>
      </c>
      <c r="R46" s="196"/>
      <c r="S46" s="196">
        <f t="shared" si="32"/>
        <v>13318</v>
      </c>
      <c r="T46" s="196">
        <f t="shared" si="33"/>
        <v>13318</v>
      </c>
      <c r="U46" s="196">
        <f t="shared" si="34"/>
        <v>0</v>
      </c>
    </row>
    <row r="47" spans="1:21" s="197" customFormat="1" ht="13.5" customHeight="1">
      <c r="A47" s="200"/>
      <c r="B47" s="200"/>
      <c r="C47" s="200">
        <v>12</v>
      </c>
      <c r="D47" s="200"/>
      <c r="E47" s="200" t="s">
        <v>671</v>
      </c>
      <c r="F47" s="200">
        <v>2017</v>
      </c>
      <c r="G47" s="200">
        <v>10</v>
      </c>
      <c r="H47" s="200">
        <v>0</v>
      </c>
      <c r="I47" s="200" t="s">
        <v>52</v>
      </c>
      <c r="J47" s="200">
        <f>+IF(K46-$N$3&gt;=3,K46-$N$3,3)</f>
        <v>3</v>
      </c>
      <c r="K47" s="200">
        <f t="shared" si="26"/>
        <v>2020</v>
      </c>
      <c r="L47" s="207">
        <f t="shared" si="27"/>
        <v>2020.8333333333333</v>
      </c>
      <c r="M47" s="201">
        <f>19878.1-M46</f>
        <v>6560.0999999999985</v>
      </c>
      <c r="N47" s="201">
        <f t="shared" si="28"/>
        <v>6560.0999999999985</v>
      </c>
      <c r="O47" s="201">
        <f t="shared" si="29"/>
        <v>182.22499999999994</v>
      </c>
      <c r="P47" s="201">
        <f t="shared" si="30"/>
        <v>2186.6999999999994</v>
      </c>
      <c r="Q47" s="201">
        <f t="shared" si="31"/>
        <v>2186.6999999999994</v>
      </c>
      <c r="R47" s="201"/>
      <c r="S47" s="201">
        <f t="shared" si="32"/>
        <v>0</v>
      </c>
      <c r="T47" s="201">
        <f t="shared" si="33"/>
        <v>2186.6999999999994</v>
      </c>
      <c r="U47" s="201">
        <f t="shared" si="34"/>
        <v>5466.7499999999991</v>
      </c>
    </row>
    <row r="48" spans="1:21" s="197" customFormat="1" ht="13.5" customHeight="1">
      <c r="A48" s="197" t="s">
        <v>40</v>
      </c>
      <c r="B48" s="197">
        <v>118197</v>
      </c>
      <c r="C48" s="197">
        <v>13</v>
      </c>
      <c r="E48" s="197" t="s">
        <v>338</v>
      </c>
      <c r="F48" s="197">
        <v>2013</v>
      </c>
      <c r="G48" s="197">
        <v>8</v>
      </c>
      <c r="H48" s="197">
        <v>0</v>
      </c>
      <c r="I48" s="197" t="s">
        <v>52</v>
      </c>
      <c r="J48" s="197">
        <v>7</v>
      </c>
      <c r="K48" s="197">
        <f t="shared" si="26"/>
        <v>2020</v>
      </c>
      <c r="L48" s="173">
        <f t="shared" si="27"/>
        <v>2020.6666666666667</v>
      </c>
      <c r="M48" s="196">
        <f>+'2111 Other - Orig'!O42</f>
        <v>22845</v>
      </c>
      <c r="N48" s="196">
        <f t="shared" si="28"/>
        <v>22845</v>
      </c>
      <c r="O48" s="196">
        <f t="shared" si="29"/>
        <v>271.96428571428572</v>
      </c>
      <c r="P48" s="196">
        <f t="shared" si="30"/>
        <v>3263.5714285714284</v>
      </c>
      <c r="Q48" s="196">
        <f t="shared" si="31"/>
        <v>3263.5714285714284</v>
      </c>
      <c r="R48" s="196"/>
      <c r="S48" s="196">
        <f t="shared" si="32"/>
        <v>13054.285714285714</v>
      </c>
      <c r="T48" s="196">
        <f t="shared" si="33"/>
        <v>16317.857142857141</v>
      </c>
      <c r="U48" s="196">
        <f t="shared" si="34"/>
        <v>8158.9285714285725</v>
      </c>
    </row>
    <row r="49" spans="1:21" s="197" customFormat="1" ht="13.5" customHeight="1">
      <c r="A49" s="200"/>
      <c r="B49" s="200"/>
      <c r="C49" s="200">
        <v>13</v>
      </c>
      <c r="D49" s="200"/>
      <c r="E49" s="200" t="s">
        <v>670</v>
      </c>
      <c r="F49" s="200">
        <v>2017</v>
      </c>
      <c r="G49" s="200">
        <v>10</v>
      </c>
      <c r="H49" s="200">
        <v>0</v>
      </c>
      <c r="I49" s="200" t="s">
        <v>52</v>
      </c>
      <c r="J49" s="200">
        <f>+IF(K48-$N$3&gt;=3,K48-$N$3,3)</f>
        <v>3</v>
      </c>
      <c r="K49" s="200">
        <f t="shared" si="26"/>
        <v>2020</v>
      </c>
      <c r="L49" s="207">
        <f t="shared" si="27"/>
        <v>2020.8333333333333</v>
      </c>
      <c r="M49" s="201">
        <f>+'2111 Other - Orig'!M42-'2111 Other'!M48</f>
        <v>5711.25</v>
      </c>
      <c r="N49" s="201">
        <f t="shared" si="28"/>
        <v>5711.25</v>
      </c>
      <c r="O49" s="201">
        <f t="shared" si="29"/>
        <v>158.64583333333334</v>
      </c>
      <c r="P49" s="201">
        <f t="shared" si="30"/>
        <v>1903.75</v>
      </c>
      <c r="Q49" s="201">
        <f t="shared" si="31"/>
        <v>1903.75</v>
      </c>
      <c r="R49" s="201"/>
      <c r="S49" s="201">
        <f t="shared" si="32"/>
        <v>0</v>
      </c>
      <c r="T49" s="201">
        <f t="shared" si="33"/>
        <v>1903.75</v>
      </c>
      <c r="U49" s="201">
        <f t="shared" si="34"/>
        <v>4759.375</v>
      </c>
    </row>
    <row r="50" spans="1:21" s="197" customFormat="1" ht="13.5" customHeight="1">
      <c r="A50" s="197" t="s">
        <v>415</v>
      </c>
      <c r="B50" s="197">
        <v>173312</v>
      </c>
      <c r="C50" s="197">
        <v>2</v>
      </c>
      <c r="E50" s="197" t="s">
        <v>483</v>
      </c>
      <c r="F50" s="197">
        <v>2015</v>
      </c>
      <c r="G50" s="197">
        <v>10</v>
      </c>
      <c r="H50" s="197">
        <v>0</v>
      </c>
      <c r="I50" s="197" t="s">
        <v>52</v>
      </c>
      <c r="J50" s="197">
        <v>5</v>
      </c>
      <c r="K50" s="197">
        <f t="shared" si="26"/>
        <v>2020</v>
      </c>
      <c r="L50" s="173">
        <f t="shared" si="27"/>
        <v>2020.8333333333333</v>
      </c>
      <c r="M50" s="196">
        <f>+'2131 Other - Orig'!P15</f>
        <v>19714.080000000002</v>
      </c>
      <c r="N50" s="196">
        <f t="shared" si="28"/>
        <v>19714.080000000002</v>
      </c>
      <c r="O50" s="196">
        <f t="shared" si="29"/>
        <v>328.56800000000004</v>
      </c>
      <c r="P50" s="196">
        <f t="shared" si="30"/>
        <v>3942.8160000000007</v>
      </c>
      <c r="Q50" s="196">
        <f t="shared" si="31"/>
        <v>3942.8160000000007</v>
      </c>
      <c r="R50" s="196"/>
      <c r="S50" s="196">
        <f t="shared" si="32"/>
        <v>7885.6320000000014</v>
      </c>
      <c r="T50" s="196">
        <f t="shared" si="33"/>
        <v>11828.448000000002</v>
      </c>
      <c r="U50" s="196">
        <f t="shared" si="34"/>
        <v>9857.0400000000009</v>
      </c>
    </row>
    <row r="51" spans="1:21" s="197" customFormat="1" ht="13.5" customHeight="1">
      <c r="A51" s="200"/>
      <c r="B51" s="200"/>
      <c r="C51" s="200">
        <v>2</v>
      </c>
      <c r="D51" s="200"/>
      <c r="E51" s="200" t="s">
        <v>672</v>
      </c>
      <c r="F51" s="200">
        <v>2017</v>
      </c>
      <c r="G51" s="200">
        <v>10</v>
      </c>
      <c r="H51" s="200">
        <v>0</v>
      </c>
      <c r="I51" s="200" t="s">
        <v>52</v>
      </c>
      <c r="J51" s="200">
        <f>+IF(K50-$N$3&gt;=3,K50-$N$3,3)</f>
        <v>3</v>
      </c>
      <c r="K51" s="200">
        <f t="shared" si="26"/>
        <v>2020</v>
      </c>
      <c r="L51" s="207">
        <f t="shared" si="27"/>
        <v>2020.8333333333333</v>
      </c>
      <c r="M51" s="201">
        <f>+'2131 Other - Orig'!N15-'2111 Other'!M50</f>
        <v>9709.9199999999983</v>
      </c>
      <c r="N51" s="201">
        <f t="shared" si="28"/>
        <v>9709.9199999999983</v>
      </c>
      <c r="O51" s="201">
        <f t="shared" si="29"/>
        <v>269.71999999999997</v>
      </c>
      <c r="P51" s="201">
        <f t="shared" si="30"/>
        <v>3236.6399999999994</v>
      </c>
      <c r="Q51" s="201">
        <f t="shared" si="31"/>
        <v>3236.6399999999994</v>
      </c>
      <c r="R51" s="201"/>
      <c r="S51" s="201">
        <f t="shared" si="32"/>
        <v>0</v>
      </c>
      <c r="T51" s="201">
        <f t="shared" si="33"/>
        <v>3236.6399999999994</v>
      </c>
      <c r="U51" s="201">
        <f t="shared" si="34"/>
        <v>8091.5999999999985</v>
      </c>
    </row>
    <row r="52" spans="1:21" s="203" customFormat="1" ht="13.5" customHeight="1">
      <c r="B52" s="203">
        <v>204027</v>
      </c>
      <c r="C52" s="203" t="s">
        <v>960</v>
      </c>
      <c r="E52" s="203" t="s">
        <v>961</v>
      </c>
      <c r="F52" s="203">
        <v>2015</v>
      </c>
      <c r="G52" s="203">
        <v>6</v>
      </c>
      <c r="H52" s="203">
        <v>0</v>
      </c>
      <c r="I52" s="203" t="s">
        <v>52</v>
      </c>
      <c r="J52" s="203">
        <f>+IF(K51-$N$3&gt;=3,K51-$N$3,3)</f>
        <v>3</v>
      </c>
      <c r="K52" s="203">
        <f>F52+J52</f>
        <v>2018</v>
      </c>
      <c r="L52" s="208">
        <f>+K52+(G52/12)</f>
        <v>2018.5</v>
      </c>
      <c r="M52" s="205">
        <v>29540.76</v>
      </c>
      <c r="N52" s="205">
        <f>M52-M52*H52</f>
        <v>29540.76</v>
      </c>
      <c r="O52" s="205">
        <f>N52/J52/12</f>
        <v>820.57666666666671</v>
      </c>
      <c r="P52" s="205">
        <f>+O52*12</f>
        <v>9846.92</v>
      </c>
      <c r="Q52" s="205">
        <f>+IF(L52&lt;=$N$5,0,IF(K52&gt;$N$4,P52,(O52*G52)))</f>
        <v>0</v>
      </c>
      <c r="R52" s="205"/>
      <c r="S52" s="205">
        <f>+IF(Q52=0,M52,IF($N$3-F52&lt;1,0,(($N$3-F52)*P52)))</f>
        <v>29540.76</v>
      </c>
      <c r="T52" s="205">
        <f>+IF(Q52=0,S52,S52+Q52)</f>
        <v>29540.76</v>
      </c>
      <c r="U52" s="205">
        <f>+IF(Q52=0,0,((M52-S52)+(M52-T52))/2)</f>
        <v>0</v>
      </c>
    </row>
    <row r="53" spans="1:21" ht="13.5" customHeight="1">
      <c r="E53" s="3" t="s">
        <v>57</v>
      </c>
      <c r="L53" s="173"/>
      <c r="M53" s="170"/>
      <c r="N53" s="170"/>
      <c r="O53" s="170"/>
      <c r="P53" s="170"/>
      <c r="Q53" s="170"/>
      <c r="R53" s="170"/>
      <c r="S53" s="170"/>
      <c r="T53" s="170"/>
      <c r="U53" s="170"/>
    </row>
    <row r="54" spans="1:21" ht="13.5" customHeight="1">
      <c r="E54" s="169" t="s">
        <v>141</v>
      </c>
      <c r="F54" s="169"/>
      <c r="G54" s="169"/>
      <c r="H54" s="169"/>
      <c r="I54" s="169"/>
      <c r="J54" s="169"/>
      <c r="K54" s="169"/>
      <c r="L54" s="174"/>
      <c r="M54" s="171">
        <f t="shared" ref="M54:U54" si="35">SUM(M42:M53)</f>
        <v>162530.55000000002</v>
      </c>
      <c r="N54" s="171">
        <f t="shared" si="35"/>
        <v>162530.55000000002</v>
      </c>
      <c r="O54" s="171">
        <f t="shared" si="35"/>
        <v>3217.0547174603175</v>
      </c>
      <c r="P54" s="171">
        <f t="shared" si="35"/>
        <v>38604.656609523809</v>
      </c>
      <c r="Q54" s="171">
        <f t="shared" si="35"/>
        <v>19297.947095238094</v>
      </c>
      <c r="R54" s="171">
        <f t="shared" si="35"/>
        <v>0</v>
      </c>
      <c r="S54" s="171">
        <f t="shared" si="35"/>
        <v>104636.70871428571</v>
      </c>
      <c r="T54" s="171">
        <f t="shared" si="35"/>
        <v>123934.6558095238</v>
      </c>
      <c r="U54" s="171">
        <f t="shared" si="35"/>
        <v>48244.867738095236</v>
      </c>
    </row>
    <row r="55" spans="1:21" ht="13.5" customHeight="1">
      <c r="L55" s="173"/>
      <c r="M55" s="170"/>
      <c r="N55" s="170"/>
      <c r="O55" s="170"/>
      <c r="P55" s="170"/>
      <c r="Q55" s="170"/>
      <c r="R55" s="170"/>
      <c r="S55" s="170"/>
      <c r="T55" s="170"/>
      <c r="U55" s="170"/>
    </row>
    <row r="56" spans="1:21" ht="13.5" customHeight="1">
      <c r="E56" s="182" t="s">
        <v>135</v>
      </c>
      <c r="L56" s="173"/>
      <c r="M56" s="170"/>
      <c r="N56" s="170"/>
      <c r="O56" s="170"/>
      <c r="P56" s="170"/>
      <c r="Q56" s="170"/>
      <c r="R56" s="170"/>
      <c r="S56" s="170"/>
      <c r="T56" s="170"/>
      <c r="U56" s="170"/>
    </row>
    <row r="57" spans="1:21" s="197" customFormat="1" ht="13.5" customHeight="1">
      <c r="A57" s="197" t="s">
        <v>40</v>
      </c>
      <c r="B57" s="197" t="s">
        <v>293</v>
      </c>
      <c r="C57" s="197">
        <v>14</v>
      </c>
      <c r="E57" s="197" t="s">
        <v>294</v>
      </c>
      <c r="F57" s="197">
        <v>2001</v>
      </c>
      <c r="G57" s="197">
        <v>9</v>
      </c>
      <c r="H57" s="197">
        <v>0</v>
      </c>
      <c r="I57" s="197" t="s">
        <v>52</v>
      </c>
      <c r="J57" s="197">
        <v>5</v>
      </c>
      <c r="K57" s="197">
        <f t="shared" ref="K57:K91" si="36">F57+J57</f>
        <v>2006</v>
      </c>
      <c r="L57" s="173">
        <f t="shared" ref="L57:L91" si="37">+K57+(G57/12)</f>
        <v>2006.75</v>
      </c>
      <c r="M57" s="196">
        <f>+'2111 Other - Orig'!O51</f>
        <v>10868.3045</v>
      </c>
      <c r="N57" s="196">
        <f t="shared" ref="N57:N91" si="38">M57-M57*H57</f>
        <v>10868.3045</v>
      </c>
      <c r="O57" s="196">
        <f t="shared" ref="O57:O91" si="39">N57/J57/12</f>
        <v>181.13840833333333</v>
      </c>
      <c r="P57" s="196">
        <f t="shared" ref="P57:P91" si="40">+O57*12</f>
        <v>2173.6608999999999</v>
      </c>
      <c r="Q57" s="196">
        <f t="shared" ref="Q57:Q91" si="41">+IF(L57&lt;=$N$5,0,IF(K57&gt;$N$4,P57,(O57*G57)))</f>
        <v>0</v>
      </c>
      <c r="R57" s="196"/>
      <c r="S57" s="196">
        <f t="shared" ref="S57:S91" si="42">+IF(Q57=0,M57,IF($N$3-F57&lt;1,0,(($N$3-F57)*P57)))</f>
        <v>10868.3045</v>
      </c>
      <c r="T57" s="196">
        <f t="shared" ref="T57:T91" si="43">+IF(Q57=0,S57,S57+Q57)</f>
        <v>10868.3045</v>
      </c>
      <c r="U57" s="196">
        <f t="shared" ref="U57:U91" si="44">+IF(Q57=0,0,((M57-S57)+(M57-T57))/2)</f>
        <v>0</v>
      </c>
    </row>
    <row r="58" spans="1:21" s="197" customFormat="1" ht="13.5" customHeight="1">
      <c r="A58" s="200"/>
      <c r="B58" s="200"/>
      <c r="C58" s="200">
        <v>14</v>
      </c>
      <c r="D58" s="200"/>
      <c r="E58" s="200" t="s">
        <v>673</v>
      </c>
      <c r="F58" s="200">
        <v>2017</v>
      </c>
      <c r="G58" s="200">
        <v>10</v>
      </c>
      <c r="H58" s="200">
        <v>0</v>
      </c>
      <c r="I58" s="200" t="s">
        <v>52</v>
      </c>
      <c r="J58" s="200">
        <f>+IF(K57-$N$3&gt;=3,K57-$N$3,3)</f>
        <v>3</v>
      </c>
      <c r="K58" s="200">
        <f>F58+J58</f>
        <v>2020</v>
      </c>
      <c r="L58" s="207">
        <f>+K58+(G58/12)</f>
        <v>2020.8333333333333</v>
      </c>
      <c r="M58" s="201">
        <f>+'2111 Other - Orig'!M51-'2111 Other'!M57</f>
        <v>5353.0455000000002</v>
      </c>
      <c r="N58" s="201">
        <f t="shared" si="38"/>
        <v>5353.0455000000002</v>
      </c>
      <c r="O58" s="201">
        <f>N58/J58/12</f>
        <v>148.69570833333333</v>
      </c>
      <c r="P58" s="201">
        <f>+O58*12</f>
        <v>1784.3485000000001</v>
      </c>
      <c r="Q58" s="201">
        <f>+IF(L58&lt;=$N$5,0,IF(K58&gt;$N$4,P58,(O58*G58)))</f>
        <v>1784.3485000000001</v>
      </c>
      <c r="R58" s="201"/>
      <c r="S58" s="201">
        <f>+IF(Q58=0,M58,IF($N$3-F58&lt;1,0,(($N$3-F58)*P58)))</f>
        <v>0</v>
      </c>
      <c r="T58" s="201">
        <f>+IF(Q58=0,S58,S58+Q58)</f>
        <v>1784.3485000000001</v>
      </c>
      <c r="U58" s="201">
        <f>+IF(Q58=0,0,((M58-S58)+(M58-T58))/2)</f>
        <v>4460.8712500000001</v>
      </c>
    </row>
    <row r="59" spans="1:21" ht="13.5" customHeight="1">
      <c r="A59" s="3" t="s">
        <v>40</v>
      </c>
      <c r="E59" s="4" t="s">
        <v>143</v>
      </c>
      <c r="F59" s="3">
        <v>2002</v>
      </c>
      <c r="G59" s="3">
        <v>11</v>
      </c>
      <c r="H59" s="3">
        <v>0</v>
      </c>
      <c r="I59" s="3" t="s">
        <v>52</v>
      </c>
      <c r="J59" s="3">
        <v>7</v>
      </c>
      <c r="K59" s="3">
        <f t="shared" si="36"/>
        <v>2009</v>
      </c>
      <c r="L59" s="173">
        <f t="shared" si="37"/>
        <v>2009.9166666666667</v>
      </c>
      <c r="M59" s="170">
        <v>77235</v>
      </c>
      <c r="N59" s="170">
        <f t="shared" si="38"/>
        <v>77235</v>
      </c>
      <c r="O59" s="170">
        <f t="shared" si="39"/>
        <v>919.46428571428578</v>
      </c>
      <c r="P59" s="170">
        <f t="shared" si="40"/>
        <v>11033.571428571429</v>
      </c>
      <c r="Q59" s="170">
        <f t="shared" si="41"/>
        <v>0</v>
      </c>
      <c r="R59" s="170"/>
      <c r="S59" s="170">
        <f t="shared" si="42"/>
        <v>77235</v>
      </c>
      <c r="T59" s="170">
        <f t="shared" si="43"/>
        <v>77235</v>
      </c>
      <c r="U59" s="170">
        <f t="shared" si="44"/>
        <v>0</v>
      </c>
    </row>
    <row r="60" spans="1:21" ht="13.5" customHeight="1">
      <c r="A60" s="3" t="s">
        <v>40</v>
      </c>
      <c r="E60" s="4" t="s">
        <v>144</v>
      </c>
      <c r="F60" s="3">
        <v>2002</v>
      </c>
      <c r="G60" s="3">
        <v>11</v>
      </c>
      <c r="H60" s="3">
        <v>0</v>
      </c>
      <c r="I60" s="3" t="s">
        <v>52</v>
      </c>
      <c r="J60" s="3">
        <v>5</v>
      </c>
      <c r="K60" s="3">
        <f t="shared" si="36"/>
        <v>2007</v>
      </c>
      <c r="L60" s="173">
        <f t="shared" si="37"/>
        <v>2007.9166666666667</v>
      </c>
      <c r="M60" s="170">
        <v>6348.86</v>
      </c>
      <c r="N60" s="170">
        <f t="shared" si="38"/>
        <v>6348.86</v>
      </c>
      <c r="O60" s="170">
        <f t="shared" si="39"/>
        <v>105.81433333333332</v>
      </c>
      <c r="P60" s="170">
        <f t="shared" si="40"/>
        <v>1269.7719999999999</v>
      </c>
      <c r="Q60" s="170">
        <f t="shared" si="41"/>
        <v>0</v>
      </c>
      <c r="R60" s="170"/>
      <c r="S60" s="170">
        <f t="shared" si="42"/>
        <v>6348.86</v>
      </c>
      <c r="T60" s="170">
        <f t="shared" si="43"/>
        <v>6348.86</v>
      </c>
      <c r="U60" s="170">
        <f t="shared" si="44"/>
        <v>0</v>
      </c>
    </row>
    <row r="61" spans="1:21" s="197" customFormat="1" ht="13.5" customHeight="1">
      <c r="A61" s="197" t="s">
        <v>40</v>
      </c>
      <c r="B61" s="197">
        <v>48345</v>
      </c>
      <c r="C61" s="197">
        <v>5</v>
      </c>
      <c r="E61" s="197" t="s">
        <v>155</v>
      </c>
      <c r="F61" s="197">
        <v>2006</v>
      </c>
      <c r="G61" s="197">
        <v>3</v>
      </c>
      <c r="H61" s="197">
        <v>0</v>
      </c>
      <c r="I61" s="197" t="s">
        <v>52</v>
      </c>
      <c r="J61" s="197">
        <v>7</v>
      </c>
      <c r="K61" s="197">
        <f t="shared" si="36"/>
        <v>2013</v>
      </c>
      <c r="L61" s="173">
        <f t="shared" si="37"/>
        <v>2013.25</v>
      </c>
      <c r="M61" s="196">
        <f>+'2111 Other - Orig'!O54</f>
        <v>15820.751999999999</v>
      </c>
      <c r="N61" s="196">
        <f t="shared" si="38"/>
        <v>15820.751999999999</v>
      </c>
      <c r="O61" s="196">
        <f t="shared" si="39"/>
        <v>188.34228571428571</v>
      </c>
      <c r="P61" s="196">
        <f t="shared" si="40"/>
        <v>2260.1074285714285</v>
      </c>
      <c r="Q61" s="196">
        <f t="shared" si="41"/>
        <v>0</v>
      </c>
      <c r="R61" s="196"/>
      <c r="S61" s="196">
        <f t="shared" si="42"/>
        <v>15820.751999999999</v>
      </c>
      <c r="T61" s="196">
        <f t="shared" si="43"/>
        <v>15820.751999999999</v>
      </c>
      <c r="U61" s="196">
        <f t="shared" si="44"/>
        <v>0</v>
      </c>
    </row>
    <row r="62" spans="1:21" s="197" customFormat="1" ht="13.5" customHeight="1">
      <c r="A62" s="200"/>
      <c r="B62" s="200"/>
      <c r="C62" s="200">
        <v>5</v>
      </c>
      <c r="D62" s="200"/>
      <c r="E62" s="200" t="s">
        <v>674</v>
      </c>
      <c r="F62" s="200">
        <v>2017</v>
      </c>
      <c r="G62" s="200">
        <v>10</v>
      </c>
      <c r="H62" s="200">
        <v>0</v>
      </c>
      <c r="I62" s="200" t="s">
        <v>52</v>
      </c>
      <c r="J62" s="200">
        <f>+IF(K61-$N$3&gt;=3,K61-$N$3,3)</f>
        <v>3</v>
      </c>
      <c r="K62" s="200">
        <f>F62+J62</f>
        <v>2020</v>
      </c>
      <c r="L62" s="207">
        <f>+K62+(G62/12)</f>
        <v>2020.8333333333333</v>
      </c>
      <c r="M62" s="201">
        <f>+'2111 Other - Orig'!M54-'2111 Other'!M61</f>
        <v>3955.1880000000001</v>
      </c>
      <c r="N62" s="201">
        <f>M62-M62*H62</f>
        <v>3955.1880000000001</v>
      </c>
      <c r="O62" s="201">
        <f>N62/J62/12</f>
        <v>109.86633333333333</v>
      </c>
      <c r="P62" s="201">
        <f>+O62*12</f>
        <v>1318.396</v>
      </c>
      <c r="Q62" s="201">
        <f>+IF(L62&lt;=$N$5,0,IF(K62&gt;$N$4,P62,(O62*G62)))</f>
        <v>1318.396</v>
      </c>
      <c r="R62" s="201"/>
      <c r="S62" s="201">
        <f>+IF(Q62=0,M62,IF($N$3-F62&lt;1,0,(($N$3-F62)*P62)))</f>
        <v>0</v>
      </c>
      <c r="T62" s="201">
        <f>+IF(Q62=0,S62,S62+Q62)</f>
        <v>1318.396</v>
      </c>
      <c r="U62" s="201">
        <f>+IF(Q62=0,0,((M62-S62)+(M62-T62))/2)</f>
        <v>3295.9900000000002</v>
      </c>
    </row>
    <row r="63" spans="1:21" s="197" customFormat="1" ht="13.5" customHeight="1">
      <c r="A63" s="197" t="s">
        <v>40</v>
      </c>
      <c r="B63" s="197">
        <v>58549</v>
      </c>
      <c r="C63" s="197">
        <v>126</v>
      </c>
      <c r="E63" s="197" t="s">
        <v>175</v>
      </c>
      <c r="F63" s="197">
        <v>2008</v>
      </c>
      <c r="G63" s="197">
        <v>7</v>
      </c>
      <c r="H63" s="197">
        <v>0</v>
      </c>
      <c r="I63" s="197" t="s">
        <v>52</v>
      </c>
      <c r="J63" s="197">
        <v>7</v>
      </c>
      <c r="K63" s="197">
        <f t="shared" si="36"/>
        <v>2015</v>
      </c>
      <c r="L63" s="173">
        <f t="shared" si="37"/>
        <v>2015.5833333333333</v>
      </c>
      <c r="M63" s="196">
        <f>+'2111 Other - Orig'!O55</f>
        <v>39626.327999999994</v>
      </c>
      <c r="N63" s="196">
        <f t="shared" si="38"/>
        <v>39626.327999999994</v>
      </c>
      <c r="O63" s="196">
        <f t="shared" si="39"/>
        <v>471.74199999999996</v>
      </c>
      <c r="P63" s="196">
        <f t="shared" si="40"/>
        <v>5660.9039999999995</v>
      </c>
      <c r="Q63" s="196">
        <f t="shared" si="41"/>
        <v>0</v>
      </c>
      <c r="R63" s="196"/>
      <c r="S63" s="196">
        <f t="shared" si="42"/>
        <v>39626.327999999994</v>
      </c>
      <c r="T63" s="196">
        <f t="shared" si="43"/>
        <v>39626.327999999994</v>
      </c>
      <c r="U63" s="196">
        <f t="shared" si="44"/>
        <v>0</v>
      </c>
    </row>
    <row r="64" spans="1:21" s="197" customFormat="1" ht="13.5" customHeight="1">
      <c r="A64" s="200"/>
      <c r="B64" s="200"/>
      <c r="C64" s="200">
        <v>126</v>
      </c>
      <c r="D64" s="200"/>
      <c r="E64" s="200" t="s">
        <v>675</v>
      </c>
      <c r="F64" s="200">
        <v>2017</v>
      </c>
      <c r="G64" s="200">
        <v>10</v>
      </c>
      <c r="H64" s="200">
        <v>0</v>
      </c>
      <c r="I64" s="200" t="s">
        <v>52</v>
      </c>
      <c r="J64" s="200">
        <f>+IF(K63-$N$3&gt;=3,K63-$N$3,3)</f>
        <v>3</v>
      </c>
      <c r="K64" s="200">
        <f>F64+J64</f>
        <v>2020</v>
      </c>
      <c r="L64" s="207">
        <f>+K64+(G64/12)</f>
        <v>2020.8333333333333</v>
      </c>
      <c r="M64" s="201">
        <f>+'2111 Other - Orig'!M55-'2111 Other'!M63</f>
        <v>9906.5820000000022</v>
      </c>
      <c r="N64" s="201">
        <f t="shared" si="38"/>
        <v>9906.5820000000022</v>
      </c>
      <c r="O64" s="201">
        <f>N64/J64/12</f>
        <v>275.18283333333341</v>
      </c>
      <c r="P64" s="201">
        <f>+O64*12</f>
        <v>3302.1940000000009</v>
      </c>
      <c r="Q64" s="201">
        <f>+IF(L64&lt;=$N$5,0,IF(K64&gt;$N$4,P64,(O64*G64)))</f>
        <v>3302.1940000000009</v>
      </c>
      <c r="R64" s="201"/>
      <c r="S64" s="201">
        <f>+IF(Q64=0,M64,IF($N$3-F64&lt;1,0,(($N$3-F64)*P64)))</f>
        <v>0</v>
      </c>
      <c r="T64" s="201">
        <f>+IF(Q64=0,S64,S64+Q64)</f>
        <v>3302.1940000000009</v>
      </c>
      <c r="U64" s="201">
        <f>+IF(Q64=0,0,((M64-S64)+(M64-T64))/2)</f>
        <v>8255.4850000000006</v>
      </c>
    </row>
    <row r="65" spans="1:21" ht="13.5" customHeight="1">
      <c r="A65" s="3" t="s">
        <v>40</v>
      </c>
      <c r="C65" s="3">
        <v>1</v>
      </c>
      <c r="E65" s="4" t="s">
        <v>185</v>
      </c>
      <c r="F65" s="3">
        <v>2009</v>
      </c>
      <c r="G65" s="3">
        <v>6</v>
      </c>
      <c r="H65" s="3">
        <v>0</v>
      </c>
      <c r="I65" s="3" t="s">
        <v>52</v>
      </c>
      <c r="J65" s="3">
        <v>7</v>
      </c>
      <c r="K65" s="3">
        <f t="shared" si="36"/>
        <v>2016</v>
      </c>
      <c r="L65" s="173">
        <f t="shared" si="37"/>
        <v>2016.5</v>
      </c>
      <c r="M65" s="170">
        <f>13737.83</f>
        <v>13737.83</v>
      </c>
      <c r="N65" s="170">
        <f t="shared" si="38"/>
        <v>13737.83</v>
      </c>
      <c r="O65" s="170">
        <f t="shared" si="39"/>
        <v>163.54559523809525</v>
      </c>
      <c r="P65" s="170">
        <f t="shared" si="40"/>
        <v>1962.5471428571429</v>
      </c>
      <c r="Q65" s="170">
        <f t="shared" si="41"/>
        <v>0</v>
      </c>
      <c r="R65" s="170"/>
      <c r="S65" s="170">
        <f t="shared" si="42"/>
        <v>13737.83</v>
      </c>
      <c r="T65" s="170">
        <f t="shared" si="43"/>
        <v>13737.83</v>
      </c>
      <c r="U65" s="170">
        <f t="shared" si="44"/>
        <v>0</v>
      </c>
    </row>
    <row r="66" spans="1:21" ht="13.5" customHeight="1">
      <c r="A66" s="3" t="s">
        <v>40</v>
      </c>
      <c r="E66" s="3" t="s">
        <v>197</v>
      </c>
      <c r="F66" s="3">
        <v>2010</v>
      </c>
      <c r="G66" s="3">
        <v>11</v>
      </c>
      <c r="H66" s="3">
        <v>0</v>
      </c>
      <c r="I66" s="3" t="s">
        <v>52</v>
      </c>
      <c r="J66" s="3">
        <v>5</v>
      </c>
      <c r="K66" s="3">
        <f t="shared" si="36"/>
        <v>2015</v>
      </c>
      <c r="L66" s="173">
        <f t="shared" si="37"/>
        <v>2015.9166666666667</v>
      </c>
      <c r="M66" s="170">
        <f>7651</f>
        <v>7651</v>
      </c>
      <c r="N66" s="170">
        <f t="shared" si="38"/>
        <v>7651</v>
      </c>
      <c r="O66" s="170">
        <f t="shared" si="39"/>
        <v>127.51666666666667</v>
      </c>
      <c r="P66" s="170">
        <f t="shared" si="40"/>
        <v>1530.2</v>
      </c>
      <c r="Q66" s="170">
        <f t="shared" si="41"/>
        <v>0</v>
      </c>
      <c r="R66" s="170"/>
      <c r="S66" s="170">
        <f t="shared" si="42"/>
        <v>7651</v>
      </c>
      <c r="T66" s="170">
        <f t="shared" si="43"/>
        <v>7651</v>
      </c>
      <c r="U66" s="170">
        <f t="shared" si="44"/>
        <v>0</v>
      </c>
    </row>
    <row r="67" spans="1:21" ht="13.5" customHeight="1">
      <c r="A67" s="3" t="s">
        <v>40</v>
      </c>
      <c r="E67" s="3" t="s">
        <v>198</v>
      </c>
      <c r="F67" s="3">
        <v>2010</v>
      </c>
      <c r="G67" s="3">
        <v>4</v>
      </c>
      <c r="H67" s="3">
        <v>0</v>
      </c>
      <c r="I67" s="3" t="s">
        <v>52</v>
      </c>
      <c r="J67" s="3">
        <v>5</v>
      </c>
      <c r="K67" s="3">
        <f t="shared" si="36"/>
        <v>2015</v>
      </c>
      <c r="L67" s="173">
        <f t="shared" si="37"/>
        <v>2015.3333333333333</v>
      </c>
      <c r="M67" s="170">
        <f>5464.99</f>
        <v>5464.99</v>
      </c>
      <c r="N67" s="170">
        <f t="shared" si="38"/>
        <v>5464.99</v>
      </c>
      <c r="O67" s="170">
        <f t="shared" si="39"/>
        <v>91.083166666666671</v>
      </c>
      <c r="P67" s="170">
        <f t="shared" si="40"/>
        <v>1092.998</v>
      </c>
      <c r="Q67" s="170">
        <f t="shared" si="41"/>
        <v>0</v>
      </c>
      <c r="R67" s="170"/>
      <c r="S67" s="170">
        <f t="shared" si="42"/>
        <v>5464.99</v>
      </c>
      <c r="T67" s="170">
        <f t="shared" si="43"/>
        <v>5464.99</v>
      </c>
      <c r="U67" s="170">
        <f t="shared" si="44"/>
        <v>0</v>
      </c>
    </row>
    <row r="68" spans="1:21" s="197" customFormat="1" ht="13.5" customHeight="1">
      <c r="A68" s="197" t="s">
        <v>415</v>
      </c>
      <c r="B68" s="197">
        <v>173294</v>
      </c>
      <c r="C68" s="197">
        <v>48</v>
      </c>
      <c r="E68" s="197" t="s">
        <v>486</v>
      </c>
      <c r="F68" s="197">
        <v>2010</v>
      </c>
      <c r="G68" s="197">
        <v>7</v>
      </c>
      <c r="H68" s="197">
        <v>0</v>
      </c>
      <c r="I68" s="197" t="s">
        <v>52</v>
      </c>
      <c r="J68" s="197">
        <v>7</v>
      </c>
      <c r="K68" s="197">
        <f t="shared" si="36"/>
        <v>2017</v>
      </c>
      <c r="L68" s="173">
        <f t="shared" si="37"/>
        <v>2017.5833333333333</v>
      </c>
      <c r="M68" s="196">
        <f>+'2131 Other - Orig'!P21</f>
        <v>27055.200000000001</v>
      </c>
      <c r="N68" s="196">
        <f t="shared" si="38"/>
        <v>27055.200000000001</v>
      </c>
      <c r="O68" s="196">
        <f t="shared" si="39"/>
        <v>322.08571428571429</v>
      </c>
      <c r="P68" s="196">
        <f t="shared" si="40"/>
        <v>3865.0285714285715</v>
      </c>
      <c r="Q68" s="196">
        <f t="shared" si="41"/>
        <v>0</v>
      </c>
      <c r="R68" s="196"/>
      <c r="S68" s="196">
        <f t="shared" si="42"/>
        <v>27055.200000000001</v>
      </c>
      <c r="T68" s="196">
        <f t="shared" si="43"/>
        <v>27055.200000000001</v>
      </c>
      <c r="U68" s="196">
        <f t="shared" si="44"/>
        <v>0</v>
      </c>
    </row>
    <row r="69" spans="1:21" s="197" customFormat="1" ht="13.5" customHeight="1">
      <c r="A69" s="200"/>
      <c r="B69" s="200"/>
      <c r="C69" s="200">
        <v>48</v>
      </c>
      <c r="D69" s="200"/>
      <c r="E69" s="200" t="s">
        <v>676</v>
      </c>
      <c r="F69" s="200">
        <v>2017</v>
      </c>
      <c r="G69" s="200">
        <v>10</v>
      </c>
      <c r="H69" s="200">
        <v>0</v>
      </c>
      <c r="I69" s="200" t="s">
        <v>52</v>
      </c>
      <c r="J69" s="200">
        <f>+IF(K68-$N$3&gt;=3,K68-$N$3,3)</f>
        <v>3</v>
      </c>
      <c r="K69" s="200">
        <f>F69+J69</f>
        <v>2020</v>
      </c>
      <c r="L69" s="207">
        <f>+K69+(G69/12)</f>
        <v>2020.8333333333333</v>
      </c>
      <c r="M69" s="201">
        <f>+'2131 Other - Orig'!N21-'2111 Other'!M68</f>
        <v>6763.7999999999993</v>
      </c>
      <c r="N69" s="201">
        <f t="shared" si="38"/>
        <v>6763.7999999999993</v>
      </c>
      <c r="O69" s="201">
        <f>N69/J69/12</f>
        <v>187.88333333333333</v>
      </c>
      <c r="P69" s="201">
        <f>+O69*12</f>
        <v>2254.6</v>
      </c>
      <c r="Q69" s="201">
        <f>+IF(L69&lt;=$N$5,0,IF(K69&gt;$N$4,P69,(O69*G69)))</f>
        <v>2254.6</v>
      </c>
      <c r="R69" s="201"/>
      <c r="S69" s="201">
        <f>+IF(Q69=0,M69,IF($N$3-F69&lt;1,0,(($N$3-F69)*P69)))</f>
        <v>0</v>
      </c>
      <c r="T69" s="201">
        <f>+IF(Q69=0,S69,S69+Q69)</f>
        <v>2254.6</v>
      </c>
      <c r="U69" s="201">
        <f>+IF(Q69=0,0,((M69-S69)+(M69-T69))/2)</f>
        <v>5636.4999999999991</v>
      </c>
    </row>
    <row r="70" spans="1:21" ht="13.5" customHeight="1">
      <c r="A70" s="3" t="s">
        <v>40</v>
      </c>
      <c r="B70" s="3">
        <v>89091</v>
      </c>
      <c r="C70" s="3">
        <v>1</v>
      </c>
      <c r="E70" s="3" t="s">
        <v>227</v>
      </c>
      <c r="F70" s="3">
        <v>2011</v>
      </c>
      <c r="G70" s="3">
        <v>12</v>
      </c>
      <c r="H70" s="3">
        <v>0</v>
      </c>
      <c r="I70" s="3" t="s">
        <v>52</v>
      </c>
      <c r="J70" s="3">
        <v>5</v>
      </c>
      <c r="K70" s="3">
        <f t="shared" si="36"/>
        <v>2016</v>
      </c>
      <c r="L70" s="173">
        <f t="shared" si="37"/>
        <v>2017</v>
      </c>
      <c r="M70" s="170">
        <f>858</f>
        <v>858</v>
      </c>
      <c r="N70" s="170">
        <f t="shared" si="38"/>
        <v>858</v>
      </c>
      <c r="O70" s="170">
        <f t="shared" si="39"/>
        <v>14.299999999999999</v>
      </c>
      <c r="P70" s="170">
        <f t="shared" si="40"/>
        <v>171.6</v>
      </c>
      <c r="Q70" s="170">
        <f t="shared" si="41"/>
        <v>0</v>
      </c>
      <c r="R70" s="170"/>
      <c r="S70" s="170">
        <f t="shared" si="42"/>
        <v>858</v>
      </c>
      <c r="T70" s="170">
        <f t="shared" si="43"/>
        <v>858</v>
      </c>
      <c r="U70" s="170">
        <f t="shared" si="44"/>
        <v>0</v>
      </c>
    </row>
    <row r="71" spans="1:21" ht="13.5" customHeight="1">
      <c r="A71" s="3" t="s">
        <v>40</v>
      </c>
      <c r="B71" s="3" t="s">
        <v>295</v>
      </c>
      <c r="E71" s="3" t="s">
        <v>296</v>
      </c>
      <c r="F71" s="3">
        <v>2011</v>
      </c>
      <c r="G71" s="3">
        <v>3</v>
      </c>
      <c r="H71" s="3">
        <v>0</v>
      </c>
      <c r="I71" s="3" t="s">
        <v>52</v>
      </c>
      <c r="J71" s="3">
        <v>5</v>
      </c>
      <c r="K71" s="3">
        <f t="shared" si="36"/>
        <v>2016</v>
      </c>
      <c r="L71" s="173">
        <f t="shared" si="37"/>
        <v>2016.25</v>
      </c>
      <c r="M71" s="170">
        <v>9838.58</v>
      </c>
      <c r="N71" s="170">
        <f t="shared" si="38"/>
        <v>9838.58</v>
      </c>
      <c r="O71" s="170">
        <f t="shared" si="39"/>
        <v>163.97633333333332</v>
      </c>
      <c r="P71" s="170">
        <f t="shared" si="40"/>
        <v>1967.7159999999999</v>
      </c>
      <c r="Q71" s="170">
        <f t="shared" si="41"/>
        <v>0</v>
      </c>
      <c r="R71" s="170"/>
      <c r="S71" s="170">
        <f t="shared" si="42"/>
        <v>9838.58</v>
      </c>
      <c r="T71" s="170">
        <f t="shared" si="43"/>
        <v>9838.58</v>
      </c>
      <c r="U71" s="170">
        <f t="shared" si="44"/>
        <v>0</v>
      </c>
    </row>
    <row r="72" spans="1:21" ht="13.5" customHeight="1">
      <c r="A72" s="3" t="s">
        <v>40</v>
      </c>
      <c r="B72" s="3">
        <v>95043</v>
      </c>
      <c r="E72" s="3" t="s">
        <v>245</v>
      </c>
      <c r="F72" s="3">
        <v>2012</v>
      </c>
      <c r="G72" s="3">
        <v>4</v>
      </c>
      <c r="H72" s="3">
        <v>0</v>
      </c>
      <c r="I72" s="3" t="s">
        <v>52</v>
      </c>
      <c r="J72" s="3">
        <v>5</v>
      </c>
      <c r="K72" s="3">
        <f t="shared" si="36"/>
        <v>2017</v>
      </c>
      <c r="L72" s="173">
        <f t="shared" si="37"/>
        <v>2017.3333333333333</v>
      </c>
      <c r="M72" s="170">
        <f>1398.18</f>
        <v>1398.18</v>
      </c>
      <c r="N72" s="170">
        <f t="shared" si="38"/>
        <v>1398.18</v>
      </c>
      <c r="O72" s="170">
        <f t="shared" si="39"/>
        <v>23.303000000000001</v>
      </c>
      <c r="P72" s="170">
        <f t="shared" si="40"/>
        <v>279.63600000000002</v>
      </c>
      <c r="Q72" s="170">
        <f t="shared" si="41"/>
        <v>0</v>
      </c>
      <c r="R72" s="170"/>
      <c r="S72" s="170">
        <f t="shared" si="42"/>
        <v>1398.18</v>
      </c>
      <c r="T72" s="170">
        <f t="shared" si="43"/>
        <v>1398.18</v>
      </c>
      <c r="U72" s="170">
        <f t="shared" si="44"/>
        <v>0</v>
      </c>
    </row>
    <row r="73" spans="1:21" ht="13.5" customHeight="1">
      <c r="A73" s="3" t="s">
        <v>40</v>
      </c>
      <c r="B73" s="3">
        <v>107188</v>
      </c>
      <c r="E73" s="3" t="s">
        <v>286</v>
      </c>
      <c r="F73" s="3">
        <v>2012</v>
      </c>
      <c r="G73" s="3">
        <v>7</v>
      </c>
      <c r="H73" s="3">
        <v>0</v>
      </c>
      <c r="I73" s="3" t="s">
        <v>52</v>
      </c>
      <c r="J73" s="3">
        <v>5</v>
      </c>
      <c r="K73" s="3">
        <f t="shared" si="36"/>
        <v>2017</v>
      </c>
      <c r="L73" s="173">
        <f t="shared" si="37"/>
        <v>2017.5833333333333</v>
      </c>
      <c r="M73" s="170">
        <v>649.16999999999996</v>
      </c>
      <c r="N73" s="170">
        <f t="shared" si="38"/>
        <v>649.16999999999996</v>
      </c>
      <c r="O73" s="170">
        <f t="shared" si="39"/>
        <v>10.8195</v>
      </c>
      <c r="P73" s="170">
        <f t="shared" si="40"/>
        <v>129.834</v>
      </c>
      <c r="Q73" s="170">
        <f t="shared" si="41"/>
        <v>0</v>
      </c>
      <c r="R73" s="170"/>
      <c r="S73" s="170">
        <f t="shared" si="42"/>
        <v>649.16999999999996</v>
      </c>
      <c r="T73" s="170">
        <f t="shared" si="43"/>
        <v>649.16999999999996</v>
      </c>
      <c r="U73" s="170">
        <f t="shared" si="44"/>
        <v>0</v>
      </c>
    </row>
    <row r="74" spans="1:21" ht="13.5" customHeight="1">
      <c r="A74" s="3" t="s">
        <v>40</v>
      </c>
      <c r="B74" s="3">
        <v>107187</v>
      </c>
      <c r="E74" s="3" t="s">
        <v>285</v>
      </c>
      <c r="F74" s="3">
        <v>2012</v>
      </c>
      <c r="G74" s="3">
        <v>1</v>
      </c>
      <c r="H74" s="3">
        <v>0</v>
      </c>
      <c r="I74" s="3" t="s">
        <v>52</v>
      </c>
      <c r="J74" s="3">
        <v>5</v>
      </c>
      <c r="K74" s="3">
        <f t="shared" si="36"/>
        <v>2017</v>
      </c>
      <c r="L74" s="173">
        <f t="shared" si="37"/>
        <v>2017.0833333333333</v>
      </c>
      <c r="M74" s="170">
        <v>564.44000000000005</v>
      </c>
      <c r="N74" s="170">
        <f t="shared" si="38"/>
        <v>564.44000000000005</v>
      </c>
      <c r="O74" s="170">
        <f t="shared" si="39"/>
        <v>9.4073333333333338</v>
      </c>
      <c r="P74" s="170">
        <f t="shared" si="40"/>
        <v>112.88800000000001</v>
      </c>
      <c r="Q74" s="170">
        <f t="shared" si="41"/>
        <v>0</v>
      </c>
      <c r="R74" s="170"/>
      <c r="S74" s="170">
        <f t="shared" si="42"/>
        <v>564.44000000000005</v>
      </c>
      <c r="T74" s="170">
        <f t="shared" si="43"/>
        <v>564.44000000000005</v>
      </c>
      <c r="U74" s="170">
        <f t="shared" si="44"/>
        <v>0</v>
      </c>
    </row>
    <row r="75" spans="1:21" ht="13.5" customHeight="1">
      <c r="A75" s="3" t="s">
        <v>415</v>
      </c>
      <c r="B75" s="3">
        <v>173288</v>
      </c>
      <c r="C75" s="3" t="s">
        <v>487</v>
      </c>
      <c r="E75" s="3" t="s">
        <v>488</v>
      </c>
      <c r="F75" s="3">
        <v>2012</v>
      </c>
      <c r="G75" s="3">
        <v>5</v>
      </c>
      <c r="H75" s="3">
        <v>0</v>
      </c>
      <c r="I75" s="3" t="s">
        <v>52</v>
      </c>
      <c r="J75" s="3">
        <v>7</v>
      </c>
      <c r="K75" s="3">
        <f t="shared" si="36"/>
        <v>2019</v>
      </c>
      <c r="L75" s="173">
        <f t="shared" si="37"/>
        <v>2019.4166666666667</v>
      </c>
      <c r="M75" s="170">
        <f>26700</f>
        <v>26700</v>
      </c>
      <c r="N75" s="170">
        <f t="shared" si="38"/>
        <v>26700</v>
      </c>
      <c r="O75" s="170">
        <f t="shared" si="39"/>
        <v>317.85714285714283</v>
      </c>
      <c r="P75" s="170">
        <f t="shared" si="40"/>
        <v>3814.2857142857138</v>
      </c>
      <c r="Q75" s="170">
        <f t="shared" si="41"/>
        <v>3814.2857142857138</v>
      </c>
      <c r="R75" s="170"/>
      <c r="S75" s="170">
        <f t="shared" si="42"/>
        <v>19071.428571428569</v>
      </c>
      <c r="T75" s="170">
        <f t="shared" si="43"/>
        <v>22885.714285714283</v>
      </c>
      <c r="U75" s="170">
        <f t="shared" si="44"/>
        <v>5721.4285714285743</v>
      </c>
    </row>
    <row r="76" spans="1:21" ht="13.5" customHeight="1">
      <c r="A76" s="3" t="s">
        <v>40</v>
      </c>
      <c r="B76" s="3">
        <v>110092</v>
      </c>
      <c r="E76" s="3" t="s">
        <v>287</v>
      </c>
      <c r="F76" s="3">
        <v>2013</v>
      </c>
      <c r="G76" s="3">
        <v>12</v>
      </c>
      <c r="H76" s="3">
        <v>0</v>
      </c>
      <c r="I76" s="3" t="s">
        <v>52</v>
      </c>
      <c r="J76" s="3">
        <v>5</v>
      </c>
      <c r="K76" s="3">
        <f t="shared" si="36"/>
        <v>2018</v>
      </c>
      <c r="L76" s="173">
        <f t="shared" si="37"/>
        <v>2019</v>
      </c>
      <c r="M76" s="170">
        <v>2337.39</v>
      </c>
      <c r="N76" s="170">
        <f t="shared" si="38"/>
        <v>2337.39</v>
      </c>
      <c r="O76" s="170">
        <f t="shared" si="39"/>
        <v>38.956499999999998</v>
      </c>
      <c r="P76" s="170">
        <f t="shared" si="40"/>
        <v>467.47799999999995</v>
      </c>
      <c r="Q76" s="170">
        <f t="shared" si="41"/>
        <v>0</v>
      </c>
      <c r="R76" s="170"/>
      <c r="S76" s="170">
        <f t="shared" si="42"/>
        <v>2337.39</v>
      </c>
      <c r="T76" s="170">
        <f t="shared" si="43"/>
        <v>2337.39</v>
      </c>
      <c r="U76" s="170">
        <f t="shared" si="44"/>
        <v>0</v>
      </c>
    </row>
    <row r="77" spans="1:21" ht="13.5" customHeight="1">
      <c r="A77" s="3" t="s">
        <v>40</v>
      </c>
      <c r="B77" s="3">
        <v>110093</v>
      </c>
      <c r="E77" s="3" t="s">
        <v>288</v>
      </c>
      <c r="F77" s="3">
        <v>2013</v>
      </c>
      <c r="G77" s="3">
        <v>12</v>
      </c>
      <c r="H77" s="3">
        <v>0</v>
      </c>
      <c r="I77" s="3" t="s">
        <v>52</v>
      </c>
      <c r="J77" s="3">
        <v>5</v>
      </c>
      <c r="K77" s="3">
        <f t="shared" si="36"/>
        <v>2018</v>
      </c>
      <c r="L77" s="173">
        <f t="shared" si="37"/>
        <v>2019</v>
      </c>
      <c r="M77" s="170">
        <v>5343.25</v>
      </c>
      <c r="N77" s="170">
        <f t="shared" si="38"/>
        <v>5343.25</v>
      </c>
      <c r="O77" s="170">
        <f t="shared" si="39"/>
        <v>89.054166666666674</v>
      </c>
      <c r="P77" s="170">
        <f t="shared" si="40"/>
        <v>1068.6500000000001</v>
      </c>
      <c r="Q77" s="170">
        <f t="shared" si="41"/>
        <v>0</v>
      </c>
      <c r="R77" s="170"/>
      <c r="S77" s="170">
        <f t="shared" si="42"/>
        <v>5343.25</v>
      </c>
      <c r="T77" s="170">
        <f t="shared" si="43"/>
        <v>5343.25</v>
      </c>
      <c r="U77" s="170">
        <f t="shared" si="44"/>
        <v>0</v>
      </c>
    </row>
    <row r="78" spans="1:21" ht="13.5" customHeight="1">
      <c r="A78" s="3" t="s">
        <v>40</v>
      </c>
      <c r="B78" s="3">
        <v>110094</v>
      </c>
      <c r="E78" s="3" t="s">
        <v>299</v>
      </c>
      <c r="F78" s="3">
        <v>2013</v>
      </c>
      <c r="G78" s="3">
        <v>12</v>
      </c>
      <c r="H78" s="3">
        <v>0</v>
      </c>
      <c r="I78" s="3" t="s">
        <v>52</v>
      </c>
      <c r="J78" s="3">
        <v>5</v>
      </c>
      <c r="K78" s="3">
        <f t="shared" si="36"/>
        <v>2018</v>
      </c>
      <c r="L78" s="173">
        <f t="shared" si="37"/>
        <v>2019</v>
      </c>
      <c r="M78" s="170">
        <v>14544.51</v>
      </c>
      <c r="N78" s="170">
        <f t="shared" si="38"/>
        <v>14544.51</v>
      </c>
      <c r="O78" s="170">
        <f t="shared" si="39"/>
        <v>242.4085</v>
      </c>
      <c r="P78" s="170">
        <f t="shared" si="40"/>
        <v>2908.902</v>
      </c>
      <c r="Q78" s="170">
        <f t="shared" si="41"/>
        <v>0</v>
      </c>
      <c r="R78" s="170"/>
      <c r="S78" s="170">
        <f t="shared" si="42"/>
        <v>14544.51</v>
      </c>
      <c r="T78" s="170">
        <f t="shared" si="43"/>
        <v>14544.51</v>
      </c>
      <c r="U78" s="170">
        <f t="shared" si="44"/>
        <v>0</v>
      </c>
    </row>
    <row r="79" spans="1:21" s="197" customFormat="1" ht="13.5" customHeight="1">
      <c r="A79" s="197" t="s">
        <v>40</v>
      </c>
      <c r="B79" s="197">
        <v>110969</v>
      </c>
      <c r="C79" s="197">
        <v>127</v>
      </c>
      <c r="E79" s="197" t="s">
        <v>311</v>
      </c>
      <c r="F79" s="197">
        <v>2014</v>
      </c>
      <c r="G79" s="197">
        <v>2</v>
      </c>
      <c r="H79" s="197">
        <v>0</v>
      </c>
      <c r="I79" s="197" t="s">
        <v>52</v>
      </c>
      <c r="J79" s="197">
        <v>7</v>
      </c>
      <c r="K79" s="197">
        <f t="shared" si="36"/>
        <v>2021</v>
      </c>
      <c r="L79" s="173">
        <f t="shared" si="37"/>
        <v>2021.1666666666667</v>
      </c>
      <c r="M79" s="196">
        <f>+'2111 Other - Orig'!O67</f>
        <v>59946.2</v>
      </c>
      <c r="N79" s="196">
        <f t="shared" si="38"/>
        <v>59946.2</v>
      </c>
      <c r="O79" s="196">
        <f t="shared" si="39"/>
        <v>713.64523809523814</v>
      </c>
      <c r="P79" s="196">
        <f t="shared" si="40"/>
        <v>8563.7428571428572</v>
      </c>
      <c r="Q79" s="196">
        <f t="shared" si="41"/>
        <v>8563.7428571428572</v>
      </c>
      <c r="R79" s="196"/>
      <c r="S79" s="196">
        <f t="shared" si="42"/>
        <v>25691.228571428572</v>
      </c>
      <c r="T79" s="196">
        <f t="shared" si="43"/>
        <v>34254.971428571429</v>
      </c>
      <c r="U79" s="196">
        <f t="shared" si="44"/>
        <v>29973.1</v>
      </c>
    </row>
    <row r="80" spans="1:21" s="197" customFormat="1" ht="13.5" customHeight="1">
      <c r="A80" s="200"/>
      <c r="B80" s="200"/>
      <c r="C80" s="200">
        <v>127</v>
      </c>
      <c r="D80" s="200"/>
      <c r="E80" s="200" t="s">
        <v>677</v>
      </c>
      <c r="F80" s="200">
        <v>2017</v>
      </c>
      <c r="G80" s="200">
        <v>10</v>
      </c>
      <c r="H80" s="200">
        <v>0</v>
      </c>
      <c r="I80" s="200" t="s">
        <v>52</v>
      </c>
      <c r="J80" s="200">
        <f>+IF(K79-$N$3&gt;=3,K79-$N$3,3)</f>
        <v>4</v>
      </c>
      <c r="K80" s="200">
        <f>F80+J80</f>
        <v>2021</v>
      </c>
      <c r="L80" s="207">
        <f>+K80+(G80/12)</f>
        <v>2021.8333333333333</v>
      </c>
      <c r="M80" s="201">
        <f>+'2111 Other - Orig'!M67-'2111 Other'!M79</f>
        <v>14986.550000000003</v>
      </c>
      <c r="N80" s="201">
        <f>M80-M80*H80</f>
        <v>14986.550000000003</v>
      </c>
      <c r="O80" s="201">
        <f>N80/J80/12</f>
        <v>312.21979166666671</v>
      </c>
      <c r="P80" s="201">
        <f>+O80*12</f>
        <v>3746.6375000000007</v>
      </c>
      <c r="Q80" s="201">
        <f>+IF(L80&lt;=$N$5,0,IF(K80&gt;$N$4,P80,(O80*G80)))</f>
        <v>3746.6375000000007</v>
      </c>
      <c r="R80" s="201"/>
      <c r="S80" s="201">
        <f>+IF(Q80=0,M80,IF($N$3-F80&lt;1,0,(($N$3-F80)*P80)))</f>
        <v>0</v>
      </c>
      <c r="T80" s="201">
        <f>+IF(Q80=0,S80,S80+Q80)</f>
        <v>3746.6375000000007</v>
      </c>
      <c r="U80" s="201">
        <f>+IF(Q80=0,0,((M80-S80)+(M80-T80))/2)</f>
        <v>13113.231250000003</v>
      </c>
    </row>
    <row r="81" spans="1:21" ht="13.5" customHeight="1">
      <c r="A81" s="3" t="s">
        <v>40</v>
      </c>
      <c r="B81" s="3">
        <v>113987</v>
      </c>
      <c r="E81" s="3" t="s">
        <v>310</v>
      </c>
      <c r="F81" s="3">
        <v>2014</v>
      </c>
      <c r="G81" s="3">
        <v>6</v>
      </c>
      <c r="H81" s="3">
        <v>0</v>
      </c>
      <c r="I81" s="3" t="s">
        <v>52</v>
      </c>
      <c r="J81" s="3">
        <v>5</v>
      </c>
      <c r="K81" s="3">
        <f t="shared" si="36"/>
        <v>2019</v>
      </c>
      <c r="L81" s="173">
        <f t="shared" si="37"/>
        <v>2019.5</v>
      </c>
      <c r="M81" s="170">
        <v>10194.98</v>
      </c>
      <c r="N81" s="170">
        <f t="shared" si="38"/>
        <v>10194.98</v>
      </c>
      <c r="O81" s="170">
        <f t="shared" si="39"/>
        <v>169.91633333333331</v>
      </c>
      <c r="P81" s="170">
        <f t="shared" si="40"/>
        <v>2038.9959999999996</v>
      </c>
      <c r="Q81" s="170">
        <f t="shared" si="41"/>
        <v>2038.9959999999996</v>
      </c>
      <c r="R81" s="170"/>
      <c r="S81" s="170">
        <f t="shared" si="42"/>
        <v>6116.9879999999994</v>
      </c>
      <c r="T81" s="170">
        <f t="shared" si="43"/>
        <v>8155.9839999999986</v>
      </c>
      <c r="U81" s="170">
        <f t="shared" si="44"/>
        <v>3058.4940000000006</v>
      </c>
    </row>
    <row r="82" spans="1:21" ht="13.5" customHeight="1">
      <c r="A82" s="3" t="s">
        <v>40</v>
      </c>
      <c r="B82" s="3">
        <v>118290</v>
      </c>
      <c r="E82" s="3" t="s">
        <v>319</v>
      </c>
      <c r="F82" s="3">
        <v>2014</v>
      </c>
      <c r="G82" s="3">
        <v>11</v>
      </c>
      <c r="H82" s="3">
        <v>0</v>
      </c>
      <c r="I82" s="3" t="s">
        <v>52</v>
      </c>
      <c r="J82" s="3">
        <v>5</v>
      </c>
      <c r="K82" s="3">
        <f t="shared" si="36"/>
        <v>2019</v>
      </c>
      <c r="L82" s="173">
        <f t="shared" si="37"/>
        <v>2019.9166666666667</v>
      </c>
      <c r="M82" s="170">
        <v>46736.34</v>
      </c>
      <c r="N82" s="170">
        <f t="shared" si="38"/>
        <v>46736.34</v>
      </c>
      <c r="O82" s="170">
        <f t="shared" si="39"/>
        <v>778.93899999999996</v>
      </c>
      <c r="P82" s="170">
        <f t="shared" si="40"/>
        <v>9347.268</v>
      </c>
      <c r="Q82" s="170">
        <f t="shared" si="41"/>
        <v>9347.268</v>
      </c>
      <c r="R82" s="170"/>
      <c r="S82" s="170">
        <f t="shared" si="42"/>
        <v>28041.804</v>
      </c>
      <c r="T82" s="170">
        <f t="shared" si="43"/>
        <v>37389.072</v>
      </c>
      <c r="U82" s="170">
        <f t="shared" si="44"/>
        <v>14020.901999999996</v>
      </c>
    </row>
    <row r="83" spans="1:21" ht="13.5" customHeight="1">
      <c r="A83" s="3" t="s">
        <v>40</v>
      </c>
      <c r="B83" s="3">
        <v>117607</v>
      </c>
      <c r="E83" s="3" t="s">
        <v>320</v>
      </c>
      <c r="F83" s="3">
        <v>2014</v>
      </c>
      <c r="G83" s="3">
        <v>11</v>
      </c>
      <c r="H83" s="3">
        <v>0</v>
      </c>
      <c r="I83" s="3" t="s">
        <v>52</v>
      </c>
      <c r="J83" s="3">
        <v>7</v>
      </c>
      <c r="K83" s="3">
        <f t="shared" si="36"/>
        <v>2021</v>
      </c>
      <c r="L83" s="173">
        <f t="shared" si="37"/>
        <v>2021.9166666666667</v>
      </c>
      <c r="M83" s="170">
        <f>+'2111 Other - Orig'!O70</f>
        <v>5199.4160000000002</v>
      </c>
      <c r="N83" s="170">
        <f t="shared" si="38"/>
        <v>5199.4160000000002</v>
      </c>
      <c r="O83" s="170">
        <f t="shared" si="39"/>
        <v>61.897809523809521</v>
      </c>
      <c r="P83" s="170">
        <f t="shared" si="40"/>
        <v>742.77371428571428</v>
      </c>
      <c r="Q83" s="170">
        <f t="shared" si="41"/>
        <v>742.77371428571428</v>
      </c>
      <c r="R83" s="170"/>
      <c r="S83" s="170">
        <f t="shared" si="42"/>
        <v>2228.3211428571431</v>
      </c>
      <c r="T83" s="170">
        <f t="shared" si="43"/>
        <v>2971.0948571428571</v>
      </c>
      <c r="U83" s="170">
        <f t="shared" si="44"/>
        <v>2599.7080000000001</v>
      </c>
    </row>
    <row r="84" spans="1:21" ht="13.5" customHeight="1">
      <c r="E84" s="3" t="s">
        <v>678</v>
      </c>
      <c r="F84" s="3">
        <v>2017</v>
      </c>
      <c r="G84" s="3">
        <v>7</v>
      </c>
      <c r="H84" s="3">
        <v>0</v>
      </c>
      <c r="I84" s="3" t="s">
        <v>52</v>
      </c>
      <c r="J84" s="3">
        <f>+IF(K83-$N$3&gt;=3,K83-$N$3,3)</f>
        <v>4</v>
      </c>
      <c r="K84" s="3">
        <f>F84+J84</f>
        <v>2021</v>
      </c>
      <c r="L84" s="173">
        <f>+K84+(G84/12)</f>
        <v>2021.5833333333333</v>
      </c>
      <c r="M84" s="170">
        <f>+'2111 Other - Orig'!M70-'2111 Other'!M83</f>
        <v>1299.8540000000003</v>
      </c>
      <c r="N84" s="170">
        <f t="shared" si="38"/>
        <v>1299.8540000000003</v>
      </c>
      <c r="O84" s="170">
        <f>N84/J84/12</f>
        <v>27.080291666666671</v>
      </c>
      <c r="P84" s="170">
        <f>+O84*12</f>
        <v>324.96350000000007</v>
      </c>
      <c r="Q84" s="170">
        <f>+IF(L84&lt;=$N$5,0,IF(K84&gt;$N$4,P84,(O84*G84)))</f>
        <v>324.96350000000007</v>
      </c>
      <c r="R84" s="170"/>
      <c r="S84" s="170">
        <f>+IF(Q84=0,M84,IF($N$3-F84&lt;1,0,(($N$3-F84)*P84)))</f>
        <v>0</v>
      </c>
      <c r="T84" s="170">
        <f>+IF(Q84=0,S84,S84+Q84)</f>
        <v>324.96350000000007</v>
      </c>
      <c r="U84" s="170">
        <f>+IF(Q84=0,0,((M84-S84)+(M84-T84))/2)</f>
        <v>1137.3722500000003</v>
      </c>
    </row>
    <row r="85" spans="1:21" ht="13.5" customHeight="1">
      <c r="A85" s="3" t="s">
        <v>40</v>
      </c>
      <c r="B85" s="3">
        <v>118482</v>
      </c>
      <c r="E85" s="3" t="s">
        <v>321</v>
      </c>
      <c r="F85" s="3">
        <v>2014</v>
      </c>
      <c r="G85" s="3">
        <v>12</v>
      </c>
      <c r="H85" s="3">
        <v>0</v>
      </c>
      <c r="I85" s="3" t="s">
        <v>52</v>
      </c>
      <c r="J85" s="3">
        <v>5</v>
      </c>
      <c r="K85" s="3">
        <f t="shared" si="36"/>
        <v>2019</v>
      </c>
      <c r="L85" s="173">
        <f t="shared" si="37"/>
        <v>2020</v>
      </c>
      <c r="M85" s="170">
        <v>14933.1</v>
      </c>
      <c r="N85" s="170">
        <f t="shared" si="38"/>
        <v>14933.1</v>
      </c>
      <c r="O85" s="170">
        <f t="shared" si="39"/>
        <v>248.88499999999999</v>
      </c>
      <c r="P85" s="170">
        <f t="shared" si="40"/>
        <v>2986.62</v>
      </c>
      <c r="Q85" s="170">
        <f t="shared" si="41"/>
        <v>2986.62</v>
      </c>
      <c r="R85" s="170"/>
      <c r="S85" s="170">
        <f t="shared" si="42"/>
        <v>8959.86</v>
      </c>
      <c r="T85" s="170">
        <f t="shared" si="43"/>
        <v>11946.48</v>
      </c>
      <c r="U85" s="170">
        <f t="shared" si="44"/>
        <v>4479.93</v>
      </c>
    </row>
    <row r="86" spans="1:21" ht="13.5" customHeight="1">
      <c r="A86" s="3" t="s">
        <v>40</v>
      </c>
      <c r="B86" s="3">
        <v>128632</v>
      </c>
      <c r="E86" s="3" t="s">
        <v>336</v>
      </c>
      <c r="F86" s="3">
        <v>2015</v>
      </c>
      <c r="G86" s="3">
        <v>12</v>
      </c>
      <c r="H86" s="3">
        <v>0</v>
      </c>
      <c r="I86" s="3" t="s">
        <v>52</v>
      </c>
      <c r="J86" s="3">
        <v>5</v>
      </c>
      <c r="K86" s="3">
        <f t="shared" si="36"/>
        <v>2020</v>
      </c>
      <c r="L86" s="173">
        <f t="shared" si="37"/>
        <v>2021</v>
      </c>
      <c r="M86" s="170">
        <v>9807.82</v>
      </c>
      <c r="N86" s="170">
        <f t="shared" si="38"/>
        <v>9807.82</v>
      </c>
      <c r="O86" s="170">
        <f t="shared" si="39"/>
        <v>163.46366666666665</v>
      </c>
      <c r="P86" s="170">
        <f t="shared" si="40"/>
        <v>1961.5639999999999</v>
      </c>
      <c r="Q86" s="170">
        <f t="shared" si="41"/>
        <v>1961.5639999999999</v>
      </c>
      <c r="R86" s="170"/>
      <c r="S86" s="170">
        <f t="shared" si="42"/>
        <v>3923.1279999999997</v>
      </c>
      <c r="T86" s="170">
        <f t="shared" si="43"/>
        <v>5884.6919999999991</v>
      </c>
      <c r="U86" s="170">
        <f t="shared" si="44"/>
        <v>4903.91</v>
      </c>
    </row>
    <row r="87" spans="1:21" ht="13.5" customHeight="1">
      <c r="A87" s="3" t="s">
        <v>40</v>
      </c>
      <c r="B87" s="3">
        <v>129739</v>
      </c>
      <c r="E87" s="3" t="s">
        <v>393</v>
      </c>
      <c r="F87" s="3">
        <v>2016</v>
      </c>
      <c r="G87" s="3">
        <v>1</v>
      </c>
      <c r="H87" s="3">
        <v>0</v>
      </c>
      <c r="I87" s="3" t="s">
        <v>52</v>
      </c>
      <c r="J87" s="3">
        <v>5</v>
      </c>
      <c r="K87" s="3">
        <f t="shared" si="36"/>
        <v>2021</v>
      </c>
      <c r="L87" s="173">
        <f t="shared" si="37"/>
        <v>2021.0833333333333</v>
      </c>
      <c r="M87" s="170">
        <v>51034.44</v>
      </c>
      <c r="N87" s="170">
        <f t="shared" si="38"/>
        <v>51034.44</v>
      </c>
      <c r="O87" s="170">
        <f t="shared" si="39"/>
        <v>850.57400000000007</v>
      </c>
      <c r="P87" s="170">
        <f t="shared" si="40"/>
        <v>10206.888000000001</v>
      </c>
      <c r="Q87" s="170">
        <f t="shared" si="41"/>
        <v>10206.888000000001</v>
      </c>
      <c r="R87" s="170"/>
      <c r="S87" s="170">
        <f t="shared" si="42"/>
        <v>10206.888000000001</v>
      </c>
      <c r="T87" s="170">
        <f t="shared" si="43"/>
        <v>20413.776000000002</v>
      </c>
      <c r="U87" s="170">
        <f t="shared" si="44"/>
        <v>35724.108</v>
      </c>
    </row>
    <row r="88" spans="1:21" ht="13.5" customHeight="1">
      <c r="A88" s="3" t="s">
        <v>40</v>
      </c>
      <c r="B88" s="3">
        <v>165849</v>
      </c>
      <c r="E88" s="3" t="s">
        <v>404</v>
      </c>
      <c r="F88" s="3">
        <v>2016</v>
      </c>
      <c r="G88" s="3">
        <v>6</v>
      </c>
      <c r="H88" s="3">
        <v>0</v>
      </c>
      <c r="I88" s="3" t="s">
        <v>52</v>
      </c>
      <c r="J88" s="3">
        <v>5</v>
      </c>
      <c r="K88" s="3">
        <f t="shared" si="36"/>
        <v>2021</v>
      </c>
      <c r="L88" s="173">
        <f t="shared" si="37"/>
        <v>2021.5</v>
      </c>
      <c r="M88" s="170">
        <v>7659.9</v>
      </c>
      <c r="N88" s="170">
        <f t="shared" si="38"/>
        <v>7659.9</v>
      </c>
      <c r="O88" s="170">
        <f t="shared" si="39"/>
        <v>127.66500000000001</v>
      </c>
      <c r="P88" s="170">
        <f t="shared" si="40"/>
        <v>1531.98</v>
      </c>
      <c r="Q88" s="170">
        <f t="shared" si="41"/>
        <v>1531.98</v>
      </c>
      <c r="R88" s="170"/>
      <c r="S88" s="170">
        <f t="shared" si="42"/>
        <v>1531.98</v>
      </c>
      <c r="T88" s="170">
        <f t="shared" si="43"/>
        <v>3063.96</v>
      </c>
      <c r="U88" s="170">
        <f t="shared" si="44"/>
        <v>5361.93</v>
      </c>
    </row>
    <row r="89" spans="1:21" ht="13.5" customHeight="1">
      <c r="A89" s="3" t="s">
        <v>40</v>
      </c>
      <c r="B89" s="3">
        <v>170429</v>
      </c>
      <c r="E89" s="3" t="s">
        <v>422</v>
      </c>
      <c r="F89" s="3">
        <v>2016</v>
      </c>
      <c r="G89" s="3">
        <v>11</v>
      </c>
      <c r="H89" s="3">
        <v>0</v>
      </c>
      <c r="I89" s="3" t="s">
        <v>52</v>
      </c>
      <c r="J89" s="3">
        <v>5</v>
      </c>
      <c r="K89" s="3">
        <f t="shared" si="36"/>
        <v>2021</v>
      </c>
      <c r="L89" s="173">
        <f t="shared" si="37"/>
        <v>2021.9166666666667</v>
      </c>
      <c r="M89" s="170">
        <v>17748.240000000002</v>
      </c>
      <c r="N89" s="170">
        <f t="shared" si="38"/>
        <v>17748.240000000002</v>
      </c>
      <c r="O89" s="170">
        <f t="shared" si="39"/>
        <v>295.80400000000003</v>
      </c>
      <c r="P89" s="170">
        <f t="shared" si="40"/>
        <v>3549.6480000000001</v>
      </c>
      <c r="Q89" s="170">
        <f t="shared" si="41"/>
        <v>3549.6480000000001</v>
      </c>
      <c r="R89" s="170"/>
      <c r="S89" s="170">
        <f t="shared" si="42"/>
        <v>3549.6480000000001</v>
      </c>
      <c r="T89" s="170">
        <f t="shared" si="43"/>
        <v>7099.2960000000003</v>
      </c>
      <c r="U89" s="170">
        <f t="shared" si="44"/>
        <v>12423.768</v>
      </c>
    </row>
    <row r="90" spans="1:21" ht="13.5" customHeight="1">
      <c r="A90" s="3" t="s">
        <v>40</v>
      </c>
      <c r="B90" s="3">
        <v>171824</v>
      </c>
      <c r="E90" s="3" t="s">
        <v>423</v>
      </c>
      <c r="F90" s="3">
        <v>2016</v>
      </c>
      <c r="G90" s="3">
        <v>12</v>
      </c>
      <c r="H90" s="3">
        <v>0</v>
      </c>
      <c r="I90" s="3" t="s">
        <v>52</v>
      </c>
      <c r="J90" s="3">
        <v>2</v>
      </c>
      <c r="K90" s="3">
        <f t="shared" si="36"/>
        <v>2018</v>
      </c>
      <c r="L90" s="173">
        <f t="shared" si="37"/>
        <v>2019</v>
      </c>
      <c r="M90" s="170">
        <v>1311.89</v>
      </c>
      <c r="N90" s="170">
        <f t="shared" si="38"/>
        <v>1311.89</v>
      </c>
      <c r="O90" s="170">
        <f t="shared" si="39"/>
        <v>54.662083333333335</v>
      </c>
      <c r="P90" s="170">
        <f t="shared" si="40"/>
        <v>655.94500000000005</v>
      </c>
      <c r="Q90" s="170">
        <f t="shared" si="41"/>
        <v>0</v>
      </c>
      <c r="R90" s="170"/>
      <c r="S90" s="170">
        <f t="shared" si="42"/>
        <v>1311.89</v>
      </c>
      <c r="T90" s="170">
        <f t="shared" si="43"/>
        <v>1311.89</v>
      </c>
      <c r="U90" s="170">
        <f t="shared" si="44"/>
        <v>0</v>
      </c>
    </row>
    <row r="91" spans="1:21" ht="13.5" customHeight="1">
      <c r="B91" s="3">
        <v>194073</v>
      </c>
      <c r="E91" s="3" t="s">
        <v>600</v>
      </c>
      <c r="F91" s="3">
        <v>2018</v>
      </c>
      <c r="G91" s="3">
        <v>3</v>
      </c>
      <c r="H91" s="3">
        <v>0</v>
      </c>
      <c r="I91" s="3" t="s">
        <v>52</v>
      </c>
      <c r="J91" s="3">
        <v>10</v>
      </c>
      <c r="K91" s="3">
        <f t="shared" si="36"/>
        <v>2028</v>
      </c>
      <c r="L91" s="173">
        <f t="shared" si="37"/>
        <v>2028.25</v>
      </c>
      <c r="M91" s="170">
        <v>69188.7</v>
      </c>
      <c r="N91" s="170">
        <f t="shared" si="38"/>
        <v>69188.7</v>
      </c>
      <c r="O91" s="170">
        <f t="shared" si="39"/>
        <v>576.57249999999999</v>
      </c>
      <c r="P91" s="170">
        <f t="shared" si="40"/>
        <v>6918.87</v>
      </c>
      <c r="Q91" s="170">
        <f t="shared" si="41"/>
        <v>6918.87</v>
      </c>
      <c r="R91" s="170"/>
      <c r="S91" s="170">
        <f t="shared" si="42"/>
        <v>0</v>
      </c>
      <c r="T91" s="170">
        <f t="shared" si="43"/>
        <v>6918.87</v>
      </c>
      <c r="U91" s="170">
        <f t="shared" si="44"/>
        <v>65729.264999999999</v>
      </c>
    </row>
    <row r="92" spans="1:21" ht="13.5" customHeight="1">
      <c r="A92" s="3" t="s">
        <v>679</v>
      </c>
      <c r="B92" s="3">
        <v>176884</v>
      </c>
      <c r="E92" s="3" t="s">
        <v>970</v>
      </c>
      <c r="F92" s="3">
        <v>2017</v>
      </c>
      <c r="G92" s="3">
        <v>2</v>
      </c>
      <c r="H92" s="3">
        <v>0</v>
      </c>
      <c r="I92" s="3" t="s">
        <v>52</v>
      </c>
      <c r="J92" s="3">
        <v>5</v>
      </c>
      <c r="K92" s="3">
        <f>F92+J92</f>
        <v>2022</v>
      </c>
      <c r="L92" s="173">
        <f>+K92+(G92/12)</f>
        <v>2022.1666666666667</v>
      </c>
      <c r="M92" s="170">
        <v>4588.95</v>
      </c>
      <c r="N92" s="170">
        <f>M92-M92*H92</f>
        <v>4588.95</v>
      </c>
      <c r="O92" s="170">
        <f>N92/J92/12</f>
        <v>76.482500000000002</v>
      </c>
      <c r="P92" s="170">
        <f>+O92*12</f>
        <v>917.79</v>
      </c>
      <c r="Q92" s="170">
        <f>+IF(L92&lt;=$N$5,0,IF(K92&gt;$N$4,P92,(O92*G92)))</f>
        <v>917.79</v>
      </c>
      <c r="R92" s="170"/>
      <c r="S92" s="170">
        <f>+IF(Q92=0,M92,IF($N$3-F92&lt;1,0,(($N$3-F92)*P92)))</f>
        <v>0</v>
      </c>
      <c r="T92" s="170">
        <f>+IF(Q92=0,S92,S92+Q92)</f>
        <v>917.79</v>
      </c>
      <c r="U92" s="170">
        <f>+IF(Q92=0,0,((M92-S92)+(M92-T92))/2)</f>
        <v>4130.0550000000003</v>
      </c>
    </row>
    <row r="93" spans="1:21" ht="13.5" customHeight="1">
      <c r="A93" s="3" t="s">
        <v>679</v>
      </c>
      <c r="B93" s="3">
        <v>176883</v>
      </c>
      <c r="E93" s="3" t="s">
        <v>971</v>
      </c>
      <c r="F93" s="3">
        <v>2017</v>
      </c>
      <c r="G93" s="3">
        <v>1</v>
      </c>
      <c r="H93" s="3">
        <v>0</v>
      </c>
      <c r="I93" s="3" t="s">
        <v>52</v>
      </c>
      <c r="J93" s="3">
        <f>411/100</f>
        <v>4.1100000000000003</v>
      </c>
      <c r="K93" s="3">
        <f>F93+J93</f>
        <v>2021.11</v>
      </c>
      <c r="L93" s="173">
        <f>+K93+(G93/12)</f>
        <v>2021.1933333333332</v>
      </c>
      <c r="M93" s="170">
        <v>3370.96</v>
      </c>
      <c r="N93" s="170">
        <f>M93-M93*H93</f>
        <v>3370.96</v>
      </c>
      <c r="O93" s="170">
        <f>N93/J93/12</f>
        <v>68.348742903487434</v>
      </c>
      <c r="P93" s="170">
        <f>+O93*12</f>
        <v>820.18491484184915</v>
      </c>
      <c r="Q93" s="170">
        <f>+IF(L93&lt;=$N$5,0,IF(K93&gt;$N$4,P93,(O93*G93)))</f>
        <v>820.18491484184915</v>
      </c>
      <c r="R93" s="170"/>
      <c r="S93" s="170">
        <f>+IF(Q93=0,M93,IF($N$3-F93&lt;1,0,(($N$3-F93)*P93)))</f>
        <v>0</v>
      </c>
      <c r="T93" s="170">
        <f>+IF(Q93=0,S93,S93+Q93)</f>
        <v>820.18491484184915</v>
      </c>
      <c r="U93" s="170">
        <f>+IF(Q93=0,0,((M93-S93)+(M93-T93))/2)</f>
        <v>2960.8675425790752</v>
      </c>
    </row>
    <row r="94" spans="1:21" ht="13.5" customHeight="1">
      <c r="A94" s="3" t="s">
        <v>679</v>
      </c>
      <c r="B94" s="3">
        <v>174958</v>
      </c>
      <c r="E94" s="3" t="s">
        <v>972</v>
      </c>
      <c r="F94" s="3">
        <v>2017</v>
      </c>
      <c r="G94" s="3">
        <v>1</v>
      </c>
      <c r="H94" s="3">
        <v>0</v>
      </c>
      <c r="I94" s="3" t="s">
        <v>52</v>
      </c>
      <c r="J94" s="3">
        <v>5</v>
      </c>
      <c r="K94" s="3">
        <f>F94+J94</f>
        <v>2022</v>
      </c>
      <c r="L94" s="173">
        <f>+K94+(G94/12)</f>
        <v>2022.0833333333333</v>
      </c>
      <c r="M94" s="170">
        <v>15436.34</v>
      </c>
      <c r="N94" s="170">
        <f>M94-M94*H94</f>
        <v>15436.34</v>
      </c>
      <c r="O94" s="170">
        <f>N94/J94/12</f>
        <v>257.27233333333334</v>
      </c>
      <c r="P94" s="170">
        <f>+O94*12</f>
        <v>3087.268</v>
      </c>
      <c r="Q94" s="170">
        <f>+IF(L94&lt;=$N$5,0,IF(K94&gt;$N$4,P94,(O94*G94)))</f>
        <v>3087.268</v>
      </c>
      <c r="R94" s="170"/>
      <c r="S94" s="170">
        <f>+IF(Q94=0,M94,IF($N$3-F94&lt;1,0,(($N$3-F94)*P94)))</f>
        <v>0</v>
      </c>
      <c r="T94" s="170">
        <f>+IF(Q94=0,S94,S94+Q94)</f>
        <v>3087.268</v>
      </c>
      <c r="U94" s="170">
        <f>+IF(Q94=0,0,((M94-S94)+(M94-T94))/2)</f>
        <v>13892.706</v>
      </c>
    </row>
    <row r="95" spans="1:21" ht="13.5" customHeight="1">
      <c r="L95" s="173"/>
      <c r="M95" s="170"/>
      <c r="N95" s="170"/>
      <c r="O95" s="170"/>
      <c r="P95" s="170"/>
      <c r="Q95" s="170"/>
      <c r="R95" s="170"/>
      <c r="S95" s="170"/>
      <c r="T95" s="170"/>
      <c r="U95" s="170"/>
    </row>
    <row r="96" spans="1:21" ht="13.5" customHeight="1">
      <c r="E96" s="169" t="s">
        <v>145</v>
      </c>
      <c r="F96" s="169"/>
      <c r="G96" s="169"/>
      <c r="H96" s="169"/>
      <c r="I96" s="169"/>
      <c r="J96" s="169"/>
      <c r="K96" s="169"/>
      <c r="L96" s="174"/>
      <c r="M96" s="171">
        <f t="shared" ref="M96:U96" si="45">SUM(M57:M95)</f>
        <v>625464.07999999984</v>
      </c>
      <c r="N96" s="171">
        <f t="shared" si="45"/>
        <v>625464.07999999984</v>
      </c>
      <c r="O96" s="171">
        <f t="shared" si="45"/>
        <v>8985.8714309987263</v>
      </c>
      <c r="P96" s="171">
        <f t="shared" si="45"/>
        <v>107830.45717198469</v>
      </c>
      <c r="Q96" s="171">
        <f t="shared" si="45"/>
        <v>69219.018700556146</v>
      </c>
      <c r="R96" s="171">
        <f t="shared" si="45"/>
        <v>0</v>
      </c>
      <c r="S96" s="171">
        <f t="shared" si="45"/>
        <v>349974.94878571428</v>
      </c>
      <c r="T96" s="171">
        <f t="shared" si="45"/>
        <v>419193.96748627035</v>
      </c>
      <c r="U96" s="171">
        <f t="shared" si="45"/>
        <v>240879.62186400767</v>
      </c>
    </row>
    <row r="97" spans="1:21" ht="13.5" customHeight="1">
      <c r="L97" s="173"/>
      <c r="M97" s="170"/>
      <c r="N97" s="170"/>
      <c r="O97" s="170"/>
      <c r="P97" s="170"/>
      <c r="Q97" s="170"/>
      <c r="R97" s="170"/>
      <c r="S97" s="170"/>
      <c r="T97" s="170"/>
      <c r="U97" s="170"/>
    </row>
    <row r="98" spans="1:21" ht="13.5" customHeight="1">
      <c r="E98" s="182" t="s">
        <v>212</v>
      </c>
      <c r="L98" s="173"/>
      <c r="M98" s="170"/>
      <c r="N98" s="170"/>
      <c r="O98" s="170"/>
      <c r="P98" s="170"/>
      <c r="Q98" s="170"/>
      <c r="R98" s="170"/>
      <c r="S98" s="170"/>
      <c r="T98" s="170"/>
      <c r="U98" s="170"/>
    </row>
    <row r="99" spans="1:21" ht="13.5" customHeight="1">
      <c r="L99" s="173"/>
      <c r="M99" s="170"/>
      <c r="N99" s="170"/>
      <c r="O99" s="170"/>
      <c r="P99" s="170"/>
      <c r="Q99" s="170"/>
      <c r="R99" s="170"/>
      <c r="S99" s="170"/>
      <c r="T99" s="170"/>
      <c r="U99" s="170"/>
    </row>
    <row r="100" spans="1:21" ht="13.5" customHeight="1">
      <c r="A100" s="3" t="s">
        <v>40</v>
      </c>
      <c r="E100" s="3" t="s">
        <v>199</v>
      </c>
      <c r="F100" s="3">
        <v>2010</v>
      </c>
      <c r="G100" s="3">
        <v>4</v>
      </c>
      <c r="H100" s="3">
        <v>0</v>
      </c>
      <c r="I100" s="3" t="s">
        <v>52</v>
      </c>
      <c r="J100" s="3">
        <v>7</v>
      </c>
      <c r="K100" s="3">
        <f t="shared" ref="K100:K128" si="46">F100+J100</f>
        <v>2017</v>
      </c>
      <c r="L100" s="173">
        <f t="shared" ref="L100:L128" si="47">+K100+(G100/12)</f>
        <v>2017.3333333333333</v>
      </c>
      <c r="M100" s="170">
        <f>5000+30050.55+18781.59+21294.24</f>
        <v>75126.38</v>
      </c>
      <c r="N100" s="170">
        <f t="shared" ref="N100:N126" si="48">M100-M100*H100</f>
        <v>75126.38</v>
      </c>
      <c r="O100" s="170">
        <f t="shared" ref="O100:O126" si="49">N100/J100/12</f>
        <v>894.36166666666668</v>
      </c>
      <c r="P100" s="170">
        <f t="shared" ref="P100:P126" si="50">+O100*12</f>
        <v>10732.34</v>
      </c>
      <c r="Q100" s="170">
        <f t="shared" ref="Q100:Q126" si="51">+IF(L100&lt;=$N$5,0,IF(K100&gt;$N$4,P100,(O100*G100)))</f>
        <v>0</v>
      </c>
      <c r="R100" s="170"/>
      <c r="S100" s="170">
        <f t="shared" ref="S100:S126" si="52">+IF(Q100=0,M100,IF($N$3-F100&lt;1,0,(($N$3-F100)*P100)))</f>
        <v>75126.38</v>
      </c>
      <c r="T100" s="170">
        <f t="shared" ref="T100:T126" si="53">+IF(Q100=0,S100,S100+Q100)</f>
        <v>75126.38</v>
      </c>
      <c r="U100" s="170">
        <f t="shared" ref="U100:U126" si="54">+IF(Q100=0,0,((M100-S100)+(M100-T100))/2)</f>
        <v>0</v>
      </c>
    </row>
    <row r="101" spans="1:21" ht="13.5" customHeight="1">
      <c r="A101" s="3" t="s">
        <v>40</v>
      </c>
      <c r="E101" s="3" t="s">
        <v>200</v>
      </c>
      <c r="F101" s="3">
        <v>2010</v>
      </c>
      <c r="G101" s="3">
        <v>5</v>
      </c>
      <c r="H101" s="3">
        <v>0</v>
      </c>
      <c r="I101" s="3" t="s">
        <v>52</v>
      </c>
      <c r="J101" s="3">
        <v>3</v>
      </c>
      <c r="K101" s="3">
        <f t="shared" si="46"/>
        <v>2013</v>
      </c>
      <c r="L101" s="173">
        <f t="shared" si="47"/>
        <v>2013.4166666666667</v>
      </c>
      <c r="M101" s="170">
        <v>1573.39</v>
      </c>
      <c r="N101" s="170">
        <f t="shared" si="48"/>
        <v>1573.39</v>
      </c>
      <c r="O101" s="170">
        <f t="shared" si="49"/>
        <v>43.705277777777781</v>
      </c>
      <c r="P101" s="170">
        <f t="shared" si="50"/>
        <v>524.46333333333337</v>
      </c>
      <c r="Q101" s="170">
        <f t="shared" si="51"/>
        <v>0</v>
      </c>
      <c r="R101" s="170"/>
      <c r="S101" s="170">
        <f t="shared" si="52"/>
        <v>1573.39</v>
      </c>
      <c r="T101" s="170">
        <f t="shared" si="53"/>
        <v>1573.39</v>
      </c>
      <c r="U101" s="170">
        <f t="shared" si="54"/>
        <v>0</v>
      </c>
    </row>
    <row r="102" spans="1:21" ht="13.5" customHeight="1">
      <c r="A102" s="3" t="s">
        <v>40</v>
      </c>
      <c r="E102" s="3" t="s">
        <v>201</v>
      </c>
      <c r="F102" s="3">
        <v>2010</v>
      </c>
      <c r="G102" s="3">
        <v>8</v>
      </c>
      <c r="H102" s="3">
        <v>0</v>
      </c>
      <c r="I102" s="3" t="s">
        <v>52</v>
      </c>
      <c r="J102" s="3">
        <v>3</v>
      </c>
      <c r="K102" s="3">
        <f t="shared" si="46"/>
        <v>2013</v>
      </c>
      <c r="L102" s="173">
        <f t="shared" si="47"/>
        <v>2013.6666666666667</v>
      </c>
      <c r="M102" s="170">
        <v>611.54999999999995</v>
      </c>
      <c r="N102" s="170">
        <f t="shared" si="48"/>
        <v>611.54999999999995</v>
      </c>
      <c r="O102" s="170">
        <f t="shared" si="49"/>
        <v>16.987500000000001</v>
      </c>
      <c r="P102" s="170">
        <f t="shared" si="50"/>
        <v>203.85000000000002</v>
      </c>
      <c r="Q102" s="170">
        <f t="shared" si="51"/>
        <v>0</v>
      </c>
      <c r="R102" s="170"/>
      <c r="S102" s="170">
        <f t="shared" si="52"/>
        <v>611.54999999999995</v>
      </c>
      <c r="T102" s="170">
        <f t="shared" si="53"/>
        <v>611.54999999999995</v>
      </c>
      <c r="U102" s="170">
        <f t="shared" si="54"/>
        <v>0</v>
      </c>
    </row>
    <row r="103" spans="1:21" ht="13.5" customHeight="1">
      <c r="A103" s="3" t="s">
        <v>415</v>
      </c>
      <c r="B103" s="3">
        <v>173281</v>
      </c>
      <c r="E103" s="3" t="s">
        <v>489</v>
      </c>
      <c r="F103" s="3">
        <v>2010</v>
      </c>
      <c r="G103" s="3">
        <v>12</v>
      </c>
      <c r="H103" s="3">
        <v>0</v>
      </c>
      <c r="I103" s="3" t="s">
        <v>52</v>
      </c>
      <c r="J103" s="3">
        <v>5</v>
      </c>
      <c r="K103" s="3">
        <f t="shared" si="46"/>
        <v>2015</v>
      </c>
      <c r="L103" s="173">
        <f t="shared" si="47"/>
        <v>2016</v>
      </c>
      <c r="M103" s="170">
        <v>875</v>
      </c>
      <c r="N103" s="170">
        <f t="shared" si="48"/>
        <v>875</v>
      </c>
      <c r="O103" s="170">
        <f t="shared" si="49"/>
        <v>14.583333333333334</v>
      </c>
      <c r="P103" s="170">
        <f t="shared" si="50"/>
        <v>175</v>
      </c>
      <c r="Q103" s="170">
        <f t="shared" si="51"/>
        <v>0</v>
      </c>
      <c r="R103" s="170"/>
      <c r="S103" s="170">
        <f t="shared" si="52"/>
        <v>875</v>
      </c>
      <c r="T103" s="170">
        <f t="shared" si="53"/>
        <v>875</v>
      </c>
      <c r="U103" s="170">
        <f t="shared" si="54"/>
        <v>0</v>
      </c>
    </row>
    <row r="104" spans="1:21" ht="13.5" customHeight="1">
      <c r="A104" s="3" t="s">
        <v>40</v>
      </c>
      <c r="C104" s="3">
        <v>2</v>
      </c>
      <c r="E104" s="3" t="s">
        <v>188</v>
      </c>
      <c r="F104" s="3">
        <v>2011</v>
      </c>
      <c r="G104" s="3">
        <v>4</v>
      </c>
      <c r="H104" s="3">
        <v>0</v>
      </c>
      <c r="I104" s="3" t="s">
        <v>52</v>
      </c>
      <c r="J104" s="3">
        <v>3</v>
      </c>
      <c r="K104" s="3">
        <f t="shared" si="46"/>
        <v>2014</v>
      </c>
      <c r="L104" s="173">
        <f t="shared" si="47"/>
        <v>2014.3333333333333</v>
      </c>
      <c r="M104" s="170">
        <f>1750+162.75</f>
        <v>1912.75</v>
      </c>
      <c r="N104" s="170">
        <f t="shared" si="48"/>
        <v>1912.75</v>
      </c>
      <c r="O104" s="170">
        <f t="shared" si="49"/>
        <v>53.13194444444445</v>
      </c>
      <c r="P104" s="170">
        <f t="shared" si="50"/>
        <v>637.58333333333337</v>
      </c>
      <c r="Q104" s="170">
        <f t="shared" si="51"/>
        <v>0</v>
      </c>
      <c r="R104" s="170"/>
      <c r="S104" s="170">
        <f t="shared" si="52"/>
        <v>1912.75</v>
      </c>
      <c r="T104" s="170">
        <f t="shared" si="53"/>
        <v>1912.75</v>
      </c>
      <c r="U104" s="170">
        <f t="shared" si="54"/>
        <v>0</v>
      </c>
    </row>
    <row r="105" spans="1:21" ht="13.5" customHeight="1">
      <c r="A105" s="3" t="s">
        <v>40</v>
      </c>
      <c r="B105" s="3" t="s">
        <v>314</v>
      </c>
      <c r="E105" s="3" t="s">
        <v>315</v>
      </c>
      <c r="F105" s="3">
        <v>2011</v>
      </c>
      <c r="G105" s="3">
        <v>7</v>
      </c>
      <c r="H105" s="3">
        <v>0</v>
      </c>
      <c r="I105" s="3" t="s">
        <v>52</v>
      </c>
      <c r="J105" s="3">
        <v>3</v>
      </c>
      <c r="K105" s="3">
        <f t="shared" si="46"/>
        <v>2014</v>
      </c>
      <c r="L105" s="173">
        <f t="shared" si="47"/>
        <v>2014.5833333333333</v>
      </c>
      <c r="M105" s="170">
        <f>16910.03+2292.02</f>
        <v>19202.05</v>
      </c>
      <c r="N105" s="170">
        <f t="shared" si="48"/>
        <v>19202.05</v>
      </c>
      <c r="O105" s="170">
        <f t="shared" si="49"/>
        <v>533.39027777777778</v>
      </c>
      <c r="P105" s="170">
        <f t="shared" si="50"/>
        <v>6400.6833333333334</v>
      </c>
      <c r="Q105" s="170">
        <f t="shared" si="51"/>
        <v>0</v>
      </c>
      <c r="R105" s="170"/>
      <c r="S105" s="170">
        <f t="shared" si="52"/>
        <v>19202.05</v>
      </c>
      <c r="T105" s="170">
        <f t="shared" si="53"/>
        <v>19202.05</v>
      </c>
      <c r="U105" s="170">
        <f t="shared" si="54"/>
        <v>0</v>
      </c>
    </row>
    <row r="106" spans="1:21" ht="13.5" customHeight="1">
      <c r="A106" s="3" t="s">
        <v>40</v>
      </c>
      <c r="B106" s="3" t="s">
        <v>300</v>
      </c>
      <c r="E106" s="3" t="s">
        <v>188</v>
      </c>
      <c r="F106" s="3">
        <v>2011</v>
      </c>
      <c r="G106" s="3">
        <v>8</v>
      </c>
      <c r="H106" s="3">
        <v>0</v>
      </c>
      <c r="I106" s="3" t="s">
        <v>52</v>
      </c>
      <c r="J106" s="3">
        <v>3</v>
      </c>
      <c r="K106" s="3">
        <f t="shared" si="46"/>
        <v>2014</v>
      </c>
      <c r="L106" s="173">
        <f t="shared" si="47"/>
        <v>2014.6666666666667</v>
      </c>
      <c r="M106" s="170">
        <v>5492.32</v>
      </c>
      <c r="N106" s="170">
        <f t="shared" si="48"/>
        <v>5492.32</v>
      </c>
      <c r="O106" s="170">
        <f t="shared" si="49"/>
        <v>152.56444444444443</v>
      </c>
      <c r="P106" s="170">
        <f t="shared" si="50"/>
        <v>1830.7733333333331</v>
      </c>
      <c r="Q106" s="170">
        <f t="shared" si="51"/>
        <v>0</v>
      </c>
      <c r="R106" s="170"/>
      <c r="S106" s="170">
        <f t="shared" si="52"/>
        <v>5492.32</v>
      </c>
      <c r="T106" s="170">
        <f t="shared" si="53"/>
        <v>5492.32</v>
      </c>
      <c r="U106" s="170">
        <f t="shared" si="54"/>
        <v>0</v>
      </c>
    </row>
    <row r="107" spans="1:21" ht="13.5" customHeight="1">
      <c r="A107" s="3" t="s">
        <v>40</v>
      </c>
      <c r="E107" s="3" t="s">
        <v>202</v>
      </c>
      <c r="F107" s="3">
        <v>2011</v>
      </c>
      <c r="G107" s="3">
        <v>9</v>
      </c>
      <c r="H107" s="3">
        <v>0</v>
      </c>
      <c r="I107" s="3" t="s">
        <v>52</v>
      </c>
      <c r="J107" s="3">
        <v>3</v>
      </c>
      <c r="K107" s="3">
        <f t="shared" si="46"/>
        <v>2014</v>
      </c>
      <c r="L107" s="173">
        <f t="shared" si="47"/>
        <v>2014.75</v>
      </c>
      <c r="M107" s="170">
        <v>593.86</v>
      </c>
      <c r="N107" s="170">
        <f t="shared" si="48"/>
        <v>593.86</v>
      </c>
      <c r="O107" s="170">
        <f t="shared" si="49"/>
        <v>16.496111111111112</v>
      </c>
      <c r="P107" s="170">
        <f t="shared" si="50"/>
        <v>197.95333333333335</v>
      </c>
      <c r="Q107" s="170">
        <f t="shared" si="51"/>
        <v>0</v>
      </c>
      <c r="R107" s="170"/>
      <c r="S107" s="170">
        <f t="shared" si="52"/>
        <v>593.86</v>
      </c>
      <c r="T107" s="170">
        <f t="shared" si="53"/>
        <v>593.86</v>
      </c>
      <c r="U107" s="170">
        <f t="shared" si="54"/>
        <v>0</v>
      </c>
    </row>
    <row r="108" spans="1:21" ht="13.5" customHeight="1">
      <c r="A108" s="3" t="s">
        <v>40</v>
      </c>
      <c r="B108" s="3">
        <v>89091</v>
      </c>
      <c r="E108" s="3" t="s">
        <v>227</v>
      </c>
      <c r="F108" s="3">
        <v>2011</v>
      </c>
      <c r="G108" s="3">
        <v>12</v>
      </c>
      <c r="H108" s="3">
        <v>0</v>
      </c>
      <c r="I108" s="3" t="s">
        <v>52</v>
      </c>
      <c r="J108" s="3">
        <v>5</v>
      </c>
      <c r="K108" s="3">
        <f t="shared" si="46"/>
        <v>2016</v>
      </c>
      <c r="L108" s="173">
        <f t="shared" si="47"/>
        <v>2017</v>
      </c>
      <c r="M108" s="170">
        <v>858</v>
      </c>
      <c r="N108" s="170">
        <f t="shared" si="48"/>
        <v>858</v>
      </c>
      <c r="O108" s="170">
        <f t="shared" si="49"/>
        <v>14.299999999999999</v>
      </c>
      <c r="P108" s="170">
        <f t="shared" si="50"/>
        <v>171.6</v>
      </c>
      <c r="Q108" s="170">
        <f t="shared" si="51"/>
        <v>0</v>
      </c>
      <c r="R108" s="170"/>
      <c r="S108" s="170">
        <f t="shared" si="52"/>
        <v>858</v>
      </c>
      <c r="T108" s="170">
        <f t="shared" si="53"/>
        <v>858</v>
      </c>
      <c r="U108" s="170">
        <f t="shared" si="54"/>
        <v>0</v>
      </c>
    </row>
    <row r="109" spans="1:21" ht="13.5" customHeight="1">
      <c r="A109" s="3" t="s">
        <v>40</v>
      </c>
      <c r="B109" s="3">
        <v>105140</v>
      </c>
      <c r="E109" s="3" t="s">
        <v>276</v>
      </c>
      <c r="F109" s="3">
        <v>2013</v>
      </c>
      <c r="G109" s="3">
        <v>6</v>
      </c>
      <c r="H109" s="3">
        <v>0</v>
      </c>
      <c r="I109" s="3" t="s">
        <v>52</v>
      </c>
      <c r="J109" s="3">
        <v>3</v>
      </c>
      <c r="K109" s="3">
        <f t="shared" si="46"/>
        <v>2016</v>
      </c>
      <c r="L109" s="173">
        <f t="shared" si="47"/>
        <v>2016.5</v>
      </c>
      <c r="M109" s="170">
        <v>1020.44</v>
      </c>
      <c r="N109" s="170">
        <f t="shared" si="48"/>
        <v>1020.44</v>
      </c>
      <c r="O109" s="170">
        <f t="shared" si="49"/>
        <v>28.34555555555556</v>
      </c>
      <c r="P109" s="170">
        <f t="shared" si="50"/>
        <v>340.1466666666667</v>
      </c>
      <c r="Q109" s="170">
        <f t="shared" si="51"/>
        <v>0</v>
      </c>
      <c r="R109" s="170"/>
      <c r="S109" s="170">
        <f t="shared" si="52"/>
        <v>1020.44</v>
      </c>
      <c r="T109" s="170">
        <f t="shared" si="53"/>
        <v>1020.44</v>
      </c>
      <c r="U109" s="170">
        <f t="shared" si="54"/>
        <v>0</v>
      </c>
    </row>
    <row r="110" spans="1:21" ht="13.5" customHeight="1">
      <c r="A110" s="3" t="s">
        <v>40</v>
      </c>
      <c r="B110" s="3">
        <v>112769</v>
      </c>
      <c r="E110" s="3" t="s">
        <v>313</v>
      </c>
      <c r="F110" s="3">
        <v>2013</v>
      </c>
      <c r="G110" s="3">
        <v>2</v>
      </c>
      <c r="H110" s="3">
        <v>0</v>
      </c>
      <c r="I110" s="3" t="s">
        <v>52</v>
      </c>
      <c r="J110" s="3">
        <v>3</v>
      </c>
      <c r="K110" s="3">
        <f t="shared" si="46"/>
        <v>2016</v>
      </c>
      <c r="L110" s="173">
        <f t="shared" si="47"/>
        <v>2016.1666666666667</v>
      </c>
      <c r="M110" s="170">
        <v>976.33</v>
      </c>
      <c r="N110" s="170">
        <f t="shared" si="48"/>
        <v>976.33</v>
      </c>
      <c r="O110" s="170">
        <f t="shared" si="49"/>
        <v>27.120277777777776</v>
      </c>
      <c r="P110" s="170">
        <f t="shared" si="50"/>
        <v>325.44333333333333</v>
      </c>
      <c r="Q110" s="170">
        <f t="shared" si="51"/>
        <v>0</v>
      </c>
      <c r="R110" s="170"/>
      <c r="S110" s="170">
        <f t="shared" si="52"/>
        <v>976.33</v>
      </c>
      <c r="T110" s="170">
        <f t="shared" si="53"/>
        <v>976.33</v>
      </c>
      <c r="U110" s="170">
        <f t="shared" si="54"/>
        <v>0</v>
      </c>
    </row>
    <row r="111" spans="1:21" ht="13.5" customHeight="1">
      <c r="A111" s="3" t="s">
        <v>40</v>
      </c>
      <c r="B111" s="3">
        <v>113265</v>
      </c>
      <c r="C111" s="3">
        <v>8</v>
      </c>
      <c r="E111" s="3" t="s">
        <v>308</v>
      </c>
      <c r="F111" s="3">
        <v>2014</v>
      </c>
      <c r="G111" s="3">
        <v>4</v>
      </c>
      <c r="H111" s="3">
        <v>0</v>
      </c>
      <c r="I111" s="3" t="s">
        <v>52</v>
      </c>
      <c r="J111" s="3">
        <v>3</v>
      </c>
      <c r="K111" s="3">
        <f t="shared" si="46"/>
        <v>2017</v>
      </c>
      <c r="L111" s="173">
        <f t="shared" si="47"/>
        <v>2017.3333333333333</v>
      </c>
      <c r="M111" s="170">
        <v>2780.14</v>
      </c>
      <c r="N111" s="170">
        <f t="shared" si="48"/>
        <v>2780.14</v>
      </c>
      <c r="O111" s="170">
        <f t="shared" si="49"/>
        <v>77.226111111111109</v>
      </c>
      <c r="P111" s="170">
        <f t="shared" si="50"/>
        <v>926.71333333333337</v>
      </c>
      <c r="Q111" s="170">
        <f t="shared" si="51"/>
        <v>0</v>
      </c>
      <c r="R111" s="170"/>
      <c r="S111" s="170">
        <f t="shared" si="52"/>
        <v>2780.14</v>
      </c>
      <c r="T111" s="170">
        <f t="shared" si="53"/>
        <v>2780.14</v>
      </c>
      <c r="U111" s="170">
        <f t="shared" si="54"/>
        <v>0</v>
      </c>
    </row>
    <row r="112" spans="1:21" ht="13.5" customHeight="1">
      <c r="A112" s="3" t="s">
        <v>40</v>
      </c>
      <c r="B112" s="3" t="s">
        <v>324</v>
      </c>
      <c r="C112" s="3">
        <f>26+8</f>
        <v>34</v>
      </c>
      <c r="E112" s="3" t="s">
        <v>325</v>
      </c>
      <c r="F112" s="3">
        <v>2015</v>
      </c>
      <c r="G112" s="3">
        <v>2</v>
      </c>
      <c r="H112" s="3">
        <v>0</v>
      </c>
      <c r="I112" s="3" t="s">
        <v>52</v>
      </c>
      <c r="J112" s="3">
        <v>3</v>
      </c>
      <c r="K112" s="3">
        <f t="shared" si="46"/>
        <v>2018</v>
      </c>
      <c r="L112" s="173">
        <f t="shared" si="47"/>
        <v>2018.1666666666667</v>
      </c>
      <c r="M112" s="170">
        <f>2768.16+8597.08</f>
        <v>11365.24</v>
      </c>
      <c r="N112" s="170">
        <f t="shared" si="48"/>
        <v>11365.24</v>
      </c>
      <c r="O112" s="170">
        <f t="shared" si="49"/>
        <v>315.70111111111112</v>
      </c>
      <c r="P112" s="170">
        <f t="shared" si="50"/>
        <v>3788.4133333333334</v>
      </c>
      <c r="Q112" s="170">
        <f t="shared" si="51"/>
        <v>0</v>
      </c>
      <c r="R112" s="170"/>
      <c r="S112" s="170">
        <f t="shared" si="52"/>
        <v>11365.24</v>
      </c>
      <c r="T112" s="170">
        <f t="shared" si="53"/>
        <v>11365.24</v>
      </c>
      <c r="U112" s="170">
        <f t="shared" si="54"/>
        <v>0</v>
      </c>
    </row>
    <row r="113" spans="1:21" ht="13.5" customHeight="1">
      <c r="A113" s="3" t="s">
        <v>40</v>
      </c>
      <c r="B113" s="3">
        <v>120339</v>
      </c>
      <c r="C113" s="3">
        <v>1</v>
      </c>
      <c r="E113" s="3" t="s">
        <v>326</v>
      </c>
      <c r="F113" s="3">
        <v>2015</v>
      </c>
      <c r="G113" s="3">
        <v>2</v>
      </c>
      <c r="H113" s="3">
        <v>0</v>
      </c>
      <c r="I113" s="3" t="s">
        <v>52</v>
      </c>
      <c r="J113" s="3">
        <v>3</v>
      </c>
      <c r="K113" s="3">
        <f t="shared" si="46"/>
        <v>2018</v>
      </c>
      <c r="L113" s="173">
        <f t="shared" si="47"/>
        <v>2018.1666666666667</v>
      </c>
      <c r="M113" s="170">
        <v>747.14</v>
      </c>
      <c r="N113" s="170">
        <f t="shared" si="48"/>
        <v>747.14</v>
      </c>
      <c r="O113" s="170">
        <f t="shared" si="49"/>
        <v>20.753888888888888</v>
      </c>
      <c r="P113" s="170">
        <f t="shared" si="50"/>
        <v>249.04666666666665</v>
      </c>
      <c r="Q113" s="170">
        <f t="shared" si="51"/>
        <v>0</v>
      </c>
      <c r="R113" s="170"/>
      <c r="S113" s="170">
        <f t="shared" si="52"/>
        <v>747.14</v>
      </c>
      <c r="T113" s="170">
        <f t="shared" si="53"/>
        <v>747.14</v>
      </c>
      <c r="U113" s="170">
        <f t="shared" si="54"/>
        <v>0</v>
      </c>
    </row>
    <row r="114" spans="1:21" ht="13.5" customHeight="1">
      <c r="A114" s="3" t="s">
        <v>40</v>
      </c>
      <c r="B114" s="3">
        <v>122827</v>
      </c>
      <c r="C114" s="3">
        <v>3</v>
      </c>
      <c r="E114" s="3" t="s">
        <v>327</v>
      </c>
      <c r="F114" s="3">
        <v>2015</v>
      </c>
      <c r="G114" s="3">
        <v>5</v>
      </c>
      <c r="H114" s="3">
        <v>0</v>
      </c>
      <c r="I114" s="3" t="s">
        <v>52</v>
      </c>
      <c r="J114" s="3">
        <v>3</v>
      </c>
      <c r="K114" s="3">
        <f t="shared" si="46"/>
        <v>2018</v>
      </c>
      <c r="L114" s="173">
        <f t="shared" si="47"/>
        <v>2018.4166666666667</v>
      </c>
      <c r="M114" s="170">
        <v>3126.31</v>
      </c>
      <c r="N114" s="170">
        <f t="shared" si="48"/>
        <v>3126.31</v>
      </c>
      <c r="O114" s="170">
        <f t="shared" si="49"/>
        <v>86.841944444444437</v>
      </c>
      <c r="P114" s="170">
        <f t="shared" si="50"/>
        <v>1042.1033333333332</v>
      </c>
      <c r="Q114" s="170">
        <f t="shared" si="51"/>
        <v>0</v>
      </c>
      <c r="R114" s="170"/>
      <c r="S114" s="170">
        <f t="shared" si="52"/>
        <v>3126.31</v>
      </c>
      <c r="T114" s="170">
        <f t="shared" si="53"/>
        <v>3126.31</v>
      </c>
      <c r="U114" s="170">
        <f t="shared" si="54"/>
        <v>0</v>
      </c>
    </row>
    <row r="115" spans="1:21" ht="13.5" customHeight="1">
      <c r="A115" s="3" t="s">
        <v>40</v>
      </c>
      <c r="B115" s="3">
        <v>127696</v>
      </c>
      <c r="E115" s="3" t="s">
        <v>334</v>
      </c>
      <c r="F115" s="3">
        <v>2015</v>
      </c>
      <c r="G115" s="3">
        <v>11</v>
      </c>
      <c r="H115" s="3">
        <v>0</v>
      </c>
      <c r="I115" s="3" t="s">
        <v>52</v>
      </c>
      <c r="J115" s="3">
        <v>3</v>
      </c>
      <c r="K115" s="3">
        <f t="shared" si="46"/>
        <v>2018</v>
      </c>
      <c r="L115" s="173">
        <f t="shared" si="47"/>
        <v>2018.9166666666667</v>
      </c>
      <c r="M115" s="170">
        <v>864.3</v>
      </c>
      <c r="N115" s="170">
        <f t="shared" si="48"/>
        <v>864.3</v>
      </c>
      <c r="O115" s="170">
        <f t="shared" si="49"/>
        <v>24.008333333333329</v>
      </c>
      <c r="P115" s="170">
        <f t="shared" si="50"/>
        <v>288.09999999999997</v>
      </c>
      <c r="Q115" s="170">
        <f t="shared" si="51"/>
        <v>0</v>
      </c>
      <c r="R115" s="170"/>
      <c r="S115" s="170">
        <f t="shared" si="52"/>
        <v>864.3</v>
      </c>
      <c r="T115" s="170">
        <f t="shared" si="53"/>
        <v>864.3</v>
      </c>
      <c r="U115" s="170">
        <f t="shared" si="54"/>
        <v>0</v>
      </c>
    </row>
    <row r="116" spans="1:21" ht="13.5" customHeight="1">
      <c r="A116" s="3" t="s">
        <v>40</v>
      </c>
      <c r="B116" s="3">
        <v>128907</v>
      </c>
      <c r="E116" s="3" t="s">
        <v>335</v>
      </c>
      <c r="F116" s="3">
        <v>2015</v>
      </c>
      <c r="G116" s="3">
        <v>12</v>
      </c>
      <c r="H116" s="3">
        <v>0</v>
      </c>
      <c r="I116" s="3" t="s">
        <v>52</v>
      </c>
      <c r="J116" s="3">
        <v>3</v>
      </c>
      <c r="K116" s="3">
        <f t="shared" si="46"/>
        <v>2018</v>
      </c>
      <c r="L116" s="173">
        <f t="shared" si="47"/>
        <v>2019</v>
      </c>
      <c r="M116" s="170">
        <v>1141.1300000000001</v>
      </c>
      <c r="N116" s="170">
        <f t="shared" si="48"/>
        <v>1141.1300000000001</v>
      </c>
      <c r="O116" s="170">
        <f t="shared" si="49"/>
        <v>31.698055555555559</v>
      </c>
      <c r="P116" s="170">
        <f t="shared" si="50"/>
        <v>380.37666666666672</v>
      </c>
      <c r="Q116" s="170">
        <f t="shared" si="51"/>
        <v>0</v>
      </c>
      <c r="R116" s="170"/>
      <c r="S116" s="170">
        <f t="shared" si="52"/>
        <v>1141.1300000000001</v>
      </c>
      <c r="T116" s="170">
        <f t="shared" si="53"/>
        <v>1141.1300000000001</v>
      </c>
      <c r="U116" s="170">
        <f t="shared" si="54"/>
        <v>0</v>
      </c>
    </row>
    <row r="117" spans="1:21" ht="13.5" customHeight="1">
      <c r="A117" s="3" t="s">
        <v>40</v>
      </c>
      <c r="B117" s="3">
        <v>129801</v>
      </c>
      <c r="C117" s="3">
        <v>2</v>
      </c>
      <c r="E117" s="3" t="s">
        <v>401</v>
      </c>
      <c r="F117" s="3">
        <v>2016</v>
      </c>
      <c r="G117" s="3">
        <v>1</v>
      </c>
      <c r="H117" s="3">
        <v>0</v>
      </c>
      <c r="I117" s="3" t="s">
        <v>52</v>
      </c>
      <c r="J117" s="3">
        <v>3</v>
      </c>
      <c r="K117" s="3">
        <f t="shared" si="46"/>
        <v>2019</v>
      </c>
      <c r="L117" s="173">
        <f t="shared" si="47"/>
        <v>2019.0833333333333</v>
      </c>
      <c r="M117" s="170">
        <v>780.68</v>
      </c>
      <c r="N117" s="170">
        <f t="shared" si="48"/>
        <v>780.68</v>
      </c>
      <c r="O117" s="170">
        <f t="shared" si="49"/>
        <v>21.685555555555553</v>
      </c>
      <c r="P117" s="170">
        <f t="shared" si="50"/>
        <v>260.22666666666663</v>
      </c>
      <c r="Q117" s="170">
        <f t="shared" si="51"/>
        <v>260.22666666666663</v>
      </c>
      <c r="R117" s="170"/>
      <c r="S117" s="170">
        <f t="shared" si="52"/>
        <v>260.22666666666663</v>
      </c>
      <c r="T117" s="170">
        <f t="shared" si="53"/>
        <v>520.45333333333326</v>
      </c>
      <c r="U117" s="170">
        <f t="shared" si="54"/>
        <v>390.34000000000003</v>
      </c>
    </row>
    <row r="118" spans="1:21" ht="13.5" customHeight="1">
      <c r="A118" s="3" t="s">
        <v>40</v>
      </c>
      <c r="B118" s="3">
        <v>133016</v>
      </c>
      <c r="C118" s="3">
        <v>20</v>
      </c>
      <c r="E118" s="3" t="s">
        <v>400</v>
      </c>
      <c r="F118" s="3">
        <v>2016</v>
      </c>
      <c r="G118" s="3">
        <v>5</v>
      </c>
      <c r="H118" s="3">
        <v>0</v>
      </c>
      <c r="I118" s="3" t="s">
        <v>52</v>
      </c>
      <c r="J118" s="3">
        <v>3</v>
      </c>
      <c r="K118" s="3">
        <f t="shared" si="46"/>
        <v>2019</v>
      </c>
      <c r="L118" s="173">
        <f t="shared" si="47"/>
        <v>2019.4166666666667</v>
      </c>
      <c r="M118" s="170">
        <v>2417.6999999999998</v>
      </c>
      <c r="N118" s="170">
        <f t="shared" si="48"/>
        <v>2417.6999999999998</v>
      </c>
      <c r="O118" s="170">
        <f t="shared" si="49"/>
        <v>67.158333333333331</v>
      </c>
      <c r="P118" s="170">
        <f t="shared" si="50"/>
        <v>805.9</v>
      </c>
      <c r="Q118" s="170">
        <f t="shared" si="51"/>
        <v>805.9</v>
      </c>
      <c r="R118" s="170"/>
      <c r="S118" s="170">
        <f t="shared" si="52"/>
        <v>805.9</v>
      </c>
      <c r="T118" s="170">
        <f t="shared" si="53"/>
        <v>1611.8</v>
      </c>
      <c r="U118" s="170">
        <f t="shared" si="54"/>
        <v>1208.8499999999999</v>
      </c>
    </row>
    <row r="119" spans="1:21" ht="13.5" customHeight="1">
      <c r="A119" s="3" t="s">
        <v>40</v>
      </c>
      <c r="B119" s="3">
        <v>133017</v>
      </c>
      <c r="E119" s="3" t="s">
        <v>402</v>
      </c>
      <c r="F119" s="3">
        <v>2016</v>
      </c>
      <c r="G119" s="3">
        <v>5</v>
      </c>
      <c r="H119" s="3">
        <v>0</v>
      </c>
      <c r="I119" s="3" t="s">
        <v>52</v>
      </c>
      <c r="J119" s="3">
        <v>3</v>
      </c>
      <c r="K119" s="3">
        <f t="shared" si="46"/>
        <v>2019</v>
      </c>
      <c r="L119" s="173">
        <f t="shared" si="47"/>
        <v>2019.4166666666667</v>
      </c>
      <c r="M119" s="170">
        <v>1121.76</v>
      </c>
      <c r="N119" s="170">
        <f t="shared" si="48"/>
        <v>1121.76</v>
      </c>
      <c r="O119" s="170">
        <f t="shared" si="49"/>
        <v>31.16</v>
      </c>
      <c r="P119" s="170">
        <f t="shared" si="50"/>
        <v>373.92</v>
      </c>
      <c r="Q119" s="170">
        <f t="shared" si="51"/>
        <v>373.92</v>
      </c>
      <c r="R119" s="170"/>
      <c r="S119" s="170">
        <f t="shared" si="52"/>
        <v>373.92</v>
      </c>
      <c r="T119" s="170">
        <f t="shared" si="53"/>
        <v>747.84</v>
      </c>
      <c r="U119" s="170">
        <f t="shared" si="54"/>
        <v>560.87999999999988</v>
      </c>
    </row>
    <row r="120" spans="1:21" ht="13.5" customHeight="1">
      <c r="A120" s="3" t="s">
        <v>40</v>
      </c>
      <c r="B120" s="3">
        <v>165562</v>
      </c>
      <c r="E120" s="3" t="s">
        <v>335</v>
      </c>
      <c r="F120" s="3">
        <v>2016</v>
      </c>
      <c r="G120" s="3">
        <v>4</v>
      </c>
      <c r="H120" s="3">
        <v>0</v>
      </c>
      <c r="I120" s="3" t="s">
        <v>52</v>
      </c>
      <c r="J120" s="3">
        <v>3</v>
      </c>
      <c r="K120" s="3">
        <f t="shared" si="46"/>
        <v>2019</v>
      </c>
      <c r="L120" s="173">
        <f t="shared" si="47"/>
        <v>2019.3333333333333</v>
      </c>
      <c r="M120" s="170">
        <v>1019.16</v>
      </c>
      <c r="N120" s="170">
        <f t="shared" si="48"/>
        <v>1019.16</v>
      </c>
      <c r="O120" s="170">
        <f t="shared" si="49"/>
        <v>28.31</v>
      </c>
      <c r="P120" s="170">
        <f t="shared" si="50"/>
        <v>339.71999999999997</v>
      </c>
      <c r="Q120" s="170">
        <f t="shared" si="51"/>
        <v>339.71999999999997</v>
      </c>
      <c r="R120" s="170"/>
      <c r="S120" s="170">
        <f t="shared" si="52"/>
        <v>339.71999999999997</v>
      </c>
      <c r="T120" s="170">
        <f t="shared" si="53"/>
        <v>679.43999999999994</v>
      </c>
      <c r="U120" s="170">
        <f t="shared" si="54"/>
        <v>509.58000000000004</v>
      </c>
    </row>
    <row r="121" spans="1:21" ht="13.5" customHeight="1">
      <c r="A121" s="3" t="s">
        <v>40</v>
      </c>
      <c r="B121" s="3">
        <v>165855</v>
      </c>
      <c r="E121" s="3" t="s">
        <v>405</v>
      </c>
      <c r="F121" s="3">
        <v>2016</v>
      </c>
      <c r="G121" s="3">
        <v>7</v>
      </c>
      <c r="H121" s="3">
        <v>0</v>
      </c>
      <c r="I121" s="3" t="s">
        <v>52</v>
      </c>
      <c r="J121" s="3">
        <v>3</v>
      </c>
      <c r="K121" s="3">
        <f t="shared" si="46"/>
        <v>2019</v>
      </c>
      <c r="L121" s="173">
        <f t="shared" si="47"/>
        <v>2019.5833333333333</v>
      </c>
      <c r="M121" s="170">
        <v>1237.49</v>
      </c>
      <c r="N121" s="170">
        <f t="shared" si="48"/>
        <v>1237.49</v>
      </c>
      <c r="O121" s="170">
        <f t="shared" si="49"/>
        <v>34.374722222222225</v>
      </c>
      <c r="P121" s="170">
        <f t="shared" si="50"/>
        <v>412.49666666666667</v>
      </c>
      <c r="Q121" s="170">
        <f t="shared" si="51"/>
        <v>412.49666666666667</v>
      </c>
      <c r="R121" s="170"/>
      <c r="S121" s="170">
        <f t="shared" si="52"/>
        <v>412.49666666666667</v>
      </c>
      <c r="T121" s="170">
        <f t="shared" si="53"/>
        <v>824.99333333333334</v>
      </c>
      <c r="U121" s="170">
        <f t="shared" si="54"/>
        <v>618.745</v>
      </c>
    </row>
    <row r="122" spans="1:21" ht="13.5" customHeight="1">
      <c r="A122" s="3" t="s">
        <v>40</v>
      </c>
      <c r="B122" s="3">
        <v>168021</v>
      </c>
      <c r="C122" s="3">
        <v>8</v>
      </c>
      <c r="E122" s="3" t="s">
        <v>410</v>
      </c>
      <c r="F122" s="3">
        <v>2016</v>
      </c>
      <c r="G122" s="3">
        <v>9</v>
      </c>
      <c r="H122" s="3">
        <v>0</v>
      </c>
      <c r="I122" s="3" t="s">
        <v>52</v>
      </c>
      <c r="J122" s="3">
        <v>3</v>
      </c>
      <c r="K122" s="3">
        <f t="shared" si="46"/>
        <v>2019</v>
      </c>
      <c r="L122" s="173">
        <f t="shared" si="47"/>
        <v>2019.75</v>
      </c>
      <c r="M122" s="170">
        <v>993.08</v>
      </c>
      <c r="N122" s="170">
        <f t="shared" si="48"/>
        <v>993.08</v>
      </c>
      <c r="O122" s="170">
        <f t="shared" si="49"/>
        <v>27.585555555555558</v>
      </c>
      <c r="P122" s="170">
        <f t="shared" si="50"/>
        <v>331.0266666666667</v>
      </c>
      <c r="Q122" s="170">
        <f t="shared" si="51"/>
        <v>331.0266666666667</v>
      </c>
      <c r="R122" s="170"/>
      <c r="S122" s="170">
        <f t="shared" si="52"/>
        <v>331.0266666666667</v>
      </c>
      <c r="T122" s="170">
        <f t="shared" si="53"/>
        <v>662.0533333333334</v>
      </c>
      <c r="U122" s="170">
        <f t="shared" si="54"/>
        <v>496.53999999999996</v>
      </c>
    </row>
    <row r="123" spans="1:21" ht="13.5" customHeight="1">
      <c r="B123" s="3">
        <v>174545</v>
      </c>
      <c r="E123" s="3" t="s">
        <v>577</v>
      </c>
      <c r="F123" s="3">
        <v>2017</v>
      </c>
      <c r="G123" s="3">
        <v>1</v>
      </c>
      <c r="H123" s="3">
        <v>0</v>
      </c>
      <c r="I123" s="3" t="s">
        <v>52</v>
      </c>
      <c r="J123" s="3">
        <v>3</v>
      </c>
      <c r="K123" s="3">
        <f t="shared" si="46"/>
        <v>2020</v>
      </c>
      <c r="L123" s="173">
        <f t="shared" si="47"/>
        <v>2020.0833333333333</v>
      </c>
      <c r="M123" s="170">
        <v>1197.03</v>
      </c>
      <c r="N123" s="170">
        <f t="shared" si="48"/>
        <v>1197.03</v>
      </c>
      <c r="O123" s="170">
        <f t="shared" si="49"/>
        <v>33.250833333333333</v>
      </c>
      <c r="P123" s="170">
        <f t="shared" si="50"/>
        <v>399.01</v>
      </c>
      <c r="Q123" s="170">
        <f t="shared" si="51"/>
        <v>399.01</v>
      </c>
      <c r="R123" s="170"/>
      <c r="S123" s="170">
        <f t="shared" si="52"/>
        <v>0</v>
      </c>
      <c r="T123" s="170">
        <f t="shared" si="53"/>
        <v>399.01</v>
      </c>
      <c r="U123" s="170">
        <f t="shared" si="54"/>
        <v>997.52499999999998</v>
      </c>
    </row>
    <row r="124" spans="1:21" ht="13.5" customHeight="1">
      <c r="B124" s="3">
        <v>180514</v>
      </c>
      <c r="E124" s="3" t="s">
        <v>578</v>
      </c>
      <c r="F124" s="3">
        <v>2017</v>
      </c>
      <c r="G124" s="3">
        <v>1</v>
      </c>
      <c r="H124" s="3">
        <v>0</v>
      </c>
      <c r="I124" s="3" t="s">
        <v>52</v>
      </c>
      <c r="J124" s="3">
        <v>2</v>
      </c>
      <c r="K124" s="3">
        <f t="shared" si="46"/>
        <v>2019</v>
      </c>
      <c r="L124" s="173">
        <f t="shared" si="47"/>
        <v>2019.0833333333333</v>
      </c>
      <c r="M124" s="170">
        <v>6944.72</v>
      </c>
      <c r="N124" s="170">
        <f t="shared" si="48"/>
        <v>6944.72</v>
      </c>
      <c r="O124" s="170">
        <f t="shared" si="49"/>
        <v>289.36333333333334</v>
      </c>
      <c r="P124" s="170">
        <f t="shared" si="50"/>
        <v>3472.36</v>
      </c>
      <c r="Q124" s="170">
        <f t="shared" si="51"/>
        <v>3472.36</v>
      </c>
      <c r="R124" s="170"/>
      <c r="S124" s="170">
        <f t="shared" si="52"/>
        <v>0</v>
      </c>
      <c r="T124" s="170">
        <f t="shared" si="53"/>
        <v>3472.36</v>
      </c>
      <c r="U124" s="170">
        <f t="shared" si="54"/>
        <v>5208.54</v>
      </c>
    </row>
    <row r="125" spans="1:21" ht="13.5" customHeight="1">
      <c r="B125" s="3">
        <v>178939</v>
      </c>
      <c r="E125" s="3" t="s">
        <v>579</v>
      </c>
      <c r="F125" s="3">
        <v>2017</v>
      </c>
      <c r="G125" s="3">
        <v>2</v>
      </c>
      <c r="H125" s="3">
        <v>0</v>
      </c>
      <c r="I125" s="3" t="s">
        <v>52</v>
      </c>
      <c r="J125" s="3">
        <v>5</v>
      </c>
      <c r="K125" s="3">
        <f t="shared" si="46"/>
        <v>2022</v>
      </c>
      <c r="L125" s="173">
        <f t="shared" si="47"/>
        <v>2022.1666666666667</v>
      </c>
      <c r="M125" s="170">
        <v>435.41</v>
      </c>
      <c r="N125" s="170">
        <f t="shared" si="48"/>
        <v>435.41</v>
      </c>
      <c r="O125" s="170">
        <f t="shared" si="49"/>
        <v>7.2568333333333337</v>
      </c>
      <c r="P125" s="170">
        <f t="shared" si="50"/>
        <v>87.082000000000008</v>
      </c>
      <c r="Q125" s="170">
        <f t="shared" si="51"/>
        <v>87.082000000000008</v>
      </c>
      <c r="R125" s="170"/>
      <c r="S125" s="170">
        <f t="shared" si="52"/>
        <v>0</v>
      </c>
      <c r="T125" s="170">
        <f t="shared" si="53"/>
        <v>87.082000000000008</v>
      </c>
      <c r="U125" s="170">
        <f t="shared" si="54"/>
        <v>391.86900000000003</v>
      </c>
    </row>
    <row r="126" spans="1:21" ht="13.5" customHeight="1">
      <c r="B126" s="3">
        <v>199577</v>
      </c>
      <c r="E126" s="3" t="s">
        <v>601</v>
      </c>
      <c r="F126" s="3">
        <v>2018</v>
      </c>
      <c r="G126" s="3">
        <v>5</v>
      </c>
      <c r="H126" s="3">
        <v>0</v>
      </c>
      <c r="I126" s="3" t="s">
        <v>52</v>
      </c>
      <c r="J126" s="3">
        <v>3</v>
      </c>
      <c r="K126" s="3">
        <f t="shared" si="46"/>
        <v>2021</v>
      </c>
      <c r="L126" s="173">
        <f t="shared" si="47"/>
        <v>2021.4166666666667</v>
      </c>
      <c r="M126" s="170">
        <v>2910</v>
      </c>
      <c r="N126" s="170">
        <f t="shared" si="48"/>
        <v>2910</v>
      </c>
      <c r="O126" s="170">
        <f t="shared" si="49"/>
        <v>80.833333333333329</v>
      </c>
      <c r="P126" s="170">
        <f t="shared" si="50"/>
        <v>970</v>
      </c>
      <c r="Q126" s="170">
        <f t="shared" si="51"/>
        <v>970</v>
      </c>
      <c r="R126" s="170"/>
      <c r="S126" s="170">
        <f t="shared" si="52"/>
        <v>0</v>
      </c>
      <c r="T126" s="170">
        <f t="shared" si="53"/>
        <v>970</v>
      </c>
      <c r="U126" s="170">
        <f t="shared" si="54"/>
        <v>2425</v>
      </c>
    </row>
    <row r="127" spans="1:21" s="203" customFormat="1" ht="13.5" customHeight="1">
      <c r="B127" s="203">
        <v>201178</v>
      </c>
      <c r="E127" s="203" t="s">
        <v>917</v>
      </c>
      <c r="F127" s="203">
        <v>2018</v>
      </c>
      <c r="G127" s="203">
        <v>8</v>
      </c>
      <c r="H127" s="203">
        <v>0</v>
      </c>
      <c r="I127" s="203" t="s">
        <v>52</v>
      </c>
      <c r="J127" s="203">
        <v>3</v>
      </c>
      <c r="K127" s="203">
        <f t="shared" si="46"/>
        <v>2021</v>
      </c>
      <c r="L127" s="208">
        <f t="shared" si="47"/>
        <v>2021.6666666666667</v>
      </c>
      <c r="M127" s="205">
        <v>1365.39</v>
      </c>
      <c r="N127" s="205">
        <f>M127-M127*H127</f>
        <v>1365.39</v>
      </c>
      <c r="O127" s="205">
        <f>N127/J127/12</f>
        <v>37.927500000000002</v>
      </c>
      <c r="P127" s="205">
        <f>+O127*12</f>
        <v>455.13</v>
      </c>
      <c r="Q127" s="205">
        <f>+IF(L127&lt;=$N$5,0,IF(K127&gt;$N$4,P127,(O127*G127)))</f>
        <v>455.13</v>
      </c>
      <c r="R127" s="205"/>
      <c r="S127" s="205">
        <f>+IF(Q127=0,M127,IF($N$3-F127&lt;1,0,(($N$3-F127)*P127)))</f>
        <v>0</v>
      </c>
      <c r="T127" s="205">
        <f>+IF(Q127=0,S127,S127+Q127)</f>
        <v>455.13</v>
      </c>
      <c r="U127" s="205">
        <f>+IF(Q127=0,0,((M127-S127)+(M127-T127))/2)</f>
        <v>1137.825</v>
      </c>
    </row>
    <row r="128" spans="1:21" s="203" customFormat="1" ht="13.5" customHeight="1">
      <c r="B128" s="203">
        <v>200782</v>
      </c>
      <c r="E128" s="203" t="s">
        <v>918</v>
      </c>
      <c r="F128" s="203">
        <v>2018</v>
      </c>
      <c r="G128" s="203">
        <v>7</v>
      </c>
      <c r="H128" s="203">
        <v>0</v>
      </c>
      <c r="I128" s="203" t="s">
        <v>52</v>
      </c>
      <c r="J128" s="203">
        <v>3</v>
      </c>
      <c r="K128" s="203">
        <f t="shared" si="46"/>
        <v>2021</v>
      </c>
      <c r="L128" s="208">
        <f t="shared" si="47"/>
        <v>2021.5833333333333</v>
      </c>
      <c r="M128" s="205">
        <v>2910</v>
      </c>
      <c r="N128" s="205">
        <f>M128-M128*H128</f>
        <v>2910</v>
      </c>
      <c r="O128" s="205">
        <f>N128/J128/12</f>
        <v>80.833333333333329</v>
      </c>
      <c r="P128" s="205">
        <f>+O128*12</f>
        <v>970</v>
      </c>
      <c r="Q128" s="205">
        <f>+IF(L128&lt;=$N$5,0,IF(K128&gt;$N$4,P128,(O128*G128)))</f>
        <v>970</v>
      </c>
      <c r="R128" s="205"/>
      <c r="S128" s="205">
        <f>+IF(Q128=0,M128,IF($N$3-F128&lt;1,0,(($N$3-F128)*P128)))</f>
        <v>0</v>
      </c>
      <c r="T128" s="205">
        <f>+IF(Q128=0,S128,S128+Q128)</f>
        <v>970</v>
      </c>
      <c r="U128" s="205">
        <f>+IF(Q128=0,0,((M128-S128)+(M128-T128))/2)</f>
        <v>2425</v>
      </c>
    </row>
    <row r="129" spans="2:21" ht="13.5" customHeight="1">
      <c r="L129" s="173"/>
      <c r="M129" s="170"/>
      <c r="N129" s="170"/>
      <c r="O129" s="170"/>
      <c r="P129" s="170"/>
      <c r="Q129" s="170"/>
      <c r="R129" s="170"/>
      <c r="S129" s="170"/>
      <c r="T129" s="170"/>
      <c r="U129" s="170"/>
    </row>
    <row r="130" spans="2:21" ht="13.5" customHeight="1">
      <c r="C130" s="3" t="s">
        <v>57</v>
      </c>
      <c r="E130" s="169" t="s">
        <v>146</v>
      </c>
      <c r="F130" s="169"/>
      <c r="G130" s="169"/>
      <c r="H130" s="169"/>
      <c r="I130" s="169"/>
      <c r="J130" s="169"/>
      <c r="K130" s="169"/>
      <c r="L130" s="174"/>
      <c r="M130" s="171">
        <f>SUM(M99:M129)</f>
        <v>151598.75000000003</v>
      </c>
      <c r="N130" s="171">
        <f>SUM(N99:N129)</f>
        <v>151598.75000000003</v>
      </c>
      <c r="O130" s="171">
        <f>SUM(O99:O129)</f>
        <v>3090.9551666666666</v>
      </c>
      <c r="P130" s="171">
        <f>SUM(P99:P129)</f>
        <v>37091.462</v>
      </c>
      <c r="Q130" s="171">
        <f>SUM(Q99:Q129)</f>
        <v>8876.8719999999994</v>
      </c>
      <c r="R130" s="171">
        <f>SUM(R100:R129)</f>
        <v>0</v>
      </c>
      <c r="S130" s="171">
        <f>SUM(S99:S129)</f>
        <v>130789.62000000002</v>
      </c>
      <c r="T130" s="171">
        <f>SUM(T99:T129)</f>
        <v>139666.49200000006</v>
      </c>
      <c r="U130" s="171">
        <f>SUM(U99:U129)</f>
        <v>16370.694000000001</v>
      </c>
    </row>
    <row r="131" spans="2:21" ht="13.5" customHeight="1">
      <c r="L131" s="173"/>
      <c r="M131" s="170"/>
      <c r="N131" s="170"/>
      <c r="O131" s="170"/>
      <c r="P131" s="170"/>
      <c r="Q131" s="170"/>
      <c r="R131" s="170"/>
      <c r="S131" s="170"/>
      <c r="T131" s="170"/>
      <c r="U131" s="170"/>
    </row>
    <row r="132" spans="2:21" ht="13.5" customHeight="1">
      <c r="L132" s="173"/>
      <c r="M132" s="170"/>
      <c r="N132" s="170"/>
      <c r="O132" s="170"/>
      <c r="P132" s="170"/>
      <c r="Q132" s="170"/>
      <c r="R132" s="170"/>
      <c r="S132" s="170"/>
      <c r="T132" s="170"/>
      <c r="U132" s="170"/>
    </row>
    <row r="133" spans="2:21" ht="13.5" customHeight="1">
      <c r="L133" s="173"/>
      <c r="M133" s="170"/>
      <c r="N133" s="170"/>
      <c r="O133" s="170"/>
      <c r="P133" s="170"/>
      <c r="Q133" s="170"/>
      <c r="R133" s="170"/>
      <c r="S133" s="170"/>
      <c r="T133" s="170"/>
      <c r="U133" s="170"/>
    </row>
    <row r="134" spans="2:21" ht="13.5" customHeight="1">
      <c r="L134" s="173"/>
      <c r="M134" s="170"/>
      <c r="N134" s="170"/>
      <c r="O134" s="170"/>
      <c r="P134" s="170"/>
      <c r="Q134" s="170"/>
      <c r="R134" s="170"/>
      <c r="S134" s="170"/>
      <c r="T134" s="170"/>
      <c r="U134" s="170"/>
    </row>
    <row r="135" spans="2:21" ht="13.5" customHeight="1">
      <c r="E135" s="182" t="s">
        <v>592</v>
      </c>
      <c r="L135" s="173"/>
      <c r="M135" s="170"/>
      <c r="N135" s="170"/>
      <c r="O135" s="170"/>
      <c r="P135" s="170"/>
      <c r="Q135" s="170"/>
      <c r="R135" s="170"/>
      <c r="S135" s="170"/>
      <c r="T135" s="170"/>
      <c r="U135" s="170"/>
    </row>
    <row r="136" spans="2:21" ht="13.5" customHeight="1">
      <c r="B136" s="3">
        <v>173075</v>
      </c>
      <c r="E136" s="3" t="s">
        <v>593</v>
      </c>
      <c r="F136" s="3">
        <v>1998</v>
      </c>
      <c r="G136" s="3">
        <v>12</v>
      </c>
      <c r="H136" s="3">
        <v>1</v>
      </c>
      <c r="I136" s="3" t="s">
        <v>52</v>
      </c>
      <c r="J136" s="3">
        <v>0</v>
      </c>
      <c r="K136" s="197">
        <f t="shared" ref="K136" si="55">F136+J136</f>
        <v>1998</v>
      </c>
      <c r="L136" s="173">
        <f t="shared" ref="L136" si="56">+K136+(G136/12)</f>
        <v>1999</v>
      </c>
      <c r="M136" s="170">
        <v>12084.87</v>
      </c>
      <c r="N136" s="196"/>
      <c r="O136" s="206"/>
      <c r="P136" s="196"/>
      <c r="Q136" s="196"/>
      <c r="R136" s="196"/>
      <c r="S136" s="196"/>
      <c r="T136" s="196"/>
      <c r="U136" s="196"/>
    </row>
    <row r="137" spans="2:21" ht="13.5" customHeight="1">
      <c r="L137" s="173"/>
      <c r="M137" s="170"/>
      <c r="N137" s="170"/>
      <c r="O137" s="170"/>
      <c r="P137" s="170"/>
      <c r="Q137" s="170"/>
      <c r="R137" s="170"/>
      <c r="S137" s="170"/>
      <c r="T137" s="170"/>
      <c r="U137" s="170"/>
    </row>
    <row r="138" spans="2:21" ht="13.5" customHeight="1">
      <c r="E138" s="169" t="s">
        <v>594</v>
      </c>
      <c r="F138" s="169"/>
      <c r="G138" s="169"/>
      <c r="H138" s="169"/>
      <c r="I138" s="169"/>
      <c r="J138" s="169"/>
      <c r="K138" s="169"/>
      <c r="L138" s="174"/>
      <c r="M138" s="171">
        <f>+SUM(M136:M137)</f>
        <v>12084.87</v>
      </c>
      <c r="N138" s="171">
        <f t="shared" ref="N138:U138" si="57">+SUM(N136:N137)</f>
        <v>0</v>
      </c>
      <c r="O138" s="171">
        <f t="shared" si="57"/>
        <v>0</v>
      </c>
      <c r="P138" s="171">
        <f t="shared" si="57"/>
        <v>0</v>
      </c>
      <c r="Q138" s="171">
        <f t="shared" si="57"/>
        <v>0</v>
      </c>
      <c r="R138" s="171"/>
      <c r="S138" s="171">
        <f t="shared" si="57"/>
        <v>0</v>
      </c>
      <c r="T138" s="171">
        <f t="shared" si="57"/>
        <v>0</v>
      </c>
      <c r="U138" s="171">
        <f t="shared" si="57"/>
        <v>0</v>
      </c>
    </row>
    <row r="139" spans="2:21" ht="13.5" customHeight="1">
      <c r="L139" s="173"/>
      <c r="M139" s="170"/>
      <c r="N139" s="170"/>
      <c r="O139" s="170"/>
      <c r="P139" s="170"/>
      <c r="Q139" s="170"/>
      <c r="R139" s="170"/>
      <c r="S139" s="170"/>
      <c r="T139" s="170"/>
      <c r="U139" s="170"/>
    </row>
    <row r="140" spans="2:21" ht="13.5" customHeight="1">
      <c r="E140" s="169" t="s">
        <v>893</v>
      </c>
      <c r="F140" s="169"/>
      <c r="G140" s="169"/>
      <c r="H140" s="169"/>
      <c r="I140" s="169"/>
      <c r="J140" s="169"/>
      <c r="K140" s="169"/>
      <c r="L140" s="174"/>
      <c r="M140" s="171">
        <f>SUM(M130,M96,M54,M39,M18)</f>
        <v>13308979.578571428</v>
      </c>
      <c r="N140" s="171">
        <f t="shared" ref="N140:U140" si="58">SUM(N130,N96,N54,N39,N18)</f>
        <v>13308979.578571428</v>
      </c>
      <c r="O140" s="171">
        <f t="shared" si="58"/>
        <v>56412.877048260627</v>
      </c>
      <c r="P140" s="171">
        <f t="shared" si="58"/>
        <v>676954.52457912755</v>
      </c>
      <c r="Q140" s="171">
        <f t="shared" si="58"/>
        <v>566678.67571246088</v>
      </c>
      <c r="R140" s="171">
        <f t="shared" si="58"/>
        <v>0</v>
      </c>
      <c r="S140" s="171">
        <f t="shared" si="58"/>
        <v>2985038.3159047621</v>
      </c>
      <c r="T140" s="171">
        <f t="shared" si="58"/>
        <v>3551716.9916172228</v>
      </c>
      <c r="U140" s="171">
        <f t="shared" si="58"/>
        <v>10040601.924810434</v>
      </c>
    </row>
    <row r="141" spans="2:21" ht="13.5" customHeight="1">
      <c r="L141" s="173"/>
      <c r="M141" s="170"/>
      <c r="N141" s="170"/>
      <c r="O141" s="170"/>
      <c r="P141" s="170"/>
      <c r="Q141" s="170"/>
      <c r="R141" s="170"/>
      <c r="S141" s="170"/>
      <c r="T141" s="170"/>
      <c r="U141" s="170"/>
    </row>
    <row r="142" spans="2:21" ht="13.5" customHeight="1">
      <c r="L142" s="170"/>
      <c r="M142" s="170"/>
      <c r="N142" s="170"/>
      <c r="O142" s="170"/>
      <c r="P142" s="170"/>
      <c r="Q142" s="170"/>
      <c r="R142" s="170"/>
      <c r="S142" s="170"/>
      <c r="T142" s="170"/>
      <c r="U142" s="170"/>
    </row>
    <row r="143" spans="2:21" ht="13.5" customHeight="1">
      <c r="L143" s="170"/>
      <c r="M143" s="170"/>
      <c r="N143" s="170"/>
      <c r="O143" s="170"/>
      <c r="P143" s="170"/>
      <c r="Q143" s="170"/>
      <c r="R143" s="170"/>
      <c r="S143" s="170"/>
      <c r="T143" s="170"/>
      <c r="U143" s="170"/>
    </row>
    <row r="144" spans="2:21" ht="13.5" customHeight="1">
      <c r="L144" s="170"/>
      <c r="M144" s="170"/>
      <c r="N144" s="170"/>
      <c r="O144" s="170"/>
      <c r="P144" s="170"/>
      <c r="Q144" s="170"/>
      <c r="R144" s="170"/>
      <c r="S144" s="170"/>
      <c r="T144" s="170"/>
      <c r="U144" s="170"/>
    </row>
    <row r="145" spans="12:21" ht="13.5" customHeight="1">
      <c r="L145" s="170"/>
      <c r="M145" s="170"/>
      <c r="N145" s="170"/>
      <c r="O145" s="170"/>
      <c r="P145" s="170"/>
      <c r="Q145" s="170"/>
      <c r="R145" s="170"/>
      <c r="S145" s="170"/>
      <c r="T145" s="170"/>
      <c r="U145" s="170"/>
    </row>
    <row r="146" spans="12:21" ht="13.5" customHeight="1">
      <c r="L146" s="170"/>
      <c r="M146" s="170"/>
      <c r="N146" s="170"/>
      <c r="O146" s="170"/>
      <c r="P146" s="170"/>
      <c r="Q146" s="170"/>
      <c r="R146" s="170"/>
      <c r="S146" s="170"/>
      <c r="T146" s="170"/>
      <c r="U146" s="170"/>
    </row>
    <row r="147" spans="12:21" ht="13.5" customHeight="1">
      <c r="L147" s="170"/>
      <c r="M147" s="170"/>
      <c r="N147" s="170"/>
      <c r="O147" s="170"/>
      <c r="P147" s="170"/>
      <c r="Q147" s="170"/>
      <c r="R147" s="170"/>
      <c r="S147" s="170"/>
      <c r="T147" s="170"/>
      <c r="U147" s="170"/>
    </row>
    <row r="148" spans="12:21" ht="13.5" customHeight="1">
      <c r="L148" s="170"/>
      <c r="M148" s="170"/>
      <c r="N148" s="170"/>
      <c r="O148" s="170"/>
      <c r="P148" s="170"/>
      <c r="Q148" s="170"/>
      <c r="R148" s="170"/>
      <c r="S148" s="170"/>
      <c r="T148" s="170"/>
      <c r="U148" s="170"/>
    </row>
    <row r="149" spans="12:21" ht="13.5" customHeight="1">
      <c r="L149" s="170"/>
      <c r="M149" s="170"/>
      <c r="N149" s="170"/>
      <c r="O149" s="170"/>
      <c r="P149" s="170"/>
      <c r="Q149" s="170"/>
      <c r="R149" s="170"/>
      <c r="S149" s="170"/>
      <c r="T149" s="170"/>
      <c r="U149" s="170"/>
    </row>
    <row r="150" spans="12:21" ht="13.5" customHeight="1">
      <c r="L150" s="170"/>
      <c r="M150" s="170"/>
      <c r="N150" s="170"/>
      <c r="O150" s="170"/>
      <c r="P150" s="170"/>
      <c r="Q150" s="170"/>
      <c r="R150" s="170"/>
      <c r="S150" s="170"/>
      <c r="T150" s="170"/>
      <c r="U150" s="170"/>
    </row>
    <row r="151" spans="12:21" ht="13.5" customHeight="1">
      <c r="L151" s="170"/>
      <c r="M151" s="170"/>
      <c r="N151" s="170"/>
      <c r="O151" s="170"/>
      <c r="P151" s="170"/>
      <c r="Q151" s="170"/>
      <c r="R151" s="170"/>
      <c r="S151" s="170"/>
      <c r="T151" s="170"/>
      <c r="U151" s="170"/>
    </row>
    <row r="152" spans="12:21" ht="13.5" customHeight="1">
      <c r="L152" s="170"/>
      <c r="M152" s="170"/>
      <c r="N152" s="170"/>
      <c r="O152" s="170"/>
      <c r="P152" s="170"/>
      <c r="Q152" s="170"/>
      <c r="R152" s="170"/>
      <c r="S152" s="170"/>
      <c r="T152" s="170"/>
      <c r="U152" s="170"/>
    </row>
    <row r="153" spans="12:21" ht="13.5" customHeight="1">
      <c r="L153" s="170"/>
      <c r="M153" s="170"/>
      <c r="N153" s="170"/>
      <c r="O153" s="170"/>
      <c r="P153" s="170"/>
      <c r="Q153" s="170"/>
      <c r="R153" s="170"/>
      <c r="S153" s="170"/>
      <c r="T153" s="170"/>
      <c r="U153" s="170"/>
    </row>
    <row r="154" spans="12:21" ht="13.5" customHeight="1">
      <c r="L154" s="170"/>
      <c r="M154" s="170"/>
      <c r="N154" s="170"/>
      <c r="O154" s="170"/>
      <c r="P154" s="170"/>
      <c r="Q154" s="170"/>
      <c r="R154" s="170"/>
      <c r="S154" s="170"/>
      <c r="T154" s="170"/>
      <c r="U154" s="170"/>
    </row>
    <row r="155" spans="12:21" ht="13.5" customHeight="1">
      <c r="L155" s="170"/>
      <c r="M155" s="170"/>
      <c r="N155" s="170"/>
      <c r="O155" s="170"/>
      <c r="P155" s="170"/>
      <c r="Q155" s="170"/>
      <c r="R155" s="170"/>
      <c r="S155" s="170"/>
      <c r="T155" s="170"/>
      <c r="U155" s="170"/>
    </row>
    <row r="156" spans="12:21" ht="13.5" customHeight="1">
      <c r="L156" s="170"/>
      <c r="M156" s="170"/>
      <c r="N156" s="170"/>
      <c r="O156" s="170"/>
      <c r="P156" s="170"/>
      <c r="Q156" s="170"/>
      <c r="R156" s="170"/>
      <c r="S156" s="170"/>
      <c r="T156" s="170"/>
      <c r="U156" s="170"/>
    </row>
    <row r="157" spans="12:21" ht="13.5" customHeight="1">
      <c r="L157" s="170"/>
      <c r="M157" s="170"/>
      <c r="N157" s="170"/>
      <c r="O157" s="170"/>
      <c r="P157" s="170"/>
      <c r="Q157" s="170"/>
      <c r="R157" s="170"/>
      <c r="S157" s="170"/>
      <c r="T157" s="170"/>
      <c r="U157" s="170"/>
    </row>
    <row r="158" spans="12:21" ht="13.5" customHeight="1">
      <c r="L158" s="170"/>
      <c r="M158" s="170"/>
      <c r="N158" s="170"/>
      <c r="O158" s="170"/>
      <c r="P158" s="170"/>
      <c r="Q158" s="170"/>
      <c r="R158" s="170"/>
      <c r="S158" s="170"/>
      <c r="T158" s="170"/>
      <c r="U158" s="170"/>
    </row>
    <row r="159" spans="12:21" ht="13.5" customHeight="1"/>
    <row r="160" spans="12:21"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sheetData>
  <mergeCells count="1">
    <mergeCell ref="F9:G9"/>
  </mergeCells>
  <phoneticPr fontId="0" type="noConversion"/>
  <pageMargins left="0.5" right="0.5" top="0.5" bottom="0.55000000000000004" header="0.5" footer="0.5"/>
  <pageSetup scale="56" fitToHeight="0" orientation="landscape" r:id="rId1"/>
  <headerFooter alignWithMargins="0">
    <oddFooter>Page &amp;P of &amp;N</oddFooter>
  </headerFooter>
  <rowBreaks count="1" manualBreakCount="1">
    <brk id="133" max="20"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18"/>
  <sheetViews>
    <sheetView workbookViewId="0">
      <selection activeCell="F18" sqref="F18"/>
    </sheetView>
  </sheetViews>
  <sheetFormatPr defaultRowHeight="15.75"/>
  <cols>
    <col min="1" max="1" width="25.44140625" customWidth="1"/>
    <col min="2" max="2" width="9.33203125" bestFit="1" customWidth="1"/>
    <col min="3" max="3" width="92.109375" customWidth="1"/>
  </cols>
  <sheetData>
    <row r="1" spans="1:3">
      <c r="A1" t="s">
        <v>244</v>
      </c>
    </row>
    <row r="2" spans="1:3">
      <c r="A2" t="s">
        <v>349</v>
      </c>
    </row>
    <row r="3" spans="1:3">
      <c r="C3" t="s">
        <v>352</v>
      </c>
    </row>
    <row r="6" spans="1:3">
      <c r="A6" t="s">
        <v>345</v>
      </c>
    </row>
    <row r="8" spans="1:3">
      <c r="A8" t="s">
        <v>342</v>
      </c>
      <c r="B8" t="s">
        <v>29</v>
      </c>
      <c r="C8" t="s">
        <v>343</v>
      </c>
    </row>
    <row r="9" spans="1:3">
      <c r="A9" t="s">
        <v>154</v>
      </c>
      <c r="B9">
        <v>724910</v>
      </c>
      <c r="C9" t="s">
        <v>348</v>
      </c>
    </row>
    <row r="10" spans="1:3">
      <c r="A10" t="s">
        <v>307</v>
      </c>
      <c r="B10">
        <v>178988.17</v>
      </c>
      <c r="C10" t="s">
        <v>351</v>
      </c>
    </row>
    <row r="14" spans="1:3">
      <c r="A14" t="s">
        <v>344</v>
      </c>
    </row>
    <row r="16" spans="1:3">
      <c r="A16" t="s">
        <v>342</v>
      </c>
      <c r="B16" t="s">
        <v>29</v>
      </c>
      <c r="C16" t="s">
        <v>343</v>
      </c>
    </row>
    <row r="17" spans="1:3">
      <c r="A17" t="s">
        <v>154</v>
      </c>
      <c r="B17">
        <v>724910</v>
      </c>
      <c r="C17" t="s">
        <v>347</v>
      </c>
    </row>
    <row r="18" spans="1:3">
      <c r="A18" t="s">
        <v>346</v>
      </c>
      <c r="B18">
        <v>924900</v>
      </c>
      <c r="C18" t="s">
        <v>350</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RDR.11" shapeId="9217" r:id="rId4">
          <objectPr defaultSize="0" autoPict="0" r:id="rId5">
            <anchor moveWithCells="1">
              <from>
                <xdr:col>0</xdr:col>
                <xdr:colOff>0</xdr:colOff>
                <xdr:row>22</xdr:row>
                <xdr:rowOff>0</xdr:rowOff>
              </from>
              <to>
                <xdr:col>2</xdr:col>
                <xdr:colOff>7477125</xdr:colOff>
                <xdr:row>75</xdr:row>
                <xdr:rowOff>0</xdr:rowOff>
              </to>
            </anchor>
          </objectPr>
        </oleObject>
      </mc:Choice>
      <mc:Fallback>
        <oleObject progId="AcroExch.Document.RDR.11" shapeId="9217" r:id="rId4"/>
      </mc:Fallback>
    </mc:AlternateContent>
    <mc:AlternateContent xmlns:mc="http://schemas.openxmlformats.org/markup-compatibility/2006">
      <mc:Choice Requires="x14">
        <oleObject progId="AcroExch.Document.RDR.11" shapeId="9221" r:id="rId6">
          <objectPr defaultSize="0" autoPict="0" r:id="rId7">
            <anchor moveWithCells="1">
              <from>
                <xdr:col>2</xdr:col>
                <xdr:colOff>4857750</xdr:colOff>
                <xdr:row>77</xdr:row>
                <xdr:rowOff>38100</xdr:rowOff>
              </from>
              <to>
                <xdr:col>8</xdr:col>
                <xdr:colOff>695325</xdr:colOff>
                <xdr:row>115</xdr:row>
                <xdr:rowOff>85725</xdr:rowOff>
              </to>
            </anchor>
          </objectPr>
        </oleObject>
      </mc:Choice>
      <mc:Fallback>
        <oleObject progId="AcroExch.Document.RDR.11" shapeId="9221" r:id="rId6"/>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BV177"/>
  <sheetViews>
    <sheetView showGridLines="0" zoomScaleNormal="100" workbookViewId="0">
      <pane xSplit="4" ySplit="11" topLeftCell="E166" activePane="bottomRight" state="frozen"/>
      <selection activeCell="P18" sqref="P18"/>
      <selection pane="topRight" activeCell="P18" sqref="P18"/>
      <selection pane="bottomLeft" activeCell="P18" sqref="P18"/>
      <selection pane="bottomRight" activeCell="K185" sqref="K185"/>
    </sheetView>
  </sheetViews>
  <sheetFormatPr defaultColWidth="9.77734375" defaultRowHeight="12.75"/>
  <cols>
    <col min="1" max="1" width="5.33203125" style="237" customWidth="1"/>
    <col min="2" max="2" width="6.77734375" style="237" customWidth="1"/>
    <col min="3" max="3" width="5" style="237" customWidth="1"/>
    <col min="4" max="4" width="22.88671875" style="237" customWidth="1"/>
    <col min="5" max="5" width="5.6640625" style="237" customWidth="1"/>
    <col min="6" max="6" width="2.6640625" style="237" customWidth="1"/>
    <col min="7" max="7" width="5.44140625" style="237" customWidth="1"/>
    <col min="8" max="8" width="1.77734375" style="237" customWidth="1"/>
    <col min="9" max="9" width="5.44140625" style="237" customWidth="1"/>
    <col min="10" max="10" width="4.33203125" style="237" customWidth="1"/>
    <col min="11" max="11" width="3.88671875" style="237" customWidth="1"/>
    <col min="12" max="12" width="4.44140625" style="237" customWidth="1"/>
    <col min="13" max="13" width="3" style="237" customWidth="1"/>
    <col min="14" max="14" width="10.6640625" style="238" customWidth="1"/>
    <col min="15" max="15" width="5.33203125" style="238" customWidth="1"/>
    <col min="16" max="16" width="8.21875" style="238" customWidth="1"/>
    <col min="17" max="17" width="13.109375" style="238" customWidth="1"/>
    <col min="18" max="18" width="6" style="238" customWidth="1"/>
    <col min="19" max="19" width="5.33203125" style="238" customWidth="1"/>
    <col min="20" max="20" width="6" style="238" customWidth="1"/>
    <col min="21" max="21" width="3.44140625" style="238" customWidth="1"/>
    <col min="22" max="22" width="6.5546875" style="238" customWidth="1"/>
    <col min="23" max="23" width="3.44140625" style="238" customWidth="1"/>
    <col min="24" max="25" width="8.44140625" style="238" customWidth="1"/>
    <col min="26" max="26" width="4.6640625" style="238" customWidth="1"/>
    <col min="27" max="27" width="8.5546875" style="238" customWidth="1"/>
    <col min="28" max="28" width="8.21875" style="238" customWidth="1"/>
    <col min="29" max="29" width="7.77734375" style="238" customWidth="1"/>
    <col min="30" max="30" width="4.6640625" style="238" customWidth="1"/>
    <col min="31" max="31" width="5.44140625" style="238" customWidth="1"/>
    <col min="32" max="32" width="10.6640625" style="238" customWidth="1"/>
    <col min="33" max="33" width="5.44140625" style="238" customWidth="1"/>
    <col min="34" max="34" width="3.5546875" style="238" customWidth="1"/>
    <col min="35" max="35" width="13.109375" style="238" customWidth="1"/>
    <col min="36" max="36" width="9.77734375" style="238"/>
    <col min="37" max="16384" width="9.77734375" style="237"/>
  </cols>
  <sheetData>
    <row r="1" spans="1:74">
      <c r="D1" s="237" t="s">
        <v>101</v>
      </c>
      <c r="N1" s="238" t="s">
        <v>256</v>
      </c>
      <c r="P1" s="238" t="s">
        <v>266</v>
      </c>
      <c r="AE1" s="238">
        <f>Summary!F5</f>
        <v>43009</v>
      </c>
    </row>
    <row r="2" spans="1:74">
      <c r="D2" s="237" t="s">
        <v>0</v>
      </c>
      <c r="N2" s="238" t="s">
        <v>259</v>
      </c>
      <c r="P2" s="238">
        <v>12</v>
      </c>
      <c r="Q2" s="238" t="s">
        <v>1</v>
      </c>
      <c r="BR2" s="237" t="s">
        <v>2</v>
      </c>
    </row>
    <row r="3" spans="1:74">
      <c r="D3" s="240">
        <f>Summary!H5</f>
        <v>43373</v>
      </c>
      <c r="N3" s="238" t="s">
        <v>254</v>
      </c>
      <c r="P3" s="238">
        <v>0</v>
      </c>
      <c r="Q3" s="238" t="s">
        <v>3</v>
      </c>
      <c r="AE3" s="238" t="s">
        <v>4</v>
      </c>
      <c r="AF3" s="238" t="s">
        <v>5</v>
      </c>
    </row>
    <row r="4" spans="1:74">
      <c r="N4" s="238" t="s">
        <v>255</v>
      </c>
      <c r="P4" s="238">
        <v>2016</v>
      </c>
      <c r="Q4" s="238" t="s">
        <v>6</v>
      </c>
      <c r="AE4" s="238" t="s">
        <v>7</v>
      </c>
      <c r="AF4" s="238" t="s">
        <v>8</v>
      </c>
      <c r="BQ4" s="237">
        <v>1</v>
      </c>
      <c r="BR4" s="237" t="s">
        <v>9</v>
      </c>
      <c r="BU4" s="237">
        <v>12</v>
      </c>
      <c r="BV4" s="237" t="s">
        <v>10</v>
      </c>
    </row>
    <row r="5" spans="1:74">
      <c r="N5" s="238" t="s">
        <v>253</v>
      </c>
      <c r="P5" s="238">
        <v>2017</v>
      </c>
      <c r="Q5" s="238" t="s">
        <v>11</v>
      </c>
      <c r="AE5" s="238" t="s">
        <v>12</v>
      </c>
      <c r="AF5" s="238" t="s">
        <v>13</v>
      </c>
      <c r="BR5" s="237">
        <v>1993</v>
      </c>
      <c r="BU5" s="237">
        <v>0</v>
      </c>
      <c r="BV5" s="237" t="s">
        <v>14</v>
      </c>
    </row>
    <row r="6" spans="1:74">
      <c r="AE6" s="238" t="s">
        <v>15</v>
      </c>
      <c r="AF6" s="238" t="s">
        <v>16</v>
      </c>
      <c r="BU6" s="237">
        <v>93</v>
      </c>
      <c r="BV6" s="237" t="s">
        <v>6</v>
      </c>
    </row>
    <row r="7" spans="1:74">
      <c r="AE7" s="238" t="s">
        <v>20</v>
      </c>
      <c r="AF7" s="238" t="s">
        <v>21</v>
      </c>
      <c r="BU7" s="237">
        <v>94</v>
      </c>
      <c r="BV7" s="237" t="s">
        <v>22</v>
      </c>
    </row>
    <row r="8" spans="1:74">
      <c r="N8" s="238">
        <f>+SUM(N42:N47,N90:N94,N115:N118,N163:N165,N134,N152,N172)</f>
        <v>920150.56749999989</v>
      </c>
      <c r="S8" s="238" t="s">
        <v>25</v>
      </c>
      <c r="V8" s="238" t="s">
        <v>17</v>
      </c>
      <c r="X8" s="238" t="s">
        <v>18</v>
      </c>
      <c r="Y8" s="238" t="s">
        <v>19</v>
      </c>
      <c r="AA8" s="238" t="s">
        <v>19</v>
      </c>
      <c r="AB8" s="238" t="s">
        <v>19</v>
      </c>
    </row>
    <row r="9" spans="1:74">
      <c r="C9" s="237" t="s">
        <v>57</v>
      </c>
      <c r="D9" s="237" t="s">
        <v>58</v>
      </c>
      <c r="E9" s="237" t="s">
        <v>59</v>
      </c>
      <c r="G9" s="237" t="s">
        <v>23</v>
      </c>
      <c r="I9" s="237" t="s">
        <v>57</v>
      </c>
      <c r="K9" s="237" t="s">
        <v>24</v>
      </c>
      <c r="L9" s="237" t="s">
        <v>57</v>
      </c>
      <c r="N9" s="238" t="s">
        <v>57</v>
      </c>
      <c r="O9" s="238" t="s">
        <v>31</v>
      </c>
      <c r="P9" s="238" t="s">
        <v>57</v>
      </c>
      <c r="R9" s="238" t="s">
        <v>68</v>
      </c>
      <c r="S9" s="238" t="s">
        <v>24</v>
      </c>
      <c r="T9" s="238" t="s">
        <v>17</v>
      </c>
      <c r="U9" s="238" t="s">
        <v>34</v>
      </c>
      <c r="V9" s="238" t="s">
        <v>19</v>
      </c>
      <c r="X9" s="238" t="s">
        <v>26</v>
      </c>
      <c r="Y9" s="238" t="s">
        <v>26</v>
      </c>
      <c r="Z9" s="238" t="s">
        <v>27</v>
      </c>
      <c r="AA9" s="238" t="s">
        <v>28</v>
      </c>
      <c r="AB9" s="238" t="s">
        <v>28</v>
      </c>
      <c r="AC9" s="238" t="s">
        <v>38</v>
      </c>
    </row>
    <row r="10" spans="1:74">
      <c r="C10" s="237" t="s">
        <v>60</v>
      </c>
      <c r="E10" s="237" t="s">
        <v>61</v>
      </c>
      <c r="G10" s="237" t="s">
        <v>29</v>
      </c>
      <c r="I10" s="237" t="s">
        <v>30</v>
      </c>
      <c r="J10" s="237" t="s">
        <v>64</v>
      </c>
      <c r="K10" s="237" t="s">
        <v>65</v>
      </c>
      <c r="L10" s="237" t="s">
        <v>31</v>
      </c>
      <c r="M10" s="237" t="s">
        <v>41</v>
      </c>
      <c r="N10" s="238" t="s">
        <v>31</v>
      </c>
      <c r="O10" s="238" t="s">
        <v>25</v>
      </c>
      <c r="P10" s="238" t="s">
        <v>67</v>
      </c>
      <c r="Q10" s="238" t="s">
        <v>69</v>
      </c>
      <c r="R10" s="238" t="s">
        <v>24</v>
      </c>
      <c r="S10" s="238" t="s">
        <v>43</v>
      </c>
      <c r="T10" s="238" t="s">
        <v>33</v>
      </c>
      <c r="U10" s="238" t="s">
        <v>36</v>
      </c>
      <c r="V10" s="238" t="s">
        <v>32</v>
      </c>
      <c r="X10" s="238" t="s">
        <v>35</v>
      </c>
      <c r="Y10" s="238" t="s">
        <v>35</v>
      </c>
      <c r="Z10" s="238" t="s">
        <v>36</v>
      </c>
      <c r="AA10" s="238" t="s">
        <v>37</v>
      </c>
      <c r="AB10" s="238" t="s">
        <v>37</v>
      </c>
      <c r="AC10" s="238" t="s">
        <v>45</v>
      </c>
      <c r="AD10" s="238" t="s">
        <v>4</v>
      </c>
      <c r="AE10" s="238" t="s">
        <v>46</v>
      </c>
      <c r="AF10" s="238" t="s">
        <v>47</v>
      </c>
      <c r="AG10" s="238" t="s">
        <v>15</v>
      </c>
      <c r="AH10" s="238" t="s">
        <v>20</v>
      </c>
      <c r="BQ10" s="237">
        <v>2</v>
      </c>
      <c r="BR10" s="237" t="s">
        <v>48</v>
      </c>
    </row>
    <row r="11" spans="1:74">
      <c r="A11" s="237" t="s">
        <v>226</v>
      </c>
      <c r="B11" s="237" t="s">
        <v>53</v>
      </c>
      <c r="C11" s="237" t="s">
        <v>62</v>
      </c>
      <c r="D11" s="237" t="s">
        <v>63</v>
      </c>
      <c r="E11" s="237" t="s">
        <v>24</v>
      </c>
      <c r="F11" s="237" t="s">
        <v>39</v>
      </c>
      <c r="G11" s="237" t="s">
        <v>34</v>
      </c>
      <c r="H11" s="237" t="s">
        <v>49</v>
      </c>
      <c r="I11" s="237" t="s">
        <v>40</v>
      </c>
      <c r="J11" s="237" t="s">
        <v>66</v>
      </c>
      <c r="K11" s="237" t="s">
        <v>67</v>
      </c>
      <c r="L11" s="237" t="s">
        <v>42</v>
      </c>
      <c r="M11" s="237" t="s">
        <v>49</v>
      </c>
      <c r="N11" s="238" t="s">
        <v>42</v>
      </c>
      <c r="O11" s="238" t="s">
        <v>49</v>
      </c>
      <c r="P11" s="238" t="s">
        <v>42</v>
      </c>
      <c r="Q11" s="238" t="s">
        <v>67</v>
      </c>
      <c r="R11" s="238" t="s">
        <v>67</v>
      </c>
      <c r="S11" s="238" t="s">
        <v>49</v>
      </c>
      <c r="T11" s="238" t="s">
        <v>44</v>
      </c>
      <c r="U11" s="238" t="s">
        <v>49</v>
      </c>
      <c r="V11" s="238" t="s">
        <v>37</v>
      </c>
      <c r="X11" s="239">
        <f>AE1</f>
        <v>43009</v>
      </c>
      <c r="Y11" s="239">
        <f>+D3</f>
        <v>43373</v>
      </c>
      <c r="Z11" s="239" t="s">
        <v>34</v>
      </c>
      <c r="AA11" s="239">
        <f>+X11</f>
        <v>43009</v>
      </c>
      <c r="AB11" s="239">
        <f>+D3</f>
        <v>43373</v>
      </c>
      <c r="AC11" s="239" t="s">
        <v>49</v>
      </c>
    </row>
    <row r="12" spans="1:74">
      <c r="A12" s="237">
        <v>128794</v>
      </c>
      <c r="B12" s="237" t="s">
        <v>54</v>
      </c>
      <c r="C12" s="237">
        <v>143</v>
      </c>
      <c r="D12" s="237" t="s">
        <v>233</v>
      </c>
      <c r="E12" s="237">
        <v>1995</v>
      </c>
      <c r="F12" s="237">
        <v>9</v>
      </c>
      <c r="G12" s="237">
        <v>0.2</v>
      </c>
      <c r="I12" s="237" t="s">
        <v>52</v>
      </c>
      <c r="J12" s="237">
        <v>7</v>
      </c>
      <c r="K12" s="237">
        <f t="shared" ref="K12:K18" si="0">E12+J12</f>
        <v>2002</v>
      </c>
      <c r="N12" s="238">
        <v>107319.56</v>
      </c>
      <c r="O12" s="238">
        <v>0</v>
      </c>
      <c r="P12" s="238">
        <f t="shared" ref="P12:P18" si="1">N12-N12*G12</f>
        <v>85855.648000000001</v>
      </c>
      <c r="Q12" s="238">
        <f t="shared" ref="Q12:Q47" si="2">P12/J12/12</f>
        <v>1022.0910476190476</v>
      </c>
      <c r="R12" s="238">
        <f t="shared" ref="R12:R18" si="3">IF(O12&gt;0,0,IF(OR(AD12&gt;AE12,AF12&lt;AG12),0,IF(AND(AF12&gt;=AG12,AF12&lt;=AE12),Q12*((AF12-AG12)*12),IF(AND(AG12&lt;=AD12,AE12&gt;=AD12),((AE12-AD12)*12)*Q12,IF(AF12&gt;AE12,12*Q12,0)))))</f>
        <v>0</v>
      </c>
      <c r="S12" s="238">
        <f t="shared" ref="S12:S18" si="4">IF(O12=0,0,IF(AND(AH12&gt;=AG12,AH12&lt;=AF12),((AH12-AG12)*12)*Q12,0))</f>
        <v>0</v>
      </c>
      <c r="T12" s="238">
        <f t="shared" ref="T12:T18" si="5">IF(S12&gt;0,S12,R12)</f>
        <v>0</v>
      </c>
      <c r="U12" s="238">
        <v>1</v>
      </c>
      <c r="V12" s="238">
        <f t="shared" ref="V12:V18" si="6">U12*SUM(R12:S12)</f>
        <v>0</v>
      </c>
      <c r="X12" s="238">
        <f t="shared" ref="X12:X26" si="7">IF(AD12&gt;AE12,0,IF(AF12&lt;AG12,P12,IF(AND(AF12&gt;=AG12,AF12&lt;=AE12),(P12-T12),IF(AND(AG12&lt;=AD12,AE12&gt;=AD12),0,IF(AF12&gt;AE12,((AG12-AD12)*12)*Q12,0)))))</f>
        <v>85855.648000000001</v>
      </c>
      <c r="Y12" s="238">
        <f t="shared" ref="Y12:Y26" si="8">X12*U12</f>
        <v>85855.648000000001</v>
      </c>
      <c r="Z12" s="238">
        <v>1</v>
      </c>
      <c r="AA12" s="238">
        <f t="shared" ref="AA12:AA47" si="9">Y12*Z12</f>
        <v>85855.648000000001</v>
      </c>
      <c r="AB12" s="238">
        <f t="shared" ref="AB12:AB47" si="10">IF(O12&gt;0,0,AA12+V12*Z12)*Z12</f>
        <v>85855.648000000001</v>
      </c>
      <c r="AC12" s="238">
        <f t="shared" ref="AC12:AC18" si="11">IF(O12&gt;0,(N12-AA12)/2,IF(AD12&gt;=AG12,(((N12*U12)*Z12)-AB12)/2,((((N12*U12)*Z12)-AA12)+(((N12*U12)*Z12)-AB12))/2))</f>
        <v>21463.911999999997</v>
      </c>
      <c r="AD12" s="238">
        <f>$E12+(($F12-1)/12)</f>
        <v>1995.6666666666667</v>
      </c>
      <c r="AE12" s="238">
        <f t="shared" ref="AE12:AE26" si="12">($P$5+1)-($P$2/12)</f>
        <v>2017</v>
      </c>
      <c r="AF12" s="238">
        <f>$K12+(($F12-1)/12)</f>
        <v>2002.6666666666667</v>
      </c>
      <c r="AG12" s="238">
        <f t="shared" ref="AG12:AG26" si="13">$P$4+($P$3/12)</f>
        <v>2016</v>
      </c>
      <c r="AH12" s="238">
        <f t="shared" ref="AH12:AH47" si="14">$L12+(($M12-1)/12)</f>
        <v>-8.3333333333333329E-2</v>
      </c>
    </row>
    <row r="13" spans="1:74" ht="12" customHeight="1">
      <c r="A13" s="237">
        <v>19644</v>
      </c>
      <c r="B13" s="237" t="s">
        <v>54</v>
      </c>
      <c r="C13" s="237">
        <v>603</v>
      </c>
      <c r="D13" s="237" t="s">
        <v>160</v>
      </c>
      <c r="E13" s="237">
        <v>2003</v>
      </c>
      <c r="F13" s="237">
        <v>1</v>
      </c>
      <c r="G13" s="237">
        <v>0.2</v>
      </c>
      <c r="I13" s="237" t="s">
        <v>52</v>
      </c>
      <c r="J13" s="237">
        <v>7</v>
      </c>
      <c r="K13" s="237">
        <f t="shared" si="0"/>
        <v>2010</v>
      </c>
      <c r="N13" s="238">
        <v>123452.02</v>
      </c>
      <c r="O13" s="238">
        <v>0</v>
      </c>
      <c r="P13" s="238">
        <f t="shared" si="1"/>
        <v>98761.616000000009</v>
      </c>
      <c r="Q13" s="238">
        <f t="shared" si="2"/>
        <v>1175.7335238095241</v>
      </c>
      <c r="R13" s="238">
        <f t="shared" si="3"/>
        <v>0</v>
      </c>
      <c r="S13" s="238">
        <f t="shared" si="4"/>
        <v>0</v>
      </c>
      <c r="T13" s="238">
        <f t="shared" si="5"/>
        <v>0</v>
      </c>
      <c r="U13" s="238">
        <v>1</v>
      </c>
      <c r="V13" s="238">
        <f t="shared" si="6"/>
        <v>0</v>
      </c>
      <c r="X13" s="238">
        <f t="shared" si="7"/>
        <v>98761.616000000009</v>
      </c>
      <c r="Y13" s="238">
        <f t="shared" si="8"/>
        <v>98761.616000000009</v>
      </c>
      <c r="Z13" s="238">
        <v>1</v>
      </c>
      <c r="AA13" s="238">
        <f t="shared" si="9"/>
        <v>98761.616000000009</v>
      </c>
      <c r="AB13" s="238">
        <f t="shared" si="10"/>
        <v>98761.616000000009</v>
      </c>
      <c r="AC13" s="238">
        <f t="shared" si="11"/>
        <v>24690.403999999995</v>
      </c>
      <c r="AD13" s="238">
        <f>$E13+(($F13-1)/12)</f>
        <v>2003</v>
      </c>
      <c r="AE13" s="238">
        <f t="shared" si="12"/>
        <v>2017</v>
      </c>
      <c r="AF13" s="238">
        <f>$K13+(($F13-1)/12)</f>
        <v>2010</v>
      </c>
      <c r="AG13" s="238">
        <f t="shared" si="13"/>
        <v>2016</v>
      </c>
      <c r="AH13" s="238">
        <f t="shared" si="14"/>
        <v>-8.3333333333333329E-2</v>
      </c>
    </row>
    <row r="14" spans="1:74">
      <c r="A14" s="237">
        <v>19645</v>
      </c>
      <c r="B14" s="237" t="s">
        <v>157</v>
      </c>
      <c r="C14" s="237">
        <v>604</v>
      </c>
      <c r="D14" s="237" t="s">
        <v>160</v>
      </c>
      <c r="E14" s="237">
        <v>2003</v>
      </c>
      <c r="F14" s="237">
        <v>1</v>
      </c>
      <c r="G14" s="237">
        <v>0.2</v>
      </c>
      <c r="I14" s="237" t="s">
        <v>52</v>
      </c>
      <c r="J14" s="237">
        <v>7</v>
      </c>
      <c r="K14" s="237">
        <f t="shared" si="0"/>
        <v>2010</v>
      </c>
      <c r="N14" s="238">
        <v>123452.02</v>
      </c>
      <c r="O14" s="238">
        <v>0</v>
      </c>
      <c r="P14" s="238">
        <f t="shared" si="1"/>
        <v>98761.616000000009</v>
      </c>
      <c r="Q14" s="238">
        <f t="shared" si="2"/>
        <v>1175.7335238095241</v>
      </c>
      <c r="R14" s="238">
        <f t="shared" si="3"/>
        <v>0</v>
      </c>
      <c r="S14" s="238">
        <f t="shared" si="4"/>
        <v>0</v>
      </c>
      <c r="T14" s="238">
        <f t="shared" si="5"/>
        <v>0</v>
      </c>
      <c r="U14" s="238">
        <v>1</v>
      </c>
      <c r="V14" s="238">
        <f t="shared" si="6"/>
        <v>0</v>
      </c>
      <c r="X14" s="238">
        <f t="shared" si="7"/>
        <v>98761.616000000009</v>
      </c>
      <c r="Y14" s="238">
        <f t="shared" si="8"/>
        <v>98761.616000000009</v>
      </c>
      <c r="Z14" s="238">
        <v>1</v>
      </c>
      <c r="AA14" s="238">
        <f t="shared" si="9"/>
        <v>98761.616000000009</v>
      </c>
      <c r="AB14" s="238">
        <f t="shared" si="10"/>
        <v>98761.616000000009</v>
      </c>
      <c r="AC14" s="238">
        <f t="shared" si="11"/>
        <v>24690.403999999995</v>
      </c>
      <c r="AD14" s="238">
        <f>$E14+(($F14-1)/12)</f>
        <v>2003</v>
      </c>
      <c r="AE14" s="238">
        <f t="shared" si="12"/>
        <v>2017</v>
      </c>
      <c r="AF14" s="238">
        <f>$K14+(($F14-1)/12)</f>
        <v>2010</v>
      </c>
      <c r="AG14" s="238">
        <f t="shared" si="13"/>
        <v>2016</v>
      </c>
      <c r="AH14" s="238">
        <f t="shared" si="14"/>
        <v>-8.3333333333333329E-2</v>
      </c>
    </row>
    <row r="15" spans="1:74">
      <c r="A15" s="237">
        <v>19646</v>
      </c>
      <c r="B15" s="237" t="s">
        <v>54</v>
      </c>
      <c r="C15" s="237">
        <v>605</v>
      </c>
      <c r="D15" s="237" t="s">
        <v>160</v>
      </c>
      <c r="E15" s="237">
        <v>2003</v>
      </c>
      <c r="F15" s="237">
        <v>1</v>
      </c>
      <c r="G15" s="237">
        <v>0.2</v>
      </c>
      <c r="I15" s="237" t="s">
        <v>52</v>
      </c>
      <c r="J15" s="237">
        <v>7</v>
      </c>
      <c r="K15" s="237">
        <f t="shared" si="0"/>
        <v>2010</v>
      </c>
      <c r="N15" s="238">
        <v>123452.02</v>
      </c>
      <c r="O15" s="238">
        <v>0</v>
      </c>
      <c r="P15" s="238">
        <f t="shared" si="1"/>
        <v>98761.616000000009</v>
      </c>
      <c r="Q15" s="238">
        <f t="shared" si="2"/>
        <v>1175.7335238095241</v>
      </c>
      <c r="R15" s="238">
        <f t="shared" si="3"/>
        <v>0</v>
      </c>
      <c r="S15" s="238">
        <f t="shared" si="4"/>
        <v>0</v>
      </c>
      <c r="T15" s="238">
        <f t="shared" si="5"/>
        <v>0</v>
      </c>
      <c r="U15" s="238">
        <v>1</v>
      </c>
      <c r="V15" s="238">
        <f t="shared" si="6"/>
        <v>0</v>
      </c>
      <c r="X15" s="238">
        <f t="shared" si="7"/>
        <v>98761.616000000009</v>
      </c>
      <c r="Y15" s="238">
        <f t="shared" si="8"/>
        <v>98761.616000000009</v>
      </c>
      <c r="Z15" s="238">
        <v>1</v>
      </c>
      <c r="AA15" s="238">
        <f t="shared" si="9"/>
        <v>98761.616000000009</v>
      </c>
      <c r="AB15" s="238">
        <f t="shared" si="10"/>
        <v>98761.616000000009</v>
      </c>
      <c r="AC15" s="238">
        <f t="shared" si="11"/>
        <v>24690.403999999995</v>
      </c>
      <c r="AD15" s="238">
        <f t="shared" ref="AD15:AD46" si="15">$E15+(($F15-1)/12)</f>
        <v>2003</v>
      </c>
      <c r="AE15" s="238">
        <f t="shared" si="12"/>
        <v>2017</v>
      </c>
      <c r="AF15" s="238">
        <f t="shared" ref="AF15:AF46" si="16">$K15+(($F15-1)/12)</f>
        <v>2010</v>
      </c>
      <c r="AG15" s="238">
        <f t="shared" si="13"/>
        <v>2016</v>
      </c>
      <c r="AH15" s="238">
        <f t="shared" si="14"/>
        <v>-8.3333333333333329E-2</v>
      </c>
    </row>
    <row r="16" spans="1:74">
      <c r="A16" s="237">
        <v>19647</v>
      </c>
      <c r="B16" s="237" t="s">
        <v>54</v>
      </c>
      <c r="C16" s="237">
        <v>606</v>
      </c>
      <c r="D16" s="237" t="s">
        <v>74</v>
      </c>
      <c r="E16" s="237">
        <v>2003</v>
      </c>
      <c r="F16" s="237">
        <v>1</v>
      </c>
      <c r="G16" s="237">
        <v>0.2</v>
      </c>
      <c r="I16" s="237" t="s">
        <v>52</v>
      </c>
      <c r="J16" s="237">
        <v>7</v>
      </c>
      <c r="K16" s="237">
        <f t="shared" si="0"/>
        <v>2010</v>
      </c>
      <c r="N16" s="238">
        <v>123452.02</v>
      </c>
      <c r="O16" s="238">
        <v>0</v>
      </c>
      <c r="P16" s="238">
        <f t="shared" si="1"/>
        <v>98761.616000000009</v>
      </c>
      <c r="Q16" s="238">
        <f t="shared" si="2"/>
        <v>1175.7335238095241</v>
      </c>
      <c r="R16" s="238">
        <f t="shared" si="3"/>
        <v>0</v>
      </c>
      <c r="S16" s="238">
        <f t="shared" si="4"/>
        <v>0</v>
      </c>
      <c r="T16" s="238">
        <f t="shared" si="5"/>
        <v>0</v>
      </c>
      <c r="U16" s="238">
        <v>1</v>
      </c>
      <c r="V16" s="238">
        <f t="shared" si="6"/>
        <v>0</v>
      </c>
      <c r="X16" s="238">
        <f t="shared" si="7"/>
        <v>98761.616000000009</v>
      </c>
      <c r="Y16" s="238">
        <f t="shared" si="8"/>
        <v>98761.616000000009</v>
      </c>
      <c r="Z16" s="238">
        <v>1</v>
      </c>
      <c r="AA16" s="238">
        <f t="shared" si="9"/>
        <v>98761.616000000009</v>
      </c>
      <c r="AB16" s="238">
        <f t="shared" si="10"/>
        <v>98761.616000000009</v>
      </c>
      <c r="AC16" s="238">
        <f t="shared" si="11"/>
        <v>24690.403999999995</v>
      </c>
      <c r="AD16" s="238">
        <f t="shared" si="15"/>
        <v>2003</v>
      </c>
      <c r="AE16" s="238">
        <f t="shared" si="12"/>
        <v>2017</v>
      </c>
      <c r="AF16" s="238">
        <f t="shared" si="16"/>
        <v>2010</v>
      </c>
      <c r="AG16" s="238">
        <f t="shared" si="13"/>
        <v>2016</v>
      </c>
      <c r="AH16" s="238">
        <f t="shared" si="14"/>
        <v>-8.3333333333333329E-2</v>
      </c>
    </row>
    <row r="17" spans="1:34">
      <c r="A17" s="237">
        <v>19648</v>
      </c>
      <c r="B17" s="237" t="s">
        <v>156</v>
      </c>
      <c r="C17" s="237">
        <v>607</v>
      </c>
      <c r="D17" s="237" t="s">
        <v>74</v>
      </c>
      <c r="E17" s="237">
        <v>2003</v>
      </c>
      <c r="F17" s="237">
        <v>1</v>
      </c>
      <c r="G17" s="237">
        <v>0.2</v>
      </c>
      <c r="I17" s="237" t="s">
        <v>52</v>
      </c>
      <c r="J17" s="237">
        <v>7</v>
      </c>
      <c r="K17" s="237">
        <f t="shared" si="0"/>
        <v>2010</v>
      </c>
      <c r="N17" s="238">
        <v>123452.02</v>
      </c>
      <c r="O17" s="238">
        <v>0</v>
      </c>
      <c r="P17" s="238">
        <f t="shared" si="1"/>
        <v>98761.616000000009</v>
      </c>
      <c r="Q17" s="238">
        <f t="shared" si="2"/>
        <v>1175.7335238095241</v>
      </c>
      <c r="R17" s="238">
        <f t="shared" si="3"/>
        <v>0</v>
      </c>
      <c r="S17" s="238">
        <f t="shared" si="4"/>
        <v>0</v>
      </c>
      <c r="T17" s="238">
        <f t="shared" si="5"/>
        <v>0</v>
      </c>
      <c r="U17" s="238">
        <v>1</v>
      </c>
      <c r="V17" s="238">
        <f t="shared" si="6"/>
        <v>0</v>
      </c>
      <c r="X17" s="238">
        <f t="shared" si="7"/>
        <v>98761.616000000009</v>
      </c>
      <c r="Y17" s="238">
        <f t="shared" si="8"/>
        <v>98761.616000000009</v>
      </c>
      <c r="Z17" s="238">
        <v>1</v>
      </c>
      <c r="AA17" s="238">
        <f t="shared" si="9"/>
        <v>98761.616000000009</v>
      </c>
      <c r="AB17" s="238">
        <f t="shared" si="10"/>
        <v>98761.616000000009</v>
      </c>
      <c r="AC17" s="238">
        <f t="shared" si="11"/>
        <v>24690.403999999995</v>
      </c>
      <c r="AD17" s="238">
        <f t="shared" si="15"/>
        <v>2003</v>
      </c>
      <c r="AE17" s="238">
        <f t="shared" si="12"/>
        <v>2017</v>
      </c>
      <c r="AF17" s="238">
        <f t="shared" si="16"/>
        <v>2010</v>
      </c>
      <c r="AG17" s="238">
        <f t="shared" si="13"/>
        <v>2016</v>
      </c>
      <c r="AH17" s="238">
        <f t="shared" si="14"/>
        <v>-8.3333333333333329E-2</v>
      </c>
    </row>
    <row r="18" spans="1:34">
      <c r="A18" s="237">
        <v>128796</v>
      </c>
      <c r="B18" s="237" t="s">
        <v>54</v>
      </c>
      <c r="C18" s="237">
        <v>143</v>
      </c>
      <c r="D18" s="237" t="s">
        <v>75</v>
      </c>
      <c r="E18" s="237">
        <v>2005</v>
      </c>
      <c r="F18" s="237">
        <v>12</v>
      </c>
      <c r="I18" s="237" t="s">
        <v>52</v>
      </c>
      <c r="J18" s="237">
        <v>3</v>
      </c>
      <c r="K18" s="237">
        <f t="shared" si="0"/>
        <v>2008</v>
      </c>
      <c r="N18" s="238">
        <v>6214.66</v>
      </c>
      <c r="P18" s="238">
        <f t="shared" si="1"/>
        <v>6214.66</v>
      </c>
      <c r="Q18" s="238">
        <f t="shared" si="2"/>
        <v>172.62944444444443</v>
      </c>
      <c r="R18" s="238">
        <f t="shared" si="3"/>
        <v>0</v>
      </c>
      <c r="S18" s="238">
        <f t="shared" si="4"/>
        <v>0</v>
      </c>
      <c r="T18" s="238">
        <f t="shared" si="5"/>
        <v>0</v>
      </c>
      <c r="U18" s="238">
        <v>1</v>
      </c>
      <c r="V18" s="238">
        <f t="shared" si="6"/>
        <v>0</v>
      </c>
      <c r="X18" s="238">
        <f t="shared" si="7"/>
        <v>6214.66</v>
      </c>
      <c r="Y18" s="238">
        <f t="shared" si="8"/>
        <v>6214.66</v>
      </c>
      <c r="Z18" s="238">
        <v>1</v>
      </c>
      <c r="AA18" s="238">
        <f t="shared" si="9"/>
        <v>6214.66</v>
      </c>
      <c r="AB18" s="238">
        <f t="shared" si="10"/>
        <v>6214.66</v>
      </c>
      <c r="AC18" s="238">
        <f t="shared" si="11"/>
        <v>0</v>
      </c>
      <c r="AD18" s="238">
        <f t="shared" si="15"/>
        <v>2005.9166666666667</v>
      </c>
      <c r="AE18" s="238">
        <f t="shared" si="12"/>
        <v>2017</v>
      </c>
      <c r="AF18" s="238">
        <f t="shared" si="16"/>
        <v>2008.9166666666667</v>
      </c>
      <c r="AG18" s="238">
        <f t="shared" si="13"/>
        <v>2016</v>
      </c>
      <c r="AH18" s="238">
        <f t="shared" si="14"/>
        <v>-8.3333333333333329E-2</v>
      </c>
    </row>
    <row r="19" spans="1:34">
      <c r="B19" s="237" t="s">
        <v>54</v>
      </c>
      <c r="D19" s="237" t="s">
        <v>75</v>
      </c>
      <c r="E19" s="237">
        <v>2006</v>
      </c>
      <c r="F19" s="237">
        <v>8</v>
      </c>
      <c r="I19" s="237" t="s">
        <v>52</v>
      </c>
      <c r="J19" s="237">
        <v>3</v>
      </c>
      <c r="K19" s="237">
        <f>E19+J19</f>
        <v>2009</v>
      </c>
      <c r="N19" s="238">
        <v>5325.77</v>
      </c>
      <c r="P19" s="238">
        <f t="shared" ref="P19:P26" si="17">N19-N19*G19</f>
        <v>5325.77</v>
      </c>
      <c r="Q19" s="238">
        <f t="shared" si="2"/>
        <v>147.93805555555556</v>
      </c>
      <c r="R19" s="238">
        <f t="shared" ref="R19:R26" si="18">IF(O19&gt;0,0,IF(OR(AD19&gt;AE19,AF19&lt;AG19),0,IF(AND(AF19&gt;=AG19,AF19&lt;=AE19),Q19*((AF19-AG19)*12),IF(AND(AG19&lt;=AD19,AE19&gt;=AD19),((AE19-AD19)*12)*Q19,IF(AF19&gt;AE19,12*Q19,0)))))</f>
        <v>0</v>
      </c>
      <c r="S19" s="238">
        <f t="shared" ref="S19:S26" si="19">IF(O19=0,0,IF(AND(AH19&gt;=AG19,AH19&lt;=AF19),((AH19-AG19)*12)*Q19,0))</f>
        <v>0</v>
      </c>
      <c r="T19" s="238">
        <f t="shared" ref="T19:T26" si="20">IF(S19&gt;0,S19,R19)</f>
        <v>0</v>
      </c>
      <c r="U19" s="238">
        <v>1</v>
      </c>
      <c r="V19" s="238">
        <f t="shared" ref="V19:V26" si="21">U19*SUM(R19:S19)</f>
        <v>0</v>
      </c>
      <c r="X19" s="238">
        <f t="shared" si="7"/>
        <v>5325.77</v>
      </c>
      <c r="Y19" s="238">
        <f t="shared" si="8"/>
        <v>5325.77</v>
      </c>
      <c r="Z19" s="238">
        <v>1</v>
      </c>
      <c r="AA19" s="238">
        <f t="shared" si="9"/>
        <v>5325.77</v>
      </c>
      <c r="AB19" s="238">
        <f t="shared" si="10"/>
        <v>5325.77</v>
      </c>
      <c r="AC19" s="238">
        <f t="shared" ref="AC19:AC26" si="22">IF(O19&gt;0,(N19-AA19)/2,IF(AD19&gt;=AG19,(((N19*U19)*Z19)-AB19)/2,((((N19*U19)*Z19)-AA19)+(((N19*U19)*Z19)-AB19))/2))</f>
        <v>0</v>
      </c>
      <c r="AD19" s="238">
        <f t="shared" si="15"/>
        <v>2006.5833333333333</v>
      </c>
      <c r="AE19" s="238">
        <f t="shared" si="12"/>
        <v>2017</v>
      </c>
      <c r="AF19" s="238">
        <f t="shared" si="16"/>
        <v>2009.5833333333333</v>
      </c>
      <c r="AG19" s="238">
        <f t="shared" si="13"/>
        <v>2016</v>
      </c>
      <c r="AH19" s="238">
        <f t="shared" si="14"/>
        <v>-8.3333333333333329E-2</v>
      </c>
    </row>
    <row r="20" spans="1:34">
      <c r="A20" s="237">
        <v>102158</v>
      </c>
      <c r="B20" s="237" t="s">
        <v>54</v>
      </c>
      <c r="C20" s="237">
        <v>613</v>
      </c>
      <c r="D20" s="237" t="s">
        <v>152</v>
      </c>
      <c r="E20" s="237">
        <v>2006</v>
      </c>
      <c r="F20" s="237">
        <v>10</v>
      </c>
      <c r="G20" s="237">
        <v>0.2</v>
      </c>
      <c r="I20" s="237" t="s">
        <v>52</v>
      </c>
      <c r="J20" s="237">
        <v>7</v>
      </c>
      <c r="K20" s="237">
        <f>E20+J20</f>
        <v>2013</v>
      </c>
      <c r="N20" s="238">
        <f>120222.34+57321.28</f>
        <v>177543.62</v>
      </c>
      <c r="P20" s="238">
        <f t="shared" si="17"/>
        <v>142034.89600000001</v>
      </c>
      <c r="Q20" s="238">
        <f t="shared" si="2"/>
        <v>1690.8916190476191</v>
      </c>
      <c r="R20" s="238">
        <f t="shared" si="18"/>
        <v>0</v>
      </c>
      <c r="S20" s="238">
        <f t="shared" si="19"/>
        <v>0</v>
      </c>
      <c r="T20" s="238">
        <f t="shared" si="20"/>
        <v>0</v>
      </c>
      <c r="U20" s="238">
        <v>1</v>
      </c>
      <c r="V20" s="238">
        <f t="shared" si="21"/>
        <v>0</v>
      </c>
      <c r="X20" s="238">
        <f t="shared" si="7"/>
        <v>142034.89600000001</v>
      </c>
      <c r="Y20" s="238">
        <f t="shared" si="8"/>
        <v>142034.89600000001</v>
      </c>
      <c r="Z20" s="238">
        <v>1</v>
      </c>
      <c r="AA20" s="238">
        <f t="shared" si="9"/>
        <v>142034.89600000001</v>
      </c>
      <c r="AB20" s="238">
        <f t="shared" si="10"/>
        <v>142034.89600000001</v>
      </c>
      <c r="AC20" s="238">
        <f t="shared" si="22"/>
        <v>35508.723999999987</v>
      </c>
      <c r="AD20" s="238">
        <f t="shared" si="15"/>
        <v>2006.75</v>
      </c>
      <c r="AE20" s="238">
        <f t="shared" si="12"/>
        <v>2017</v>
      </c>
      <c r="AF20" s="238">
        <f t="shared" si="16"/>
        <v>2013.75</v>
      </c>
      <c r="AG20" s="238">
        <f t="shared" si="13"/>
        <v>2016</v>
      </c>
      <c r="AH20" s="238">
        <f t="shared" si="14"/>
        <v>-8.3333333333333329E-2</v>
      </c>
    </row>
    <row r="21" spans="1:34">
      <c r="A21" s="237">
        <v>50277</v>
      </c>
      <c r="B21" s="237" t="s">
        <v>55</v>
      </c>
      <c r="C21" s="237">
        <v>905</v>
      </c>
      <c r="D21" s="237" t="s">
        <v>158</v>
      </c>
      <c r="E21" s="237">
        <v>2007</v>
      </c>
      <c r="F21" s="237">
        <v>3</v>
      </c>
      <c r="G21" s="237">
        <v>0.2</v>
      </c>
      <c r="I21" s="237" t="s">
        <v>52</v>
      </c>
      <c r="J21" s="237">
        <v>7</v>
      </c>
      <c r="K21" s="237">
        <f>E21+J21</f>
        <v>2014</v>
      </c>
      <c r="N21" s="238">
        <f>4631.52+227218.17</f>
        <v>231849.69</v>
      </c>
      <c r="P21" s="238">
        <f t="shared" si="17"/>
        <v>185479.75200000001</v>
      </c>
      <c r="Q21" s="238">
        <f t="shared" si="2"/>
        <v>2208.0922857142859</v>
      </c>
      <c r="R21" s="238">
        <f t="shared" si="18"/>
        <v>0</v>
      </c>
      <c r="S21" s="238">
        <f t="shared" si="19"/>
        <v>0</v>
      </c>
      <c r="T21" s="238">
        <f t="shared" si="20"/>
        <v>0</v>
      </c>
      <c r="U21" s="238">
        <v>1</v>
      </c>
      <c r="V21" s="238">
        <f t="shared" si="21"/>
        <v>0</v>
      </c>
      <c r="X21" s="238">
        <f t="shared" si="7"/>
        <v>185479.75200000001</v>
      </c>
      <c r="Y21" s="238">
        <f t="shared" si="8"/>
        <v>185479.75200000001</v>
      </c>
      <c r="Z21" s="238">
        <v>1</v>
      </c>
      <c r="AA21" s="238">
        <f t="shared" si="9"/>
        <v>185479.75200000001</v>
      </c>
      <c r="AB21" s="238">
        <f t="shared" si="10"/>
        <v>185479.75200000001</v>
      </c>
      <c r="AC21" s="238">
        <f t="shared" si="22"/>
        <v>46369.937999999995</v>
      </c>
      <c r="AD21" s="238">
        <f t="shared" si="15"/>
        <v>2007.1666666666667</v>
      </c>
      <c r="AE21" s="238">
        <f t="shared" si="12"/>
        <v>2017</v>
      </c>
      <c r="AF21" s="238">
        <f t="shared" si="16"/>
        <v>2014.1666666666667</v>
      </c>
      <c r="AG21" s="238">
        <f t="shared" si="13"/>
        <v>2016</v>
      </c>
      <c r="AH21" s="238">
        <f t="shared" si="14"/>
        <v>-8.3333333333333329E-2</v>
      </c>
    </row>
    <row r="22" spans="1:34">
      <c r="A22" s="237">
        <v>54079</v>
      </c>
      <c r="B22" s="237" t="s">
        <v>54</v>
      </c>
      <c r="C22" s="237">
        <v>614</v>
      </c>
      <c r="D22" s="237" t="s">
        <v>173</v>
      </c>
      <c r="E22" s="237">
        <v>2008</v>
      </c>
      <c r="F22" s="237">
        <v>1</v>
      </c>
      <c r="G22" s="237">
        <v>0.2</v>
      </c>
      <c r="I22" s="237" t="s">
        <v>52</v>
      </c>
      <c r="J22" s="237">
        <v>7</v>
      </c>
      <c r="K22" s="237">
        <f>E22+J22</f>
        <v>2015</v>
      </c>
      <c r="N22" s="238">
        <v>83420.460000000006</v>
      </c>
      <c r="P22" s="238">
        <f t="shared" si="17"/>
        <v>66736.368000000002</v>
      </c>
      <c r="Q22" s="238">
        <f t="shared" si="2"/>
        <v>794.48057142857135</v>
      </c>
      <c r="R22" s="238">
        <f t="shared" si="18"/>
        <v>0</v>
      </c>
      <c r="S22" s="238">
        <f t="shared" si="19"/>
        <v>0</v>
      </c>
      <c r="T22" s="238">
        <f t="shared" si="20"/>
        <v>0</v>
      </c>
      <c r="U22" s="238">
        <v>1</v>
      </c>
      <c r="V22" s="238">
        <f t="shared" si="21"/>
        <v>0</v>
      </c>
      <c r="X22" s="238">
        <f t="shared" si="7"/>
        <v>66736.368000000002</v>
      </c>
      <c r="Y22" s="238">
        <f t="shared" si="8"/>
        <v>66736.368000000002</v>
      </c>
      <c r="Z22" s="238">
        <v>1</v>
      </c>
      <c r="AA22" s="238">
        <f t="shared" si="9"/>
        <v>66736.368000000002</v>
      </c>
      <c r="AB22" s="238">
        <f t="shared" si="10"/>
        <v>66736.368000000002</v>
      </c>
      <c r="AC22" s="238">
        <f t="shared" si="22"/>
        <v>16684.092000000004</v>
      </c>
      <c r="AD22" s="238">
        <f t="shared" si="15"/>
        <v>2008</v>
      </c>
      <c r="AE22" s="238">
        <f t="shared" si="12"/>
        <v>2017</v>
      </c>
      <c r="AF22" s="238">
        <f t="shared" si="16"/>
        <v>2015</v>
      </c>
      <c r="AG22" s="238">
        <f t="shared" si="13"/>
        <v>2016</v>
      </c>
      <c r="AH22" s="238">
        <f t="shared" si="14"/>
        <v>-8.3333333333333329E-2</v>
      </c>
    </row>
    <row r="23" spans="1:34">
      <c r="B23" s="237" t="s">
        <v>169</v>
      </c>
      <c r="D23" s="237" t="s">
        <v>170</v>
      </c>
      <c r="E23" s="237">
        <v>2008</v>
      </c>
      <c r="F23" s="237">
        <v>4</v>
      </c>
      <c r="G23" s="237">
        <v>0.2</v>
      </c>
      <c r="I23" s="237" t="s">
        <v>52</v>
      </c>
      <c r="J23" s="237">
        <v>7</v>
      </c>
      <c r="K23" s="237">
        <f>E23+J23</f>
        <v>2015</v>
      </c>
      <c r="N23" s="238">
        <f>17*560.39-0.01</f>
        <v>9526.619999999999</v>
      </c>
      <c r="P23" s="238">
        <f t="shared" si="17"/>
        <v>7621.2959999999994</v>
      </c>
      <c r="Q23" s="238">
        <f t="shared" si="2"/>
        <v>90.72971428571428</v>
      </c>
      <c r="R23" s="238">
        <f t="shared" si="18"/>
        <v>0</v>
      </c>
      <c r="S23" s="238">
        <f t="shared" si="19"/>
        <v>0</v>
      </c>
      <c r="T23" s="238">
        <f t="shared" si="20"/>
        <v>0</v>
      </c>
      <c r="U23" s="238">
        <v>1</v>
      </c>
      <c r="V23" s="238">
        <f t="shared" si="21"/>
        <v>0</v>
      </c>
      <c r="X23" s="238">
        <f t="shared" si="7"/>
        <v>7621.2959999999994</v>
      </c>
      <c r="Y23" s="238">
        <f t="shared" si="8"/>
        <v>7621.2959999999994</v>
      </c>
      <c r="Z23" s="238">
        <v>1</v>
      </c>
      <c r="AA23" s="238">
        <f t="shared" si="9"/>
        <v>7621.2959999999994</v>
      </c>
      <c r="AB23" s="238">
        <f t="shared" si="10"/>
        <v>7621.2959999999994</v>
      </c>
      <c r="AC23" s="238">
        <f t="shared" si="22"/>
        <v>1905.3239999999996</v>
      </c>
      <c r="AD23" s="238">
        <f t="shared" si="15"/>
        <v>2008.25</v>
      </c>
      <c r="AE23" s="238">
        <f t="shared" si="12"/>
        <v>2017</v>
      </c>
      <c r="AF23" s="238">
        <f t="shared" si="16"/>
        <v>2015.25</v>
      </c>
      <c r="AG23" s="238">
        <f t="shared" si="13"/>
        <v>2016</v>
      </c>
      <c r="AH23" s="238">
        <f t="shared" si="14"/>
        <v>-8.3333333333333329E-2</v>
      </c>
    </row>
    <row r="24" spans="1:34">
      <c r="A24" s="237">
        <v>58792</v>
      </c>
      <c r="B24" s="237" t="s">
        <v>54</v>
      </c>
      <c r="C24" s="237">
        <v>617</v>
      </c>
      <c r="D24" s="237" t="s">
        <v>174</v>
      </c>
      <c r="E24" s="237">
        <v>2008</v>
      </c>
      <c r="F24" s="237">
        <v>7</v>
      </c>
      <c r="G24" s="237">
        <v>0.2</v>
      </c>
      <c r="I24" s="237" t="s">
        <v>52</v>
      </c>
      <c r="J24" s="237">
        <v>7</v>
      </c>
      <c r="K24" s="237">
        <f t="shared" ref="K24:K42" si="23">E24+J24</f>
        <v>2015</v>
      </c>
      <c r="N24" s="238">
        <f>166371.17+7162.52</f>
        <v>173533.69</v>
      </c>
      <c r="P24" s="238">
        <f t="shared" si="17"/>
        <v>138826.95199999999</v>
      </c>
      <c r="Q24" s="238">
        <f t="shared" si="2"/>
        <v>1652.7018095238093</v>
      </c>
      <c r="R24" s="238">
        <f t="shared" si="18"/>
        <v>0</v>
      </c>
      <c r="S24" s="238">
        <f t="shared" si="19"/>
        <v>0</v>
      </c>
      <c r="T24" s="238">
        <f t="shared" si="20"/>
        <v>0</v>
      </c>
      <c r="U24" s="238">
        <v>1</v>
      </c>
      <c r="V24" s="238">
        <f t="shared" si="21"/>
        <v>0</v>
      </c>
      <c r="X24" s="238">
        <f t="shared" si="7"/>
        <v>138826.95199999999</v>
      </c>
      <c r="Y24" s="238">
        <f t="shared" si="8"/>
        <v>138826.95199999999</v>
      </c>
      <c r="Z24" s="238">
        <v>1</v>
      </c>
      <c r="AA24" s="238">
        <f t="shared" si="9"/>
        <v>138826.95199999999</v>
      </c>
      <c r="AB24" s="238">
        <f t="shared" si="10"/>
        <v>138826.95199999999</v>
      </c>
      <c r="AC24" s="238">
        <f t="shared" si="22"/>
        <v>34706.738000000012</v>
      </c>
      <c r="AD24" s="238">
        <f t="shared" si="15"/>
        <v>2008.5</v>
      </c>
      <c r="AE24" s="238">
        <f t="shared" si="12"/>
        <v>2017</v>
      </c>
      <c r="AF24" s="238">
        <f t="shared" si="16"/>
        <v>2015.5</v>
      </c>
      <c r="AG24" s="238">
        <f t="shared" si="13"/>
        <v>2016</v>
      </c>
      <c r="AH24" s="238">
        <f t="shared" si="14"/>
        <v>-8.3333333333333329E-2</v>
      </c>
    </row>
    <row r="25" spans="1:34">
      <c r="A25" s="237">
        <v>62296</v>
      </c>
      <c r="B25" s="237" t="s">
        <v>55</v>
      </c>
      <c r="C25" s="237">
        <v>907</v>
      </c>
      <c r="D25" s="237" t="s">
        <v>180</v>
      </c>
      <c r="E25" s="237">
        <v>2008</v>
      </c>
      <c r="F25" s="237">
        <v>11</v>
      </c>
      <c r="G25" s="237">
        <v>0.2</v>
      </c>
      <c r="I25" s="237" t="s">
        <v>52</v>
      </c>
      <c r="J25" s="237">
        <v>7</v>
      </c>
      <c r="K25" s="237">
        <f t="shared" si="23"/>
        <v>2015</v>
      </c>
      <c r="N25" s="238">
        <f>125094.15+120073.97+1188.27+2278.1+1105.68</f>
        <v>249740.16999999998</v>
      </c>
      <c r="P25" s="238">
        <f t="shared" si="17"/>
        <v>199792.136</v>
      </c>
      <c r="Q25" s="238">
        <f t="shared" si="2"/>
        <v>2378.4778095238094</v>
      </c>
      <c r="R25" s="238">
        <f t="shared" si="18"/>
        <v>0</v>
      </c>
      <c r="S25" s="238">
        <f t="shared" si="19"/>
        <v>0</v>
      </c>
      <c r="T25" s="238">
        <f t="shared" si="20"/>
        <v>0</v>
      </c>
      <c r="U25" s="238">
        <v>1</v>
      </c>
      <c r="V25" s="238">
        <f t="shared" si="21"/>
        <v>0</v>
      </c>
      <c r="X25" s="238">
        <f t="shared" si="7"/>
        <v>199792.136</v>
      </c>
      <c r="Y25" s="238">
        <f t="shared" si="8"/>
        <v>199792.136</v>
      </c>
      <c r="Z25" s="238">
        <v>1</v>
      </c>
      <c r="AA25" s="238">
        <f t="shared" si="9"/>
        <v>199792.136</v>
      </c>
      <c r="AB25" s="238">
        <f t="shared" si="10"/>
        <v>199792.136</v>
      </c>
      <c r="AC25" s="238">
        <f t="shared" si="22"/>
        <v>49948.033999999985</v>
      </c>
      <c r="AD25" s="238">
        <f t="shared" si="15"/>
        <v>2008.8333333333333</v>
      </c>
      <c r="AE25" s="238">
        <f t="shared" si="12"/>
        <v>2017</v>
      </c>
      <c r="AF25" s="238">
        <f t="shared" si="16"/>
        <v>2015.8333333333333</v>
      </c>
      <c r="AG25" s="238">
        <f t="shared" si="13"/>
        <v>2016</v>
      </c>
      <c r="AH25" s="238">
        <f t="shared" si="14"/>
        <v>-8.3333333333333329E-2</v>
      </c>
    </row>
    <row r="26" spans="1:34">
      <c r="A26" s="237">
        <v>63510</v>
      </c>
      <c r="B26" s="237" t="s">
        <v>54</v>
      </c>
      <c r="C26" s="237">
        <v>620</v>
      </c>
      <c r="D26" s="237" t="s">
        <v>184</v>
      </c>
      <c r="E26" s="237">
        <v>2009</v>
      </c>
      <c r="F26" s="237">
        <v>5</v>
      </c>
      <c r="G26" s="237">
        <v>0.2</v>
      </c>
      <c r="I26" s="237" t="s">
        <v>52</v>
      </c>
      <c r="J26" s="237">
        <v>7</v>
      </c>
      <c r="K26" s="237">
        <f t="shared" si="23"/>
        <v>2016</v>
      </c>
      <c r="N26" s="238">
        <v>183488.19</v>
      </c>
      <c r="P26" s="238">
        <f t="shared" si="17"/>
        <v>146790.552</v>
      </c>
      <c r="Q26" s="238">
        <f t="shared" si="2"/>
        <v>1747.5065714285713</v>
      </c>
      <c r="R26" s="238">
        <f t="shared" si="18"/>
        <v>6990.0262857126954</v>
      </c>
      <c r="S26" s="238">
        <f t="shared" si="19"/>
        <v>0</v>
      </c>
      <c r="T26" s="238">
        <f t="shared" si="20"/>
        <v>6990.0262857126954</v>
      </c>
      <c r="U26" s="238">
        <v>1</v>
      </c>
      <c r="V26" s="238">
        <f t="shared" si="21"/>
        <v>6990.0262857126954</v>
      </c>
      <c r="X26" s="238">
        <f t="shared" si="7"/>
        <v>139800.5257142873</v>
      </c>
      <c r="Y26" s="238">
        <f t="shared" si="8"/>
        <v>139800.5257142873</v>
      </c>
      <c r="Z26" s="238">
        <v>1</v>
      </c>
      <c r="AA26" s="238">
        <f t="shared" si="9"/>
        <v>139800.5257142873</v>
      </c>
      <c r="AB26" s="238">
        <f t="shared" si="10"/>
        <v>146790.552</v>
      </c>
      <c r="AC26" s="238">
        <f t="shared" si="22"/>
        <v>40192.651142856354</v>
      </c>
      <c r="AD26" s="238">
        <f t="shared" si="15"/>
        <v>2009.3333333333333</v>
      </c>
      <c r="AE26" s="238">
        <f t="shared" si="12"/>
        <v>2017</v>
      </c>
      <c r="AF26" s="238">
        <f t="shared" si="16"/>
        <v>2016.3333333333333</v>
      </c>
      <c r="AG26" s="238">
        <f t="shared" si="13"/>
        <v>2016</v>
      </c>
      <c r="AH26" s="238">
        <f t="shared" si="14"/>
        <v>-8.3333333333333329E-2</v>
      </c>
    </row>
    <row r="29" spans="1:34">
      <c r="A29" s="237">
        <v>73243</v>
      </c>
      <c r="B29" s="237" t="s">
        <v>71</v>
      </c>
      <c r="C29" s="237" t="s">
        <v>186</v>
      </c>
      <c r="D29" s="237" t="s">
        <v>187</v>
      </c>
      <c r="E29" s="237">
        <v>2010</v>
      </c>
      <c r="F29" s="237">
        <v>3</v>
      </c>
      <c r="G29" s="237">
        <v>0.2</v>
      </c>
      <c r="I29" s="237" t="s">
        <v>52</v>
      </c>
      <c r="J29" s="237">
        <v>7</v>
      </c>
      <c r="K29" s="237">
        <f t="shared" si="23"/>
        <v>2017</v>
      </c>
      <c r="N29" s="238">
        <f>74310.77+36333.87</f>
        <v>110644.64000000001</v>
      </c>
      <c r="P29" s="238">
        <f t="shared" ref="P29:P47" si="24">N29-N29*G29</f>
        <v>88515.712000000014</v>
      </c>
      <c r="Q29" s="238">
        <f t="shared" si="2"/>
        <v>1053.7584761904764</v>
      </c>
      <c r="R29" s="238">
        <f t="shared" ref="R29:R47" si="25">IF(O29&gt;0,0,IF(OR(AD29&gt;AE29,AF29&lt;AG29),0,IF(AND(AF29&gt;=AG29,AF29&lt;=AE29),Q29*((AF29-AG29)*12),IF(AND(AG29&lt;=AD29,AE29&gt;=AD29),((AE29-AD29)*12)*Q29,IF(AF29&gt;AE29,12*Q29,0)))))</f>
        <v>12645.101714285716</v>
      </c>
      <c r="S29" s="238">
        <f t="shared" ref="S29:S47" si="26">IF(O29=0,0,IF(AND(AH29&gt;=AG29,AH29&lt;=AF29),((AH29-AG29)*12)*Q29,0))</f>
        <v>0</v>
      </c>
      <c r="T29" s="238">
        <f t="shared" ref="T29:T47" si="27">IF(S29&gt;0,S29,R29)</f>
        <v>12645.101714285716</v>
      </c>
      <c r="U29" s="238">
        <v>1</v>
      </c>
      <c r="V29" s="238">
        <f t="shared" ref="V29:V47" si="28">U29*SUM(R29:S29)</f>
        <v>12645.101714285716</v>
      </c>
      <c r="X29" s="238">
        <f t="shared" ref="X29:X47" si="29">IF(AD29&gt;AE29,0,IF(AF29&lt;AG29,P29,IF(AND(AF29&gt;=AG29,AF29&lt;=AE29),(P29-T29),IF(AND(AG29&lt;=AD29,AE29&gt;=AD29),0,IF(AF29&gt;AE29,((AG29-AD29)*12)*Q29,0)))))</f>
        <v>73763.093333332392</v>
      </c>
      <c r="Y29" s="238">
        <f t="shared" ref="Y29:Y47" si="30">X29*U29</f>
        <v>73763.093333332392</v>
      </c>
      <c r="Z29" s="238">
        <v>1</v>
      </c>
      <c r="AA29" s="238">
        <f t="shared" si="9"/>
        <v>73763.093333332392</v>
      </c>
      <c r="AB29" s="238">
        <f t="shared" si="10"/>
        <v>86408.195047618108</v>
      </c>
      <c r="AC29" s="238">
        <f t="shared" ref="AC29:AC47" si="31">IF(O29&gt;0,(N29-AA29)/2,IF(AD29&gt;=AG29,(((N29*U29)*Z29)-AB29)/2,((((N29*U29)*Z29)-AA29)+(((N29*U29)*Z29)-AB29))/2))</f>
        <v>30558.995809524764</v>
      </c>
      <c r="AD29" s="238">
        <f t="shared" si="15"/>
        <v>2010.1666666666667</v>
      </c>
      <c r="AE29" s="238">
        <f t="shared" ref="AE29:AE47" si="32">($P$5+1)-($P$2/12)</f>
        <v>2017</v>
      </c>
      <c r="AF29" s="238">
        <f t="shared" si="16"/>
        <v>2017.1666666666667</v>
      </c>
      <c r="AG29" s="238">
        <f t="shared" ref="AG29:AG47" si="33">$P$4+($P$3/12)</f>
        <v>2016</v>
      </c>
      <c r="AH29" s="238">
        <f t="shared" si="14"/>
        <v>-8.3333333333333329E-2</v>
      </c>
    </row>
    <row r="30" spans="1:34">
      <c r="D30" s="237" t="s">
        <v>213</v>
      </c>
      <c r="E30" s="237">
        <v>2010</v>
      </c>
      <c r="F30" s="237">
        <v>7</v>
      </c>
      <c r="G30" s="237">
        <v>0.2</v>
      </c>
      <c r="I30" s="237" t="s">
        <v>52</v>
      </c>
      <c r="J30" s="237">
        <v>7</v>
      </c>
      <c r="K30" s="237">
        <f>E30+J30</f>
        <v>2017</v>
      </c>
      <c r="N30" s="238">
        <v>164438</v>
      </c>
      <c r="P30" s="238">
        <f>N30-N30*G30</f>
        <v>131550.39999999999</v>
      </c>
      <c r="Q30" s="238">
        <f>P30/J30/12</f>
        <v>1566.0761904761903</v>
      </c>
      <c r="R30" s="238">
        <f>IF(O30&gt;0,0,IF(OR(AD30&gt;AE30,AF30&lt;AG30),0,IF(AND(AF30&gt;=AG30,AF30&lt;=AE30),Q30*((AF30-AG30)*12),IF(AND(AG30&lt;=AD30,AE30&gt;=AD30),((AE30-AD30)*12)*Q30,IF(AF30&gt;AE30,12*Q30,0)))))</f>
        <v>18792.914285714283</v>
      </c>
      <c r="S30" s="238">
        <f>IF(O30=0,0,IF(AND(AH30&gt;=AG30,AH30&lt;=AF30),((AH30-AG30)*12)*Q30,0))</f>
        <v>0</v>
      </c>
      <c r="T30" s="238">
        <f>IF(S30&gt;0,S30,R30)</f>
        <v>18792.914285714283</v>
      </c>
      <c r="U30" s="238">
        <v>1</v>
      </c>
      <c r="V30" s="238">
        <f>U30*SUM(R30:S30)</f>
        <v>18792.914285714283</v>
      </c>
      <c r="X30" s="238">
        <f>IF(AD30&gt;AE30,0,IF(AF30&lt;AG30,P30,IF(AND(AF30&gt;=AG30,AF30&lt;=AE30),(P30-T30),IF(AND(AG30&lt;=AD30,AE30&gt;=AD30),0,IF(AF30&gt;AE30,((AG30-AD30)*12)*Q30,0)))))</f>
        <v>103361.02857142856</v>
      </c>
      <c r="Y30" s="238">
        <f>X30*U30</f>
        <v>103361.02857142856</v>
      </c>
      <c r="Z30" s="238">
        <v>1</v>
      </c>
      <c r="AA30" s="238">
        <f>Y30*Z30</f>
        <v>103361.02857142856</v>
      </c>
      <c r="AB30" s="238">
        <f>IF(O30&gt;0,0,AA30+V30*Z30)*Z30</f>
        <v>122153.94285714284</v>
      </c>
      <c r="AC30" s="238">
        <f>IF(O30&gt;0,(N30-AA30)/2,IF(AD30&gt;=AG30,(((N30*U30)*Z30)-AB30)/2,((((N30*U30)*Z30)-AA30)+(((N30*U30)*Z30)-AB30))/2))</f>
        <v>51680.5142857143</v>
      </c>
      <c r="AD30" s="238">
        <f t="shared" si="15"/>
        <v>2010.5</v>
      </c>
      <c r="AE30" s="238">
        <f t="shared" si="32"/>
        <v>2017</v>
      </c>
      <c r="AF30" s="238">
        <f t="shared" si="16"/>
        <v>2017.5</v>
      </c>
      <c r="AG30" s="238">
        <f t="shared" si="33"/>
        <v>2016</v>
      </c>
      <c r="AH30" s="238">
        <f t="shared" si="14"/>
        <v>-8.3333333333333329E-2</v>
      </c>
    </row>
    <row r="31" spans="1:34">
      <c r="C31" s="237">
        <v>6</v>
      </c>
      <c r="D31" s="237" t="s">
        <v>214</v>
      </c>
      <c r="E31" s="237">
        <v>2010</v>
      </c>
      <c r="F31" s="237">
        <v>8</v>
      </c>
      <c r="G31" s="237">
        <v>0.2</v>
      </c>
      <c r="I31" s="237" t="s">
        <v>52</v>
      </c>
      <c r="J31" s="237">
        <v>7</v>
      </c>
      <c r="K31" s="237">
        <f>E31+J31</f>
        <v>2017</v>
      </c>
      <c r="N31" s="238">
        <v>3359.46</v>
      </c>
      <c r="P31" s="238">
        <f>N31-N31*G31</f>
        <v>2687.5680000000002</v>
      </c>
      <c r="Q31" s="238">
        <f>P31/J31/12</f>
        <v>31.994857142857146</v>
      </c>
      <c r="R31" s="238">
        <f>IF(O31&gt;0,0,IF(OR(AD31&gt;AE31,AF31&lt;AG31),0,IF(AND(AF31&gt;=AG31,AF31&lt;=AE31),Q31*((AF31-AG31)*12),IF(AND(AG31&lt;=AD31,AE31&gt;=AD31),((AE31-AD31)*12)*Q31,IF(AF31&gt;AE31,12*Q31,0)))))</f>
        <v>383.93828571428577</v>
      </c>
      <c r="S31" s="238">
        <f>IF(O31=0,0,IF(AND(AH31&gt;=AG31,AH31&lt;=AF31),((AH31-AG31)*12)*Q31,0))</f>
        <v>0</v>
      </c>
      <c r="T31" s="238">
        <f>IF(S31&gt;0,S31,R31)</f>
        <v>383.93828571428577</v>
      </c>
      <c r="U31" s="238">
        <v>1</v>
      </c>
      <c r="V31" s="238">
        <f>U31*SUM(R31:S31)</f>
        <v>383.93828571428577</v>
      </c>
      <c r="X31" s="238">
        <f>IF(AD31&gt;AE31,0,IF(AF31&lt;AG31,P31,IF(AND(AF31&gt;=AG31,AF31&lt;=AE31),(P31-T31),IF(AND(AG31&lt;=AD31,AE31&gt;=AD31),0,IF(AF31&gt;AE31,((AG31-AD31)*12)*Q31,0)))))</f>
        <v>2079.6657142857434</v>
      </c>
      <c r="Y31" s="238">
        <f>X31*U31</f>
        <v>2079.6657142857434</v>
      </c>
      <c r="Z31" s="238">
        <v>1</v>
      </c>
      <c r="AA31" s="238">
        <f>Y31*Z31</f>
        <v>2079.6657142857434</v>
      </c>
      <c r="AB31" s="238">
        <f>IF(O31&gt;0,0,AA31+V31*Z31)*Z31</f>
        <v>2463.6040000000294</v>
      </c>
      <c r="AC31" s="238">
        <f>IF(O31&gt;0,(N31-AA31)/2,IF(AD31&gt;=AG31,(((N31*U31)*Z31)-AB31)/2,((((N31*U31)*Z31)-AA31)+(((N31*U31)*Z31)-AB31))/2))</f>
        <v>1087.8251428571136</v>
      </c>
      <c r="AD31" s="238">
        <f t="shared" si="15"/>
        <v>2010.5833333333333</v>
      </c>
      <c r="AE31" s="238">
        <f t="shared" si="32"/>
        <v>2017</v>
      </c>
      <c r="AF31" s="238">
        <f t="shared" si="16"/>
        <v>2017.5833333333333</v>
      </c>
      <c r="AG31" s="238">
        <f t="shared" si="33"/>
        <v>2016</v>
      </c>
      <c r="AH31" s="238">
        <f t="shared" si="14"/>
        <v>-8.3333333333333329E-2</v>
      </c>
    </row>
    <row r="32" spans="1:34">
      <c r="A32" s="237">
        <v>75741</v>
      </c>
      <c r="C32" s="237" t="s">
        <v>230</v>
      </c>
      <c r="D32" s="237" t="s">
        <v>231</v>
      </c>
      <c r="E32" s="237">
        <v>2010</v>
      </c>
      <c r="F32" s="237">
        <v>12</v>
      </c>
      <c r="G32" s="237">
        <v>0.33</v>
      </c>
      <c r="I32" s="237" t="s">
        <v>52</v>
      </c>
      <c r="J32" s="237">
        <v>5</v>
      </c>
      <c r="K32" s="237">
        <f>E32+J32</f>
        <v>2015</v>
      </c>
      <c r="N32" s="238">
        <v>19869.43</v>
      </c>
      <c r="P32" s="238">
        <f>N32-N32*G32</f>
        <v>13312.518100000001</v>
      </c>
      <c r="Q32" s="238">
        <f>P32/J32/12</f>
        <v>221.8753016666667</v>
      </c>
      <c r="R32" s="238">
        <f>IF(O32&gt;0,0,IF(OR(AD32&gt;AE32,AF32&lt;AG32),0,IF(AND(AF32&gt;=AG32,AF32&lt;=AE32),Q32*((AF32-AG32)*12),IF(AND(AG32&lt;=AD32,AE32&gt;=AD32),((AE32-AD32)*12)*Q32,IF(AF32&gt;AE32,12*Q32,0)))))</f>
        <v>0</v>
      </c>
      <c r="S32" s="238">
        <f>IF(O32=0,0,IF(AND(AH32&gt;=AG32,AH32&lt;=AF32),((AH32-AG32)*12)*Q32,0))</f>
        <v>0</v>
      </c>
      <c r="T32" s="238">
        <f>IF(S32&gt;0,S32,R32)</f>
        <v>0</v>
      </c>
      <c r="U32" s="238">
        <v>1</v>
      </c>
      <c r="V32" s="238">
        <f>U32*SUM(R32:S32)</f>
        <v>0</v>
      </c>
      <c r="X32" s="238">
        <f>IF(AD32&gt;AE32,0,IF(AF32&lt;AG32,P32,IF(AND(AF32&gt;=AG32,AF32&lt;=AE32),(P32-T32),IF(AND(AG32&lt;=AD32,AE32&gt;=AD32),0,IF(AF32&gt;AE32,((AG32-AD32)*12)*Q32,0)))))</f>
        <v>13312.518100000001</v>
      </c>
      <c r="Y32" s="238">
        <f>X32*U32</f>
        <v>13312.518100000001</v>
      </c>
      <c r="Z32" s="238">
        <v>1</v>
      </c>
      <c r="AA32" s="238">
        <f>Y32*Z32</f>
        <v>13312.518100000001</v>
      </c>
      <c r="AB32" s="238">
        <f>IF(O32&gt;0,0,AA32+V32*Z32)*Z32</f>
        <v>13312.518100000001</v>
      </c>
      <c r="AC32" s="238">
        <f>IF(O32&gt;0,(N32-AA32)/2,IF(AD32&gt;=AG32,(((N32*U32)*Z32)-AB32)/2,((((N32*U32)*Z32)-AA32)+(((N32*U32)*Z32)-AB32))/2))</f>
        <v>6556.9118999999992</v>
      </c>
      <c r="AD32" s="238">
        <f t="shared" si="15"/>
        <v>2010.9166666666667</v>
      </c>
      <c r="AE32" s="238">
        <f t="shared" si="32"/>
        <v>2017</v>
      </c>
      <c r="AF32" s="238">
        <f t="shared" si="16"/>
        <v>2015.9166666666667</v>
      </c>
      <c r="AG32" s="238">
        <f t="shared" si="33"/>
        <v>2016</v>
      </c>
      <c r="AH32" s="238">
        <f t="shared" si="14"/>
        <v>-8.3333333333333329E-2</v>
      </c>
    </row>
    <row r="33" spans="1:34">
      <c r="C33" s="237">
        <v>6</v>
      </c>
      <c r="D33" s="237" t="s">
        <v>214</v>
      </c>
      <c r="E33" s="237">
        <v>2011</v>
      </c>
      <c r="F33" s="237">
        <v>1</v>
      </c>
      <c r="G33" s="237">
        <v>0.2</v>
      </c>
      <c r="I33" s="237" t="s">
        <v>52</v>
      </c>
      <c r="J33" s="237">
        <v>7</v>
      </c>
      <c r="K33" s="237">
        <f>E33+J33</f>
        <v>2018</v>
      </c>
      <c r="N33" s="238">
        <f>6260.49-2845.68</f>
        <v>3414.81</v>
      </c>
      <c r="P33" s="238">
        <f>N33-N33*G33</f>
        <v>2731.848</v>
      </c>
      <c r="Q33" s="238">
        <f>P33/J33/12</f>
        <v>32.521999999999998</v>
      </c>
      <c r="R33" s="238">
        <f>IF(O33&gt;0,0,IF(OR(AD33&gt;AE33,AF33&lt;AG33),0,IF(AND(AF33&gt;=AG33,AF33&lt;=AE33),Q33*((AF33-AG33)*12),IF(AND(AG33&lt;=AD33,AE33&gt;=AD33),((AE33-AD33)*12)*Q33,IF(AF33&gt;AE33,12*Q33,0)))))</f>
        <v>390.26400000000001</v>
      </c>
      <c r="S33" s="238">
        <f>IF(O33=0,0,IF(AND(AH33&gt;=AG33,AH33&lt;=AF33),((AH33-AG33)*12)*Q33,0))</f>
        <v>0</v>
      </c>
      <c r="T33" s="238">
        <f>IF(S33&gt;0,S33,R33)</f>
        <v>390.26400000000001</v>
      </c>
      <c r="U33" s="238">
        <v>1</v>
      </c>
      <c r="V33" s="238">
        <f>U33*SUM(R33:S33)</f>
        <v>390.26400000000001</v>
      </c>
      <c r="X33" s="238">
        <f>IF(AD33&gt;AE33,0,IF(AF33&lt;AG33,P33,IF(AND(AF33&gt;=AG33,AF33&lt;=AE33),(P33-T33),IF(AND(AG33&lt;=AD33,AE33&gt;=AD33),0,IF(AF33&gt;AE33,((AG33-AD33)*12)*Q33,0)))))</f>
        <v>1951.32</v>
      </c>
      <c r="Y33" s="238">
        <f>X33*U33</f>
        <v>1951.32</v>
      </c>
      <c r="Z33" s="238">
        <v>1</v>
      </c>
      <c r="AA33" s="238">
        <f>Y33*Z33</f>
        <v>1951.32</v>
      </c>
      <c r="AB33" s="238">
        <f>IF(O33&gt;0,0,AA33+V33*Z33)*Z33</f>
        <v>2341.5839999999998</v>
      </c>
      <c r="AC33" s="238">
        <f>IF(O33&gt;0,(N33-AA33)/2,IF(AD33&gt;=AG33,(((N33*U33)*Z33)-AB33)/2,((((N33*U33)*Z33)-AA33)+(((N33*U33)*Z33)-AB33))/2))</f>
        <v>1268.3580000000002</v>
      </c>
      <c r="AD33" s="238">
        <f t="shared" si="15"/>
        <v>2011</v>
      </c>
      <c r="AE33" s="238">
        <f t="shared" si="32"/>
        <v>2017</v>
      </c>
      <c r="AF33" s="238">
        <f t="shared" si="16"/>
        <v>2018</v>
      </c>
      <c r="AG33" s="238">
        <f t="shared" si="33"/>
        <v>2016</v>
      </c>
      <c r="AH33" s="238">
        <f t="shared" si="14"/>
        <v>-8.3333333333333329E-2</v>
      </c>
    </row>
    <row r="34" spans="1:34">
      <c r="C34" s="237">
        <v>604</v>
      </c>
      <c r="D34" s="237" t="s">
        <v>159</v>
      </c>
      <c r="E34" s="237">
        <v>2011</v>
      </c>
      <c r="F34" s="237">
        <v>5</v>
      </c>
      <c r="I34" s="237" t="s">
        <v>52</v>
      </c>
      <c r="J34" s="237">
        <v>3</v>
      </c>
      <c r="K34" s="237">
        <f t="shared" si="23"/>
        <v>2014</v>
      </c>
      <c r="N34" s="238">
        <v>7769.76</v>
      </c>
      <c r="P34" s="238">
        <f t="shared" si="24"/>
        <v>7769.76</v>
      </c>
      <c r="Q34" s="238">
        <f t="shared" si="2"/>
        <v>215.82666666666668</v>
      </c>
      <c r="R34" s="238">
        <f t="shared" si="25"/>
        <v>0</v>
      </c>
      <c r="S34" s="238">
        <f t="shared" si="26"/>
        <v>0</v>
      </c>
      <c r="T34" s="238">
        <f t="shared" si="27"/>
        <v>0</v>
      </c>
      <c r="U34" s="238">
        <v>1</v>
      </c>
      <c r="V34" s="238">
        <f t="shared" si="28"/>
        <v>0</v>
      </c>
      <c r="X34" s="238">
        <f t="shared" si="29"/>
        <v>7769.76</v>
      </c>
      <c r="Y34" s="238">
        <f t="shared" si="30"/>
        <v>7769.76</v>
      </c>
      <c r="Z34" s="238">
        <v>1</v>
      </c>
      <c r="AA34" s="238">
        <f t="shared" si="9"/>
        <v>7769.76</v>
      </c>
      <c r="AB34" s="238">
        <f t="shared" si="10"/>
        <v>7769.76</v>
      </c>
      <c r="AC34" s="238">
        <f t="shared" si="31"/>
        <v>0</v>
      </c>
      <c r="AD34" s="238">
        <f t="shared" si="15"/>
        <v>2011.3333333333333</v>
      </c>
      <c r="AE34" s="238">
        <f t="shared" si="32"/>
        <v>2017</v>
      </c>
      <c r="AF34" s="238">
        <f t="shared" si="16"/>
        <v>2014.3333333333333</v>
      </c>
      <c r="AG34" s="238">
        <f t="shared" si="33"/>
        <v>2016</v>
      </c>
      <c r="AH34" s="238">
        <f t="shared" si="14"/>
        <v>-8.3333333333333329E-2</v>
      </c>
    </row>
    <row r="35" spans="1:34">
      <c r="A35" s="237">
        <v>88717</v>
      </c>
      <c r="B35" s="237" t="s">
        <v>54</v>
      </c>
      <c r="C35" s="237">
        <v>151</v>
      </c>
      <c r="D35" s="237" t="s">
        <v>221</v>
      </c>
      <c r="E35" s="237">
        <v>2011</v>
      </c>
      <c r="F35" s="237">
        <v>12</v>
      </c>
      <c r="G35" s="237">
        <v>0.2</v>
      </c>
      <c r="I35" s="237" t="s">
        <v>52</v>
      </c>
      <c r="J35" s="237">
        <v>7</v>
      </c>
      <c r="K35" s="237">
        <f t="shared" si="23"/>
        <v>2018</v>
      </c>
      <c r="N35" s="238">
        <v>105733.19</v>
      </c>
      <c r="P35" s="238">
        <f t="shared" si="24"/>
        <v>84586.551999999996</v>
      </c>
      <c r="Q35" s="238">
        <f t="shared" si="2"/>
        <v>1006.9827619047619</v>
      </c>
      <c r="R35" s="238">
        <f t="shared" si="25"/>
        <v>12083.793142857143</v>
      </c>
      <c r="S35" s="238">
        <f t="shared" si="26"/>
        <v>0</v>
      </c>
      <c r="T35" s="238">
        <f t="shared" si="27"/>
        <v>12083.793142857143</v>
      </c>
      <c r="U35" s="238">
        <v>1</v>
      </c>
      <c r="V35" s="238">
        <f t="shared" si="28"/>
        <v>12083.793142857143</v>
      </c>
      <c r="X35" s="238">
        <f t="shared" si="29"/>
        <v>49342.155333332419</v>
      </c>
      <c r="Y35" s="238">
        <f t="shared" si="30"/>
        <v>49342.155333332419</v>
      </c>
      <c r="Z35" s="238">
        <v>1</v>
      </c>
      <c r="AA35" s="238">
        <f t="shared" si="9"/>
        <v>49342.155333332419</v>
      </c>
      <c r="AB35" s="238">
        <f t="shared" si="10"/>
        <v>61425.948476189558</v>
      </c>
      <c r="AC35" s="238">
        <f t="shared" si="31"/>
        <v>50349.138095239017</v>
      </c>
      <c r="AD35" s="238">
        <f t="shared" si="15"/>
        <v>2011.9166666666667</v>
      </c>
      <c r="AE35" s="238">
        <f t="shared" si="32"/>
        <v>2017</v>
      </c>
      <c r="AF35" s="238">
        <f t="shared" si="16"/>
        <v>2018.9166666666667</v>
      </c>
      <c r="AG35" s="238">
        <f t="shared" si="33"/>
        <v>2016</v>
      </c>
      <c r="AH35" s="238">
        <f t="shared" si="14"/>
        <v>-8.3333333333333329E-2</v>
      </c>
    </row>
    <row r="36" spans="1:34">
      <c r="A36" s="237">
        <v>89625</v>
      </c>
      <c r="B36" s="237" t="s">
        <v>55</v>
      </c>
      <c r="C36" s="237">
        <v>908</v>
      </c>
      <c r="D36" s="237" t="s">
        <v>208</v>
      </c>
      <c r="E36" s="237">
        <v>2011</v>
      </c>
      <c r="F36" s="237">
        <v>12</v>
      </c>
      <c r="G36" s="237">
        <v>0.2</v>
      </c>
      <c r="I36" s="237" t="s">
        <v>52</v>
      </c>
      <c r="J36" s="237">
        <v>7</v>
      </c>
      <c r="K36" s="237">
        <f t="shared" si="23"/>
        <v>2018</v>
      </c>
      <c r="N36" s="238">
        <v>284650.25</v>
      </c>
      <c r="P36" s="238">
        <f t="shared" si="24"/>
        <v>227720.2</v>
      </c>
      <c r="Q36" s="238">
        <f t="shared" si="2"/>
        <v>2710.9547619047621</v>
      </c>
      <c r="R36" s="238">
        <f t="shared" si="25"/>
        <v>32531.457142857143</v>
      </c>
      <c r="S36" s="238">
        <f t="shared" si="26"/>
        <v>0</v>
      </c>
      <c r="T36" s="238">
        <f t="shared" si="27"/>
        <v>32531.457142857143</v>
      </c>
      <c r="U36" s="238">
        <v>1</v>
      </c>
      <c r="V36" s="238">
        <f t="shared" si="28"/>
        <v>32531.457142857143</v>
      </c>
      <c r="X36" s="238">
        <f t="shared" si="29"/>
        <v>132836.78333333088</v>
      </c>
      <c r="Y36" s="238">
        <f t="shared" si="30"/>
        <v>132836.78333333088</v>
      </c>
      <c r="Z36" s="238">
        <v>1</v>
      </c>
      <c r="AA36" s="238">
        <f t="shared" si="9"/>
        <v>132836.78333333088</v>
      </c>
      <c r="AB36" s="238">
        <f t="shared" si="10"/>
        <v>165368.24047618802</v>
      </c>
      <c r="AC36" s="238">
        <f t="shared" si="31"/>
        <v>135547.73809524055</v>
      </c>
      <c r="AD36" s="238">
        <f t="shared" si="15"/>
        <v>2011.9166666666667</v>
      </c>
      <c r="AE36" s="238">
        <f t="shared" si="32"/>
        <v>2017</v>
      </c>
      <c r="AF36" s="238">
        <f t="shared" si="16"/>
        <v>2018.9166666666667</v>
      </c>
      <c r="AG36" s="238">
        <f t="shared" si="33"/>
        <v>2016</v>
      </c>
      <c r="AH36" s="238">
        <f t="shared" si="14"/>
        <v>-8.3333333333333329E-2</v>
      </c>
    </row>
    <row r="37" spans="1:34">
      <c r="A37" s="237">
        <v>90949</v>
      </c>
      <c r="B37" s="237" t="s">
        <v>54</v>
      </c>
      <c r="C37" s="237">
        <v>626</v>
      </c>
      <c r="D37" s="237" t="s">
        <v>229</v>
      </c>
      <c r="E37" s="237">
        <v>2011</v>
      </c>
      <c r="F37" s="237">
        <v>12</v>
      </c>
      <c r="G37" s="237">
        <v>0.2</v>
      </c>
      <c r="I37" s="237" t="s">
        <v>52</v>
      </c>
      <c r="J37" s="237">
        <v>7</v>
      </c>
      <c r="K37" s="237">
        <f t="shared" si="23"/>
        <v>2018</v>
      </c>
      <c r="N37" s="238">
        <v>247726.06</v>
      </c>
      <c r="P37" s="238">
        <f t="shared" si="24"/>
        <v>198180.848</v>
      </c>
      <c r="Q37" s="238">
        <f t="shared" si="2"/>
        <v>2359.2958095238096</v>
      </c>
      <c r="R37" s="238">
        <f t="shared" si="25"/>
        <v>28311.549714285713</v>
      </c>
      <c r="S37" s="238">
        <f t="shared" si="26"/>
        <v>0</v>
      </c>
      <c r="T37" s="238">
        <f t="shared" si="27"/>
        <v>28311.549714285713</v>
      </c>
      <c r="U37" s="238">
        <v>1</v>
      </c>
      <c r="V37" s="238">
        <f t="shared" si="28"/>
        <v>28311.549714285713</v>
      </c>
      <c r="X37" s="238">
        <f t="shared" si="29"/>
        <v>115605.49466666453</v>
      </c>
      <c r="Y37" s="238">
        <f t="shared" si="30"/>
        <v>115605.49466666453</v>
      </c>
      <c r="Z37" s="238">
        <v>1</v>
      </c>
      <c r="AA37" s="238">
        <f t="shared" si="9"/>
        <v>115605.49466666453</v>
      </c>
      <c r="AB37" s="238">
        <f t="shared" si="10"/>
        <v>143917.04438095025</v>
      </c>
      <c r="AC37" s="238">
        <f t="shared" si="31"/>
        <v>117964.79047619262</v>
      </c>
      <c r="AD37" s="238">
        <f t="shared" si="15"/>
        <v>2011.9166666666667</v>
      </c>
      <c r="AE37" s="238">
        <f t="shared" si="32"/>
        <v>2017</v>
      </c>
      <c r="AF37" s="238">
        <f t="shared" si="16"/>
        <v>2018.9166666666667</v>
      </c>
      <c r="AG37" s="238">
        <f t="shared" si="33"/>
        <v>2016</v>
      </c>
      <c r="AH37" s="238">
        <f t="shared" si="14"/>
        <v>-8.3333333333333329E-2</v>
      </c>
    </row>
    <row r="38" spans="1:34">
      <c r="A38" s="237">
        <v>88795</v>
      </c>
      <c r="D38" s="237" t="s">
        <v>225</v>
      </c>
      <c r="E38" s="237">
        <v>2011</v>
      </c>
      <c r="F38" s="237">
        <v>12</v>
      </c>
      <c r="G38" s="237">
        <v>0.2</v>
      </c>
      <c r="I38" s="237" t="s">
        <v>52</v>
      </c>
      <c r="J38" s="237">
        <v>7</v>
      </c>
      <c r="K38" s="237">
        <f t="shared" si="23"/>
        <v>2018</v>
      </c>
      <c r="N38" s="238">
        <v>3830.72</v>
      </c>
      <c r="P38" s="238">
        <f t="shared" si="24"/>
        <v>3064.576</v>
      </c>
      <c r="Q38" s="238">
        <f t="shared" si="2"/>
        <v>36.483047619047618</v>
      </c>
      <c r="R38" s="238">
        <f t="shared" si="25"/>
        <v>437.79657142857138</v>
      </c>
      <c r="S38" s="238">
        <f t="shared" si="26"/>
        <v>0</v>
      </c>
      <c r="T38" s="238">
        <f t="shared" si="27"/>
        <v>437.79657142857138</v>
      </c>
      <c r="U38" s="238">
        <v>1</v>
      </c>
      <c r="V38" s="238">
        <f t="shared" si="28"/>
        <v>437.79657142857138</v>
      </c>
      <c r="X38" s="238">
        <f t="shared" si="29"/>
        <v>1787.6693333333001</v>
      </c>
      <c r="Y38" s="238">
        <f t="shared" si="30"/>
        <v>1787.6693333333001</v>
      </c>
      <c r="Z38" s="238">
        <v>1</v>
      </c>
      <c r="AA38" s="238">
        <f t="shared" si="9"/>
        <v>1787.6693333333001</v>
      </c>
      <c r="AB38" s="238">
        <f t="shared" si="10"/>
        <v>2225.4659047618716</v>
      </c>
      <c r="AC38" s="238">
        <f t="shared" si="31"/>
        <v>1824.152380952414</v>
      </c>
      <c r="AD38" s="238">
        <f t="shared" si="15"/>
        <v>2011.9166666666667</v>
      </c>
      <c r="AE38" s="238">
        <f t="shared" si="32"/>
        <v>2017</v>
      </c>
      <c r="AF38" s="238">
        <f t="shared" si="16"/>
        <v>2018.9166666666667</v>
      </c>
      <c r="AG38" s="238">
        <f t="shared" si="33"/>
        <v>2016</v>
      </c>
      <c r="AH38" s="238">
        <f t="shared" si="14"/>
        <v>-8.3333333333333329E-2</v>
      </c>
    </row>
    <row r="39" spans="1:34">
      <c r="A39" s="237">
        <v>120152</v>
      </c>
      <c r="B39" s="237" t="s">
        <v>88</v>
      </c>
      <c r="C39" s="237">
        <v>910</v>
      </c>
      <c r="D39" s="237" t="s">
        <v>369</v>
      </c>
      <c r="E39" s="237">
        <v>2013</v>
      </c>
      <c r="F39" s="237">
        <v>1</v>
      </c>
      <c r="G39" s="237">
        <v>0.2</v>
      </c>
      <c r="I39" s="237" t="s">
        <v>52</v>
      </c>
      <c r="J39" s="237">
        <v>7</v>
      </c>
      <c r="K39" s="237">
        <f>E39+J39</f>
        <v>2020</v>
      </c>
      <c r="N39" s="238">
        <f>304502.05+847.67</f>
        <v>305349.71999999997</v>
      </c>
      <c r="P39" s="238">
        <f t="shared" si="24"/>
        <v>244279.77599999998</v>
      </c>
      <c r="Q39" s="238">
        <f t="shared" si="2"/>
        <v>2908.0925714285713</v>
      </c>
      <c r="R39" s="238">
        <f t="shared" si="25"/>
        <v>34897.110857142856</v>
      </c>
      <c r="S39" s="238">
        <f t="shared" si="26"/>
        <v>0</v>
      </c>
      <c r="T39" s="238">
        <f t="shared" si="27"/>
        <v>34897.110857142856</v>
      </c>
      <c r="U39" s="238">
        <v>1</v>
      </c>
      <c r="V39" s="238">
        <f t="shared" si="28"/>
        <v>34897.110857142856</v>
      </c>
      <c r="X39" s="238">
        <f t="shared" si="29"/>
        <v>104691.33257142856</v>
      </c>
      <c r="Y39" s="238">
        <f t="shared" si="30"/>
        <v>104691.33257142856</v>
      </c>
      <c r="Z39" s="238">
        <v>1</v>
      </c>
      <c r="AA39" s="238">
        <f t="shared" si="9"/>
        <v>104691.33257142856</v>
      </c>
      <c r="AB39" s="238">
        <f t="shared" si="10"/>
        <v>139588.44342857142</v>
      </c>
      <c r="AC39" s="238">
        <f t="shared" si="31"/>
        <v>183209.83199999999</v>
      </c>
      <c r="AD39" s="238">
        <f>$E39+(($F39-1)/12)</f>
        <v>2013</v>
      </c>
      <c r="AE39" s="238">
        <f t="shared" si="32"/>
        <v>2017</v>
      </c>
      <c r="AF39" s="238">
        <f>$K39+(($F39-1)/12)</f>
        <v>2020</v>
      </c>
      <c r="AG39" s="238">
        <f t="shared" si="33"/>
        <v>2016</v>
      </c>
      <c r="AH39" s="238">
        <f>$L39+(($M39-1)/12)</f>
        <v>-8.3333333333333329E-2</v>
      </c>
    </row>
    <row r="40" spans="1:34">
      <c r="A40" s="237">
        <v>115352</v>
      </c>
      <c r="C40" s="237">
        <v>606</v>
      </c>
      <c r="D40" s="237" t="s">
        <v>316</v>
      </c>
      <c r="E40" s="237">
        <v>2014</v>
      </c>
      <c r="F40" s="237">
        <v>7</v>
      </c>
      <c r="G40" s="237">
        <v>0</v>
      </c>
      <c r="I40" s="237" t="s">
        <v>52</v>
      </c>
      <c r="J40" s="237">
        <v>3</v>
      </c>
      <c r="K40" s="237">
        <f t="shared" si="23"/>
        <v>2017</v>
      </c>
      <c r="N40" s="238">
        <v>8754.92</v>
      </c>
      <c r="P40" s="238">
        <f t="shared" si="24"/>
        <v>8754.92</v>
      </c>
      <c r="Q40" s="238">
        <f t="shared" si="2"/>
        <v>243.19222222222223</v>
      </c>
      <c r="R40" s="238">
        <f t="shared" si="25"/>
        <v>2918.3066666666668</v>
      </c>
      <c r="S40" s="238">
        <f t="shared" si="26"/>
        <v>0</v>
      </c>
      <c r="T40" s="238">
        <f t="shared" si="27"/>
        <v>2918.3066666666668</v>
      </c>
      <c r="U40" s="238">
        <v>1</v>
      </c>
      <c r="V40" s="238">
        <f t="shared" si="28"/>
        <v>2918.3066666666668</v>
      </c>
      <c r="X40" s="238">
        <f t="shared" si="29"/>
        <v>4377.46</v>
      </c>
      <c r="Y40" s="238">
        <f t="shared" si="30"/>
        <v>4377.46</v>
      </c>
      <c r="Z40" s="238">
        <v>1</v>
      </c>
      <c r="AA40" s="238">
        <f t="shared" si="9"/>
        <v>4377.46</v>
      </c>
      <c r="AB40" s="238">
        <f t="shared" si="10"/>
        <v>7295.7666666666664</v>
      </c>
      <c r="AC40" s="238">
        <f t="shared" si="31"/>
        <v>2918.3066666666668</v>
      </c>
      <c r="AD40" s="238">
        <f t="shared" si="15"/>
        <v>2014.5</v>
      </c>
      <c r="AE40" s="238">
        <f t="shared" si="32"/>
        <v>2017</v>
      </c>
      <c r="AF40" s="238">
        <f t="shared" si="16"/>
        <v>2017.5</v>
      </c>
      <c r="AG40" s="238">
        <f t="shared" si="33"/>
        <v>2016</v>
      </c>
      <c r="AH40" s="238">
        <f t="shared" si="14"/>
        <v>-8.3333333333333329E-2</v>
      </c>
    </row>
    <row r="41" spans="1:34">
      <c r="A41" s="237">
        <v>128795</v>
      </c>
      <c r="C41" s="237">
        <v>143</v>
      </c>
      <c r="D41" s="237" t="s">
        <v>333</v>
      </c>
      <c r="E41" s="237">
        <v>2015</v>
      </c>
      <c r="F41" s="237">
        <v>4</v>
      </c>
      <c r="G41" s="237">
        <v>0</v>
      </c>
      <c r="I41" s="237" t="s">
        <v>52</v>
      </c>
      <c r="J41" s="237">
        <v>3</v>
      </c>
      <c r="K41" s="237">
        <f t="shared" si="23"/>
        <v>2018</v>
      </c>
      <c r="N41" s="238">
        <v>7050.84</v>
      </c>
      <c r="P41" s="238">
        <f t="shared" si="24"/>
        <v>7050.84</v>
      </c>
      <c r="Q41" s="238">
        <f t="shared" si="2"/>
        <v>195.85666666666668</v>
      </c>
      <c r="R41" s="238">
        <f t="shared" si="25"/>
        <v>2350.2800000000002</v>
      </c>
      <c r="S41" s="238">
        <f t="shared" si="26"/>
        <v>0</v>
      </c>
      <c r="T41" s="238">
        <f t="shared" si="27"/>
        <v>2350.2800000000002</v>
      </c>
      <c r="U41" s="238">
        <v>1</v>
      </c>
      <c r="V41" s="238">
        <f t="shared" si="28"/>
        <v>2350.2800000000002</v>
      </c>
      <c r="X41" s="238">
        <f t="shared" si="29"/>
        <v>1762.71</v>
      </c>
      <c r="Y41" s="238">
        <f t="shared" si="30"/>
        <v>1762.71</v>
      </c>
      <c r="Z41" s="238">
        <v>1</v>
      </c>
      <c r="AA41" s="238">
        <f t="shared" si="9"/>
        <v>1762.71</v>
      </c>
      <c r="AB41" s="238">
        <f t="shared" si="10"/>
        <v>4112.99</v>
      </c>
      <c r="AC41" s="238">
        <f t="shared" si="31"/>
        <v>4112.99</v>
      </c>
      <c r="AD41" s="238">
        <f t="shared" si="15"/>
        <v>2015.25</v>
      </c>
      <c r="AE41" s="238">
        <f t="shared" si="32"/>
        <v>2017</v>
      </c>
      <c r="AF41" s="238">
        <f t="shared" si="16"/>
        <v>2018.25</v>
      </c>
      <c r="AG41" s="238">
        <f t="shared" si="33"/>
        <v>2016</v>
      </c>
      <c r="AH41" s="238">
        <f t="shared" si="14"/>
        <v>-8.3333333333333329E-2</v>
      </c>
    </row>
    <row r="42" spans="1:34">
      <c r="A42" s="237" t="s">
        <v>424</v>
      </c>
      <c r="D42" s="237" t="s">
        <v>425</v>
      </c>
      <c r="E42" s="237">
        <v>2016</v>
      </c>
      <c r="F42" s="237">
        <v>3</v>
      </c>
      <c r="G42" s="237">
        <v>0</v>
      </c>
      <c r="I42" s="237" t="s">
        <v>52</v>
      </c>
      <c r="J42" s="237">
        <v>1</v>
      </c>
      <c r="K42" s="237">
        <f t="shared" si="23"/>
        <v>2017</v>
      </c>
      <c r="N42" s="238">
        <f>(25892.28+23056.62)/104*22</f>
        <v>10354.574999999999</v>
      </c>
      <c r="P42" s="238">
        <f>N42-N42*G42</f>
        <v>10354.574999999999</v>
      </c>
      <c r="Q42" s="238">
        <f>P42/J42/12</f>
        <v>862.88124999999991</v>
      </c>
      <c r="R42" s="238">
        <f>IF(O42&gt;0,0,IF(OR(AD42&gt;AE42,AF42&lt;AG42),0,IF(AND(AF42&gt;=AG42,AF42&lt;=AE42),Q42*((AF42-AG42)*12),IF(AND(AG42&lt;=AD42,AE42&gt;=AD42),((AE42-AD42)*12)*Q42,IF(AF42&gt;AE42,12*Q42,0)))))</f>
        <v>8628.8124999992142</v>
      </c>
      <c r="S42" s="238">
        <f>IF(O42=0,0,IF(AND(AH42&gt;=AG42,AH42&lt;=AF42),((AH42-AG42)*12)*Q42,0))</f>
        <v>0</v>
      </c>
      <c r="T42" s="238">
        <f>IF(S42&gt;0,S42,R42)</f>
        <v>8628.8124999992142</v>
      </c>
      <c r="U42" s="238">
        <v>1</v>
      </c>
      <c r="V42" s="238">
        <f>U42*SUM(R42:S42)</f>
        <v>8628.8124999992142</v>
      </c>
      <c r="X42" s="238">
        <f>IF(AD42&gt;AE42,0,IF(AF42&lt;AG42,P42,IF(AND(AF42&gt;=AG42,AF42&lt;=AE42),(P42-T42),IF(AND(AG42&lt;=AD42,AE42&gt;=AD42),0,IF(AF42&gt;AE42,((AG42-AD42)*12)*Q42,0)))))</f>
        <v>0</v>
      </c>
      <c r="Y42" s="238">
        <f>X42*U42</f>
        <v>0</v>
      </c>
      <c r="Z42" s="238">
        <v>1</v>
      </c>
      <c r="AA42" s="238">
        <f>Y42*Z42</f>
        <v>0</v>
      </c>
      <c r="AB42" s="238">
        <f>IF(O42&gt;0,0,AA42+V42*Z42)*Z42</f>
        <v>8628.8124999992142</v>
      </c>
      <c r="AC42" s="238">
        <f>IF(O42&gt;0,(N42-AA42)/2,IF(AD42&gt;=AG42,(((N42*U42)*Z42)-AB42)/2,((((N42*U42)*Z42)-AA42)+(((N42*U42)*Z42)-AB42))/2))</f>
        <v>862.88125000039236</v>
      </c>
      <c r="AD42" s="238">
        <f t="shared" si="15"/>
        <v>2016.1666666666667</v>
      </c>
      <c r="AE42" s="238">
        <f t="shared" si="32"/>
        <v>2017</v>
      </c>
      <c r="AF42" s="238">
        <f t="shared" si="16"/>
        <v>2017.1666666666667</v>
      </c>
      <c r="AG42" s="238">
        <f t="shared" si="33"/>
        <v>2016</v>
      </c>
      <c r="AH42" s="238">
        <f t="shared" si="14"/>
        <v>-8.3333333333333329E-2</v>
      </c>
    </row>
    <row r="43" spans="1:34">
      <c r="A43" s="237">
        <v>131499</v>
      </c>
      <c r="C43" s="237">
        <v>607</v>
      </c>
      <c r="D43" s="237" t="s">
        <v>394</v>
      </c>
      <c r="E43" s="237">
        <v>2016</v>
      </c>
      <c r="F43" s="237">
        <v>3</v>
      </c>
      <c r="G43" s="237">
        <v>0</v>
      </c>
      <c r="I43" s="237" t="s">
        <v>52</v>
      </c>
      <c r="J43" s="237">
        <v>3</v>
      </c>
      <c r="K43" s="237">
        <f>E43+J43</f>
        <v>2019</v>
      </c>
      <c r="N43" s="238">
        <v>20149.599999999999</v>
      </c>
      <c r="P43" s="238">
        <f t="shared" si="24"/>
        <v>20149.599999999999</v>
      </c>
      <c r="Q43" s="238">
        <f t="shared" si="2"/>
        <v>559.71111111111111</v>
      </c>
      <c r="R43" s="238">
        <f t="shared" si="25"/>
        <v>5597.111111110602</v>
      </c>
      <c r="S43" s="238">
        <f t="shared" si="26"/>
        <v>0</v>
      </c>
      <c r="T43" s="238">
        <f t="shared" si="27"/>
        <v>5597.111111110602</v>
      </c>
      <c r="U43" s="238">
        <v>1</v>
      </c>
      <c r="V43" s="238">
        <f t="shared" si="28"/>
        <v>5597.111111110602</v>
      </c>
      <c r="X43" s="238">
        <f t="shared" si="29"/>
        <v>0</v>
      </c>
      <c r="Y43" s="238">
        <f t="shared" si="30"/>
        <v>0</v>
      </c>
      <c r="Z43" s="238">
        <v>1</v>
      </c>
      <c r="AA43" s="238">
        <f t="shared" si="9"/>
        <v>0</v>
      </c>
      <c r="AB43" s="238">
        <f t="shared" si="10"/>
        <v>5597.111111110602</v>
      </c>
      <c r="AC43" s="238">
        <f t="shared" si="31"/>
        <v>7276.2444444446983</v>
      </c>
      <c r="AD43" s="238">
        <f t="shared" si="15"/>
        <v>2016.1666666666667</v>
      </c>
      <c r="AE43" s="238">
        <f t="shared" si="32"/>
        <v>2017</v>
      </c>
      <c r="AF43" s="238">
        <f t="shared" si="16"/>
        <v>2019.1666666666667</v>
      </c>
      <c r="AG43" s="238">
        <f t="shared" si="33"/>
        <v>2016</v>
      </c>
      <c r="AH43" s="238">
        <f t="shared" si="14"/>
        <v>-8.3333333333333329E-2</v>
      </c>
    </row>
    <row r="44" spans="1:34">
      <c r="A44" s="237">
        <v>131500</v>
      </c>
      <c r="C44" s="237">
        <v>606</v>
      </c>
      <c r="D44" s="237" t="s">
        <v>394</v>
      </c>
      <c r="E44" s="237">
        <v>2016</v>
      </c>
      <c r="F44" s="237">
        <v>3</v>
      </c>
      <c r="G44" s="237">
        <v>0</v>
      </c>
      <c r="I44" s="237" t="s">
        <v>52</v>
      </c>
      <c r="J44" s="237">
        <v>3</v>
      </c>
      <c r="K44" s="237">
        <f>E44+J44</f>
        <v>2019</v>
      </c>
      <c r="N44" s="238">
        <v>20361.07</v>
      </c>
      <c r="P44" s="238">
        <f t="shared" si="24"/>
        <v>20361.07</v>
      </c>
      <c r="Q44" s="238">
        <f t="shared" si="2"/>
        <v>565.58527777777783</v>
      </c>
      <c r="R44" s="238">
        <f t="shared" si="25"/>
        <v>5655.8527777772642</v>
      </c>
      <c r="S44" s="238">
        <f t="shared" si="26"/>
        <v>0</v>
      </c>
      <c r="T44" s="238">
        <f t="shared" si="27"/>
        <v>5655.8527777772642</v>
      </c>
      <c r="U44" s="238">
        <v>1</v>
      </c>
      <c r="V44" s="238">
        <f t="shared" si="28"/>
        <v>5655.8527777772642</v>
      </c>
      <c r="X44" s="238">
        <f t="shared" si="29"/>
        <v>0</v>
      </c>
      <c r="Y44" s="238">
        <f t="shared" si="30"/>
        <v>0</v>
      </c>
      <c r="Z44" s="238">
        <v>1</v>
      </c>
      <c r="AA44" s="238">
        <f t="shared" si="9"/>
        <v>0</v>
      </c>
      <c r="AB44" s="238">
        <f t="shared" si="10"/>
        <v>5655.8527777772642</v>
      </c>
      <c r="AC44" s="238">
        <f t="shared" si="31"/>
        <v>7352.6086111113673</v>
      </c>
      <c r="AD44" s="238">
        <f t="shared" si="15"/>
        <v>2016.1666666666667</v>
      </c>
      <c r="AE44" s="238">
        <f t="shared" si="32"/>
        <v>2017</v>
      </c>
      <c r="AF44" s="238">
        <f t="shared" si="16"/>
        <v>2019.1666666666667</v>
      </c>
      <c r="AG44" s="238">
        <f t="shared" si="33"/>
        <v>2016</v>
      </c>
      <c r="AH44" s="238">
        <f t="shared" si="14"/>
        <v>-8.3333333333333329E-2</v>
      </c>
    </row>
    <row r="45" spans="1:34">
      <c r="A45" s="237">
        <v>132075</v>
      </c>
      <c r="C45" s="237">
        <v>630</v>
      </c>
      <c r="D45" s="237" t="s">
        <v>396</v>
      </c>
      <c r="E45" s="237">
        <v>2016</v>
      </c>
      <c r="F45" s="237">
        <v>3</v>
      </c>
      <c r="G45" s="237">
        <v>0</v>
      </c>
      <c r="I45" s="237" t="s">
        <v>52</v>
      </c>
      <c r="J45" s="237">
        <v>10</v>
      </c>
      <c r="K45" s="237">
        <f>E45+J45</f>
        <v>2026</v>
      </c>
      <c r="N45" s="238">
        <v>287706.76</v>
      </c>
      <c r="P45" s="238">
        <f t="shared" si="24"/>
        <v>287706.76</v>
      </c>
      <c r="Q45" s="238">
        <f t="shared" si="2"/>
        <v>2397.5563333333334</v>
      </c>
      <c r="R45" s="238">
        <f t="shared" si="25"/>
        <v>23975.563333331153</v>
      </c>
      <c r="S45" s="238">
        <f t="shared" si="26"/>
        <v>0</v>
      </c>
      <c r="T45" s="238">
        <f t="shared" si="27"/>
        <v>23975.563333331153</v>
      </c>
      <c r="U45" s="238">
        <v>1</v>
      </c>
      <c r="V45" s="238">
        <f t="shared" si="28"/>
        <v>23975.563333331153</v>
      </c>
      <c r="X45" s="238">
        <f t="shared" si="29"/>
        <v>0</v>
      </c>
      <c r="Y45" s="238">
        <f t="shared" si="30"/>
        <v>0</v>
      </c>
      <c r="Z45" s="238">
        <v>1</v>
      </c>
      <c r="AA45" s="238">
        <f t="shared" si="9"/>
        <v>0</v>
      </c>
      <c r="AB45" s="238">
        <f t="shared" si="10"/>
        <v>23975.563333331153</v>
      </c>
      <c r="AC45" s="238">
        <f t="shared" si="31"/>
        <v>131865.59833333443</v>
      </c>
      <c r="AD45" s="238">
        <f t="shared" si="15"/>
        <v>2016.1666666666667</v>
      </c>
      <c r="AE45" s="238">
        <f t="shared" si="32"/>
        <v>2017</v>
      </c>
      <c r="AF45" s="238">
        <f t="shared" si="16"/>
        <v>2026.1666666666667</v>
      </c>
      <c r="AG45" s="238">
        <f t="shared" si="33"/>
        <v>2016</v>
      </c>
      <c r="AH45" s="238">
        <f t="shared" si="14"/>
        <v>-8.3333333333333329E-2</v>
      </c>
    </row>
    <row r="46" spans="1:34">
      <c r="A46" s="237" t="s">
        <v>412</v>
      </c>
      <c r="C46" s="237" t="s">
        <v>417</v>
      </c>
      <c r="D46" s="237" t="s">
        <v>413</v>
      </c>
      <c r="E46" s="237">
        <v>2016</v>
      </c>
      <c r="F46" s="237">
        <v>11</v>
      </c>
      <c r="G46" s="237">
        <v>0</v>
      </c>
      <c r="I46" s="237" t="s">
        <v>52</v>
      </c>
      <c r="J46" s="237">
        <v>5</v>
      </c>
      <c r="K46" s="237">
        <f>E46+J46</f>
        <v>2021</v>
      </c>
      <c r="N46" s="238">
        <f>34500+632.72</f>
        <v>35132.720000000001</v>
      </c>
      <c r="P46" s="238">
        <f t="shared" si="24"/>
        <v>35132.720000000001</v>
      </c>
      <c r="Q46" s="238">
        <f t="shared" si="2"/>
        <v>585.54533333333336</v>
      </c>
      <c r="R46" s="238">
        <f t="shared" si="25"/>
        <v>1171.0906666671992</v>
      </c>
      <c r="S46" s="238">
        <f t="shared" si="26"/>
        <v>0</v>
      </c>
      <c r="T46" s="238">
        <f t="shared" si="27"/>
        <v>1171.0906666671992</v>
      </c>
      <c r="U46" s="238">
        <v>1</v>
      </c>
      <c r="V46" s="238">
        <f t="shared" si="28"/>
        <v>1171.0906666671992</v>
      </c>
      <c r="X46" s="238">
        <f t="shared" si="29"/>
        <v>0</v>
      </c>
      <c r="Y46" s="238">
        <f t="shared" si="30"/>
        <v>0</v>
      </c>
      <c r="Z46" s="238">
        <v>1</v>
      </c>
      <c r="AA46" s="238">
        <f t="shared" si="9"/>
        <v>0</v>
      </c>
      <c r="AB46" s="238">
        <f t="shared" si="10"/>
        <v>1171.0906666671992</v>
      </c>
      <c r="AC46" s="238">
        <f t="shared" si="31"/>
        <v>16980.8146666664</v>
      </c>
      <c r="AD46" s="238">
        <f t="shared" si="15"/>
        <v>2016.8333333333333</v>
      </c>
      <c r="AE46" s="238">
        <f t="shared" si="32"/>
        <v>2017</v>
      </c>
      <c r="AF46" s="238">
        <f t="shared" si="16"/>
        <v>2021.8333333333333</v>
      </c>
      <c r="AG46" s="238">
        <f t="shared" si="33"/>
        <v>2016</v>
      </c>
      <c r="AH46" s="238">
        <f t="shared" si="14"/>
        <v>-8.3333333333333329E-2</v>
      </c>
    </row>
    <row r="47" spans="1:34">
      <c r="A47" s="237">
        <v>19645</v>
      </c>
      <c r="C47" s="237">
        <v>604</v>
      </c>
      <c r="D47" s="237" t="s">
        <v>159</v>
      </c>
      <c r="E47" s="237">
        <v>2016</v>
      </c>
      <c r="F47" s="237">
        <v>11</v>
      </c>
      <c r="G47" s="237">
        <v>0</v>
      </c>
      <c r="I47" s="237" t="s">
        <v>52</v>
      </c>
      <c r="J47" s="237">
        <v>3</v>
      </c>
      <c r="K47" s="237">
        <f>E47+J47</f>
        <v>2019</v>
      </c>
      <c r="N47" s="238">
        <f>1575+14023.35</f>
        <v>15598.35</v>
      </c>
      <c r="O47" s="238">
        <v>0</v>
      </c>
      <c r="P47" s="238">
        <f t="shared" si="24"/>
        <v>15598.35</v>
      </c>
      <c r="Q47" s="238">
        <f t="shared" si="2"/>
        <v>433.28749999999997</v>
      </c>
      <c r="R47" s="238">
        <f t="shared" si="25"/>
        <v>866.57500000039397</v>
      </c>
      <c r="S47" s="238">
        <f t="shared" si="26"/>
        <v>0</v>
      </c>
      <c r="T47" s="238">
        <f t="shared" si="27"/>
        <v>866.57500000039397</v>
      </c>
      <c r="U47" s="238">
        <v>1</v>
      </c>
      <c r="V47" s="238">
        <f t="shared" si="28"/>
        <v>866.57500000039397</v>
      </c>
      <c r="X47" s="238">
        <f t="shared" si="29"/>
        <v>0</v>
      </c>
      <c r="Y47" s="238">
        <f t="shared" si="30"/>
        <v>0</v>
      </c>
      <c r="Z47" s="238">
        <v>1</v>
      </c>
      <c r="AA47" s="238">
        <f t="shared" si="9"/>
        <v>0</v>
      </c>
      <c r="AB47" s="238">
        <f t="shared" si="10"/>
        <v>866.57500000039397</v>
      </c>
      <c r="AC47" s="238">
        <f t="shared" si="31"/>
        <v>7365.8874999998034</v>
      </c>
      <c r="AD47" s="238">
        <f>$E47+(($F47-1)/12)</f>
        <v>2016.8333333333333</v>
      </c>
      <c r="AE47" s="238">
        <f t="shared" si="32"/>
        <v>2017</v>
      </c>
      <c r="AF47" s="238">
        <f>$K47+(($F47-1)/12)</f>
        <v>2019.8333333333333</v>
      </c>
      <c r="AG47" s="238">
        <f t="shared" si="33"/>
        <v>2016</v>
      </c>
      <c r="AH47" s="238">
        <f t="shared" si="14"/>
        <v>-8.3333333333333329E-2</v>
      </c>
    </row>
    <row r="49" spans="1:34" ht="13.5" thickBot="1">
      <c r="D49" s="237" t="s">
        <v>209</v>
      </c>
      <c r="N49" s="238">
        <f>SUM(N12:N48)</f>
        <v>3507117.4050000003</v>
      </c>
      <c r="P49" s="238">
        <f>SUM(P12:P48)</f>
        <v>2887994.7030999996</v>
      </c>
      <c r="Q49" s="238">
        <f>SUM(Q12:Q48)</f>
        <v>35771.684686587301</v>
      </c>
      <c r="R49" s="238">
        <f>SUM(R12:R48)</f>
        <v>198627.54405555091</v>
      </c>
      <c r="S49" s="238">
        <f>SUM(S12:S24)</f>
        <v>0</v>
      </c>
      <c r="T49" s="238">
        <f>SUM(T12:T24)</f>
        <v>0</v>
      </c>
      <c r="V49" s="238">
        <f>SUM(V12:V48)</f>
        <v>198627.54405555091</v>
      </c>
      <c r="X49" s="238">
        <f>SUM(X12:X18)</f>
        <v>585878.38800000015</v>
      </c>
      <c r="Y49" s="238">
        <f>SUM(Y12:Y18)</f>
        <v>585878.38800000015</v>
      </c>
      <c r="AA49" s="238">
        <f>SUM(AA12:AA48)</f>
        <v>2084137.074671424</v>
      </c>
      <c r="AB49" s="238">
        <f>SUM(AB12:AB48)</f>
        <v>2282764.6187269744</v>
      </c>
      <c r="AC49" s="238">
        <f>SUM(AC12:AC48)</f>
        <v>1129015.0208008008</v>
      </c>
    </row>
    <row r="51" spans="1:34">
      <c r="D51" s="237" t="s">
        <v>183</v>
      </c>
    </row>
    <row r="52" spans="1:34">
      <c r="A52" s="237">
        <v>115434</v>
      </c>
      <c r="B52" s="237" t="s">
        <v>76</v>
      </c>
      <c r="C52" s="237" t="s">
        <v>353</v>
      </c>
      <c r="D52" s="237" t="s">
        <v>317</v>
      </c>
      <c r="E52" s="237">
        <v>1994</v>
      </c>
      <c r="F52" s="237">
        <v>4</v>
      </c>
      <c r="G52" s="237">
        <v>0.2</v>
      </c>
      <c r="I52" s="237" t="s">
        <v>52</v>
      </c>
      <c r="J52" s="237">
        <v>7</v>
      </c>
      <c r="K52" s="237">
        <f>E52+J52</f>
        <v>2001</v>
      </c>
      <c r="N52" s="238">
        <v>18681</v>
      </c>
      <c r="P52" s="238">
        <f>N52-N52*G52</f>
        <v>14944.8</v>
      </c>
      <c r="Q52" s="238">
        <f>P52/J52/12</f>
        <v>177.91428571428571</v>
      </c>
      <c r="R52" s="238">
        <f>IF(O52&gt;0,0,IF(OR(AD52&gt;AE52,AF52&lt;AG52),0,IF(AND(AF52&gt;=AG52,AF52&lt;=AE52),Q52*((AF52-AG52)*12),IF(AND(AG52&lt;=AD52,AE52&gt;=AD52),((AE52-AD52)*12)*Q52,IF(AF52&gt;AE52,12*Q52,0)))))</f>
        <v>0</v>
      </c>
      <c r="S52" s="238">
        <f>IF(O52=0,0,IF(AND(AH52&gt;=AG52,AH52&lt;=AF52),((AH52-AG52)*12)*Q52,0))</f>
        <v>0</v>
      </c>
      <c r="T52" s="238">
        <f>IF(S52&gt;0,S52,R52)</f>
        <v>0</v>
      </c>
      <c r="U52" s="238">
        <v>1</v>
      </c>
      <c r="V52" s="238">
        <f>U52*SUM(R52:S52)</f>
        <v>0</v>
      </c>
      <c r="X52" s="238">
        <f>IF(AD52&gt;AE52,0,IF(AF52&lt;AG52,P52,IF(AND(AF52&gt;=AG52,AF52&lt;=AE52),(P52-T52),IF(AND(AG52&lt;=AD52,AE52&gt;=AD52),0,IF(AF52&gt;AE52,((AG52-AD52)*12)*Q52,0)))))</f>
        <v>14944.8</v>
      </c>
      <c r="Y52" s="238">
        <f>X52*U52</f>
        <v>14944.8</v>
      </c>
      <c r="Z52" s="238">
        <v>1</v>
      </c>
      <c r="AA52" s="238">
        <f>Y52*Z52</f>
        <v>14944.8</v>
      </c>
      <c r="AB52" s="238">
        <f>IF(O52&gt;0,0,AA52+V52*Z52)*Z52</f>
        <v>14944.8</v>
      </c>
      <c r="AC52" s="238">
        <f>IF(O52&gt;0,(N52-AA52)/2,IF(AD52&gt;=AG52,(((N52*U52)*Z52)-AB52)/2,((((N52*U52)*Z52)-AA52)+(((N52*U52)*Z52)-AB52))/2))</f>
        <v>3736.2000000000007</v>
      </c>
      <c r="AD52" s="238">
        <f t="shared" ref="AD52:AD95" si="34">$E52+(($F52-1)/12)</f>
        <v>1994.25</v>
      </c>
      <c r="AE52" s="238">
        <f t="shared" ref="AE52:AE95" si="35">($P$5+1)-($P$2/12)</f>
        <v>2017</v>
      </c>
      <c r="AF52" s="238">
        <f t="shared" ref="AF52:AF95" si="36">$K52+(($F52-1)/12)</f>
        <v>2001.25</v>
      </c>
      <c r="AG52" s="238">
        <f t="shared" ref="AG52:AG95" si="37">$P$4+($P$3/12)</f>
        <v>2016</v>
      </c>
      <c r="AH52" s="238">
        <f t="shared" ref="AH52:AH95" si="38">$L52+(($M52-1)/12)</f>
        <v>-8.3333333333333329E-2</v>
      </c>
    </row>
    <row r="53" spans="1:34">
      <c r="B53" s="237" t="s">
        <v>77</v>
      </c>
      <c r="D53" s="237" t="s">
        <v>80</v>
      </c>
      <c r="E53" s="237">
        <v>1994</v>
      </c>
      <c r="F53" s="237">
        <v>1</v>
      </c>
      <c r="G53" s="237">
        <v>0.2</v>
      </c>
      <c r="I53" s="237" t="s">
        <v>52</v>
      </c>
      <c r="J53" s="237">
        <v>7</v>
      </c>
      <c r="K53" s="237">
        <f t="shared" ref="K53:K94" si="39">E53+J53</f>
        <v>2001</v>
      </c>
      <c r="N53" s="238">
        <f>39000</f>
        <v>39000</v>
      </c>
      <c r="P53" s="238">
        <f t="shared" ref="P53:P94" si="40">N53-N53*G53</f>
        <v>31200</v>
      </c>
      <c r="Q53" s="238">
        <f t="shared" ref="Q53:Q94" si="41">P53/J53/12</f>
        <v>371.42857142857139</v>
      </c>
      <c r="R53" s="238">
        <f t="shared" ref="R53:R94" si="42">IF(O53&gt;0,0,IF(OR(AD53&gt;AE53,AF53&lt;AG53),0,IF(AND(AF53&gt;=AG53,AF53&lt;=AE53),Q53*((AF53-AG53)*12),IF(AND(AG53&lt;=AD53,AE53&gt;=AD53),((AE53-AD53)*12)*Q53,IF(AF53&gt;AE53,12*Q53,0)))))</f>
        <v>0</v>
      </c>
      <c r="S53" s="238">
        <f t="shared" ref="S53:S94" si="43">IF(O53=0,0,IF(AND(AH53&gt;=AG53,AH53&lt;=AF53),((AH53-AG53)*12)*Q53,0))</f>
        <v>0</v>
      </c>
      <c r="T53" s="238">
        <f t="shared" ref="T53:T94" si="44">IF(S53&gt;0,S53,R53)</f>
        <v>0</v>
      </c>
      <c r="U53" s="238">
        <v>1</v>
      </c>
      <c r="V53" s="238">
        <f t="shared" ref="V53:V94" si="45">U53*SUM(R53:S53)</f>
        <v>0</v>
      </c>
      <c r="X53" s="238">
        <f t="shared" ref="X53:X94" si="46">IF(AD53&gt;AE53,0,IF(AF53&lt;AG53,P53,IF(AND(AF53&gt;=AG53,AF53&lt;=AE53),(P53-T53),IF(AND(AG53&lt;=AD53,AE53&gt;=AD53),0,IF(AF53&gt;AE53,((AG53-AD53)*12)*Q53,0)))))</f>
        <v>31200</v>
      </c>
      <c r="Y53" s="238">
        <f t="shared" ref="Y53:Y94" si="47">X53*U53</f>
        <v>31200</v>
      </c>
      <c r="Z53" s="238">
        <v>1</v>
      </c>
      <c r="AA53" s="238">
        <f t="shared" ref="AA53:AA94" si="48">Y53*Z53</f>
        <v>31200</v>
      </c>
      <c r="AB53" s="238">
        <f t="shared" ref="AB53:AB94" si="49">IF(O53&gt;0,0,AA53+V53*Z53)*Z53</f>
        <v>31200</v>
      </c>
      <c r="AC53" s="238">
        <f t="shared" ref="AC53:AC94" si="50">IF(O53&gt;0,(N53-AA53)/2,IF(AD53&gt;=AG53,(((N53*U53)*Z53)-AB53)/2,((((N53*U53)*Z53)-AA53)+(((N53*U53)*Z53)-AB53))/2))</f>
        <v>7800</v>
      </c>
      <c r="AD53" s="238">
        <f t="shared" si="34"/>
        <v>1994</v>
      </c>
      <c r="AE53" s="238">
        <f t="shared" si="35"/>
        <v>2017</v>
      </c>
      <c r="AF53" s="238">
        <f t="shared" si="36"/>
        <v>2001</v>
      </c>
      <c r="AG53" s="238">
        <f t="shared" si="37"/>
        <v>2016</v>
      </c>
      <c r="AH53" s="238">
        <f t="shared" si="38"/>
        <v>-8.3333333333333329E-2</v>
      </c>
    </row>
    <row r="54" spans="1:34">
      <c r="A54" s="237">
        <v>48637</v>
      </c>
      <c r="B54" s="237" t="s">
        <v>176</v>
      </c>
      <c r="C54" s="237">
        <v>149</v>
      </c>
      <c r="D54" s="237" t="s">
        <v>153</v>
      </c>
      <c r="E54" s="237">
        <v>1996</v>
      </c>
      <c r="F54" s="237">
        <v>12</v>
      </c>
      <c r="G54" s="237">
        <v>0.2</v>
      </c>
      <c r="I54" s="237" t="s">
        <v>52</v>
      </c>
      <c r="J54" s="237">
        <v>7</v>
      </c>
      <c r="K54" s="237">
        <f t="shared" si="39"/>
        <v>2003</v>
      </c>
      <c r="N54" s="238">
        <f>94551.6</f>
        <v>94551.6</v>
      </c>
      <c r="P54" s="238">
        <f t="shared" si="40"/>
        <v>75641.279999999999</v>
      </c>
      <c r="Q54" s="238">
        <f t="shared" si="41"/>
        <v>900.49142857142851</v>
      </c>
      <c r="R54" s="238">
        <f t="shared" si="42"/>
        <v>0</v>
      </c>
      <c r="S54" s="238">
        <f t="shared" si="43"/>
        <v>0</v>
      </c>
      <c r="T54" s="238">
        <f t="shared" si="44"/>
        <v>0</v>
      </c>
      <c r="U54" s="238">
        <v>1</v>
      </c>
      <c r="V54" s="238">
        <f t="shared" si="45"/>
        <v>0</v>
      </c>
      <c r="X54" s="238">
        <f t="shared" si="46"/>
        <v>75641.279999999999</v>
      </c>
      <c r="Y54" s="238">
        <f t="shared" si="47"/>
        <v>75641.279999999999</v>
      </c>
      <c r="Z54" s="238">
        <v>1</v>
      </c>
      <c r="AA54" s="238">
        <f t="shared" si="48"/>
        <v>75641.279999999999</v>
      </c>
      <c r="AB54" s="238">
        <f t="shared" si="49"/>
        <v>75641.279999999999</v>
      </c>
      <c r="AC54" s="238">
        <f t="shared" si="50"/>
        <v>18910.320000000007</v>
      </c>
      <c r="AD54" s="238">
        <f t="shared" si="34"/>
        <v>1996.9166666666667</v>
      </c>
      <c r="AE54" s="238">
        <f t="shared" si="35"/>
        <v>2017</v>
      </c>
      <c r="AF54" s="238">
        <f t="shared" si="36"/>
        <v>2003.9166666666667</v>
      </c>
      <c r="AG54" s="238">
        <f t="shared" si="37"/>
        <v>2016</v>
      </c>
      <c r="AH54" s="238">
        <f t="shared" si="38"/>
        <v>-8.3333333333333329E-2</v>
      </c>
    </row>
    <row r="55" spans="1:34">
      <c r="A55" s="237">
        <v>9536</v>
      </c>
      <c r="B55" s="237" t="s">
        <v>176</v>
      </c>
      <c r="C55" s="237">
        <v>169</v>
      </c>
      <c r="D55" s="237" t="s">
        <v>78</v>
      </c>
      <c r="E55" s="237">
        <v>2000</v>
      </c>
      <c r="F55" s="237">
        <v>1</v>
      </c>
      <c r="G55" s="237">
        <v>0.2</v>
      </c>
      <c r="I55" s="237" t="s">
        <v>52</v>
      </c>
      <c r="J55" s="237">
        <v>7</v>
      </c>
      <c r="K55" s="237">
        <f t="shared" si="39"/>
        <v>2007</v>
      </c>
      <c r="N55" s="238">
        <f>7094.84</f>
        <v>7094.84</v>
      </c>
      <c r="P55" s="238">
        <f t="shared" si="40"/>
        <v>5675.8720000000003</v>
      </c>
      <c r="Q55" s="238">
        <f t="shared" si="41"/>
        <v>67.569904761904766</v>
      </c>
      <c r="R55" s="238">
        <f t="shared" si="42"/>
        <v>0</v>
      </c>
      <c r="S55" s="238">
        <f t="shared" si="43"/>
        <v>0</v>
      </c>
      <c r="T55" s="238">
        <f t="shared" si="44"/>
        <v>0</v>
      </c>
      <c r="U55" s="238">
        <v>1</v>
      </c>
      <c r="V55" s="238">
        <f t="shared" si="45"/>
        <v>0</v>
      </c>
      <c r="X55" s="238">
        <f t="shared" si="46"/>
        <v>5675.8720000000003</v>
      </c>
      <c r="Y55" s="238">
        <f t="shared" si="47"/>
        <v>5675.8720000000003</v>
      </c>
      <c r="Z55" s="238">
        <v>1</v>
      </c>
      <c r="AA55" s="238">
        <f t="shared" si="48"/>
        <v>5675.8720000000003</v>
      </c>
      <c r="AB55" s="238">
        <f t="shared" si="49"/>
        <v>5675.8720000000003</v>
      </c>
      <c r="AC55" s="238">
        <f t="shared" si="50"/>
        <v>1418.9679999999998</v>
      </c>
      <c r="AD55" s="238">
        <f t="shared" si="34"/>
        <v>2000</v>
      </c>
      <c r="AE55" s="238">
        <f t="shared" si="35"/>
        <v>2017</v>
      </c>
      <c r="AF55" s="238">
        <f t="shared" si="36"/>
        <v>2007</v>
      </c>
      <c r="AG55" s="238">
        <f t="shared" si="37"/>
        <v>2016</v>
      </c>
      <c r="AH55" s="238">
        <f t="shared" si="38"/>
        <v>-8.3333333333333329E-2</v>
      </c>
    </row>
    <row r="56" spans="1:34">
      <c r="A56" s="237">
        <v>102347</v>
      </c>
      <c r="B56" s="237" t="s">
        <v>176</v>
      </c>
      <c r="C56" s="237">
        <v>60</v>
      </c>
      <c r="D56" s="237" t="s">
        <v>283</v>
      </c>
      <c r="E56" s="237">
        <v>2002</v>
      </c>
      <c r="F56" s="237">
        <v>6</v>
      </c>
      <c r="G56" s="237">
        <v>0.33</v>
      </c>
      <c r="I56" s="237" t="s">
        <v>52</v>
      </c>
      <c r="J56" s="237">
        <v>5</v>
      </c>
      <c r="K56" s="237">
        <f t="shared" si="39"/>
        <v>2007</v>
      </c>
      <c r="N56" s="238">
        <v>68118.259999999995</v>
      </c>
      <c r="P56" s="238">
        <f>N56-N56*G56</f>
        <v>45639.234199999992</v>
      </c>
      <c r="Q56" s="238">
        <f>P56/J56/12</f>
        <v>760.65390333333323</v>
      </c>
      <c r="R56" s="238">
        <f>IF(O56&gt;0,0,IF(OR(AD56&gt;AE56,AF56&lt;AG56),0,IF(AND(AF56&gt;=AG56,AF56&lt;=AE56),Q56*((AF56-AG56)*12),IF(AND(AG56&lt;=AD56,AE56&gt;=AD56),((AE56-AD56)*12)*Q56,IF(AF56&gt;AE56,12*Q56,0)))))</f>
        <v>0</v>
      </c>
      <c r="S56" s="238">
        <f>IF(O56=0,0,IF(AND(AH56&gt;=AG56,AH56&lt;=AF56),((AH56-AG56)*12)*Q56,0))</f>
        <v>0</v>
      </c>
      <c r="T56" s="238">
        <f>IF(S56&gt;0,S56,R56)</f>
        <v>0</v>
      </c>
      <c r="U56" s="238">
        <v>1</v>
      </c>
      <c r="V56" s="238">
        <f>U56*SUM(R56:S56)</f>
        <v>0</v>
      </c>
      <c r="X56" s="238">
        <f>IF(AD56&gt;AE56,0,IF(AF56&lt;AG56,P56,IF(AND(AF56&gt;=AG56,AF56&lt;=AE56),(P56-T56),IF(AND(AG56&lt;=AD56,AE56&gt;=AD56),0,IF(AF56&gt;AE56,((AG56-AD56)*12)*Q56,0)))))</f>
        <v>45639.234199999992</v>
      </c>
      <c r="Y56" s="238">
        <f>X56*U56</f>
        <v>45639.234199999992</v>
      </c>
      <c r="Z56" s="238">
        <v>1</v>
      </c>
      <c r="AA56" s="238">
        <f>Y56*Z56</f>
        <v>45639.234199999992</v>
      </c>
      <c r="AB56" s="238">
        <f>IF(O56&gt;0,0,AA56+V56*Z56)*Z56</f>
        <v>45639.234199999992</v>
      </c>
      <c r="AC56" s="238">
        <f>IF(O56&gt;0,(N56-AA56)/2,IF(AD56&gt;=AG56,(((N56*U56)*Z56)-AB56)/2,((((N56*U56)*Z56)-AA56)+(((N56*U56)*Z56)-AB56))/2))</f>
        <v>22479.025800000003</v>
      </c>
      <c r="AD56" s="238">
        <f t="shared" si="34"/>
        <v>2002.4166666666667</v>
      </c>
      <c r="AE56" s="238">
        <f t="shared" si="35"/>
        <v>2017</v>
      </c>
      <c r="AF56" s="238">
        <f t="shared" si="36"/>
        <v>2007.4166666666667</v>
      </c>
      <c r="AG56" s="238">
        <f t="shared" si="37"/>
        <v>2016</v>
      </c>
      <c r="AH56" s="238">
        <f t="shared" si="38"/>
        <v>-8.3333333333333329E-2</v>
      </c>
    </row>
    <row r="57" spans="1:34">
      <c r="A57" s="237">
        <v>9536</v>
      </c>
      <c r="B57" s="237" t="s">
        <v>176</v>
      </c>
      <c r="C57" s="237">
        <v>169</v>
      </c>
      <c r="D57" s="237" t="s">
        <v>79</v>
      </c>
      <c r="E57" s="237">
        <v>2003</v>
      </c>
      <c r="F57" s="237">
        <v>1</v>
      </c>
      <c r="G57" s="237">
        <v>0.33</v>
      </c>
      <c r="I57" s="237" t="s">
        <v>52</v>
      </c>
      <c r="J57" s="237">
        <v>5</v>
      </c>
      <c r="K57" s="237">
        <f t="shared" si="39"/>
        <v>2008</v>
      </c>
      <c r="N57" s="238">
        <f>52500</f>
        <v>52500</v>
      </c>
      <c r="P57" s="238">
        <f t="shared" si="40"/>
        <v>35175</v>
      </c>
      <c r="Q57" s="238">
        <f t="shared" si="41"/>
        <v>586.25</v>
      </c>
      <c r="R57" s="238">
        <f t="shared" si="42"/>
        <v>0</v>
      </c>
      <c r="S57" s="238">
        <f t="shared" si="43"/>
        <v>0</v>
      </c>
      <c r="T57" s="238">
        <f t="shared" si="44"/>
        <v>0</v>
      </c>
      <c r="U57" s="238">
        <v>1</v>
      </c>
      <c r="V57" s="238">
        <f t="shared" si="45"/>
        <v>0</v>
      </c>
      <c r="X57" s="238">
        <f t="shared" si="46"/>
        <v>35175</v>
      </c>
      <c r="Y57" s="238">
        <f t="shared" si="47"/>
        <v>35175</v>
      </c>
      <c r="Z57" s="238">
        <v>1</v>
      </c>
      <c r="AA57" s="238">
        <f t="shared" si="48"/>
        <v>35175</v>
      </c>
      <c r="AB57" s="238">
        <f t="shared" si="49"/>
        <v>35175</v>
      </c>
      <c r="AC57" s="238">
        <f t="shared" si="50"/>
        <v>17325</v>
      </c>
      <c r="AD57" s="238">
        <f t="shared" si="34"/>
        <v>2003</v>
      </c>
      <c r="AE57" s="238">
        <f t="shared" si="35"/>
        <v>2017</v>
      </c>
      <c r="AF57" s="238">
        <f t="shared" si="36"/>
        <v>2008</v>
      </c>
      <c r="AG57" s="238">
        <f t="shared" si="37"/>
        <v>2016</v>
      </c>
      <c r="AH57" s="238">
        <f t="shared" si="38"/>
        <v>-8.3333333333333329E-2</v>
      </c>
    </row>
    <row r="58" spans="1:34">
      <c r="A58" s="237">
        <v>9537</v>
      </c>
      <c r="B58" s="237" t="s">
        <v>176</v>
      </c>
      <c r="C58" s="237">
        <v>168</v>
      </c>
      <c r="D58" s="237" t="s">
        <v>79</v>
      </c>
      <c r="E58" s="237">
        <v>2003</v>
      </c>
      <c r="F58" s="237">
        <v>1</v>
      </c>
      <c r="G58" s="237">
        <v>0.33</v>
      </c>
      <c r="I58" s="237" t="s">
        <v>52</v>
      </c>
      <c r="J58" s="237">
        <v>5</v>
      </c>
      <c r="K58" s="237">
        <f t="shared" si="39"/>
        <v>2008</v>
      </c>
      <c r="N58" s="238">
        <f>52500</f>
        <v>52500</v>
      </c>
      <c r="P58" s="238">
        <f t="shared" si="40"/>
        <v>35175</v>
      </c>
      <c r="Q58" s="238">
        <f t="shared" si="41"/>
        <v>586.25</v>
      </c>
      <c r="R58" s="238">
        <f t="shared" si="42"/>
        <v>0</v>
      </c>
      <c r="S58" s="238">
        <f t="shared" si="43"/>
        <v>0</v>
      </c>
      <c r="T58" s="238">
        <f t="shared" si="44"/>
        <v>0</v>
      </c>
      <c r="U58" s="238">
        <v>1</v>
      </c>
      <c r="V58" s="238">
        <f t="shared" si="45"/>
        <v>0</v>
      </c>
      <c r="X58" s="238">
        <f t="shared" si="46"/>
        <v>35175</v>
      </c>
      <c r="Y58" s="238">
        <f t="shared" si="47"/>
        <v>35175</v>
      </c>
      <c r="Z58" s="238">
        <v>1</v>
      </c>
      <c r="AA58" s="238">
        <f t="shared" si="48"/>
        <v>35175</v>
      </c>
      <c r="AB58" s="238">
        <f t="shared" si="49"/>
        <v>35175</v>
      </c>
      <c r="AC58" s="238">
        <f t="shared" si="50"/>
        <v>17325</v>
      </c>
      <c r="AD58" s="238">
        <f t="shared" si="34"/>
        <v>2003</v>
      </c>
      <c r="AE58" s="238">
        <f t="shared" si="35"/>
        <v>2017</v>
      </c>
      <c r="AF58" s="238">
        <f t="shared" si="36"/>
        <v>2008</v>
      </c>
      <c r="AG58" s="238">
        <f t="shared" si="37"/>
        <v>2016</v>
      </c>
      <c r="AH58" s="238">
        <f t="shared" si="38"/>
        <v>-8.3333333333333329E-2</v>
      </c>
    </row>
    <row r="59" spans="1:34">
      <c r="A59" s="237">
        <v>107009</v>
      </c>
      <c r="B59" s="237" t="s">
        <v>284</v>
      </c>
      <c r="C59" s="237" t="s">
        <v>354</v>
      </c>
      <c r="D59" s="237" t="s">
        <v>289</v>
      </c>
      <c r="E59" s="237">
        <v>2003</v>
      </c>
      <c r="F59" s="237">
        <v>9</v>
      </c>
      <c r="G59" s="237">
        <v>0.2</v>
      </c>
      <c r="I59" s="237" t="s">
        <v>52</v>
      </c>
      <c r="J59" s="237">
        <v>7</v>
      </c>
      <c r="K59" s="237">
        <f t="shared" si="39"/>
        <v>2010</v>
      </c>
      <c r="N59" s="238">
        <v>40000</v>
      </c>
      <c r="P59" s="238">
        <f>N59-N59*G59</f>
        <v>32000</v>
      </c>
      <c r="Q59" s="238">
        <f>P59/J59/12</f>
        <v>380.95238095238096</v>
      </c>
      <c r="R59" s="238">
        <f>IF(O59&gt;0,0,IF(OR(AD59&gt;AE59,AF59&lt;AG59),0,IF(AND(AF59&gt;=AG59,AF59&lt;=AE59),Q59*((AF59-AG59)*12),IF(AND(AG59&lt;=AD59,AE59&gt;=AD59),((AE59-AD59)*12)*Q59,IF(AF59&gt;AE59,12*Q59,0)))))</f>
        <v>0</v>
      </c>
      <c r="S59" s="238">
        <f>IF(O59=0,0,IF(AND(AH59&gt;=AG59,AH59&lt;=AF59),((AH59-AG59)*12)*Q59,0))</f>
        <v>0</v>
      </c>
      <c r="T59" s="238">
        <f>IF(S59&gt;0,S59,R59)</f>
        <v>0</v>
      </c>
      <c r="U59" s="238">
        <v>1</v>
      </c>
      <c r="V59" s="238">
        <f>U59*SUM(R59:S59)</f>
        <v>0</v>
      </c>
      <c r="X59" s="238">
        <f>IF(AD59&gt;AE59,0,IF(AF59&lt;AG59,P59,IF(AND(AF59&gt;=AG59,AF59&lt;=AE59),(P59-T59),IF(AND(AG59&lt;=AD59,AE59&gt;=AD59),0,IF(AF59&gt;AE59,((AG59-AD59)*12)*Q59,0)))))</f>
        <v>32000</v>
      </c>
      <c r="Y59" s="238">
        <f>X59*U59</f>
        <v>32000</v>
      </c>
      <c r="Z59" s="238">
        <v>1</v>
      </c>
      <c r="AA59" s="238">
        <f>Y59*Z59</f>
        <v>32000</v>
      </c>
      <c r="AB59" s="238">
        <f>IF(O59&gt;0,0,AA59+V59*Z59)*Z59</f>
        <v>32000</v>
      </c>
      <c r="AC59" s="238">
        <f>IF(O59&gt;0,(N59-AA59)/2,IF(AD59&gt;=AG59,(((N59*U59)*Z59)-AB59)/2,((((N59*U59)*Z59)-AA59)+(((N59*U59)*Z59)-AB59))/2))</f>
        <v>8000</v>
      </c>
      <c r="AD59" s="238">
        <f t="shared" si="34"/>
        <v>2003.6666666666667</v>
      </c>
      <c r="AE59" s="238">
        <f t="shared" si="35"/>
        <v>2017</v>
      </c>
      <c r="AF59" s="238">
        <f t="shared" si="36"/>
        <v>2010.6666666666667</v>
      </c>
      <c r="AG59" s="238">
        <f t="shared" si="37"/>
        <v>2016</v>
      </c>
      <c r="AH59" s="238">
        <f t="shared" si="38"/>
        <v>-8.3333333333333329E-2</v>
      </c>
    </row>
    <row r="60" spans="1:34">
      <c r="A60" s="237">
        <v>107008</v>
      </c>
      <c r="B60" s="237" t="s">
        <v>284</v>
      </c>
      <c r="C60" s="237" t="s">
        <v>355</v>
      </c>
      <c r="D60" s="237" t="s">
        <v>289</v>
      </c>
      <c r="E60" s="237">
        <v>2003</v>
      </c>
      <c r="F60" s="237">
        <v>9</v>
      </c>
      <c r="G60" s="237">
        <v>0.2</v>
      </c>
      <c r="I60" s="237" t="s">
        <v>52</v>
      </c>
      <c r="J60" s="237">
        <v>7</v>
      </c>
      <c r="K60" s="237">
        <f t="shared" si="39"/>
        <v>2010</v>
      </c>
      <c r="N60" s="238">
        <v>40000</v>
      </c>
      <c r="P60" s="238">
        <f>N60-N60*G60</f>
        <v>32000</v>
      </c>
      <c r="Q60" s="238">
        <f>P60/J60/12</f>
        <v>380.95238095238096</v>
      </c>
      <c r="R60" s="238">
        <f>IF(O60&gt;0,0,IF(OR(AD60&gt;AE60,AF60&lt;AG60),0,IF(AND(AF60&gt;=AG60,AF60&lt;=AE60),Q60*((AF60-AG60)*12),IF(AND(AG60&lt;=AD60,AE60&gt;=AD60),((AE60-AD60)*12)*Q60,IF(AF60&gt;AE60,12*Q60,0)))))</f>
        <v>0</v>
      </c>
      <c r="S60" s="238">
        <f>IF(O60=0,0,IF(AND(AH60&gt;=AG60,AH60&lt;=AF60),((AH60-AG60)*12)*Q60,0))</f>
        <v>0</v>
      </c>
      <c r="T60" s="238">
        <f>IF(S60&gt;0,S60,R60)</f>
        <v>0</v>
      </c>
      <c r="U60" s="238">
        <v>1</v>
      </c>
      <c r="V60" s="238">
        <f>U60*SUM(R60:S60)</f>
        <v>0</v>
      </c>
      <c r="X60" s="238">
        <f>IF(AD60&gt;AE60,0,IF(AF60&lt;AG60,P60,IF(AND(AF60&gt;=AG60,AF60&lt;=AE60),(P60-T60),IF(AND(AG60&lt;=AD60,AE60&gt;=AD60),0,IF(AF60&gt;AE60,((AG60-AD60)*12)*Q60,0)))))</f>
        <v>32000</v>
      </c>
      <c r="Y60" s="238">
        <f>X60*U60</f>
        <v>32000</v>
      </c>
      <c r="Z60" s="238">
        <v>1</v>
      </c>
      <c r="AA60" s="238">
        <f>Y60*Z60</f>
        <v>32000</v>
      </c>
      <c r="AB60" s="238">
        <f>IF(O60&gt;0,0,AA60+V60*Z60)*Z60</f>
        <v>32000</v>
      </c>
      <c r="AC60" s="238">
        <f>IF(O60&gt;0,(N60-AA60)/2,IF(AD60&gt;=AG60,(((N60*U60)*Z60)-AB60)/2,((((N60*U60)*Z60)-AA60)+(((N60*U60)*Z60)-AB60))/2))</f>
        <v>8000</v>
      </c>
      <c r="AD60" s="238">
        <f t="shared" si="34"/>
        <v>2003.6666666666667</v>
      </c>
      <c r="AE60" s="238">
        <f t="shared" si="35"/>
        <v>2017</v>
      </c>
      <c r="AF60" s="238">
        <f t="shared" si="36"/>
        <v>2010.6666666666667</v>
      </c>
      <c r="AG60" s="238">
        <f t="shared" si="37"/>
        <v>2016</v>
      </c>
      <c r="AH60" s="238">
        <f t="shared" si="38"/>
        <v>-8.3333333333333329E-2</v>
      </c>
    </row>
    <row r="61" spans="1:34">
      <c r="A61" s="237">
        <v>107013</v>
      </c>
      <c r="B61" s="237" t="s">
        <v>284</v>
      </c>
      <c r="C61" s="237" t="s">
        <v>356</v>
      </c>
      <c r="D61" s="237" t="s">
        <v>289</v>
      </c>
      <c r="E61" s="237">
        <v>2003</v>
      </c>
      <c r="F61" s="237">
        <v>9</v>
      </c>
      <c r="G61" s="237">
        <v>0.2</v>
      </c>
      <c r="I61" s="237" t="s">
        <v>52</v>
      </c>
      <c r="J61" s="237">
        <v>7</v>
      </c>
      <c r="K61" s="237">
        <f t="shared" si="39"/>
        <v>2010</v>
      </c>
      <c r="N61" s="238">
        <v>40000</v>
      </c>
      <c r="P61" s="238">
        <f>N61-N61*G61</f>
        <v>32000</v>
      </c>
      <c r="Q61" s="238">
        <f>P61/J61/12</f>
        <v>380.95238095238096</v>
      </c>
      <c r="R61" s="238">
        <f>IF(O61&gt;0,0,IF(OR(AD61&gt;AE61,AF61&lt;AG61),0,IF(AND(AF61&gt;=AG61,AF61&lt;=AE61),Q61*((AF61-AG61)*12),IF(AND(AG61&lt;=AD61,AE61&gt;=AD61),((AE61-AD61)*12)*Q61,IF(AF61&gt;AE61,12*Q61,0)))))</f>
        <v>0</v>
      </c>
      <c r="S61" s="238">
        <f>IF(O61=0,0,IF(AND(AH61&gt;=AG61,AH61&lt;=AF61),((AH61-AG61)*12)*Q61,0))</f>
        <v>0</v>
      </c>
      <c r="T61" s="238">
        <f>IF(S61&gt;0,S61,R61)</f>
        <v>0</v>
      </c>
      <c r="U61" s="238">
        <v>1</v>
      </c>
      <c r="V61" s="238">
        <f>U61*SUM(R61:S61)</f>
        <v>0</v>
      </c>
      <c r="X61" s="238">
        <f>IF(AD61&gt;AE61,0,IF(AF61&lt;AG61,P61,IF(AND(AF61&gt;=AG61,AF61&lt;=AE61),(P61-T61),IF(AND(AG61&lt;=AD61,AE61&gt;=AD61),0,IF(AF61&gt;AE61,((AG61-AD61)*12)*Q61,0)))))</f>
        <v>32000</v>
      </c>
      <c r="Y61" s="238">
        <f>X61*U61</f>
        <v>32000</v>
      </c>
      <c r="Z61" s="238">
        <v>1</v>
      </c>
      <c r="AA61" s="238">
        <f>Y61*Z61</f>
        <v>32000</v>
      </c>
      <c r="AB61" s="238">
        <f>IF(O61&gt;0,0,AA61+V61*Z61)*Z61</f>
        <v>32000</v>
      </c>
      <c r="AC61" s="238">
        <f>IF(O61&gt;0,(N61-AA61)/2,IF(AD61&gt;=AG61,(((N61*U61)*Z61)-AB61)/2,((((N61*U61)*Z61)-AA61)+(((N61*U61)*Z61)-AB61))/2))</f>
        <v>8000</v>
      </c>
      <c r="AD61" s="238">
        <f t="shared" si="34"/>
        <v>2003.6666666666667</v>
      </c>
      <c r="AE61" s="238">
        <f t="shared" si="35"/>
        <v>2017</v>
      </c>
      <c r="AF61" s="238">
        <f t="shared" si="36"/>
        <v>2010.6666666666667</v>
      </c>
      <c r="AG61" s="238">
        <f t="shared" si="37"/>
        <v>2016</v>
      </c>
      <c r="AH61" s="238">
        <f t="shared" si="38"/>
        <v>-8.3333333333333329E-2</v>
      </c>
    </row>
    <row r="62" spans="1:34">
      <c r="A62" s="237">
        <v>107016</v>
      </c>
      <c r="B62" s="237" t="s">
        <v>284</v>
      </c>
      <c r="C62" s="237" t="s">
        <v>357</v>
      </c>
      <c r="D62" s="237" t="s">
        <v>289</v>
      </c>
      <c r="E62" s="237">
        <v>2003</v>
      </c>
      <c r="F62" s="237">
        <v>9</v>
      </c>
      <c r="G62" s="237">
        <v>0.2</v>
      </c>
      <c r="I62" s="237" t="s">
        <v>52</v>
      </c>
      <c r="J62" s="237">
        <v>7</v>
      </c>
      <c r="K62" s="237">
        <f t="shared" si="39"/>
        <v>2010</v>
      </c>
      <c r="N62" s="238">
        <v>40000</v>
      </c>
      <c r="P62" s="238">
        <f>N62-N62*G62</f>
        <v>32000</v>
      </c>
      <c r="Q62" s="238">
        <f>P62/J62/12</f>
        <v>380.95238095238096</v>
      </c>
      <c r="R62" s="238">
        <f>IF(O62&gt;0,0,IF(OR(AD62&gt;AE62,AF62&lt;AG62),0,IF(AND(AF62&gt;=AG62,AF62&lt;=AE62),Q62*((AF62-AG62)*12),IF(AND(AG62&lt;=AD62,AE62&gt;=AD62),((AE62-AD62)*12)*Q62,IF(AF62&gt;AE62,12*Q62,0)))))</f>
        <v>0</v>
      </c>
      <c r="S62" s="238">
        <f>IF(O62=0,0,IF(AND(AH62&gt;=AG62,AH62&lt;=AF62),((AH62-AG62)*12)*Q62,0))</f>
        <v>0</v>
      </c>
      <c r="T62" s="238">
        <f>IF(S62&gt;0,S62,R62)</f>
        <v>0</v>
      </c>
      <c r="U62" s="238">
        <v>1</v>
      </c>
      <c r="V62" s="238">
        <f>U62*SUM(R62:S62)</f>
        <v>0</v>
      </c>
      <c r="X62" s="238">
        <f>IF(AD62&gt;AE62,0,IF(AF62&lt;AG62,P62,IF(AND(AF62&gt;=AG62,AF62&lt;=AE62),(P62-T62),IF(AND(AG62&lt;=AD62,AE62&gt;=AD62),0,IF(AF62&gt;AE62,((AG62-AD62)*12)*Q62,0)))))</f>
        <v>32000</v>
      </c>
      <c r="Y62" s="238">
        <f>X62*U62</f>
        <v>32000</v>
      </c>
      <c r="Z62" s="238">
        <v>1</v>
      </c>
      <c r="AA62" s="238">
        <f>Y62*Z62</f>
        <v>32000</v>
      </c>
      <c r="AB62" s="238">
        <f>IF(O62&gt;0,0,AA62+V62*Z62)*Z62</f>
        <v>32000</v>
      </c>
      <c r="AC62" s="238">
        <f>IF(O62&gt;0,(N62-AA62)/2,IF(AD62&gt;=AG62,(((N62*U62)*Z62)-AB62)/2,((((N62*U62)*Z62)-AA62)+(((N62*U62)*Z62)-AB62))/2))</f>
        <v>8000</v>
      </c>
      <c r="AD62" s="238">
        <f t="shared" si="34"/>
        <v>2003.6666666666667</v>
      </c>
      <c r="AE62" s="238">
        <f t="shared" si="35"/>
        <v>2017</v>
      </c>
      <c r="AF62" s="238">
        <f t="shared" si="36"/>
        <v>2010.6666666666667</v>
      </c>
      <c r="AG62" s="238">
        <f t="shared" si="37"/>
        <v>2016</v>
      </c>
      <c r="AH62" s="238">
        <f t="shared" si="38"/>
        <v>-8.3333333333333329E-2</v>
      </c>
    </row>
    <row r="63" spans="1:34">
      <c r="A63" s="237">
        <v>102350</v>
      </c>
      <c r="B63" s="237" t="s">
        <v>176</v>
      </c>
      <c r="C63" s="237">
        <v>61</v>
      </c>
      <c r="D63" s="237" t="s">
        <v>368</v>
      </c>
      <c r="E63" s="237">
        <v>2004</v>
      </c>
      <c r="F63" s="237">
        <v>1</v>
      </c>
      <c r="G63" s="237">
        <v>0.33</v>
      </c>
      <c r="I63" s="237" t="s">
        <v>52</v>
      </c>
      <c r="J63" s="237">
        <v>5</v>
      </c>
      <c r="K63" s="237">
        <f t="shared" si="39"/>
        <v>2009</v>
      </c>
      <c r="N63" s="238">
        <v>52151.91</v>
      </c>
      <c r="P63" s="238">
        <f>N63-N63*G63</f>
        <v>34941.779699999999</v>
      </c>
      <c r="Q63" s="238">
        <f>P63/J63/12</f>
        <v>582.36299499999996</v>
      </c>
      <c r="R63" s="238">
        <f>IF(O63&gt;0,0,IF(OR(AD63&gt;AE63,AF63&lt;AG63),0,IF(AND(AF63&gt;=AG63,AF63&lt;=AE63),Q63*((AF63-AG63)*12),IF(AND(AG63&lt;=AD63,AE63&gt;=AD63),((AE63-AD63)*12)*Q63,IF(AF63&gt;AE63,12*Q63,0)))))</f>
        <v>0</v>
      </c>
      <c r="S63" s="238">
        <f>IF(O63=0,0,IF(AND(AH63&gt;=AG63,AH63&lt;=AF63),((AH63-AG63)*12)*Q63,0))</f>
        <v>0</v>
      </c>
      <c r="T63" s="238">
        <f>IF(S63&gt;0,S63,R63)</f>
        <v>0</v>
      </c>
      <c r="U63" s="238">
        <v>1</v>
      </c>
      <c r="V63" s="238">
        <f>U63*SUM(R63:S63)</f>
        <v>0</v>
      </c>
      <c r="X63" s="238">
        <f>IF(AD63&gt;AE63,0,IF(AF63&lt;AG63,P63,IF(AND(AF63&gt;=AG63,AF63&lt;=AE63),(P63-T63),IF(AND(AG63&lt;=AD63,AE63&gt;=AD63),0,IF(AF63&gt;AE63,((AG63-AD63)*12)*Q63,0)))))</f>
        <v>34941.779699999999</v>
      </c>
      <c r="Y63" s="238">
        <f>X63*U63</f>
        <v>34941.779699999999</v>
      </c>
      <c r="Z63" s="238">
        <v>1</v>
      </c>
      <c r="AA63" s="238">
        <f>Y63*Z63</f>
        <v>34941.779699999999</v>
      </c>
      <c r="AB63" s="238">
        <f>IF(O63&gt;0,0,AA63+V63*Z63)*Z63</f>
        <v>34941.779699999999</v>
      </c>
      <c r="AC63" s="238">
        <f>IF(O63&gt;0,(N63-AA63)/2,IF(AD63&gt;=AG63,(((N63*U63)*Z63)-AB63)/2,((((N63*U63)*Z63)-AA63)+(((N63*U63)*Z63)-AB63))/2))</f>
        <v>17210.130300000004</v>
      </c>
      <c r="AD63" s="238">
        <f t="shared" si="34"/>
        <v>2004</v>
      </c>
      <c r="AE63" s="238">
        <f t="shared" si="35"/>
        <v>2017</v>
      </c>
      <c r="AF63" s="238">
        <f t="shared" si="36"/>
        <v>2009</v>
      </c>
      <c r="AG63" s="238">
        <f t="shared" si="37"/>
        <v>2016</v>
      </c>
      <c r="AH63" s="238">
        <f t="shared" si="38"/>
        <v>-8.3333333333333329E-2</v>
      </c>
    </row>
    <row r="64" spans="1:34">
      <c r="A64" s="237">
        <v>39587</v>
      </c>
      <c r="B64" s="237" t="s">
        <v>176</v>
      </c>
      <c r="C64" s="237" t="s">
        <v>367</v>
      </c>
      <c r="D64" s="237" t="s">
        <v>234</v>
      </c>
      <c r="E64" s="237">
        <v>2004</v>
      </c>
      <c r="F64" s="237">
        <v>11</v>
      </c>
      <c r="G64" s="237">
        <v>0.33</v>
      </c>
      <c r="I64" s="237" t="s">
        <v>52</v>
      </c>
      <c r="J64" s="237">
        <v>7</v>
      </c>
      <c r="K64" s="237">
        <f t="shared" si="39"/>
        <v>2011</v>
      </c>
      <c r="N64" s="238">
        <f>20000</f>
        <v>20000</v>
      </c>
      <c r="P64" s="238">
        <f t="shared" si="40"/>
        <v>13400</v>
      </c>
      <c r="Q64" s="238">
        <f t="shared" si="41"/>
        <v>159.52380952380952</v>
      </c>
      <c r="R64" s="238">
        <f t="shared" si="42"/>
        <v>0</v>
      </c>
      <c r="S64" s="238">
        <f t="shared" si="43"/>
        <v>0</v>
      </c>
      <c r="T64" s="238">
        <f t="shared" si="44"/>
        <v>0</v>
      </c>
      <c r="U64" s="238">
        <v>1</v>
      </c>
      <c r="V64" s="238">
        <f t="shared" si="45"/>
        <v>0</v>
      </c>
      <c r="X64" s="238">
        <f t="shared" si="46"/>
        <v>13400</v>
      </c>
      <c r="Y64" s="238">
        <f t="shared" si="47"/>
        <v>13400</v>
      </c>
      <c r="Z64" s="238">
        <v>1</v>
      </c>
      <c r="AA64" s="238">
        <f t="shared" si="48"/>
        <v>13400</v>
      </c>
      <c r="AB64" s="238">
        <f t="shared" si="49"/>
        <v>13400</v>
      </c>
      <c r="AC64" s="238">
        <f t="shared" si="50"/>
        <v>6600</v>
      </c>
      <c r="AD64" s="238">
        <f t="shared" si="34"/>
        <v>2004.8333333333333</v>
      </c>
      <c r="AE64" s="238">
        <f t="shared" si="35"/>
        <v>2017</v>
      </c>
      <c r="AF64" s="238">
        <f t="shared" si="36"/>
        <v>2011.8333333333333</v>
      </c>
      <c r="AG64" s="238">
        <f t="shared" si="37"/>
        <v>2016</v>
      </c>
      <c r="AH64" s="238">
        <f t="shared" si="38"/>
        <v>-8.3333333333333329E-2</v>
      </c>
    </row>
    <row r="65" spans="1:35">
      <c r="A65" s="237">
        <v>102127</v>
      </c>
      <c r="B65" s="237" t="s">
        <v>176</v>
      </c>
      <c r="C65" s="237">
        <v>175</v>
      </c>
      <c r="D65" s="237" t="s">
        <v>235</v>
      </c>
      <c r="E65" s="237">
        <v>2004</v>
      </c>
      <c r="F65" s="237">
        <v>11</v>
      </c>
      <c r="G65" s="237">
        <v>0.33</v>
      </c>
      <c r="I65" s="237" t="s">
        <v>52</v>
      </c>
      <c r="J65" s="237">
        <v>7</v>
      </c>
      <c r="K65" s="237">
        <f t="shared" si="39"/>
        <v>2011</v>
      </c>
      <c r="N65" s="238">
        <f>56666.66</f>
        <v>56666.66</v>
      </c>
      <c r="P65" s="238">
        <f t="shared" si="40"/>
        <v>37966.662200000006</v>
      </c>
      <c r="Q65" s="238">
        <f t="shared" si="41"/>
        <v>451.98407380952386</v>
      </c>
      <c r="R65" s="238">
        <f t="shared" si="42"/>
        <v>0</v>
      </c>
      <c r="S65" s="238">
        <f t="shared" si="43"/>
        <v>0</v>
      </c>
      <c r="T65" s="238">
        <f t="shared" si="44"/>
        <v>0</v>
      </c>
      <c r="U65" s="238">
        <v>1</v>
      </c>
      <c r="V65" s="238">
        <f t="shared" si="45"/>
        <v>0</v>
      </c>
      <c r="X65" s="238">
        <f t="shared" si="46"/>
        <v>37966.662200000006</v>
      </c>
      <c r="Y65" s="238">
        <f t="shared" si="47"/>
        <v>37966.662200000006</v>
      </c>
      <c r="Z65" s="238">
        <v>1</v>
      </c>
      <c r="AA65" s="238">
        <f t="shared" si="48"/>
        <v>37966.662200000006</v>
      </c>
      <c r="AB65" s="238">
        <f t="shared" si="49"/>
        <v>37966.662200000006</v>
      </c>
      <c r="AC65" s="238">
        <f t="shared" si="50"/>
        <v>18699.997799999997</v>
      </c>
      <c r="AD65" s="238">
        <f t="shared" si="34"/>
        <v>2004.8333333333333</v>
      </c>
      <c r="AE65" s="238">
        <f t="shared" si="35"/>
        <v>2017</v>
      </c>
      <c r="AF65" s="238">
        <f t="shared" si="36"/>
        <v>2011.8333333333333</v>
      </c>
      <c r="AG65" s="238">
        <f t="shared" si="37"/>
        <v>2016</v>
      </c>
      <c r="AH65" s="238">
        <f t="shared" si="38"/>
        <v>-8.3333333333333329E-2</v>
      </c>
    </row>
    <row r="66" spans="1:35">
      <c r="A66" s="237">
        <v>30477</v>
      </c>
      <c r="B66" s="237" t="s">
        <v>76</v>
      </c>
      <c r="C66" s="237" t="s">
        <v>358</v>
      </c>
      <c r="D66" s="237" t="s">
        <v>81</v>
      </c>
      <c r="E66" s="237">
        <v>2005</v>
      </c>
      <c r="F66" s="237">
        <v>1</v>
      </c>
      <c r="G66" s="237">
        <v>0.33</v>
      </c>
      <c r="I66" s="237" t="s">
        <v>52</v>
      </c>
      <c r="J66" s="237">
        <v>5</v>
      </c>
      <c r="K66" s="237">
        <f t="shared" si="39"/>
        <v>2010</v>
      </c>
      <c r="N66" s="238">
        <f>35500+3124</f>
        <v>38624</v>
      </c>
      <c r="P66" s="238">
        <f t="shared" si="40"/>
        <v>25878.080000000002</v>
      </c>
      <c r="Q66" s="238">
        <f t="shared" si="41"/>
        <v>431.30133333333333</v>
      </c>
      <c r="R66" s="238">
        <f t="shared" si="42"/>
        <v>0</v>
      </c>
      <c r="S66" s="238">
        <f t="shared" si="43"/>
        <v>0</v>
      </c>
      <c r="T66" s="238">
        <f t="shared" si="44"/>
        <v>0</v>
      </c>
      <c r="U66" s="238">
        <v>1</v>
      </c>
      <c r="V66" s="238">
        <f t="shared" si="45"/>
        <v>0</v>
      </c>
      <c r="X66" s="238">
        <f t="shared" si="46"/>
        <v>25878.080000000002</v>
      </c>
      <c r="Y66" s="238">
        <f t="shared" si="47"/>
        <v>25878.080000000002</v>
      </c>
      <c r="Z66" s="238">
        <v>1</v>
      </c>
      <c r="AA66" s="238">
        <f t="shared" si="48"/>
        <v>25878.080000000002</v>
      </c>
      <c r="AB66" s="238">
        <f t="shared" si="49"/>
        <v>25878.080000000002</v>
      </c>
      <c r="AC66" s="238">
        <f t="shared" si="50"/>
        <v>12745.919999999998</v>
      </c>
      <c r="AD66" s="238">
        <f t="shared" si="34"/>
        <v>2005</v>
      </c>
      <c r="AE66" s="238">
        <f t="shared" si="35"/>
        <v>2017</v>
      </c>
      <c r="AF66" s="238">
        <f t="shared" si="36"/>
        <v>2010</v>
      </c>
      <c r="AG66" s="238">
        <f t="shared" si="37"/>
        <v>2016</v>
      </c>
      <c r="AH66" s="238">
        <f t="shared" si="38"/>
        <v>-8.3333333333333329E-2</v>
      </c>
    </row>
    <row r="67" spans="1:35">
      <c r="A67" s="237">
        <v>30478</v>
      </c>
      <c r="B67" s="237" t="s">
        <v>76</v>
      </c>
      <c r="C67" s="237" t="s">
        <v>359</v>
      </c>
      <c r="D67" s="237" t="s">
        <v>81</v>
      </c>
      <c r="E67" s="237">
        <v>2005</v>
      </c>
      <c r="F67" s="237">
        <v>1</v>
      </c>
      <c r="G67" s="237">
        <v>0.33</v>
      </c>
      <c r="I67" s="237" t="s">
        <v>52</v>
      </c>
      <c r="J67" s="237">
        <v>5</v>
      </c>
      <c r="K67" s="237">
        <f t="shared" si="39"/>
        <v>2010</v>
      </c>
      <c r="N67" s="238">
        <f>34500+3036</f>
        <v>37536</v>
      </c>
      <c r="P67" s="238">
        <f t="shared" si="40"/>
        <v>25149.119999999999</v>
      </c>
      <c r="Q67" s="238">
        <f t="shared" si="41"/>
        <v>419.15199999999999</v>
      </c>
      <c r="R67" s="238">
        <f t="shared" si="42"/>
        <v>0</v>
      </c>
      <c r="S67" s="238">
        <f t="shared" si="43"/>
        <v>0</v>
      </c>
      <c r="T67" s="238">
        <f t="shared" si="44"/>
        <v>0</v>
      </c>
      <c r="U67" s="238">
        <v>1</v>
      </c>
      <c r="V67" s="238">
        <f t="shared" si="45"/>
        <v>0</v>
      </c>
      <c r="X67" s="238">
        <f t="shared" si="46"/>
        <v>25149.119999999999</v>
      </c>
      <c r="Y67" s="238">
        <f t="shared" si="47"/>
        <v>25149.119999999999</v>
      </c>
      <c r="Z67" s="238">
        <v>1</v>
      </c>
      <c r="AA67" s="238">
        <f t="shared" si="48"/>
        <v>25149.119999999999</v>
      </c>
      <c r="AB67" s="238">
        <f t="shared" si="49"/>
        <v>25149.119999999999</v>
      </c>
      <c r="AC67" s="238">
        <f t="shared" si="50"/>
        <v>12386.880000000001</v>
      </c>
      <c r="AD67" s="238">
        <f t="shared" si="34"/>
        <v>2005</v>
      </c>
      <c r="AE67" s="238">
        <f t="shared" si="35"/>
        <v>2017</v>
      </c>
      <c r="AF67" s="238">
        <f t="shared" si="36"/>
        <v>2010</v>
      </c>
      <c r="AG67" s="238">
        <f t="shared" si="37"/>
        <v>2016</v>
      </c>
      <c r="AH67" s="238">
        <f t="shared" si="38"/>
        <v>-8.3333333333333329E-2</v>
      </c>
    </row>
    <row r="68" spans="1:35">
      <c r="B68" s="237" t="s">
        <v>176</v>
      </c>
      <c r="C68" s="237">
        <v>149</v>
      </c>
      <c r="D68" s="237" t="s">
        <v>147</v>
      </c>
      <c r="E68" s="237">
        <v>2006</v>
      </c>
      <c r="F68" s="237">
        <v>12</v>
      </c>
      <c r="I68" s="237" t="s">
        <v>52</v>
      </c>
      <c r="J68" s="237">
        <v>3</v>
      </c>
      <c r="K68" s="237">
        <f t="shared" si="39"/>
        <v>2009</v>
      </c>
      <c r="N68" s="238">
        <v>2612.9699999999998</v>
      </c>
      <c r="P68" s="238">
        <f t="shared" si="40"/>
        <v>2612.9699999999998</v>
      </c>
      <c r="Q68" s="238">
        <f t="shared" si="41"/>
        <v>72.582499999999996</v>
      </c>
      <c r="R68" s="238">
        <f t="shared" si="42"/>
        <v>0</v>
      </c>
      <c r="S68" s="238">
        <f t="shared" si="43"/>
        <v>0</v>
      </c>
      <c r="T68" s="238">
        <f t="shared" si="44"/>
        <v>0</v>
      </c>
      <c r="U68" s="238">
        <v>1</v>
      </c>
      <c r="V68" s="238">
        <f t="shared" si="45"/>
        <v>0</v>
      </c>
      <c r="X68" s="238">
        <f t="shared" si="46"/>
        <v>2612.9699999999998</v>
      </c>
      <c r="Y68" s="238">
        <f t="shared" si="47"/>
        <v>2612.9699999999998</v>
      </c>
      <c r="Z68" s="238">
        <v>1</v>
      </c>
      <c r="AA68" s="238">
        <f t="shared" si="48"/>
        <v>2612.9699999999998</v>
      </c>
      <c r="AB68" s="238">
        <f t="shared" si="49"/>
        <v>2612.9699999999998</v>
      </c>
      <c r="AC68" s="238">
        <f t="shared" si="50"/>
        <v>0</v>
      </c>
      <c r="AD68" s="238">
        <f t="shared" si="34"/>
        <v>2006.9166666666667</v>
      </c>
      <c r="AE68" s="238">
        <f t="shared" si="35"/>
        <v>2017</v>
      </c>
      <c r="AF68" s="238">
        <f t="shared" si="36"/>
        <v>2009.9166666666667</v>
      </c>
      <c r="AG68" s="238">
        <f t="shared" si="37"/>
        <v>2016</v>
      </c>
      <c r="AH68" s="238">
        <f t="shared" si="38"/>
        <v>-8.3333333333333329E-2</v>
      </c>
    </row>
    <row r="69" spans="1:35">
      <c r="A69" s="237">
        <v>53225</v>
      </c>
      <c r="B69" s="237" t="s">
        <v>76</v>
      </c>
      <c r="C69" s="237" t="s">
        <v>370</v>
      </c>
      <c r="D69" s="237" t="s">
        <v>371</v>
      </c>
      <c r="E69" s="237">
        <v>2007</v>
      </c>
      <c r="F69" s="237">
        <v>10</v>
      </c>
      <c r="G69" s="237">
        <v>0.2</v>
      </c>
      <c r="I69" s="237" t="s">
        <v>52</v>
      </c>
      <c r="J69" s="237">
        <v>7</v>
      </c>
      <c r="K69" s="237">
        <f>E69+J69</f>
        <v>2014</v>
      </c>
      <c r="N69" s="238">
        <v>100917.53</v>
      </c>
      <c r="P69" s="238">
        <f>N69-N69*G69</f>
        <v>80734.024000000005</v>
      </c>
      <c r="Q69" s="238">
        <f>P69/J69/12</f>
        <v>961.11933333333343</v>
      </c>
      <c r="R69" s="238">
        <f>IF(O69&gt;0,0,IF(OR(AD69&gt;AE69,AF69&lt;AG69),0,IF(AND(AF69&gt;=AG69,AF69&lt;=AE69),Q69*((AF69-AG69)*12),IF(AND(AG69&lt;=AD69,AE69&gt;=AD69),((AE69-AD69)*12)*Q69,IF(AF69&gt;AE69,12*Q69,0)))))</f>
        <v>0</v>
      </c>
      <c r="S69" s="238">
        <f>IF(O69=0,0,IF(AND(AH69&gt;=AG69,AH69&lt;=AF69),((AH69-AG69)*12)*Q69,0))</f>
        <v>0</v>
      </c>
      <c r="T69" s="238">
        <f>IF(S69&gt;0,S69,R69)</f>
        <v>0</v>
      </c>
      <c r="U69" s="238">
        <v>1</v>
      </c>
      <c r="V69" s="238">
        <f>U69*SUM(R69:S69)</f>
        <v>0</v>
      </c>
      <c r="X69" s="238">
        <f>IF(AD69&gt;AE69,0,IF(AF69&lt;AG69,P69,IF(AND(AF69&gt;=AG69,AF69&lt;=AE69),(P69-T69),IF(AND(AG69&lt;=AD69,AE69&gt;=AD69),0,IF(AF69&gt;AE69,((AG69-AD69)*12)*Q69,0)))))</f>
        <v>80734.024000000005</v>
      </c>
      <c r="Y69" s="238">
        <f>X69*U69</f>
        <v>80734.024000000005</v>
      </c>
      <c r="Z69" s="238">
        <v>1</v>
      </c>
      <c r="AA69" s="238">
        <f>Y69*Z69</f>
        <v>80734.024000000005</v>
      </c>
      <c r="AB69" s="238">
        <f>IF(O69&gt;0,0,AA69+V69*Z69)*Z69</f>
        <v>80734.024000000005</v>
      </c>
      <c r="AC69" s="238">
        <f>IF(O69&gt;0,(N69-AA69)/2,IF(AD69&gt;=AG69,(((N69*U69)*Z69)-AB69)/2,((((N69*U69)*Z69)-AA69)+(((N69*U69)*Z69)-AB69))/2))</f>
        <v>20183.505999999994</v>
      </c>
      <c r="AD69" s="238">
        <f>$E69+(($F69-1)/12)</f>
        <v>2007.75</v>
      </c>
      <c r="AE69" s="238">
        <f t="shared" si="35"/>
        <v>2017</v>
      </c>
      <c r="AF69" s="238">
        <f>$K69+(($F69-1)/12)</f>
        <v>2014.75</v>
      </c>
      <c r="AG69" s="238">
        <f t="shared" si="37"/>
        <v>2016</v>
      </c>
      <c r="AH69" s="238">
        <f>$L69+(($M69-1)/12)</f>
        <v>-8.3333333333333329E-2</v>
      </c>
      <c r="AI69" s="238" t="s">
        <v>362</v>
      </c>
    </row>
    <row r="70" spans="1:35">
      <c r="B70" s="237" t="s">
        <v>76</v>
      </c>
      <c r="D70" s="237" t="s">
        <v>166</v>
      </c>
      <c r="E70" s="237">
        <v>2008</v>
      </c>
      <c r="F70" s="237">
        <v>4</v>
      </c>
      <c r="G70" s="237">
        <v>0.2</v>
      </c>
      <c r="I70" s="237" t="s">
        <v>52</v>
      </c>
      <c r="J70" s="237">
        <v>7</v>
      </c>
      <c r="K70" s="237">
        <f t="shared" si="39"/>
        <v>2015</v>
      </c>
      <c r="N70" s="238">
        <v>1987.2</v>
      </c>
      <c r="P70" s="238">
        <f t="shared" si="40"/>
        <v>1589.76</v>
      </c>
      <c r="Q70" s="238">
        <f t="shared" si="41"/>
        <v>18.925714285714285</v>
      </c>
      <c r="R70" s="238">
        <f t="shared" si="42"/>
        <v>0</v>
      </c>
      <c r="S70" s="238">
        <f t="shared" si="43"/>
        <v>0</v>
      </c>
      <c r="T70" s="238">
        <f t="shared" si="44"/>
        <v>0</v>
      </c>
      <c r="U70" s="238">
        <v>1</v>
      </c>
      <c r="V70" s="238">
        <f t="shared" si="45"/>
        <v>0</v>
      </c>
      <c r="X70" s="238">
        <f t="shared" si="46"/>
        <v>1589.76</v>
      </c>
      <c r="Y70" s="238">
        <f t="shared" si="47"/>
        <v>1589.76</v>
      </c>
      <c r="Z70" s="238">
        <v>1</v>
      </c>
      <c r="AA70" s="238">
        <f t="shared" si="48"/>
        <v>1589.76</v>
      </c>
      <c r="AB70" s="238">
        <f t="shared" si="49"/>
        <v>1589.76</v>
      </c>
      <c r="AC70" s="238">
        <f t="shared" si="50"/>
        <v>397.44000000000005</v>
      </c>
      <c r="AD70" s="238">
        <f t="shared" si="34"/>
        <v>2008.25</v>
      </c>
      <c r="AE70" s="238">
        <f t="shared" si="35"/>
        <v>2017</v>
      </c>
      <c r="AF70" s="238">
        <f t="shared" si="36"/>
        <v>2015.25</v>
      </c>
      <c r="AG70" s="238">
        <f t="shared" si="37"/>
        <v>2016</v>
      </c>
      <c r="AH70" s="238">
        <f t="shared" si="38"/>
        <v>-8.3333333333333329E-2</v>
      </c>
    </row>
    <row r="71" spans="1:35">
      <c r="A71" s="237">
        <v>59199</v>
      </c>
      <c r="B71" s="237" t="s">
        <v>76</v>
      </c>
      <c r="C71" s="237" t="s">
        <v>360</v>
      </c>
      <c r="D71" s="237" t="s">
        <v>172</v>
      </c>
      <c r="E71" s="237">
        <v>2008</v>
      </c>
      <c r="F71" s="237">
        <v>6</v>
      </c>
      <c r="G71" s="237">
        <v>0.2</v>
      </c>
      <c r="I71" s="237" t="s">
        <v>52</v>
      </c>
      <c r="J71" s="237">
        <v>7</v>
      </c>
      <c r="K71" s="237">
        <f t="shared" si="39"/>
        <v>2015</v>
      </c>
      <c r="N71" s="238">
        <f>96676.9</f>
        <v>96676.9</v>
      </c>
      <c r="P71" s="238">
        <f t="shared" si="40"/>
        <v>77341.51999999999</v>
      </c>
      <c r="Q71" s="238">
        <f t="shared" si="41"/>
        <v>920.73238095238082</v>
      </c>
      <c r="R71" s="238">
        <f t="shared" si="42"/>
        <v>0</v>
      </c>
      <c r="S71" s="238">
        <f t="shared" si="43"/>
        <v>0</v>
      </c>
      <c r="T71" s="238">
        <f t="shared" si="44"/>
        <v>0</v>
      </c>
      <c r="U71" s="238">
        <v>1</v>
      </c>
      <c r="V71" s="238">
        <f t="shared" si="45"/>
        <v>0</v>
      </c>
      <c r="X71" s="238">
        <f t="shared" si="46"/>
        <v>77341.51999999999</v>
      </c>
      <c r="Y71" s="238">
        <f t="shared" si="47"/>
        <v>77341.51999999999</v>
      </c>
      <c r="Z71" s="238">
        <v>1</v>
      </c>
      <c r="AA71" s="238">
        <f t="shared" si="48"/>
        <v>77341.51999999999</v>
      </c>
      <c r="AB71" s="238">
        <f t="shared" si="49"/>
        <v>77341.51999999999</v>
      </c>
      <c r="AC71" s="238">
        <f t="shared" si="50"/>
        <v>19335.380000000005</v>
      </c>
      <c r="AD71" s="238">
        <f t="shared" si="34"/>
        <v>2008.4166666666667</v>
      </c>
      <c r="AE71" s="238">
        <f t="shared" si="35"/>
        <v>2017</v>
      </c>
      <c r="AF71" s="238">
        <f t="shared" si="36"/>
        <v>2015.4166666666667</v>
      </c>
      <c r="AG71" s="238">
        <f t="shared" si="37"/>
        <v>2016</v>
      </c>
      <c r="AH71" s="238">
        <f t="shared" si="38"/>
        <v>-8.3333333333333329E-2</v>
      </c>
    </row>
    <row r="72" spans="1:35">
      <c r="A72" s="237">
        <v>102177</v>
      </c>
      <c r="B72" s="237" t="s">
        <v>176</v>
      </c>
      <c r="C72" s="237">
        <v>181</v>
      </c>
      <c r="D72" s="237" t="s">
        <v>177</v>
      </c>
      <c r="E72" s="237">
        <v>2008</v>
      </c>
      <c r="F72" s="237">
        <v>7</v>
      </c>
      <c r="G72" s="237">
        <v>0.33</v>
      </c>
      <c r="I72" s="237" t="s">
        <v>52</v>
      </c>
      <c r="J72" s="237">
        <v>5</v>
      </c>
      <c r="K72" s="237">
        <f t="shared" si="39"/>
        <v>2013</v>
      </c>
      <c r="N72" s="238">
        <f>113900.4</f>
        <v>113900.4</v>
      </c>
      <c r="P72" s="238">
        <f t="shared" si="40"/>
        <v>76313.267999999996</v>
      </c>
      <c r="Q72" s="238">
        <f t="shared" si="41"/>
        <v>1271.8878</v>
      </c>
      <c r="R72" s="238">
        <f t="shared" si="42"/>
        <v>0</v>
      </c>
      <c r="S72" s="238">
        <f t="shared" si="43"/>
        <v>0</v>
      </c>
      <c r="T72" s="238">
        <f t="shared" si="44"/>
        <v>0</v>
      </c>
      <c r="U72" s="238">
        <v>1</v>
      </c>
      <c r="V72" s="238">
        <f t="shared" si="45"/>
        <v>0</v>
      </c>
      <c r="X72" s="238">
        <f t="shared" si="46"/>
        <v>76313.267999999996</v>
      </c>
      <c r="Y72" s="238">
        <f t="shared" si="47"/>
        <v>76313.267999999996</v>
      </c>
      <c r="Z72" s="238">
        <v>1</v>
      </c>
      <c r="AA72" s="238">
        <f t="shared" si="48"/>
        <v>76313.267999999996</v>
      </c>
      <c r="AB72" s="238">
        <f t="shared" si="49"/>
        <v>76313.267999999996</v>
      </c>
      <c r="AC72" s="238">
        <f t="shared" si="50"/>
        <v>37587.131999999998</v>
      </c>
      <c r="AD72" s="238">
        <f t="shared" si="34"/>
        <v>2008.5</v>
      </c>
      <c r="AE72" s="238">
        <f t="shared" si="35"/>
        <v>2017</v>
      </c>
      <c r="AF72" s="238">
        <f t="shared" si="36"/>
        <v>2013.5</v>
      </c>
      <c r="AG72" s="238">
        <f t="shared" si="37"/>
        <v>2016</v>
      </c>
      <c r="AH72" s="238">
        <f t="shared" si="38"/>
        <v>-8.3333333333333329E-2</v>
      </c>
    </row>
    <row r="73" spans="1:35">
      <c r="A73" s="237">
        <v>60377</v>
      </c>
      <c r="B73" s="237" t="s">
        <v>76</v>
      </c>
      <c r="C73" s="237" t="s">
        <v>361</v>
      </c>
      <c r="D73" s="237" t="s">
        <v>206</v>
      </c>
      <c r="E73" s="237">
        <v>2008</v>
      </c>
      <c r="F73" s="237">
        <v>11</v>
      </c>
      <c r="G73" s="237">
        <v>0.2</v>
      </c>
      <c r="I73" s="237" t="s">
        <v>52</v>
      </c>
      <c r="J73" s="237">
        <v>7</v>
      </c>
      <c r="K73" s="237">
        <f t="shared" si="39"/>
        <v>2015</v>
      </c>
      <c r="N73" s="238">
        <f>101028.8</f>
        <v>101028.8</v>
      </c>
      <c r="P73" s="238">
        <f t="shared" si="40"/>
        <v>80823.040000000008</v>
      </c>
      <c r="Q73" s="238">
        <f t="shared" si="41"/>
        <v>962.17904761904765</v>
      </c>
      <c r="R73" s="238">
        <f t="shared" si="42"/>
        <v>0</v>
      </c>
      <c r="S73" s="238">
        <f t="shared" si="43"/>
        <v>0</v>
      </c>
      <c r="T73" s="238">
        <f t="shared" si="44"/>
        <v>0</v>
      </c>
      <c r="U73" s="238">
        <v>1</v>
      </c>
      <c r="V73" s="238">
        <f t="shared" si="45"/>
        <v>0</v>
      </c>
      <c r="X73" s="238">
        <f t="shared" si="46"/>
        <v>80823.040000000008</v>
      </c>
      <c r="Y73" s="238">
        <f t="shared" si="47"/>
        <v>80823.040000000008</v>
      </c>
      <c r="Z73" s="238">
        <v>1</v>
      </c>
      <c r="AA73" s="238">
        <f t="shared" si="48"/>
        <v>80823.040000000008</v>
      </c>
      <c r="AB73" s="238">
        <f t="shared" si="49"/>
        <v>80823.040000000008</v>
      </c>
      <c r="AC73" s="238">
        <f t="shared" si="50"/>
        <v>20205.759999999995</v>
      </c>
      <c r="AD73" s="238">
        <f t="shared" si="34"/>
        <v>2008.8333333333333</v>
      </c>
      <c r="AE73" s="238">
        <f t="shared" si="35"/>
        <v>2017</v>
      </c>
      <c r="AF73" s="238">
        <f t="shared" si="36"/>
        <v>2015.8333333333333</v>
      </c>
      <c r="AG73" s="238">
        <f t="shared" si="37"/>
        <v>2016</v>
      </c>
      <c r="AH73" s="238">
        <f t="shared" si="38"/>
        <v>-8.3333333333333329E-2</v>
      </c>
    </row>
    <row r="74" spans="1:35">
      <c r="A74" s="237" t="s">
        <v>290</v>
      </c>
      <c r="B74" s="237" t="s">
        <v>284</v>
      </c>
      <c r="C74" s="237" t="s">
        <v>357</v>
      </c>
      <c r="D74" s="237" t="s">
        <v>363</v>
      </c>
      <c r="E74" s="237">
        <v>2009</v>
      </c>
      <c r="F74" s="237">
        <v>3</v>
      </c>
      <c r="G74" s="237">
        <v>0</v>
      </c>
      <c r="I74" s="237" t="s">
        <v>52</v>
      </c>
      <c r="J74" s="237">
        <v>3</v>
      </c>
      <c r="K74" s="237">
        <f t="shared" si="39"/>
        <v>2012</v>
      </c>
      <c r="N74" s="238">
        <v>20901.78</v>
      </c>
      <c r="P74" s="238">
        <f>N74-N74*G74</f>
        <v>20901.78</v>
      </c>
      <c r="Q74" s="238">
        <f>P74/J74/12</f>
        <v>580.6049999999999</v>
      </c>
      <c r="R74" s="238">
        <f>IF(O74&gt;0,0,IF(OR(AD74&gt;AE74,AF74&lt;AG74),0,IF(AND(AF74&gt;=AG74,AF74&lt;=AE74),Q74*((AF74-AG74)*12),IF(AND(AG74&lt;=AD74,AE74&gt;=AD74),((AE74-AD74)*12)*Q74,IF(AF74&gt;AE74,12*Q74,0)))))</f>
        <v>0</v>
      </c>
      <c r="S74" s="238">
        <f>IF(O74=0,0,IF(AND(AH74&gt;=AG74,AH74&lt;=AF74),((AH74-AG74)*12)*Q74,0))</f>
        <v>0</v>
      </c>
      <c r="T74" s="238">
        <f>IF(S74&gt;0,S74,R74)</f>
        <v>0</v>
      </c>
      <c r="U74" s="238">
        <v>1</v>
      </c>
      <c r="V74" s="238">
        <f>U74*SUM(R74:S74)</f>
        <v>0</v>
      </c>
      <c r="X74" s="238">
        <f>IF(AD74&gt;AE74,0,IF(AF74&lt;AG74,P74,IF(AND(AF74&gt;=AG74,AF74&lt;=AE74),(P74-T74),IF(AND(AG74&lt;=AD74,AE74&gt;=AD74),0,IF(AF74&gt;AE74,((AG74-AD74)*12)*Q74,0)))))</f>
        <v>20901.78</v>
      </c>
      <c r="Y74" s="238">
        <f>X74*U74</f>
        <v>20901.78</v>
      </c>
      <c r="Z74" s="238">
        <v>1</v>
      </c>
      <c r="AA74" s="238">
        <f>Y74*Z74</f>
        <v>20901.78</v>
      </c>
      <c r="AB74" s="238">
        <f>IF(O74&gt;0,0,AA74+V74*Z74)*Z74</f>
        <v>20901.78</v>
      </c>
      <c r="AC74" s="238">
        <f>IF(O74&gt;0,(N74-AA74)/2,IF(AD74&gt;=AG74,(((N74*U74)*Z74)-AB74)/2,((((N74*U74)*Z74)-AA74)+(((N74*U74)*Z74)-AB74))/2))</f>
        <v>0</v>
      </c>
      <c r="AD74" s="238">
        <f t="shared" si="34"/>
        <v>2009.1666666666667</v>
      </c>
      <c r="AE74" s="238">
        <f t="shared" si="35"/>
        <v>2017</v>
      </c>
      <c r="AF74" s="238">
        <f t="shared" si="36"/>
        <v>2012.1666666666667</v>
      </c>
      <c r="AG74" s="238">
        <f t="shared" si="37"/>
        <v>2016</v>
      </c>
      <c r="AH74" s="238">
        <f t="shared" si="38"/>
        <v>-8.3333333333333329E-2</v>
      </c>
    </row>
    <row r="75" spans="1:35">
      <c r="A75" s="237" t="s">
        <v>291</v>
      </c>
      <c r="B75" s="237" t="s">
        <v>284</v>
      </c>
      <c r="C75" s="237" t="s">
        <v>356</v>
      </c>
      <c r="D75" s="237" t="s">
        <v>363</v>
      </c>
      <c r="E75" s="237">
        <v>2009</v>
      </c>
      <c r="F75" s="237">
        <v>6</v>
      </c>
      <c r="G75" s="237">
        <v>0</v>
      </c>
      <c r="I75" s="237" t="s">
        <v>52</v>
      </c>
      <c r="J75" s="237">
        <v>3</v>
      </c>
      <c r="K75" s="237">
        <f t="shared" si="39"/>
        <v>2012</v>
      </c>
      <c r="N75" s="238">
        <v>21020.5</v>
      </c>
      <c r="P75" s="238">
        <f>N75-N75*G75</f>
        <v>21020.5</v>
      </c>
      <c r="Q75" s="238">
        <f>P75/J75/12</f>
        <v>583.90277777777771</v>
      </c>
      <c r="R75" s="238">
        <f>IF(O75&gt;0,0,IF(OR(AD75&gt;AE75,AF75&lt;AG75),0,IF(AND(AF75&gt;=AG75,AF75&lt;=AE75),Q75*((AF75-AG75)*12),IF(AND(AG75&lt;=AD75,AE75&gt;=AD75),((AE75-AD75)*12)*Q75,IF(AF75&gt;AE75,12*Q75,0)))))</f>
        <v>0</v>
      </c>
      <c r="S75" s="238">
        <f>IF(O75=0,0,IF(AND(AH75&gt;=AG75,AH75&lt;=AF75),((AH75-AG75)*12)*Q75,0))</f>
        <v>0</v>
      </c>
      <c r="T75" s="238">
        <f>IF(S75&gt;0,S75,R75)</f>
        <v>0</v>
      </c>
      <c r="U75" s="238">
        <v>1</v>
      </c>
      <c r="V75" s="238">
        <f>U75*SUM(R75:S75)</f>
        <v>0</v>
      </c>
      <c r="X75" s="238">
        <f>IF(AD75&gt;AE75,0,IF(AF75&lt;AG75,P75,IF(AND(AF75&gt;=AG75,AF75&lt;=AE75),(P75-T75),IF(AND(AG75&lt;=AD75,AE75&gt;=AD75),0,IF(AF75&gt;AE75,((AG75-AD75)*12)*Q75,0)))))</f>
        <v>21020.5</v>
      </c>
      <c r="Y75" s="238">
        <f>X75*U75</f>
        <v>21020.5</v>
      </c>
      <c r="Z75" s="238">
        <v>1</v>
      </c>
      <c r="AA75" s="238">
        <f>Y75*Z75</f>
        <v>21020.5</v>
      </c>
      <c r="AB75" s="238">
        <f>IF(O75&gt;0,0,AA75+V75*Z75)*Z75</f>
        <v>21020.5</v>
      </c>
      <c r="AC75" s="238">
        <f>IF(O75&gt;0,(N75-AA75)/2,IF(AD75&gt;=AG75,(((N75*U75)*Z75)-AB75)/2,((((N75*U75)*Z75)-AA75)+(((N75*U75)*Z75)-AB75))/2))</f>
        <v>0</v>
      </c>
      <c r="AD75" s="238">
        <f t="shared" si="34"/>
        <v>2009.4166666666667</v>
      </c>
      <c r="AE75" s="238">
        <f t="shared" si="35"/>
        <v>2017</v>
      </c>
      <c r="AF75" s="238">
        <f t="shared" si="36"/>
        <v>2012.4166666666667</v>
      </c>
      <c r="AG75" s="238">
        <f t="shared" si="37"/>
        <v>2016</v>
      </c>
      <c r="AH75" s="238">
        <f t="shared" si="38"/>
        <v>-8.3333333333333329E-2</v>
      </c>
    </row>
    <row r="76" spans="1:35">
      <c r="A76" s="237">
        <v>102167</v>
      </c>
      <c r="B76" s="237" t="s">
        <v>176</v>
      </c>
      <c r="C76" s="237">
        <v>180</v>
      </c>
      <c r="D76" s="237" t="s">
        <v>236</v>
      </c>
      <c r="E76" s="237">
        <v>2009</v>
      </c>
      <c r="F76" s="237">
        <v>7</v>
      </c>
      <c r="G76" s="237">
        <v>0.33</v>
      </c>
      <c r="I76" s="237" t="s">
        <v>52</v>
      </c>
      <c r="J76" s="237">
        <v>7</v>
      </c>
      <c r="K76" s="237">
        <f t="shared" si="39"/>
        <v>2016</v>
      </c>
      <c r="N76" s="238">
        <f>23500</f>
        <v>23500</v>
      </c>
      <c r="P76" s="238">
        <f t="shared" si="40"/>
        <v>15745</v>
      </c>
      <c r="Q76" s="238">
        <f t="shared" si="41"/>
        <v>187.44047619047618</v>
      </c>
      <c r="R76" s="238">
        <f t="shared" si="42"/>
        <v>1124.6428571428571</v>
      </c>
      <c r="S76" s="238">
        <f t="shared" si="43"/>
        <v>0</v>
      </c>
      <c r="T76" s="238">
        <f t="shared" si="44"/>
        <v>1124.6428571428571</v>
      </c>
      <c r="U76" s="238">
        <v>1</v>
      </c>
      <c r="V76" s="238">
        <f t="shared" si="45"/>
        <v>1124.6428571428571</v>
      </c>
      <c r="X76" s="238">
        <f t="shared" si="46"/>
        <v>14620.357142857143</v>
      </c>
      <c r="Y76" s="238">
        <f t="shared" si="47"/>
        <v>14620.357142857143</v>
      </c>
      <c r="Z76" s="238">
        <v>1</v>
      </c>
      <c r="AA76" s="238">
        <f t="shared" si="48"/>
        <v>14620.357142857143</v>
      </c>
      <c r="AB76" s="238">
        <f t="shared" si="49"/>
        <v>15745</v>
      </c>
      <c r="AC76" s="238">
        <f t="shared" si="50"/>
        <v>8317.3214285714275</v>
      </c>
      <c r="AD76" s="238">
        <f t="shared" si="34"/>
        <v>2009.5</v>
      </c>
      <c r="AE76" s="238">
        <f t="shared" si="35"/>
        <v>2017</v>
      </c>
      <c r="AF76" s="238">
        <f t="shared" si="36"/>
        <v>2016.5</v>
      </c>
      <c r="AG76" s="238">
        <f t="shared" si="37"/>
        <v>2016</v>
      </c>
      <c r="AH76" s="238">
        <f t="shared" si="38"/>
        <v>-8.3333333333333329E-2</v>
      </c>
    </row>
    <row r="77" spans="1:35">
      <c r="A77" s="237">
        <v>102168</v>
      </c>
      <c r="B77" s="237" t="s">
        <v>176</v>
      </c>
      <c r="C77" s="237">
        <v>180</v>
      </c>
      <c r="D77" s="237" t="s">
        <v>237</v>
      </c>
      <c r="E77" s="237">
        <v>2009</v>
      </c>
      <c r="F77" s="237">
        <v>5</v>
      </c>
      <c r="G77" s="237">
        <v>0</v>
      </c>
      <c r="I77" s="237" t="s">
        <v>52</v>
      </c>
      <c r="J77" s="237">
        <v>3</v>
      </c>
      <c r="K77" s="237">
        <f t="shared" si="39"/>
        <v>2012</v>
      </c>
      <c r="N77" s="238">
        <f>7240.26</f>
        <v>7240.26</v>
      </c>
      <c r="P77" s="238">
        <f t="shared" si="40"/>
        <v>7240.26</v>
      </c>
      <c r="Q77" s="238">
        <f t="shared" si="41"/>
        <v>201.11833333333334</v>
      </c>
      <c r="R77" s="238">
        <f t="shared" si="42"/>
        <v>0</v>
      </c>
      <c r="S77" s="238">
        <f t="shared" si="43"/>
        <v>0</v>
      </c>
      <c r="T77" s="238">
        <f t="shared" si="44"/>
        <v>0</v>
      </c>
      <c r="U77" s="238">
        <v>1</v>
      </c>
      <c r="V77" s="238">
        <f t="shared" si="45"/>
        <v>0</v>
      </c>
      <c r="X77" s="238">
        <f t="shared" si="46"/>
        <v>7240.26</v>
      </c>
      <c r="Y77" s="238">
        <f t="shared" si="47"/>
        <v>7240.26</v>
      </c>
      <c r="Z77" s="238">
        <v>1</v>
      </c>
      <c r="AA77" s="238">
        <f t="shared" si="48"/>
        <v>7240.26</v>
      </c>
      <c r="AB77" s="238">
        <f t="shared" si="49"/>
        <v>7240.26</v>
      </c>
      <c r="AC77" s="238">
        <f t="shared" si="50"/>
        <v>0</v>
      </c>
      <c r="AD77" s="238">
        <f t="shared" si="34"/>
        <v>2009.3333333333333</v>
      </c>
      <c r="AE77" s="238">
        <f t="shared" si="35"/>
        <v>2017</v>
      </c>
      <c r="AF77" s="238">
        <f t="shared" si="36"/>
        <v>2012.3333333333333</v>
      </c>
      <c r="AG77" s="238">
        <f t="shared" si="37"/>
        <v>2016</v>
      </c>
      <c r="AH77" s="238">
        <f t="shared" si="38"/>
        <v>-8.3333333333333329E-2</v>
      </c>
    </row>
    <row r="78" spans="1:35">
      <c r="A78" s="237">
        <v>102169</v>
      </c>
      <c r="B78" s="237" t="s">
        <v>176</v>
      </c>
      <c r="C78" s="237">
        <v>182</v>
      </c>
      <c r="D78" s="237" t="s">
        <v>238</v>
      </c>
      <c r="E78" s="237">
        <v>2009</v>
      </c>
      <c r="F78" s="237">
        <v>8</v>
      </c>
      <c r="G78" s="237">
        <v>0.33</v>
      </c>
      <c r="I78" s="237" t="s">
        <v>52</v>
      </c>
      <c r="J78" s="237">
        <v>5</v>
      </c>
      <c r="K78" s="237">
        <f t="shared" si="39"/>
        <v>2014</v>
      </c>
      <c r="N78" s="238">
        <f>75813.16</f>
        <v>75813.16</v>
      </c>
      <c r="P78" s="238">
        <f t="shared" si="40"/>
        <v>50794.817200000005</v>
      </c>
      <c r="Q78" s="238">
        <f t="shared" si="41"/>
        <v>846.58028666666678</v>
      </c>
      <c r="R78" s="238">
        <f t="shared" si="42"/>
        <v>0</v>
      </c>
      <c r="S78" s="238">
        <f t="shared" si="43"/>
        <v>0</v>
      </c>
      <c r="T78" s="238">
        <f t="shared" si="44"/>
        <v>0</v>
      </c>
      <c r="U78" s="238">
        <v>1</v>
      </c>
      <c r="V78" s="238">
        <f t="shared" si="45"/>
        <v>0</v>
      </c>
      <c r="X78" s="238">
        <f t="shared" si="46"/>
        <v>50794.817200000005</v>
      </c>
      <c r="Y78" s="238">
        <f t="shared" si="47"/>
        <v>50794.817200000005</v>
      </c>
      <c r="Z78" s="238">
        <v>1</v>
      </c>
      <c r="AA78" s="238">
        <f t="shared" si="48"/>
        <v>50794.817200000005</v>
      </c>
      <c r="AB78" s="238">
        <f t="shared" si="49"/>
        <v>50794.817200000005</v>
      </c>
      <c r="AC78" s="238">
        <f t="shared" si="50"/>
        <v>25018.342799999999</v>
      </c>
      <c r="AD78" s="238">
        <f t="shared" si="34"/>
        <v>2009.5833333333333</v>
      </c>
      <c r="AE78" s="238">
        <f t="shared" si="35"/>
        <v>2017</v>
      </c>
      <c r="AF78" s="238">
        <f t="shared" si="36"/>
        <v>2014.5833333333333</v>
      </c>
      <c r="AG78" s="238">
        <f t="shared" si="37"/>
        <v>2016</v>
      </c>
      <c r="AH78" s="238">
        <f t="shared" si="38"/>
        <v>-8.3333333333333329E-2</v>
      </c>
    </row>
    <row r="79" spans="1:35">
      <c r="A79" s="237">
        <v>72192</v>
      </c>
      <c r="B79" s="237" t="s">
        <v>76</v>
      </c>
      <c r="C79" s="237">
        <v>536</v>
      </c>
      <c r="D79" s="237" t="s">
        <v>204</v>
      </c>
      <c r="E79" s="237">
        <v>2010</v>
      </c>
      <c r="F79" s="237">
        <v>1</v>
      </c>
      <c r="G79" s="237">
        <v>0.33</v>
      </c>
      <c r="I79" s="237" t="s">
        <v>52</v>
      </c>
      <c r="J79" s="237">
        <v>5</v>
      </c>
      <c r="K79" s="237">
        <f t="shared" si="39"/>
        <v>2015</v>
      </c>
      <c r="N79" s="238">
        <v>10930</v>
      </c>
      <c r="P79" s="238">
        <f t="shared" si="40"/>
        <v>7323.1</v>
      </c>
      <c r="Q79" s="238">
        <f t="shared" si="41"/>
        <v>122.05166666666668</v>
      </c>
      <c r="R79" s="238">
        <f t="shared" si="42"/>
        <v>0</v>
      </c>
      <c r="S79" s="238">
        <f t="shared" si="43"/>
        <v>0</v>
      </c>
      <c r="T79" s="238">
        <f t="shared" si="44"/>
        <v>0</v>
      </c>
      <c r="U79" s="238">
        <v>1</v>
      </c>
      <c r="V79" s="238">
        <f t="shared" si="45"/>
        <v>0</v>
      </c>
      <c r="X79" s="238">
        <f t="shared" si="46"/>
        <v>7323.1</v>
      </c>
      <c r="Y79" s="238">
        <f t="shared" si="47"/>
        <v>7323.1</v>
      </c>
      <c r="Z79" s="238">
        <v>1</v>
      </c>
      <c r="AA79" s="238">
        <f t="shared" si="48"/>
        <v>7323.1</v>
      </c>
      <c r="AB79" s="238">
        <f t="shared" si="49"/>
        <v>7323.1</v>
      </c>
      <c r="AC79" s="238">
        <f t="shared" si="50"/>
        <v>3606.8999999999996</v>
      </c>
      <c r="AD79" s="238">
        <f t="shared" si="34"/>
        <v>2010</v>
      </c>
      <c r="AE79" s="238">
        <f t="shared" si="35"/>
        <v>2017</v>
      </c>
      <c r="AF79" s="238">
        <f t="shared" si="36"/>
        <v>2015</v>
      </c>
      <c r="AG79" s="238">
        <f t="shared" si="37"/>
        <v>2016</v>
      </c>
      <c r="AH79" s="238">
        <f t="shared" si="38"/>
        <v>-8.3333333333333329E-2</v>
      </c>
    </row>
    <row r="80" spans="1:35">
      <c r="A80" s="237">
        <v>102187</v>
      </c>
      <c r="B80" s="237" t="s">
        <v>176</v>
      </c>
      <c r="C80" s="237">
        <v>183</v>
      </c>
      <c r="D80" s="237" t="s">
        <v>240</v>
      </c>
      <c r="E80" s="237">
        <v>2010</v>
      </c>
      <c r="F80" s="237">
        <v>5</v>
      </c>
      <c r="G80" s="237">
        <v>0.33</v>
      </c>
      <c r="I80" s="237" t="s">
        <v>52</v>
      </c>
      <c r="J80" s="237">
        <v>5</v>
      </c>
      <c r="K80" s="237">
        <f t="shared" si="39"/>
        <v>2015</v>
      </c>
      <c r="N80" s="238">
        <f>76172</f>
        <v>76172</v>
      </c>
      <c r="P80" s="238">
        <f t="shared" si="40"/>
        <v>51035.24</v>
      </c>
      <c r="Q80" s="238">
        <f t="shared" si="41"/>
        <v>850.58733333333328</v>
      </c>
      <c r="R80" s="238">
        <f t="shared" si="42"/>
        <v>0</v>
      </c>
      <c r="S80" s="238">
        <f t="shared" si="43"/>
        <v>0</v>
      </c>
      <c r="T80" s="238">
        <f t="shared" si="44"/>
        <v>0</v>
      </c>
      <c r="U80" s="238">
        <v>1</v>
      </c>
      <c r="V80" s="238">
        <f t="shared" si="45"/>
        <v>0</v>
      </c>
      <c r="X80" s="238">
        <f t="shared" si="46"/>
        <v>51035.24</v>
      </c>
      <c r="Y80" s="238">
        <f t="shared" si="47"/>
        <v>51035.24</v>
      </c>
      <c r="Z80" s="238">
        <v>1</v>
      </c>
      <c r="AA80" s="238">
        <f t="shared" si="48"/>
        <v>51035.24</v>
      </c>
      <c r="AB80" s="238">
        <f t="shared" si="49"/>
        <v>51035.24</v>
      </c>
      <c r="AC80" s="238">
        <f t="shared" si="50"/>
        <v>25136.760000000002</v>
      </c>
      <c r="AD80" s="238">
        <f t="shared" si="34"/>
        <v>2010.3333333333333</v>
      </c>
      <c r="AE80" s="238">
        <f t="shared" si="35"/>
        <v>2017</v>
      </c>
      <c r="AF80" s="238">
        <f t="shared" si="36"/>
        <v>2015.3333333333333</v>
      </c>
      <c r="AG80" s="238">
        <f t="shared" si="37"/>
        <v>2016</v>
      </c>
      <c r="AH80" s="238">
        <f t="shared" si="38"/>
        <v>-8.3333333333333329E-2</v>
      </c>
    </row>
    <row r="81" spans="1:34">
      <c r="B81" s="237" t="s">
        <v>215</v>
      </c>
      <c r="C81" s="237">
        <v>169</v>
      </c>
      <c r="D81" s="237" t="s">
        <v>205</v>
      </c>
      <c r="E81" s="237">
        <v>2010</v>
      </c>
      <c r="F81" s="237">
        <v>10</v>
      </c>
      <c r="G81" s="237">
        <v>0</v>
      </c>
      <c r="I81" s="237" t="s">
        <v>52</v>
      </c>
      <c r="J81" s="237">
        <v>3</v>
      </c>
      <c r="K81" s="237">
        <f t="shared" si="39"/>
        <v>2013</v>
      </c>
      <c r="N81" s="238">
        <f>12406</f>
        <v>12406</v>
      </c>
      <c r="P81" s="238">
        <f t="shared" si="40"/>
        <v>12406</v>
      </c>
      <c r="Q81" s="238">
        <f t="shared" si="41"/>
        <v>344.61111111111109</v>
      </c>
      <c r="R81" s="238">
        <f t="shared" si="42"/>
        <v>0</v>
      </c>
      <c r="S81" s="238">
        <f t="shared" si="43"/>
        <v>0</v>
      </c>
      <c r="T81" s="238">
        <f t="shared" si="44"/>
        <v>0</v>
      </c>
      <c r="U81" s="238">
        <v>1</v>
      </c>
      <c r="V81" s="238">
        <f t="shared" si="45"/>
        <v>0</v>
      </c>
      <c r="X81" s="238">
        <f t="shared" si="46"/>
        <v>12406</v>
      </c>
      <c r="Y81" s="238">
        <f t="shared" si="47"/>
        <v>12406</v>
      </c>
      <c r="Z81" s="238">
        <v>1</v>
      </c>
      <c r="AA81" s="238">
        <f t="shared" si="48"/>
        <v>12406</v>
      </c>
      <c r="AB81" s="238">
        <f t="shared" si="49"/>
        <v>12406</v>
      </c>
      <c r="AC81" s="238">
        <f t="shared" si="50"/>
        <v>0</v>
      </c>
      <c r="AD81" s="238">
        <f t="shared" si="34"/>
        <v>2010.75</v>
      </c>
      <c r="AE81" s="238">
        <f t="shared" si="35"/>
        <v>2017</v>
      </c>
      <c r="AF81" s="238">
        <f t="shared" si="36"/>
        <v>2013.75</v>
      </c>
      <c r="AG81" s="238">
        <f t="shared" si="37"/>
        <v>2016</v>
      </c>
      <c r="AH81" s="238">
        <f t="shared" si="38"/>
        <v>-8.3333333333333329E-2</v>
      </c>
    </row>
    <row r="82" spans="1:34">
      <c r="A82" s="237" t="s">
        <v>292</v>
      </c>
      <c r="B82" s="237" t="s">
        <v>284</v>
      </c>
      <c r="C82" s="237" t="s">
        <v>354</v>
      </c>
      <c r="D82" s="237" t="s">
        <v>364</v>
      </c>
      <c r="E82" s="237">
        <v>2011</v>
      </c>
      <c r="F82" s="237">
        <v>1</v>
      </c>
      <c r="G82" s="237">
        <v>0</v>
      </c>
      <c r="I82" s="237" t="s">
        <v>52</v>
      </c>
      <c r="J82" s="237">
        <v>3</v>
      </c>
      <c r="K82" s="237">
        <f t="shared" si="39"/>
        <v>2014</v>
      </c>
      <c r="N82" s="238">
        <v>34104.480000000003</v>
      </c>
      <c r="P82" s="238">
        <f>N82-N82*G82</f>
        <v>34104.480000000003</v>
      </c>
      <c r="Q82" s="238">
        <f>P82/J82/12</f>
        <v>947.34666666666681</v>
      </c>
      <c r="R82" s="238">
        <f>IF(O82&gt;0,0,IF(OR(AD82&gt;AE82,AF82&lt;AG82),0,IF(AND(AF82&gt;=AG82,AF82&lt;=AE82),Q82*((AF82-AG82)*12),IF(AND(AG82&lt;=AD82,AE82&gt;=AD82),((AE82-AD82)*12)*Q82,IF(AF82&gt;AE82,12*Q82,0)))))</f>
        <v>0</v>
      </c>
      <c r="S82" s="238">
        <f>IF(O82=0,0,IF(AND(AH82&gt;=AG82,AH82&lt;=AF82),((AH82-AG82)*12)*Q82,0))</f>
        <v>0</v>
      </c>
      <c r="T82" s="238">
        <f>IF(S82&gt;0,S82,R82)</f>
        <v>0</v>
      </c>
      <c r="U82" s="238">
        <v>1</v>
      </c>
      <c r="V82" s="238">
        <f>U82*SUM(R82:S82)</f>
        <v>0</v>
      </c>
      <c r="X82" s="238">
        <f>IF(AD82&gt;AE82,0,IF(AF82&lt;AG82,P82,IF(AND(AF82&gt;=AG82,AF82&lt;=AE82),(P82-T82),IF(AND(AG82&lt;=AD82,AE82&gt;=AD82),0,IF(AF82&gt;AE82,((AG82-AD82)*12)*Q82,0)))))</f>
        <v>34104.480000000003</v>
      </c>
      <c r="Y82" s="238">
        <f>X82*U82</f>
        <v>34104.480000000003</v>
      </c>
      <c r="Z82" s="238">
        <v>1</v>
      </c>
      <c r="AA82" s="238">
        <f>Y82*Z82</f>
        <v>34104.480000000003</v>
      </c>
      <c r="AB82" s="238">
        <f>IF(O82&gt;0,0,AA82+V82*Z82)*Z82</f>
        <v>34104.480000000003</v>
      </c>
      <c r="AC82" s="238">
        <f>IF(O82&gt;0,(N82-AA82)/2,IF(AD82&gt;=AG82,(((N82*U82)*Z82)-AB82)/2,((((N82*U82)*Z82)-AA82)+(((N82*U82)*Z82)-AB82))/2))</f>
        <v>0</v>
      </c>
      <c r="AD82" s="238">
        <f t="shared" si="34"/>
        <v>2011</v>
      </c>
      <c r="AE82" s="238">
        <f t="shared" si="35"/>
        <v>2017</v>
      </c>
      <c r="AF82" s="238">
        <f t="shared" si="36"/>
        <v>2014</v>
      </c>
      <c r="AG82" s="238">
        <f t="shared" si="37"/>
        <v>2016</v>
      </c>
      <c r="AH82" s="238">
        <f t="shared" si="38"/>
        <v>-8.3333333333333329E-2</v>
      </c>
    </row>
    <row r="83" spans="1:34">
      <c r="A83" s="237">
        <v>85258</v>
      </c>
      <c r="B83" s="237" t="s">
        <v>176</v>
      </c>
      <c r="C83" s="237">
        <v>185</v>
      </c>
      <c r="D83" s="237" t="s">
        <v>207</v>
      </c>
      <c r="E83" s="237">
        <v>2011</v>
      </c>
      <c r="F83" s="237">
        <v>7</v>
      </c>
      <c r="G83" s="237">
        <v>0.2</v>
      </c>
      <c r="I83" s="237" t="s">
        <v>52</v>
      </c>
      <c r="J83" s="237">
        <v>5</v>
      </c>
      <c r="K83" s="237">
        <f t="shared" si="39"/>
        <v>2016</v>
      </c>
      <c r="N83" s="238">
        <f>(71987.66+3825.5)</f>
        <v>75813.16</v>
      </c>
      <c r="P83" s="238">
        <f t="shared" si="40"/>
        <v>60650.528000000006</v>
      </c>
      <c r="Q83" s="238">
        <f t="shared" si="41"/>
        <v>1010.8421333333334</v>
      </c>
      <c r="R83" s="238">
        <f t="shared" si="42"/>
        <v>6065.0528000000004</v>
      </c>
      <c r="S83" s="238">
        <f t="shared" si="43"/>
        <v>0</v>
      </c>
      <c r="T83" s="238">
        <f t="shared" si="44"/>
        <v>6065.0528000000004</v>
      </c>
      <c r="U83" s="238">
        <v>1</v>
      </c>
      <c r="V83" s="238">
        <f t="shared" si="45"/>
        <v>6065.0528000000004</v>
      </c>
      <c r="X83" s="238">
        <f t="shared" si="46"/>
        <v>54585.475200000008</v>
      </c>
      <c r="Y83" s="238">
        <f t="shared" si="47"/>
        <v>54585.475200000008</v>
      </c>
      <c r="Z83" s="238">
        <v>1</v>
      </c>
      <c r="AA83" s="238">
        <f t="shared" si="48"/>
        <v>54585.475200000008</v>
      </c>
      <c r="AB83" s="238">
        <f t="shared" si="49"/>
        <v>60650.528000000006</v>
      </c>
      <c r="AC83" s="238">
        <f t="shared" si="50"/>
        <v>18195.158399999997</v>
      </c>
      <c r="AD83" s="238">
        <f t="shared" si="34"/>
        <v>2011.5</v>
      </c>
      <c r="AE83" s="238">
        <f t="shared" si="35"/>
        <v>2017</v>
      </c>
      <c r="AF83" s="238">
        <f t="shared" si="36"/>
        <v>2016.5</v>
      </c>
      <c r="AG83" s="238">
        <f t="shared" si="37"/>
        <v>2016</v>
      </c>
      <c r="AH83" s="238">
        <f t="shared" si="38"/>
        <v>-8.3333333333333329E-2</v>
      </c>
    </row>
    <row r="84" spans="1:34">
      <c r="A84" s="237">
        <v>102169</v>
      </c>
      <c r="B84" s="237" t="s">
        <v>176</v>
      </c>
      <c r="C84" s="237">
        <v>182</v>
      </c>
      <c r="D84" s="237" t="s">
        <v>239</v>
      </c>
      <c r="E84" s="237">
        <v>2011</v>
      </c>
      <c r="F84" s="237">
        <v>3</v>
      </c>
      <c r="G84" s="237">
        <v>0</v>
      </c>
      <c r="I84" s="237" t="s">
        <v>52</v>
      </c>
      <c r="J84" s="237">
        <v>3</v>
      </c>
      <c r="K84" s="237">
        <f t="shared" si="39"/>
        <v>2014</v>
      </c>
      <c r="N84" s="238">
        <f>8744</f>
        <v>8744</v>
      </c>
      <c r="P84" s="238">
        <f t="shared" si="40"/>
        <v>8744</v>
      </c>
      <c r="Q84" s="238">
        <f t="shared" si="41"/>
        <v>242.88888888888889</v>
      </c>
      <c r="R84" s="238">
        <f t="shared" si="42"/>
        <v>0</v>
      </c>
      <c r="S84" s="238">
        <f t="shared" si="43"/>
        <v>0</v>
      </c>
      <c r="T84" s="238">
        <f t="shared" si="44"/>
        <v>0</v>
      </c>
      <c r="U84" s="238">
        <v>1</v>
      </c>
      <c r="V84" s="238">
        <f t="shared" si="45"/>
        <v>0</v>
      </c>
      <c r="X84" s="238">
        <f t="shared" si="46"/>
        <v>8744</v>
      </c>
      <c r="Y84" s="238">
        <f t="shared" si="47"/>
        <v>8744</v>
      </c>
      <c r="Z84" s="238">
        <v>1</v>
      </c>
      <c r="AA84" s="238">
        <f t="shared" si="48"/>
        <v>8744</v>
      </c>
      <c r="AB84" s="238">
        <f t="shared" si="49"/>
        <v>8744</v>
      </c>
      <c r="AC84" s="238">
        <f t="shared" si="50"/>
        <v>0</v>
      </c>
      <c r="AD84" s="238">
        <f t="shared" si="34"/>
        <v>2011.1666666666667</v>
      </c>
      <c r="AE84" s="238">
        <f t="shared" si="35"/>
        <v>2017</v>
      </c>
      <c r="AF84" s="238">
        <f t="shared" si="36"/>
        <v>2014.1666666666667</v>
      </c>
      <c r="AG84" s="238">
        <f t="shared" si="37"/>
        <v>2016</v>
      </c>
      <c r="AH84" s="238">
        <f t="shared" si="38"/>
        <v>-8.3333333333333329E-2</v>
      </c>
    </row>
    <row r="85" spans="1:34">
      <c r="A85" s="237">
        <v>106910</v>
      </c>
      <c r="C85" s="237">
        <v>149</v>
      </c>
      <c r="D85" s="237" t="s">
        <v>277</v>
      </c>
      <c r="E85" s="237">
        <v>2013</v>
      </c>
      <c r="F85" s="237">
        <v>8</v>
      </c>
      <c r="G85" s="237">
        <v>0</v>
      </c>
      <c r="I85" s="237" t="s">
        <v>52</v>
      </c>
      <c r="J85" s="237">
        <v>3</v>
      </c>
      <c r="K85" s="237">
        <f t="shared" si="39"/>
        <v>2016</v>
      </c>
      <c r="N85" s="238">
        <v>12155.92</v>
      </c>
      <c r="P85" s="238">
        <f t="shared" si="40"/>
        <v>12155.92</v>
      </c>
      <c r="Q85" s="238">
        <f t="shared" si="41"/>
        <v>337.66444444444443</v>
      </c>
      <c r="R85" s="238">
        <f t="shared" si="42"/>
        <v>2363.6511111108039</v>
      </c>
      <c r="S85" s="238">
        <f t="shared" si="43"/>
        <v>0</v>
      </c>
      <c r="T85" s="238">
        <f t="shared" si="44"/>
        <v>2363.6511111108039</v>
      </c>
      <c r="U85" s="238">
        <v>1</v>
      </c>
      <c r="V85" s="238">
        <f t="shared" si="45"/>
        <v>2363.6511111108039</v>
      </c>
      <c r="X85" s="238">
        <f t="shared" si="46"/>
        <v>9792.2688888891971</v>
      </c>
      <c r="Y85" s="238">
        <f t="shared" si="47"/>
        <v>9792.2688888891971</v>
      </c>
      <c r="Z85" s="238">
        <v>1</v>
      </c>
      <c r="AA85" s="238">
        <f t="shared" si="48"/>
        <v>9792.2688888891971</v>
      </c>
      <c r="AB85" s="238">
        <f t="shared" si="49"/>
        <v>12155.920000000002</v>
      </c>
      <c r="AC85" s="238">
        <f t="shared" si="50"/>
        <v>1181.8255555554006</v>
      </c>
      <c r="AD85" s="238">
        <f t="shared" si="34"/>
        <v>2013.5833333333333</v>
      </c>
      <c r="AE85" s="238">
        <f t="shared" si="35"/>
        <v>2017</v>
      </c>
      <c r="AF85" s="238">
        <f t="shared" si="36"/>
        <v>2016.5833333333333</v>
      </c>
      <c r="AG85" s="238">
        <f t="shared" si="37"/>
        <v>2016</v>
      </c>
      <c r="AH85" s="238">
        <f t="shared" si="38"/>
        <v>-8.3333333333333329E-2</v>
      </c>
    </row>
    <row r="86" spans="1:34">
      <c r="A86" s="237">
        <v>106743</v>
      </c>
      <c r="C86" s="237" t="s">
        <v>279</v>
      </c>
      <c r="D86" s="237" t="s">
        <v>282</v>
      </c>
      <c r="E86" s="237">
        <v>2013</v>
      </c>
      <c r="F86" s="237">
        <v>8</v>
      </c>
      <c r="G86" s="237">
        <v>0.2</v>
      </c>
      <c r="I86" s="237" t="s">
        <v>52</v>
      </c>
      <c r="J86" s="237">
        <v>7</v>
      </c>
      <c r="K86" s="237">
        <f t="shared" si="39"/>
        <v>2020</v>
      </c>
      <c r="N86" s="238">
        <v>39274.82</v>
      </c>
      <c r="P86" s="238">
        <f t="shared" si="40"/>
        <v>31419.856</v>
      </c>
      <c r="Q86" s="238">
        <f t="shared" si="41"/>
        <v>374.04590476190475</v>
      </c>
      <c r="R86" s="238">
        <f t="shared" si="42"/>
        <v>4488.5508571428572</v>
      </c>
      <c r="S86" s="238">
        <f t="shared" si="43"/>
        <v>0</v>
      </c>
      <c r="T86" s="238">
        <f t="shared" si="44"/>
        <v>4488.5508571428572</v>
      </c>
      <c r="U86" s="238">
        <v>1</v>
      </c>
      <c r="V86" s="238">
        <f t="shared" si="45"/>
        <v>4488.5508571428572</v>
      </c>
      <c r="X86" s="238">
        <f t="shared" si="46"/>
        <v>10847.331238095578</v>
      </c>
      <c r="Y86" s="238">
        <f t="shared" si="47"/>
        <v>10847.331238095578</v>
      </c>
      <c r="Z86" s="238">
        <v>1</v>
      </c>
      <c r="AA86" s="238">
        <f t="shared" si="48"/>
        <v>10847.331238095578</v>
      </c>
      <c r="AB86" s="238">
        <f t="shared" si="49"/>
        <v>15335.882095238434</v>
      </c>
      <c r="AC86" s="238">
        <f t="shared" si="50"/>
        <v>26183.213333332995</v>
      </c>
      <c r="AD86" s="238">
        <f t="shared" si="34"/>
        <v>2013.5833333333333</v>
      </c>
      <c r="AE86" s="238">
        <f t="shared" si="35"/>
        <v>2017</v>
      </c>
      <c r="AF86" s="238">
        <f t="shared" si="36"/>
        <v>2020.5833333333333</v>
      </c>
      <c r="AG86" s="238">
        <f t="shared" si="37"/>
        <v>2016</v>
      </c>
      <c r="AH86" s="238">
        <f t="shared" si="38"/>
        <v>-8.3333333333333329E-2</v>
      </c>
    </row>
    <row r="87" spans="1:34">
      <c r="A87" s="237">
        <v>106796</v>
      </c>
      <c r="C87" s="237" t="s">
        <v>280</v>
      </c>
      <c r="D87" s="237" t="s">
        <v>282</v>
      </c>
      <c r="E87" s="237">
        <v>2013</v>
      </c>
      <c r="F87" s="237">
        <v>8</v>
      </c>
      <c r="G87" s="237">
        <v>0.2</v>
      </c>
      <c r="I87" s="237" t="s">
        <v>52</v>
      </c>
      <c r="J87" s="237">
        <v>7</v>
      </c>
      <c r="K87" s="237">
        <f t="shared" si="39"/>
        <v>2020</v>
      </c>
      <c r="N87" s="238">
        <v>39274.82</v>
      </c>
      <c r="P87" s="238">
        <f t="shared" si="40"/>
        <v>31419.856</v>
      </c>
      <c r="Q87" s="238">
        <f t="shared" si="41"/>
        <v>374.04590476190475</v>
      </c>
      <c r="R87" s="238">
        <f t="shared" si="42"/>
        <v>4488.5508571428572</v>
      </c>
      <c r="S87" s="238">
        <f t="shared" si="43"/>
        <v>0</v>
      </c>
      <c r="T87" s="238">
        <f t="shared" si="44"/>
        <v>4488.5508571428572</v>
      </c>
      <c r="U87" s="238">
        <v>1</v>
      </c>
      <c r="V87" s="238">
        <f t="shared" si="45"/>
        <v>4488.5508571428572</v>
      </c>
      <c r="X87" s="238">
        <f t="shared" si="46"/>
        <v>10847.331238095578</v>
      </c>
      <c r="Y87" s="238">
        <f t="shared" si="47"/>
        <v>10847.331238095578</v>
      </c>
      <c r="Z87" s="238">
        <v>1</v>
      </c>
      <c r="AA87" s="238">
        <f t="shared" si="48"/>
        <v>10847.331238095578</v>
      </c>
      <c r="AB87" s="238">
        <f t="shared" si="49"/>
        <v>15335.882095238434</v>
      </c>
      <c r="AC87" s="238">
        <f t="shared" si="50"/>
        <v>26183.213333332995</v>
      </c>
      <c r="AD87" s="238">
        <f t="shared" si="34"/>
        <v>2013.5833333333333</v>
      </c>
      <c r="AE87" s="238">
        <f t="shared" si="35"/>
        <v>2017</v>
      </c>
      <c r="AF87" s="238">
        <f t="shared" si="36"/>
        <v>2020.5833333333333</v>
      </c>
      <c r="AG87" s="238">
        <f t="shared" si="37"/>
        <v>2016</v>
      </c>
      <c r="AH87" s="238">
        <f t="shared" si="38"/>
        <v>-8.3333333333333329E-2</v>
      </c>
    </row>
    <row r="88" spans="1:34">
      <c r="A88" s="237">
        <v>106797</v>
      </c>
      <c r="C88" s="237" t="s">
        <v>281</v>
      </c>
      <c r="D88" s="237" t="s">
        <v>282</v>
      </c>
      <c r="E88" s="237">
        <v>2013</v>
      </c>
      <c r="F88" s="237">
        <v>8</v>
      </c>
      <c r="G88" s="237">
        <v>0.2</v>
      </c>
      <c r="I88" s="237" t="s">
        <v>52</v>
      </c>
      <c r="J88" s="237">
        <v>7</v>
      </c>
      <c r="K88" s="237">
        <f t="shared" si="39"/>
        <v>2020</v>
      </c>
      <c r="N88" s="238">
        <v>39274.82</v>
      </c>
      <c r="P88" s="238">
        <f t="shared" si="40"/>
        <v>31419.856</v>
      </c>
      <c r="Q88" s="238">
        <f t="shared" si="41"/>
        <v>374.04590476190475</v>
      </c>
      <c r="R88" s="238">
        <f t="shared" si="42"/>
        <v>4488.5508571428572</v>
      </c>
      <c r="S88" s="238">
        <f t="shared" si="43"/>
        <v>0</v>
      </c>
      <c r="T88" s="238">
        <f t="shared" si="44"/>
        <v>4488.5508571428572</v>
      </c>
      <c r="U88" s="238">
        <v>1</v>
      </c>
      <c r="V88" s="238">
        <f t="shared" si="45"/>
        <v>4488.5508571428572</v>
      </c>
      <c r="X88" s="238">
        <f t="shared" si="46"/>
        <v>10847.331238095578</v>
      </c>
      <c r="Y88" s="238">
        <f t="shared" si="47"/>
        <v>10847.331238095578</v>
      </c>
      <c r="Z88" s="238">
        <v>1</v>
      </c>
      <c r="AA88" s="238">
        <f t="shared" si="48"/>
        <v>10847.331238095578</v>
      </c>
      <c r="AB88" s="238">
        <f t="shared" si="49"/>
        <v>15335.882095238434</v>
      </c>
      <c r="AC88" s="238">
        <f t="shared" si="50"/>
        <v>26183.213333332995</v>
      </c>
      <c r="AD88" s="238">
        <f t="shared" si="34"/>
        <v>2013.5833333333333</v>
      </c>
      <c r="AE88" s="238">
        <f t="shared" si="35"/>
        <v>2017</v>
      </c>
      <c r="AF88" s="238">
        <f t="shared" si="36"/>
        <v>2020.5833333333333</v>
      </c>
      <c r="AG88" s="238">
        <f t="shared" si="37"/>
        <v>2016</v>
      </c>
      <c r="AH88" s="238">
        <f t="shared" si="38"/>
        <v>-8.3333333333333329E-2</v>
      </c>
    </row>
    <row r="89" spans="1:34">
      <c r="A89" s="237">
        <v>131570</v>
      </c>
      <c r="B89" s="237" t="s">
        <v>176</v>
      </c>
      <c r="C89" s="237">
        <v>175</v>
      </c>
      <c r="D89" s="237" t="s">
        <v>421</v>
      </c>
      <c r="E89" s="237">
        <v>2016</v>
      </c>
      <c r="F89" s="237">
        <v>3</v>
      </c>
      <c r="G89" s="237">
        <v>0</v>
      </c>
      <c r="I89" s="237" t="s">
        <v>52</v>
      </c>
      <c r="J89" s="237">
        <v>3</v>
      </c>
      <c r="K89" s="237">
        <f t="shared" si="39"/>
        <v>2019</v>
      </c>
      <c r="N89" s="238">
        <v>24214.62</v>
      </c>
      <c r="P89" s="238">
        <f>N89-N89*G89</f>
        <v>24214.62</v>
      </c>
      <c r="Q89" s="238">
        <f>P89/J89/12</f>
        <v>672.62833333333333</v>
      </c>
      <c r="R89" s="238">
        <f>IF(O89&gt;0,0,IF(OR(AD89&gt;AE89,AF89&lt;AG89),0,IF(AND(AF89&gt;=AG89,AF89&lt;=AE89),Q89*((AF89-AG89)*12),IF(AND(AG89&lt;=AD89,AE89&gt;=AD89),((AE89-AD89)*12)*Q89,IF(AF89&gt;AE89,12*Q89,0)))))</f>
        <v>6726.2833333327217</v>
      </c>
      <c r="S89" s="238">
        <f>IF(O89=0,0,IF(AND(AH89&gt;=AG89,AH89&lt;=AF89),((AH89-AG89)*12)*Q89,0))</f>
        <v>0</v>
      </c>
      <c r="T89" s="238">
        <f>IF(S89&gt;0,S89,R89)</f>
        <v>6726.2833333327217</v>
      </c>
      <c r="U89" s="238">
        <v>1</v>
      </c>
      <c r="V89" s="238">
        <f>U89*SUM(R89:S89)</f>
        <v>6726.2833333327217</v>
      </c>
      <c r="X89" s="238">
        <f>IF(AD89&gt;AE89,0,IF(AF89&lt;AG89,P89,IF(AND(AF89&gt;=AG89,AF89&lt;=AE89),(P89-T89),IF(AND(AG89&lt;=AD89,AE89&gt;=AD89),0,IF(AF89&gt;AE89,((AG89-AD89)*12)*Q89,0)))))</f>
        <v>0</v>
      </c>
      <c r="Y89" s="238">
        <f>X89*U89</f>
        <v>0</v>
      </c>
      <c r="Z89" s="238">
        <v>1</v>
      </c>
      <c r="AA89" s="238">
        <f>Y89*Z89</f>
        <v>0</v>
      </c>
      <c r="AB89" s="238">
        <f>IF(O89&gt;0,0,AA89+V89*Z89)*Z89</f>
        <v>6726.2833333327217</v>
      </c>
      <c r="AC89" s="238">
        <f>IF(O89&gt;0,(N89-AA89)/2,IF(AD89&gt;=AG89,(((N89*U89)*Z89)-AB89)/2,((((N89*U89)*Z89)-AA89)+(((N89*U89)*Z89)-AB89))/2))</f>
        <v>8744.1683333336387</v>
      </c>
      <c r="AD89" s="238">
        <f>$E89+(($F89-1)/12)</f>
        <v>2016.1666666666667</v>
      </c>
      <c r="AE89" s="238">
        <f t="shared" si="35"/>
        <v>2017</v>
      </c>
      <c r="AF89" s="238">
        <f>$K89+(($F89-1)/12)</f>
        <v>2019.1666666666667</v>
      </c>
      <c r="AG89" s="238">
        <f t="shared" si="37"/>
        <v>2016</v>
      </c>
      <c r="AH89" s="238">
        <f>$L89+(($M89-1)/12)</f>
        <v>-8.3333333333333329E-2</v>
      </c>
    </row>
    <row r="90" spans="1:34">
      <c r="A90" s="237">
        <v>132977</v>
      </c>
      <c r="C90" s="237">
        <v>182</v>
      </c>
      <c r="D90" s="237" t="s">
        <v>399</v>
      </c>
      <c r="E90" s="237">
        <v>2016</v>
      </c>
      <c r="F90" s="237">
        <v>4</v>
      </c>
      <c r="G90" s="237">
        <v>0</v>
      </c>
      <c r="I90" s="237" t="s">
        <v>52</v>
      </c>
      <c r="J90" s="237">
        <v>3</v>
      </c>
      <c r="K90" s="237">
        <f t="shared" si="39"/>
        <v>2019</v>
      </c>
      <c r="N90" s="238">
        <v>34606.75</v>
      </c>
      <c r="P90" s="238">
        <f t="shared" si="40"/>
        <v>34606.75</v>
      </c>
      <c r="Q90" s="238">
        <f t="shared" si="41"/>
        <v>961.2986111111112</v>
      </c>
      <c r="R90" s="238">
        <f t="shared" si="42"/>
        <v>8651.6875</v>
      </c>
      <c r="S90" s="238">
        <f t="shared" si="43"/>
        <v>0</v>
      </c>
      <c r="T90" s="238">
        <f t="shared" si="44"/>
        <v>8651.6875</v>
      </c>
      <c r="U90" s="238">
        <v>1</v>
      </c>
      <c r="V90" s="238">
        <f t="shared" si="45"/>
        <v>8651.6875</v>
      </c>
      <c r="X90" s="238">
        <f t="shared" si="46"/>
        <v>0</v>
      </c>
      <c r="Y90" s="238">
        <f t="shared" si="47"/>
        <v>0</v>
      </c>
      <c r="Z90" s="238">
        <v>1</v>
      </c>
      <c r="AA90" s="238">
        <f t="shared" si="48"/>
        <v>0</v>
      </c>
      <c r="AB90" s="238">
        <f t="shared" si="49"/>
        <v>8651.6875</v>
      </c>
      <c r="AC90" s="238">
        <f t="shared" si="50"/>
        <v>12977.53125</v>
      </c>
      <c r="AD90" s="238">
        <f t="shared" si="34"/>
        <v>2016.25</v>
      </c>
      <c r="AE90" s="238">
        <f t="shared" si="35"/>
        <v>2017</v>
      </c>
      <c r="AF90" s="238">
        <f t="shared" si="36"/>
        <v>2019.25</v>
      </c>
      <c r="AG90" s="238">
        <f t="shared" si="37"/>
        <v>2016</v>
      </c>
      <c r="AH90" s="238">
        <f t="shared" si="38"/>
        <v>-8.3333333333333329E-2</v>
      </c>
    </row>
    <row r="91" spans="1:34">
      <c r="A91" s="237">
        <v>166457</v>
      </c>
      <c r="C91" s="237" t="s">
        <v>419</v>
      </c>
      <c r="D91" s="237" t="s">
        <v>406</v>
      </c>
      <c r="E91" s="237">
        <v>2016</v>
      </c>
      <c r="F91" s="237">
        <v>8</v>
      </c>
      <c r="G91" s="237">
        <v>0</v>
      </c>
      <c r="I91" s="237" t="s">
        <v>52</v>
      </c>
      <c r="J91" s="237">
        <v>3</v>
      </c>
      <c r="K91" s="237">
        <f t="shared" si="39"/>
        <v>2019</v>
      </c>
      <c r="N91" s="238">
        <v>26927</v>
      </c>
      <c r="P91" s="238">
        <f t="shared" si="40"/>
        <v>26927</v>
      </c>
      <c r="Q91" s="238">
        <f t="shared" si="41"/>
        <v>747.97222222222217</v>
      </c>
      <c r="R91" s="238">
        <f t="shared" si="42"/>
        <v>3739.8611111117912</v>
      </c>
      <c r="S91" s="238">
        <f t="shared" si="43"/>
        <v>0</v>
      </c>
      <c r="T91" s="238">
        <f t="shared" si="44"/>
        <v>3739.8611111117912</v>
      </c>
      <c r="U91" s="238">
        <v>1</v>
      </c>
      <c r="V91" s="238">
        <f t="shared" si="45"/>
        <v>3739.8611111117912</v>
      </c>
      <c r="X91" s="238">
        <f t="shared" si="46"/>
        <v>0</v>
      </c>
      <c r="Y91" s="238">
        <f t="shared" si="47"/>
        <v>0</v>
      </c>
      <c r="Z91" s="238">
        <v>1</v>
      </c>
      <c r="AA91" s="238">
        <f t="shared" si="48"/>
        <v>0</v>
      </c>
      <c r="AB91" s="238">
        <f t="shared" si="49"/>
        <v>3739.8611111117912</v>
      </c>
      <c r="AC91" s="238">
        <f t="shared" si="50"/>
        <v>11593.569444444105</v>
      </c>
      <c r="AD91" s="238">
        <f t="shared" si="34"/>
        <v>2016.5833333333333</v>
      </c>
      <c r="AE91" s="238">
        <f t="shared" si="35"/>
        <v>2017</v>
      </c>
      <c r="AF91" s="238">
        <f t="shared" si="36"/>
        <v>2019.5833333333333</v>
      </c>
      <c r="AG91" s="238">
        <f t="shared" si="37"/>
        <v>2016</v>
      </c>
      <c r="AH91" s="238">
        <f t="shared" si="38"/>
        <v>-8.3333333333333329E-2</v>
      </c>
    </row>
    <row r="92" spans="1:34">
      <c r="A92" s="237">
        <v>166458</v>
      </c>
      <c r="C92" s="237" t="s">
        <v>420</v>
      </c>
      <c r="D92" s="237" t="s">
        <v>407</v>
      </c>
      <c r="E92" s="237">
        <v>2016</v>
      </c>
      <c r="F92" s="237">
        <v>8</v>
      </c>
      <c r="G92" s="237">
        <v>0</v>
      </c>
      <c r="I92" s="237" t="s">
        <v>52</v>
      </c>
      <c r="J92" s="237">
        <v>3</v>
      </c>
      <c r="K92" s="237">
        <f t="shared" si="39"/>
        <v>2019</v>
      </c>
      <c r="N92" s="238">
        <v>26927</v>
      </c>
      <c r="P92" s="238">
        <f t="shared" si="40"/>
        <v>26927</v>
      </c>
      <c r="Q92" s="238">
        <f t="shared" si="41"/>
        <v>747.97222222222217</v>
      </c>
      <c r="R92" s="238">
        <f t="shared" si="42"/>
        <v>3739.8611111117912</v>
      </c>
      <c r="S92" s="238">
        <f t="shared" si="43"/>
        <v>0</v>
      </c>
      <c r="T92" s="238">
        <f t="shared" si="44"/>
        <v>3739.8611111117912</v>
      </c>
      <c r="U92" s="238">
        <v>1</v>
      </c>
      <c r="V92" s="238">
        <f t="shared" si="45"/>
        <v>3739.8611111117912</v>
      </c>
      <c r="X92" s="238">
        <f t="shared" si="46"/>
        <v>0</v>
      </c>
      <c r="Y92" s="238">
        <f t="shared" si="47"/>
        <v>0</v>
      </c>
      <c r="Z92" s="238">
        <v>1</v>
      </c>
      <c r="AA92" s="238">
        <f t="shared" si="48"/>
        <v>0</v>
      </c>
      <c r="AB92" s="238">
        <f t="shared" si="49"/>
        <v>3739.8611111117912</v>
      </c>
      <c r="AC92" s="238">
        <f t="shared" si="50"/>
        <v>11593.569444444105</v>
      </c>
      <c r="AD92" s="238">
        <f t="shared" si="34"/>
        <v>2016.5833333333333</v>
      </c>
      <c r="AE92" s="238">
        <f t="shared" si="35"/>
        <v>2017</v>
      </c>
      <c r="AF92" s="238">
        <f t="shared" si="36"/>
        <v>2019.5833333333333</v>
      </c>
      <c r="AG92" s="238">
        <f t="shared" si="37"/>
        <v>2016</v>
      </c>
      <c r="AH92" s="238">
        <f t="shared" si="38"/>
        <v>-8.3333333333333329E-2</v>
      </c>
    </row>
    <row r="93" spans="1:34">
      <c r="A93" s="237">
        <v>166835</v>
      </c>
      <c r="C93" s="237" t="s">
        <v>418</v>
      </c>
      <c r="D93" s="237" t="s">
        <v>409</v>
      </c>
      <c r="E93" s="237">
        <v>2016</v>
      </c>
      <c r="F93" s="237">
        <v>6</v>
      </c>
      <c r="G93" s="237">
        <v>0</v>
      </c>
      <c r="I93" s="237" t="s">
        <v>52</v>
      </c>
      <c r="J93" s="237">
        <v>3</v>
      </c>
      <c r="K93" s="237">
        <f t="shared" si="39"/>
        <v>2019</v>
      </c>
      <c r="N93" s="238">
        <v>5475</v>
      </c>
      <c r="P93" s="238">
        <f t="shared" si="40"/>
        <v>5475</v>
      </c>
      <c r="Q93" s="238">
        <f t="shared" si="41"/>
        <v>152.08333333333334</v>
      </c>
      <c r="R93" s="238">
        <f t="shared" si="42"/>
        <v>1064.583333333195</v>
      </c>
      <c r="S93" s="238">
        <f t="shared" si="43"/>
        <v>0</v>
      </c>
      <c r="T93" s="238">
        <f t="shared" si="44"/>
        <v>1064.583333333195</v>
      </c>
      <c r="U93" s="238">
        <v>1</v>
      </c>
      <c r="V93" s="238">
        <f t="shared" si="45"/>
        <v>1064.583333333195</v>
      </c>
      <c r="X93" s="238">
        <f t="shared" si="46"/>
        <v>0</v>
      </c>
      <c r="Y93" s="238">
        <f t="shared" si="47"/>
        <v>0</v>
      </c>
      <c r="Z93" s="238">
        <v>1</v>
      </c>
      <c r="AA93" s="238">
        <f t="shared" si="48"/>
        <v>0</v>
      </c>
      <c r="AB93" s="238">
        <f t="shared" si="49"/>
        <v>1064.583333333195</v>
      </c>
      <c r="AC93" s="238">
        <f t="shared" si="50"/>
        <v>2205.2083333334026</v>
      </c>
      <c r="AD93" s="238">
        <f t="shared" si="34"/>
        <v>2016.4166666666667</v>
      </c>
      <c r="AE93" s="238">
        <f t="shared" si="35"/>
        <v>2017</v>
      </c>
      <c r="AF93" s="238">
        <f t="shared" si="36"/>
        <v>2019.4166666666667</v>
      </c>
      <c r="AG93" s="238">
        <f t="shared" si="37"/>
        <v>2016</v>
      </c>
      <c r="AH93" s="238">
        <f t="shared" si="38"/>
        <v>-8.3333333333333329E-2</v>
      </c>
    </row>
    <row r="94" spans="1:34">
      <c r="A94" s="237">
        <v>168978</v>
      </c>
      <c r="C94" s="237">
        <v>175</v>
      </c>
      <c r="D94" s="237" t="s">
        <v>411</v>
      </c>
      <c r="E94" s="237">
        <v>2016</v>
      </c>
      <c r="F94" s="237">
        <v>6</v>
      </c>
      <c r="G94" s="237">
        <v>0</v>
      </c>
      <c r="I94" s="237" t="s">
        <v>52</v>
      </c>
      <c r="J94" s="237">
        <v>3</v>
      </c>
      <c r="K94" s="237">
        <f t="shared" si="39"/>
        <v>2019</v>
      </c>
      <c r="N94" s="238">
        <v>8833.89</v>
      </c>
      <c r="P94" s="238">
        <f t="shared" si="40"/>
        <v>8833.89</v>
      </c>
      <c r="Q94" s="238">
        <f t="shared" si="41"/>
        <v>245.3858333333333</v>
      </c>
      <c r="R94" s="238">
        <f t="shared" si="42"/>
        <v>1717.7008333331098</v>
      </c>
      <c r="S94" s="238">
        <f t="shared" si="43"/>
        <v>0</v>
      </c>
      <c r="T94" s="238">
        <f t="shared" si="44"/>
        <v>1717.7008333331098</v>
      </c>
      <c r="U94" s="238">
        <v>1</v>
      </c>
      <c r="V94" s="238">
        <f t="shared" si="45"/>
        <v>1717.7008333331098</v>
      </c>
      <c r="X94" s="238">
        <f t="shared" si="46"/>
        <v>0</v>
      </c>
      <c r="Y94" s="238">
        <f t="shared" si="47"/>
        <v>0</v>
      </c>
      <c r="Z94" s="238">
        <v>1</v>
      </c>
      <c r="AA94" s="238">
        <f t="shared" si="48"/>
        <v>0</v>
      </c>
      <c r="AB94" s="238">
        <f t="shared" si="49"/>
        <v>1717.7008333331098</v>
      </c>
      <c r="AC94" s="238">
        <f t="shared" si="50"/>
        <v>3558.0945833334449</v>
      </c>
      <c r="AD94" s="238">
        <f t="shared" si="34"/>
        <v>2016.4166666666667</v>
      </c>
      <c r="AE94" s="238">
        <f t="shared" si="35"/>
        <v>2017</v>
      </c>
      <c r="AF94" s="238">
        <f t="shared" si="36"/>
        <v>2019.4166666666667</v>
      </c>
      <c r="AG94" s="238">
        <f t="shared" si="37"/>
        <v>2016</v>
      </c>
      <c r="AH94" s="238">
        <f t="shared" si="38"/>
        <v>-8.3333333333333329E-2</v>
      </c>
    </row>
    <row r="95" spans="1:34">
      <c r="A95" s="237">
        <v>171235</v>
      </c>
      <c r="C95" s="237">
        <v>188</v>
      </c>
      <c r="D95" s="237" t="s">
        <v>430</v>
      </c>
      <c r="E95" s="237">
        <v>2016</v>
      </c>
      <c r="F95" s="237">
        <v>12</v>
      </c>
      <c r="G95" s="237">
        <v>0</v>
      </c>
      <c r="I95" s="237" t="s">
        <v>52</v>
      </c>
      <c r="J95" s="237">
        <v>4</v>
      </c>
      <c r="K95" s="237">
        <f>E95+J95</f>
        <v>2020</v>
      </c>
      <c r="N95" s="238">
        <v>104215</v>
      </c>
      <c r="P95" s="238">
        <f>N95-N95*G95</f>
        <v>104215</v>
      </c>
      <c r="Q95" s="238">
        <f>P95/J95/12</f>
        <v>2171.1458333333335</v>
      </c>
      <c r="R95" s="238">
        <f>IF(O95&gt;0,0,IF(OR(AD95&gt;AE95,AF95&lt;AG95),0,IF(AND(AF95&gt;=AG95,AF95&lt;=AE95),Q95*((AF95-AG95)*12),IF(AND(AG95&lt;=AD95,AE95&gt;=AD95),((AE95-AD95)*12)*Q95,IF(AF95&gt;AE95,12*Q95,0)))))</f>
        <v>2171.145833331359</v>
      </c>
      <c r="S95" s="238">
        <f>IF(O95=0,0,IF(AND(AH95&gt;=AG95,AH95&lt;=AF95),((AH95-AG95)*12)*Q95,0))</f>
        <v>0</v>
      </c>
      <c r="T95" s="238">
        <f>IF(S95&gt;0,S95,R95)</f>
        <v>2171.145833331359</v>
      </c>
      <c r="U95" s="238">
        <v>1</v>
      </c>
      <c r="V95" s="238">
        <f>U95*SUM(R95:S95)</f>
        <v>2171.145833331359</v>
      </c>
      <c r="X95" s="238">
        <f>IF(AD95&gt;AE95,0,IF(AF95&lt;AG95,P95,IF(AND(AF95&gt;=AG95,AF95&lt;=AE95),(P95-T95),IF(AND(AG95&lt;=AD95,AE95&gt;=AD95),0,IF(AF95&gt;AE95,((AG95-AD95)*12)*Q95,0)))))</f>
        <v>0</v>
      </c>
      <c r="Y95" s="238">
        <f>X95*U95</f>
        <v>0</v>
      </c>
      <c r="Z95" s="238">
        <v>1</v>
      </c>
      <c r="AA95" s="238">
        <f>Y95*Z95</f>
        <v>0</v>
      </c>
      <c r="AB95" s="238">
        <f>IF(O95&gt;0,0,AA95+V95*Z95)*Z95</f>
        <v>2171.145833331359</v>
      </c>
      <c r="AC95" s="238">
        <f>IF(O95&gt;0,(N95-AA95)/2,IF(AD95&gt;=AG95,(((N95*U95)*Z95)-AB95)/2,((((N95*U95)*Z95)-AA95)+(((N95*U95)*Z95)-AB95))/2))</f>
        <v>51021.927083334318</v>
      </c>
      <c r="AD95" s="238">
        <f t="shared" si="34"/>
        <v>2016.9166666666667</v>
      </c>
      <c r="AE95" s="238">
        <f t="shared" si="35"/>
        <v>2017</v>
      </c>
      <c r="AF95" s="238">
        <f t="shared" si="36"/>
        <v>2020.9166666666667</v>
      </c>
      <c r="AG95" s="238">
        <f t="shared" si="37"/>
        <v>2016</v>
      </c>
      <c r="AH95" s="238">
        <f t="shared" si="38"/>
        <v>-8.3333333333333329E-2</v>
      </c>
    </row>
    <row r="97" spans="1:34" ht="13.5" thickBot="1">
      <c r="D97" s="237" t="s">
        <v>210</v>
      </c>
      <c r="N97" s="238">
        <f>SUM(N52:N96)</f>
        <v>1842373.05</v>
      </c>
      <c r="P97" s="238">
        <f>SUM(P52:P96)</f>
        <v>1455781.8632999999</v>
      </c>
      <c r="Q97" s="238">
        <f>SUM(Q52:Q96)</f>
        <v>24302.381827063487</v>
      </c>
      <c r="R97" s="238">
        <f>SUM(R52:R96)</f>
        <v>50830.122395236205</v>
      </c>
      <c r="T97" s="238">
        <f>SUM(T52:T96)</f>
        <v>50830.122395236205</v>
      </c>
      <c r="V97" s="238">
        <f>SUM(V52:V96)</f>
        <v>50830.122395236205</v>
      </c>
      <c r="X97" s="238">
        <f>SUM(X52:X96)</f>
        <v>1153311.6822460333</v>
      </c>
      <c r="Y97" s="238">
        <f>SUM(Y52:Y96)</f>
        <v>1153311.6822460333</v>
      </c>
      <c r="AA97" s="238">
        <f>SUM(AA52:AA96)</f>
        <v>1153311.6822460333</v>
      </c>
      <c r="AB97" s="238">
        <f>SUM(AB52:AB96)</f>
        <v>1204141.8046412694</v>
      </c>
      <c r="AC97" s="238">
        <f>SUM(AC52:AC96)</f>
        <v>548046.6765563488</v>
      </c>
    </row>
    <row r="99" spans="1:34">
      <c r="D99" s="237" t="s">
        <v>82</v>
      </c>
    </row>
    <row r="100" spans="1:34">
      <c r="A100" s="237">
        <v>102175</v>
      </c>
      <c r="B100" s="237" t="s">
        <v>56</v>
      </c>
      <c r="C100" s="237">
        <v>154</v>
      </c>
      <c r="D100" s="237" t="s">
        <v>83</v>
      </c>
      <c r="E100" s="237">
        <v>1997</v>
      </c>
      <c r="F100" s="237">
        <v>8</v>
      </c>
      <c r="G100" s="237">
        <v>0.2</v>
      </c>
      <c r="I100" s="237" t="s">
        <v>52</v>
      </c>
      <c r="J100" s="237">
        <v>7</v>
      </c>
      <c r="K100" s="237">
        <f t="shared" ref="K100:K118" si="51">E100+J100</f>
        <v>2004</v>
      </c>
      <c r="N100" s="238">
        <v>120715.78</v>
      </c>
      <c r="P100" s="238">
        <f t="shared" ref="P100:P118" si="52">N100-N100*G100</f>
        <v>96572.623999999996</v>
      </c>
      <c r="Q100" s="238">
        <f t="shared" ref="Q100:Q118" si="53">P100/J100/12</f>
        <v>1149.6740952380953</v>
      </c>
      <c r="R100" s="238">
        <f t="shared" ref="R100:R118" si="54">IF(O100&gt;0,0,IF(OR(AD100&gt;AE100,AF100&lt;AG100),0,IF(AND(AF100&gt;=AG100,AF100&lt;=AE100),Q100*((AF100-AG100)*12),IF(AND(AG100&lt;=AD100,AE100&gt;=AD100),((AE100-AD100)*12)*Q100,IF(AF100&gt;AE100,12*Q100,0)))))</f>
        <v>0</v>
      </c>
      <c r="S100" s="238">
        <f t="shared" ref="S100:S118" si="55">IF(O100=0,0,IF(AND(AH100&gt;=AG100,AH100&lt;=AF100),((AH100-AG100)*12)*Q100,0))</f>
        <v>0</v>
      </c>
      <c r="T100" s="238">
        <f t="shared" ref="T100:T118" si="56">IF(S100&gt;0,S100,R100)</f>
        <v>0</v>
      </c>
      <c r="U100" s="238">
        <v>1</v>
      </c>
      <c r="V100" s="238">
        <f t="shared" ref="V100:V118" si="57">U100*SUM(R100:S100)</f>
        <v>0</v>
      </c>
      <c r="X100" s="238">
        <f t="shared" ref="X100:X118" si="58">IF(AD100&gt;AE100,0,IF(AF100&lt;AG100,P100,IF(AND(AF100&gt;=AG100,AF100&lt;=AE100),(P100-T100),IF(AND(AG100&lt;=AD100,AE100&gt;=AD100),0,IF(AF100&gt;AE100,((AG100-AD100)*12)*Q100,0)))))</f>
        <v>96572.623999999996</v>
      </c>
      <c r="Y100" s="238">
        <f t="shared" ref="Y100:Y118" si="59">X100*U100</f>
        <v>96572.623999999996</v>
      </c>
      <c r="Z100" s="238">
        <v>1</v>
      </c>
      <c r="AA100" s="238">
        <f t="shared" ref="AA100:AA118" si="60">Y100*Z100</f>
        <v>96572.623999999996</v>
      </c>
      <c r="AB100" s="238">
        <f t="shared" ref="AB100:AB118" si="61">IF(O100&gt;0,0,AA100+V100*Z100)*Z100</f>
        <v>96572.623999999996</v>
      </c>
      <c r="AC100" s="238">
        <f t="shared" ref="AC100:AC118" si="62">IF(O100&gt;0,(N100-AA100)/2,IF(AD100&gt;=AG100,(((N100*U100)*Z100)-AB100)/2,((((N100*U100)*Z100)-AA100)+(((N100*U100)*Z100)-AB100))/2))</f>
        <v>24143.156000000003</v>
      </c>
      <c r="AD100" s="238">
        <f t="shared" ref="AD100:AD118" si="63">$E100+(($F100-1)/12)</f>
        <v>1997.5833333333333</v>
      </c>
      <c r="AE100" s="238">
        <f t="shared" ref="AE100:AE118" si="64">($P$5+1)-($P$2/12)</f>
        <v>2017</v>
      </c>
      <c r="AF100" s="238">
        <f t="shared" ref="AF100:AF118" si="65">$K100+(($F100-1)/12)</f>
        <v>2004.5833333333333</v>
      </c>
      <c r="AG100" s="238">
        <f t="shared" ref="AG100:AG118" si="66">$P$4+($P$3/12)</f>
        <v>2016</v>
      </c>
      <c r="AH100" s="238">
        <f t="shared" ref="AH100:AH118" si="67">$L100+(($M100-1)/12)</f>
        <v>-8.3333333333333329E-2</v>
      </c>
    </row>
    <row r="101" spans="1:34">
      <c r="A101" s="237">
        <v>25020</v>
      </c>
      <c r="B101" s="237" t="s">
        <v>56</v>
      </c>
      <c r="C101" s="237">
        <v>406</v>
      </c>
      <c r="D101" s="237" t="s">
        <v>84</v>
      </c>
      <c r="E101" s="237">
        <v>2004</v>
      </c>
      <c r="F101" s="237">
        <v>4</v>
      </c>
      <c r="G101" s="237">
        <v>0.2</v>
      </c>
      <c r="I101" s="237" t="s">
        <v>52</v>
      </c>
      <c r="J101" s="237">
        <v>7</v>
      </c>
      <c r="K101" s="237">
        <f t="shared" si="51"/>
        <v>2011</v>
      </c>
      <c r="N101" s="238">
        <v>86998.71</v>
      </c>
      <c r="P101" s="238">
        <f t="shared" si="52"/>
        <v>69598.968000000008</v>
      </c>
      <c r="Q101" s="238">
        <f t="shared" si="53"/>
        <v>828.55914285714289</v>
      </c>
      <c r="R101" s="238">
        <f t="shared" si="54"/>
        <v>0</v>
      </c>
      <c r="S101" s="238">
        <f t="shared" si="55"/>
        <v>0</v>
      </c>
      <c r="T101" s="238">
        <f t="shared" si="56"/>
        <v>0</v>
      </c>
      <c r="U101" s="238">
        <v>1</v>
      </c>
      <c r="V101" s="238">
        <f t="shared" si="57"/>
        <v>0</v>
      </c>
      <c r="X101" s="238">
        <f t="shared" si="58"/>
        <v>69598.968000000008</v>
      </c>
      <c r="Y101" s="238">
        <f t="shared" si="59"/>
        <v>69598.968000000008</v>
      </c>
      <c r="Z101" s="238">
        <v>1</v>
      </c>
      <c r="AA101" s="238">
        <f t="shared" si="60"/>
        <v>69598.968000000008</v>
      </c>
      <c r="AB101" s="238">
        <f t="shared" si="61"/>
        <v>69598.968000000008</v>
      </c>
      <c r="AC101" s="238">
        <f t="shared" si="62"/>
        <v>17399.741999999998</v>
      </c>
      <c r="AD101" s="238">
        <f t="shared" si="63"/>
        <v>2004.25</v>
      </c>
      <c r="AE101" s="238">
        <f t="shared" si="64"/>
        <v>2017</v>
      </c>
      <c r="AF101" s="238">
        <f t="shared" si="65"/>
        <v>2011.25</v>
      </c>
      <c r="AG101" s="238">
        <f t="shared" si="66"/>
        <v>2016</v>
      </c>
      <c r="AH101" s="238">
        <f t="shared" si="67"/>
        <v>-8.3333333333333329E-2</v>
      </c>
    </row>
    <row r="102" spans="1:34">
      <c r="B102" s="237" t="s">
        <v>56</v>
      </c>
      <c r="C102" s="237">
        <v>406</v>
      </c>
      <c r="D102" s="237" t="s">
        <v>85</v>
      </c>
      <c r="E102" s="237">
        <v>2004</v>
      </c>
      <c r="F102" s="237">
        <v>4</v>
      </c>
      <c r="G102" s="237">
        <v>0.2</v>
      </c>
      <c r="I102" s="237" t="s">
        <v>52</v>
      </c>
      <c r="J102" s="237">
        <v>7</v>
      </c>
      <c r="K102" s="237">
        <f t="shared" si="51"/>
        <v>2011</v>
      </c>
      <c r="N102" s="238">
        <v>32990.49</v>
      </c>
      <c r="P102" s="238">
        <f t="shared" si="52"/>
        <v>26392.392</v>
      </c>
      <c r="Q102" s="238">
        <f t="shared" si="53"/>
        <v>314.19514285714286</v>
      </c>
      <c r="R102" s="238">
        <f t="shared" si="54"/>
        <v>0</v>
      </c>
      <c r="S102" s="238">
        <f t="shared" si="55"/>
        <v>0</v>
      </c>
      <c r="T102" s="238">
        <f t="shared" si="56"/>
        <v>0</v>
      </c>
      <c r="U102" s="238">
        <v>1</v>
      </c>
      <c r="V102" s="238">
        <f t="shared" si="57"/>
        <v>0</v>
      </c>
      <c r="X102" s="238">
        <f t="shared" si="58"/>
        <v>26392.392</v>
      </c>
      <c r="Y102" s="238">
        <f t="shared" si="59"/>
        <v>26392.392</v>
      </c>
      <c r="Z102" s="238">
        <v>1</v>
      </c>
      <c r="AA102" s="238">
        <f t="shared" si="60"/>
        <v>26392.392</v>
      </c>
      <c r="AB102" s="238">
        <f t="shared" si="61"/>
        <v>26392.392</v>
      </c>
      <c r="AC102" s="238">
        <f t="shared" si="62"/>
        <v>6598.0979999999981</v>
      </c>
      <c r="AD102" s="238">
        <f t="shared" si="63"/>
        <v>2004.25</v>
      </c>
      <c r="AE102" s="238">
        <f t="shared" si="64"/>
        <v>2017</v>
      </c>
      <c r="AF102" s="238">
        <f t="shared" si="65"/>
        <v>2011.25</v>
      </c>
      <c r="AG102" s="238">
        <f t="shared" si="66"/>
        <v>2016</v>
      </c>
      <c r="AH102" s="238">
        <f t="shared" si="67"/>
        <v>-8.3333333333333329E-2</v>
      </c>
    </row>
    <row r="103" spans="1:34">
      <c r="A103" s="237">
        <v>25019</v>
      </c>
      <c r="B103" s="237" t="s">
        <v>56</v>
      </c>
      <c r="C103" s="237">
        <v>407</v>
      </c>
      <c r="D103" s="237" t="s">
        <v>84</v>
      </c>
      <c r="E103" s="237">
        <v>2004</v>
      </c>
      <c r="F103" s="237">
        <v>6</v>
      </c>
      <c r="G103" s="237">
        <v>0.2</v>
      </c>
      <c r="I103" s="237" t="s">
        <v>52</v>
      </c>
      <c r="J103" s="237">
        <v>7</v>
      </c>
      <c r="K103" s="237">
        <f t="shared" si="51"/>
        <v>2011</v>
      </c>
      <c r="N103" s="238">
        <v>86270.65</v>
      </c>
      <c r="P103" s="238">
        <f t="shared" si="52"/>
        <v>69016.51999999999</v>
      </c>
      <c r="Q103" s="238">
        <f t="shared" si="53"/>
        <v>821.62523809523793</v>
      </c>
      <c r="R103" s="238">
        <f t="shared" si="54"/>
        <v>0</v>
      </c>
      <c r="S103" s="238">
        <f t="shared" si="55"/>
        <v>0</v>
      </c>
      <c r="T103" s="238">
        <f t="shared" si="56"/>
        <v>0</v>
      </c>
      <c r="U103" s="238">
        <v>1</v>
      </c>
      <c r="V103" s="238">
        <f t="shared" si="57"/>
        <v>0</v>
      </c>
      <c r="X103" s="238">
        <f t="shared" si="58"/>
        <v>69016.51999999999</v>
      </c>
      <c r="Y103" s="238">
        <f t="shared" si="59"/>
        <v>69016.51999999999</v>
      </c>
      <c r="Z103" s="238">
        <v>1</v>
      </c>
      <c r="AA103" s="238">
        <f t="shared" si="60"/>
        <v>69016.51999999999</v>
      </c>
      <c r="AB103" s="238">
        <f t="shared" si="61"/>
        <v>69016.51999999999</v>
      </c>
      <c r="AC103" s="238">
        <f t="shared" si="62"/>
        <v>17254.130000000005</v>
      </c>
      <c r="AD103" s="238">
        <f t="shared" si="63"/>
        <v>2004.4166666666667</v>
      </c>
      <c r="AE103" s="238">
        <f t="shared" si="64"/>
        <v>2017</v>
      </c>
      <c r="AF103" s="238">
        <f t="shared" si="65"/>
        <v>2011.4166666666667</v>
      </c>
      <c r="AG103" s="238">
        <f t="shared" si="66"/>
        <v>2016</v>
      </c>
      <c r="AH103" s="238">
        <f t="shared" si="67"/>
        <v>-8.3333333333333329E-2</v>
      </c>
    </row>
    <row r="104" spans="1:34">
      <c r="B104" s="237" t="s">
        <v>56</v>
      </c>
      <c r="C104" s="237">
        <v>407</v>
      </c>
      <c r="D104" s="237" t="s">
        <v>86</v>
      </c>
      <c r="E104" s="237">
        <v>2004</v>
      </c>
      <c r="F104" s="237">
        <v>6</v>
      </c>
      <c r="G104" s="237">
        <v>0.2</v>
      </c>
      <c r="I104" s="237" t="s">
        <v>52</v>
      </c>
      <c r="J104" s="237">
        <v>7</v>
      </c>
      <c r="K104" s="237">
        <f t="shared" si="51"/>
        <v>2011</v>
      </c>
      <c r="N104" s="238">
        <v>32990.49</v>
      </c>
      <c r="P104" s="238">
        <f t="shared" si="52"/>
        <v>26392.392</v>
      </c>
      <c r="Q104" s="238">
        <f t="shared" si="53"/>
        <v>314.19514285714286</v>
      </c>
      <c r="R104" s="238">
        <f t="shared" si="54"/>
        <v>0</v>
      </c>
      <c r="S104" s="238">
        <f t="shared" si="55"/>
        <v>0</v>
      </c>
      <c r="T104" s="238">
        <f t="shared" si="56"/>
        <v>0</v>
      </c>
      <c r="U104" s="238">
        <v>1</v>
      </c>
      <c r="V104" s="238">
        <f t="shared" si="57"/>
        <v>0</v>
      </c>
      <c r="X104" s="238">
        <f t="shared" si="58"/>
        <v>26392.392</v>
      </c>
      <c r="Y104" s="238">
        <f t="shared" si="59"/>
        <v>26392.392</v>
      </c>
      <c r="Z104" s="238">
        <v>1</v>
      </c>
      <c r="AA104" s="238">
        <f t="shared" si="60"/>
        <v>26392.392</v>
      </c>
      <c r="AB104" s="238">
        <f t="shared" si="61"/>
        <v>26392.392</v>
      </c>
      <c r="AC104" s="238">
        <f t="shared" si="62"/>
        <v>6598.0979999999981</v>
      </c>
      <c r="AD104" s="238">
        <f t="shared" si="63"/>
        <v>2004.4166666666667</v>
      </c>
      <c r="AE104" s="238">
        <f t="shared" si="64"/>
        <v>2017</v>
      </c>
      <c r="AF104" s="238">
        <f t="shared" si="65"/>
        <v>2011.4166666666667</v>
      </c>
      <c r="AG104" s="238">
        <f t="shared" si="66"/>
        <v>2016</v>
      </c>
      <c r="AH104" s="238">
        <f t="shared" si="67"/>
        <v>-8.3333333333333329E-2</v>
      </c>
    </row>
    <row r="105" spans="1:34">
      <c r="A105" s="237">
        <v>25363</v>
      </c>
      <c r="B105" s="237" t="s">
        <v>56</v>
      </c>
      <c r="C105" s="237">
        <v>408</v>
      </c>
      <c r="D105" s="237" t="s">
        <v>84</v>
      </c>
      <c r="E105" s="237">
        <v>2004</v>
      </c>
      <c r="F105" s="237">
        <v>7</v>
      </c>
      <c r="G105" s="237">
        <v>0.2</v>
      </c>
      <c r="I105" s="237" t="s">
        <v>52</v>
      </c>
      <c r="J105" s="237">
        <v>7</v>
      </c>
      <c r="K105" s="237">
        <f t="shared" si="51"/>
        <v>2011</v>
      </c>
      <c r="N105" s="238">
        <v>86270.65</v>
      </c>
      <c r="P105" s="238">
        <f t="shared" si="52"/>
        <v>69016.51999999999</v>
      </c>
      <c r="Q105" s="238">
        <f t="shared" si="53"/>
        <v>821.62523809523793</v>
      </c>
      <c r="R105" s="238">
        <f t="shared" si="54"/>
        <v>0</v>
      </c>
      <c r="S105" s="238">
        <f t="shared" si="55"/>
        <v>0</v>
      </c>
      <c r="T105" s="238">
        <f t="shared" si="56"/>
        <v>0</v>
      </c>
      <c r="U105" s="238">
        <v>1</v>
      </c>
      <c r="V105" s="238">
        <f t="shared" si="57"/>
        <v>0</v>
      </c>
      <c r="X105" s="238">
        <f t="shared" si="58"/>
        <v>69016.51999999999</v>
      </c>
      <c r="Y105" s="238">
        <f t="shared" si="59"/>
        <v>69016.51999999999</v>
      </c>
      <c r="Z105" s="238">
        <v>1</v>
      </c>
      <c r="AA105" s="238">
        <f t="shared" si="60"/>
        <v>69016.51999999999</v>
      </c>
      <c r="AB105" s="238">
        <f t="shared" si="61"/>
        <v>69016.51999999999</v>
      </c>
      <c r="AC105" s="238">
        <f t="shared" si="62"/>
        <v>17254.130000000005</v>
      </c>
      <c r="AD105" s="238">
        <f t="shared" si="63"/>
        <v>2004.5</v>
      </c>
      <c r="AE105" s="238">
        <f t="shared" si="64"/>
        <v>2017</v>
      </c>
      <c r="AF105" s="238">
        <f t="shared" si="65"/>
        <v>2011.5</v>
      </c>
      <c r="AG105" s="238">
        <f t="shared" si="66"/>
        <v>2016</v>
      </c>
      <c r="AH105" s="238">
        <f t="shared" si="67"/>
        <v>-8.3333333333333329E-2</v>
      </c>
    </row>
    <row r="106" spans="1:34">
      <c r="B106" s="237" t="s">
        <v>56</v>
      </c>
      <c r="C106" s="237">
        <v>408</v>
      </c>
      <c r="D106" s="237" t="s">
        <v>86</v>
      </c>
      <c r="E106" s="237">
        <v>2004</v>
      </c>
      <c r="F106" s="237">
        <v>7</v>
      </c>
      <c r="G106" s="237">
        <v>0.2</v>
      </c>
      <c r="I106" s="237" t="s">
        <v>52</v>
      </c>
      <c r="J106" s="237">
        <v>7</v>
      </c>
      <c r="K106" s="237">
        <f t="shared" si="51"/>
        <v>2011</v>
      </c>
      <c r="N106" s="238">
        <v>32990.49</v>
      </c>
      <c r="P106" s="238">
        <f t="shared" si="52"/>
        <v>26392.392</v>
      </c>
      <c r="Q106" s="238">
        <f t="shared" si="53"/>
        <v>314.19514285714286</v>
      </c>
      <c r="R106" s="238">
        <f t="shared" si="54"/>
        <v>0</v>
      </c>
      <c r="S106" s="238">
        <f t="shared" si="55"/>
        <v>0</v>
      </c>
      <c r="T106" s="238">
        <f t="shared" si="56"/>
        <v>0</v>
      </c>
      <c r="U106" s="238">
        <v>1</v>
      </c>
      <c r="V106" s="238">
        <f t="shared" si="57"/>
        <v>0</v>
      </c>
      <c r="X106" s="238">
        <f t="shared" si="58"/>
        <v>26392.392</v>
      </c>
      <c r="Y106" s="238">
        <f t="shared" si="59"/>
        <v>26392.392</v>
      </c>
      <c r="Z106" s="238">
        <v>1</v>
      </c>
      <c r="AA106" s="238">
        <f t="shared" si="60"/>
        <v>26392.392</v>
      </c>
      <c r="AB106" s="238">
        <f t="shared" si="61"/>
        <v>26392.392</v>
      </c>
      <c r="AC106" s="238">
        <f t="shared" si="62"/>
        <v>6598.0979999999981</v>
      </c>
      <c r="AD106" s="238">
        <f t="shared" si="63"/>
        <v>2004.5</v>
      </c>
      <c r="AE106" s="238">
        <f t="shared" si="64"/>
        <v>2017</v>
      </c>
      <c r="AF106" s="238">
        <f t="shared" si="65"/>
        <v>2011.5</v>
      </c>
      <c r="AG106" s="238">
        <f t="shared" si="66"/>
        <v>2016</v>
      </c>
      <c r="AH106" s="238">
        <f t="shared" si="67"/>
        <v>-8.3333333333333329E-2</v>
      </c>
    </row>
    <row r="107" spans="1:34">
      <c r="B107" s="237" t="s">
        <v>56</v>
      </c>
      <c r="D107" s="237" t="s">
        <v>164</v>
      </c>
      <c r="E107" s="237">
        <v>2008</v>
      </c>
      <c r="F107" s="237">
        <v>4</v>
      </c>
      <c r="G107" s="237">
        <v>0.2</v>
      </c>
      <c r="I107" s="237" t="s">
        <v>52</v>
      </c>
      <c r="J107" s="237">
        <v>7</v>
      </c>
      <c r="K107" s="237">
        <f t="shared" si="51"/>
        <v>2015</v>
      </c>
      <c r="N107" s="238">
        <v>6818.83</v>
      </c>
      <c r="P107" s="238">
        <f t="shared" si="52"/>
        <v>5455.0640000000003</v>
      </c>
      <c r="Q107" s="238">
        <f t="shared" si="53"/>
        <v>64.941238095238091</v>
      </c>
      <c r="R107" s="238">
        <f t="shared" si="54"/>
        <v>0</v>
      </c>
      <c r="S107" s="238">
        <f t="shared" si="55"/>
        <v>0</v>
      </c>
      <c r="T107" s="238">
        <f t="shared" si="56"/>
        <v>0</v>
      </c>
      <c r="U107" s="238">
        <v>1</v>
      </c>
      <c r="V107" s="238">
        <f t="shared" si="57"/>
        <v>0</v>
      </c>
      <c r="X107" s="238">
        <f t="shared" si="58"/>
        <v>5455.0640000000003</v>
      </c>
      <c r="Y107" s="238">
        <f t="shared" si="59"/>
        <v>5455.0640000000003</v>
      </c>
      <c r="Z107" s="238">
        <v>1</v>
      </c>
      <c r="AA107" s="238">
        <f t="shared" si="60"/>
        <v>5455.0640000000003</v>
      </c>
      <c r="AB107" s="238">
        <f t="shared" si="61"/>
        <v>5455.0640000000003</v>
      </c>
      <c r="AC107" s="238">
        <f t="shared" si="62"/>
        <v>1363.7659999999996</v>
      </c>
      <c r="AD107" s="238">
        <f t="shared" si="63"/>
        <v>2008.25</v>
      </c>
      <c r="AE107" s="238">
        <f t="shared" si="64"/>
        <v>2017</v>
      </c>
      <c r="AF107" s="238">
        <f t="shared" si="65"/>
        <v>2015.25</v>
      </c>
      <c r="AG107" s="238">
        <f t="shared" si="66"/>
        <v>2016</v>
      </c>
      <c r="AH107" s="238">
        <f t="shared" si="67"/>
        <v>-8.3333333333333329E-2</v>
      </c>
    </row>
    <row r="108" spans="1:34">
      <c r="B108" s="237" t="s">
        <v>181</v>
      </c>
      <c r="C108" s="237">
        <v>407</v>
      </c>
      <c r="D108" s="237" t="s">
        <v>182</v>
      </c>
      <c r="E108" s="237">
        <v>2008</v>
      </c>
      <c r="F108" s="237">
        <v>11</v>
      </c>
      <c r="G108" s="237">
        <v>0.2</v>
      </c>
      <c r="I108" s="237" t="s">
        <v>52</v>
      </c>
      <c r="J108" s="237">
        <v>7</v>
      </c>
      <c r="K108" s="237">
        <f t="shared" si="51"/>
        <v>2015</v>
      </c>
      <c r="N108" s="238">
        <v>6818.83</v>
      </c>
      <c r="P108" s="238">
        <f t="shared" si="52"/>
        <v>5455.0640000000003</v>
      </c>
      <c r="Q108" s="238">
        <f t="shared" si="53"/>
        <v>64.941238095238091</v>
      </c>
      <c r="R108" s="238">
        <f t="shared" si="54"/>
        <v>0</v>
      </c>
      <c r="S108" s="238">
        <f t="shared" si="55"/>
        <v>0</v>
      </c>
      <c r="T108" s="238">
        <f t="shared" si="56"/>
        <v>0</v>
      </c>
      <c r="U108" s="238">
        <v>1</v>
      </c>
      <c r="V108" s="238">
        <f t="shared" si="57"/>
        <v>0</v>
      </c>
      <c r="X108" s="238">
        <f t="shared" si="58"/>
        <v>5455.0640000000003</v>
      </c>
      <c r="Y108" s="238">
        <f t="shared" si="59"/>
        <v>5455.0640000000003</v>
      </c>
      <c r="Z108" s="238">
        <v>1</v>
      </c>
      <c r="AA108" s="238">
        <f t="shared" si="60"/>
        <v>5455.0640000000003</v>
      </c>
      <c r="AB108" s="238">
        <f t="shared" si="61"/>
        <v>5455.0640000000003</v>
      </c>
      <c r="AC108" s="238">
        <f t="shared" si="62"/>
        <v>1363.7659999999996</v>
      </c>
      <c r="AD108" s="238">
        <f t="shared" si="63"/>
        <v>2008.8333333333333</v>
      </c>
      <c r="AE108" s="238">
        <f t="shared" si="64"/>
        <v>2017</v>
      </c>
      <c r="AF108" s="238">
        <f t="shared" si="65"/>
        <v>2015.8333333333333</v>
      </c>
      <c r="AG108" s="238">
        <f t="shared" si="66"/>
        <v>2016</v>
      </c>
      <c r="AH108" s="238">
        <f t="shared" si="67"/>
        <v>-8.3333333333333329E-2</v>
      </c>
    </row>
    <row r="109" spans="1:34">
      <c r="B109" s="237" t="s">
        <v>181</v>
      </c>
      <c r="C109" s="237">
        <v>154</v>
      </c>
      <c r="D109" s="237" t="s">
        <v>182</v>
      </c>
      <c r="E109" s="237">
        <v>2008</v>
      </c>
      <c r="F109" s="237">
        <v>12</v>
      </c>
      <c r="G109" s="237">
        <v>0.2</v>
      </c>
      <c r="I109" s="237" t="s">
        <v>52</v>
      </c>
      <c r="J109" s="237">
        <v>7</v>
      </c>
      <c r="K109" s="237">
        <f t="shared" si="51"/>
        <v>2015</v>
      </c>
      <c r="N109" s="238">
        <v>6818.83</v>
      </c>
      <c r="P109" s="238">
        <f t="shared" si="52"/>
        <v>5455.0640000000003</v>
      </c>
      <c r="Q109" s="238">
        <f t="shared" si="53"/>
        <v>64.941238095238091</v>
      </c>
      <c r="R109" s="238">
        <f t="shared" si="54"/>
        <v>0</v>
      </c>
      <c r="S109" s="238">
        <f t="shared" si="55"/>
        <v>0</v>
      </c>
      <c r="T109" s="238">
        <f t="shared" si="56"/>
        <v>0</v>
      </c>
      <c r="U109" s="238">
        <v>1</v>
      </c>
      <c r="V109" s="238">
        <f t="shared" si="57"/>
        <v>0</v>
      </c>
      <c r="X109" s="238">
        <f t="shared" si="58"/>
        <v>5455.0640000000003</v>
      </c>
      <c r="Y109" s="238">
        <f t="shared" si="59"/>
        <v>5455.0640000000003</v>
      </c>
      <c r="Z109" s="238">
        <v>1</v>
      </c>
      <c r="AA109" s="238">
        <f t="shared" si="60"/>
        <v>5455.0640000000003</v>
      </c>
      <c r="AB109" s="238">
        <f t="shared" si="61"/>
        <v>5455.0640000000003</v>
      </c>
      <c r="AC109" s="238">
        <f t="shared" si="62"/>
        <v>1363.7659999999996</v>
      </c>
      <c r="AD109" s="238">
        <f t="shared" si="63"/>
        <v>2008.9166666666667</v>
      </c>
      <c r="AE109" s="238">
        <f t="shared" si="64"/>
        <v>2017</v>
      </c>
      <c r="AF109" s="238">
        <f t="shared" si="65"/>
        <v>2015.9166666666667</v>
      </c>
      <c r="AG109" s="238">
        <f t="shared" si="66"/>
        <v>2016</v>
      </c>
      <c r="AH109" s="238">
        <f t="shared" si="67"/>
        <v>-8.3333333333333329E-2</v>
      </c>
    </row>
    <row r="110" spans="1:34">
      <c r="B110" s="237" t="s">
        <v>181</v>
      </c>
      <c r="C110" s="237">
        <v>406</v>
      </c>
      <c r="D110" s="237" t="s">
        <v>182</v>
      </c>
      <c r="E110" s="237">
        <v>2008</v>
      </c>
      <c r="F110" s="237">
        <v>12</v>
      </c>
      <c r="G110" s="237">
        <v>0.2</v>
      </c>
      <c r="I110" s="237" t="s">
        <v>52</v>
      </c>
      <c r="J110" s="237">
        <v>7</v>
      </c>
      <c r="K110" s="237">
        <f t="shared" si="51"/>
        <v>2015</v>
      </c>
      <c r="N110" s="238">
        <v>6818.83</v>
      </c>
      <c r="P110" s="238">
        <f t="shared" si="52"/>
        <v>5455.0640000000003</v>
      </c>
      <c r="Q110" s="238">
        <f t="shared" si="53"/>
        <v>64.941238095238091</v>
      </c>
      <c r="R110" s="238">
        <f t="shared" si="54"/>
        <v>0</v>
      </c>
      <c r="S110" s="238">
        <f t="shared" si="55"/>
        <v>0</v>
      </c>
      <c r="T110" s="238">
        <f t="shared" si="56"/>
        <v>0</v>
      </c>
      <c r="U110" s="238">
        <v>1</v>
      </c>
      <c r="V110" s="238">
        <f t="shared" si="57"/>
        <v>0</v>
      </c>
      <c r="X110" s="238">
        <f t="shared" si="58"/>
        <v>5455.0640000000003</v>
      </c>
      <c r="Y110" s="238">
        <f t="shared" si="59"/>
        <v>5455.0640000000003</v>
      </c>
      <c r="Z110" s="238">
        <v>1</v>
      </c>
      <c r="AA110" s="238">
        <f t="shared" si="60"/>
        <v>5455.0640000000003</v>
      </c>
      <c r="AB110" s="238">
        <f t="shared" si="61"/>
        <v>5455.0640000000003</v>
      </c>
      <c r="AC110" s="238">
        <f t="shared" si="62"/>
        <v>1363.7659999999996</v>
      </c>
      <c r="AD110" s="238">
        <f t="shared" si="63"/>
        <v>2008.9166666666667</v>
      </c>
      <c r="AE110" s="238">
        <f t="shared" si="64"/>
        <v>2017</v>
      </c>
      <c r="AF110" s="238">
        <f t="shared" si="65"/>
        <v>2015.9166666666667</v>
      </c>
      <c r="AG110" s="238">
        <f t="shared" si="66"/>
        <v>2016</v>
      </c>
      <c r="AH110" s="238">
        <f t="shared" si="67"/>
        <v>-8.3333333333333329E-2</v>
      </c>
    </row>
    <row r="111" spans="1:34">
      <c r="B111" s="237" t="s">
        <v>181</v>
      </c>
      <c r="C111" s="237">
        <v>408</v>
      </c>
      <c r="D111" s="237" t="s">
        <v>182</v>
      </c>
      <c r="E111" s="237">
        <v>2008</v>
      </c>
      <c r="F111" s="237">
        <v>12</v>
      </c>
      <c r="G111" s="237">
        <v>0.2</v>
      </c>
      <c r="I111" s="237" t="s">
        <v>52</v>
      </c>
      <c r="J111" s="237">
        <v>7</v>
      </c>
      <c r="K111" s="237">
        <f t="shared" si="51"/>
        <v>2015</v>
      </c>
      <c r="N111" s="238">
        <v>6818.83</v>
      </c>
      <c r="P111" s="238">
        <f t="shared" si="52"/>
        <v>5455.0640000000003</v>
      </c>
      <c r="Q111" s="238">
        <f t="shared" si="53"/>
        <v>64.941238095238091</v>
      </c>
      <c r="R111" s="238">
        <f t="shared" si="54"/>
        <v>0</v>
      </c>
      <c r="S111" s="238">
        <f t="shared" si="55"/>
        <v>0</v>
      </c>
      <c r="T111" s="238">
        <f t="shared" si="56"/>
        <v>0</v>
      </c>
      <c r="U111" s="238">
        <v>1</v>
      </c>
      <c r="V111" s="238">
        <f t="shared" si="57"/>
        <v>0</v>
      </c>
      <c r="X111" s="238">
        <f t="shared" si="58"/>
        <v>5455.0640000000003</v>
      </c>
      <c r="Y111" s="238">
        <f t="shared" si="59"/>
        <v>5455.0640000000003</v>
      </c>
      <c r="Z111" s="238">
        <v>1</v>
      </c>
      <c r="AA111" s="238">
        <f t="shared" si="60"/>
        <v>5455.0640000000003</v>
      </c>
      <c r="AB111" s="238">
        <f t="shared" si="61"/>
        <v>5455.0640000000003</v>
      </c>
      <c r="AC111" s="238">
        <f t="shared" si="62"/>
        <v>1363.7659999999996</v>
      </c>
      <c r="AD111" s="238">
        <f t="shared" si="63"/>
        <v>2008.9166666666667</v>
      </c>
      <c r="AE111" s="238">
        <f t="shared" si="64"/>
        <v>2017</v>
      </c>
      <c r="AF111" s="238">
        <f t="shared" si="65"/>
        <v>2015.9166666666667</v>
      </c>
      <c r="AG111" s="238">
        <f t="shared" si="66"/>
        <v>2016</v>
      </c>
      <c r="AH111" s="238">
        <f t="shared" si="67"/>
        <v>-8.3333333333333329E-2</v>
      </c>
    </row>
    <row r="112" spans="1:34">
      <c r="B112" s="237" t="s">
        <v>56</v>
      </c>
      <c r="C112" s="237">
        <v>154</v>
      </c>
      <c r="D112" s="237" t="s">
        <v>275</v>
      </c>
      <c r="E112" s="237">
        <v>2013</v>
      </c>
      <c r="F112" s="237">
        <v>3</v>
      </c>
      <c r="G112" s="237">
        <v>0</v>
      </c>
      <c r="I112" s="237" t="s">
        <v>52</v>
      </c>
      <c r="J112" s="237">
        <v>3</v>
      </c>
      <c r="K112" s="237">
        <f t="shared" si="51"/>
        <v>2016</v>
      </c>
      <c r="N112" s="238">
        <v>10181.32</v>
      </c>
      <c r="P112" s="238">
        <f t="shared" si="52"/>
        <v>10181.32</v>
      </c>
      <c r="Q112" s="238">
        <f t="shared" si="53"/>
        <v>282.8144444444444</v>
      </c>
      <c r="R112" s="238">
        <f t="shared" si="54"/>
        <v>565.62888888914608</v>
      </c>
      <c r="S112" s="238">
        <f t="shared" si="55"/>
        <v>0</v>
      </c>
      <c r="T112" s="238">
        <f t="shared" si="56"/>
        <v>565.62888888914608</v>
      </c>
      <c r="U112" s="238">
        <v>1</v>
      </c>
      <c r="V112" s="238">
        <f t="shared" si="57"/>
        <v>565.62888888914608</v>
      </c>
      <c r="X112" s="238">
        <f t="shared" si="58"/>
        <v>9615.6911111108529</v>
      </c>
      <c r="Y112" s="238">
        <f t="shared" si="59"/>
        <v>9615.6911111108529</v>
      </c>
      <c r="Z112" s="238">
        <v>1</v>
      </c>
      <c r="AA112" s="238">
        <f t="shared" si="60"/>
        <v>9615.6911111108529</v>
      </c>
      <c r="AB112" s="238">
        <f t="shared" si="61"/>
        <v>10181.32</v>
      </c>
      <c r="AC112" s="238">
        <f t="shared" si="62"/>
        <v>282.81444444457338</v>
      </c>
      <c r="AD112" s="238">
        <f t="shared" si="63"/>
        <v>2013.1666666666667</v>
      </c>
      <c r="AE112" s="238">
        <f t="shared" si="64"/>
        <v>2017</v>
      </c>
      <c r="AF112" s="238">
        <f t="shared" si="65"/>
        <v>2016.1666666666667</v>
      </c>
      <c r="AG112" s="238">
        <f t="shared" si="66"/>
        <v>2016</v>
      </c>
      <c r="AH112" s="238">
        <f t="shared" si="67"/>
        <v>-8.3333333333333329E-2</v>
      </c>
    </row>
    <row r="113" spans="1:34">
      <c r="A113" s="237">
        <v>118206</v>
      </c>
      <c r="B113" s="237" t="s">
        <v>56</v>
      </c>
      <c r="C113" s="237">
        <v>422</v>
      </c>
      <c r="D113" s="237" t="s">
        <v>323</v>
      </c>
      <c r="E113" s="237">
        <v>2013</v>
      </c>
      <c r="F113" s="237">
        <v>10</v>
      </c>
      <c r="G113" s="237">
        <v>0.2</v>
      </c>
      <c r="I113" s="237" t="s">
        <v>52</v>
      </c>
      <c r="J113" s="237">
        <v>7</v>
      </c>
      <c r="K113" s="237">
        <f t="shared" si="51"/>
        <v>2020</v>
      </c>
      <c r="N113" s="238">
        <v>181166.14</v>
      </c>
      <c r="P113" s="238">
        <f t="shared" si="52"/>
        <v>144932.91200000001</v>
      </c>
      <c r="Q113" s="238">
        <f t="shared" si="53"/>
        <v>1725.3918095238096</v>
      </c>
      <c r="R113" s="238">
        <f t="shared" si="54"/>
        <v>20704.701714285715</v>
      </c>
      <c r="S113" s="238">
        <f t="shared" si="55"/>
        <v>0</v>
      </c>
      <c r="T113" s="238">
        <f t="shared" si="56"/>
        <v>20704.701714285715</v>
      </c>
      <c r="U113" s="238">
        <v>1</v>
      </c>
      <c r="V113" s="238">
        <f t="shared" si="57"/>
        <v>20704.701714285715</v>
      </c>
      <c r="X113" s="238">
        <f t="shared" si="58"/>
        <v>46585.578857142857</v>
      </c>
      <c r="Y113" s="238">
        <f t="shared" si="59"/>
        <v>46585.578857142857</v>
      </c>
      <c r="Z113" s="238">
        <v>1</v>
      </c>
      <c r="AA113" s="238">
        <f t="shared" si="60"/>
        <v>46585.578857142857</v>
      </c>
      <c r="AB113" s="238">
        <f t="shared" si="61"/>
        <v>67290.280571428564</v>
      </c>
      <c r="AC113" s="238">
        <f t="shared" si="62"/>
        <v>124228.2102857143</v>
      </c>
      <c r="AD113" s="238">
        <f t="shared" si="63"/>
        <v>2013.75</v>
      </c>
      <c r="AE113" s="238">
        <f t="shared" si="64"/>
        <v>2017</v>
      </c>
      <c r="AF113" s="238">
        <f t="shared" si="65"/>
        <v>2020.75</v>
      </c>
      <c r="AG113" s="238">
        <f t="shared" si="66"/>
        <v>2016</v>
      </c>
      <c r="AH113" s="238">
        <f t="shared" si="67"/>
        <v>-8.3333333333333329E-2</v>
      </c>
    </row>
    <row r="114" spans="1:34">
      <c r="A114" s="237">
        <v>128139</v>
      </c>
      <c r="B114" s="237" t="s">
        <v>56</v>
      </c>
      <c r="C114" s="237">
        <v>422</v>
      </c>
      <c r="D114" s="237" t="s">
        <v>337</v>
      </c>
      <c r="E114" s="237">
        <v>2015</v>
      </c>
      <c r="F114" s="237">
        <v>11</v>
      </c>
      <c r="G114" s="237">
        <v>0</v>
      </c>
      <c r="I114" s="237" t="s">
        <v>52</v>
      </c>
      <c r="J114" s="237">
        <v>7</v>
      </c>
      <c r="K114" s="237">
        <f t="shared" si="51"/>
        <v>2022</v>
      </c>
      <c r="N114" s="238">
        <v>8768.42</v>
      </c>
      <c r="P114" s="238">
        <f t="shared" si="52"/>
        <v>8768.42</v>
      </c>
      <c r="Q114" s="238">
        <f t="shared" si="53"/>
        <v>104.38595238095239</v>
      </c>
      <c r="R114" s="238">
        <f t="shared" si="54"/>
        <v>1252.6314285714286</v>
      </c>
      <c r="S114" s="238">
        <f t="shared" si="55"/>
        <v>0</v>
      </c>
      <c r="T114" s="238">
        <f t="shared" si="56"/>
        <v>1252.6314285714286</v>
      </c>
      <c r="U114" s="238">
        <v>1</v>
      </c>
      <c r="V114" s="238">
        <f t="shared" si="57"/>
        <v>1252.6314285714286</v>
      </c>
      <c r="X114" s="238">
        <f t="shared" si="58"/>
        <v>208.77190476199971</v>
      </c>
      <c r="Y114" s="238">
        <f t="shared" si="59"/>
        <v>208.77190476199971</v>
      </c>
      <c r="Z114" s="238">
        <v>1</v>
      </c>
      <c r="AA114" s="238">
        <f t="shared" si="60"/>
        <v>208.77190476199971</v>
      </c>
      <c r="AB114" s="238">
        <f t="shared" si="61"/>
        <v>1461.4033333334282</v>
      </c>
      <c r="AC114" s="238">
        <f t="shared" si="62"/>
        <v>7933.3323809522863</v>
      </c>
      <c r="AD114" s="238">
        <f t="shared" si="63"/>
        <v>2015.8333333333333</v>
      </c>
      <c r="AE114" s="238">
        <f t="shared" si="64"/>
        <v>2017</v>
      </c>
      <c r="AF114" s="238">
        <f t="shared" si="65"/>
        <v>2022.8333333333333</v>
      </c>
      <c r="AG114" s="238">
        <f t="shared" si="66"/>
        <v>2016</v>
      </c>
      <c r="AH114" s="238">
        <f t="shared" si="67"/>
        <v>-8.3333333333333329E-2</v>
      </c>
    </row>
    <row r="115" spans="1:34">
      <c r="A115" s="237" t="s">
        <v>424</v>
      </c>
      <c r="D115" s="237" t="s">
        <v>426</v>
      </c>
      <c r="E115" s="237">
        <v>2016</v>
      </c>
      <c r="F115" s="237">
        <v>3</v>
      </c>
      <c r="G115" s="237">
        <v>0</v>
      </c>
      <c r="I115" s="237" t="s">
        <v>52</v>
      </c>
      <c r="J115" s="237">
        <v>1</v>
      </c>
      <c r="K115" s="237">
        <f t="shared" si="51"/>
        <v>2017</v>
      </c>
      <c r="N115" s="238">
        <f>(25892.28+23056.62)/104*5</f>
        <v>2353.3125</v>
      </c>
      <c r="P115" s="238">
        <f t="shared" si="52"/>
        <v>2353.3125</v>
      </c>
      <c r="Q115" s="238">
        <f t="shared" si="53"/>
        <v>196.109375</v>
      </c>
      <c r="R115" s="238">
        <f t="shared" si="54"/>
        <v>1961.0937499998217</v>
      </c>
      <c r="S115" s="238">
        <f t="shared" si="55"/>
        <v>0</v>
      </c>
      <c r="T115" s="238">
        <f t="shared" si="56"/>
        <v>1961.0937499998217</v>
      </c>
      <c r="U115" s="238">
        <v>1</v>
      </c>
      <c r="V115" s="238">
        <f t="shared" si="57"/>
        <v>1961.0937499998217</v>
      </c>
      <c r="X115" s="238">
        <f t="shared" si="58"/>
        <v>0</v>
      </c>
      <c r="Y115" s="238">
        <f t="shared" si="59"/>
        <v>0</v>
      </c>
      <c r="Z115" s="238">
        <v>1</v>
      </c>
      <c r="AA115" s="238">
        <f t="shared" si="60"/>
        <v>0</v>
      </c>
      <c r="AB115" s="238">
        <f t="shared" si="61"/>
        <v>1961.0937499998217</v>
      </c>
      <c r="AC115" s="238">
        <f t="shared" si="62"/>
        <v>196.10937500008913</v>
      </c>
      <c r="AD115" s="238">
        <f t="shared" si="63"/>
        <v>2016.1666666666667</v>
      </c>
      <c r="AE115" s="238">
        <f t="shared" si="64"/>
        <v>2017</v>
      </c>
      <c r="AF115" s="238">
        <f t="shared" si="65"/>
        <v>2017.1666666666667</v>
      </c>
      <c r="AG115" s="238">
        <f t="shared" si="66"/>
        <v>2016</v>
      </c>
      <c r="AH115" s="238">
        <f t="shared" si="67"/>
        <v>-8.3333333333333329E-2</v>
      </c>
    </row>
    <row r="116" spans="1:34">
      <c r="A116" s="237">
        <v>132248</v>
      </c>
      <c r="D116" s="237" t="s">
        <v>397</v>
      </c>
      <c r="E116" s="237">
        <v>2016</v>
      </c>
      <c r="F116" s="237">
        <v>4</v>
      </c>
      <c r="G116" s="237">
        <v>0</v>
      </c>
      <c r="I116" s="237" t="s">
        <v>52</v>
      </c>
      <c r="J116" s="237">
        <v>5</v>
      </c>
      <c r="K116" s="237">
        <f t="shared" si="51"/>
        <v>2021</v>
      </c>
      <c r="N116" s="238">
        <v>37677.360000000001</v>
      </c>
      <c r="P116" s="238">
        <f t="shared" si="52"/>
        <v>37677.360000000001</v>
      </c>
      <c r="Q116" s="238">
        <f t="shared" si="53"/>
        <v>627.95600000000002</v>
      </c>
      <c r="R116" s="238">
        <f t="shared" si="54"/>
        <v>5651.6040000000003</v>
      </c>
      <c r="S116" s="238">
        <f t="shared" si="55"/>
        <v>0</v>
      </c>
      <c r="T116" s="238">
        <f t="shared" si="56"/>
        <v>5651.6040000000003</v>
      </c>
      <c r="U116" s="238">
        <v>1</v>
      </c>
      <c r="V116" s="238">
        <f t="shared" si="57"/>
        <v>5651.6040000000003</v>
      </c>
      <c r="X116" s="238">
        <f t="shared" si="58"/>
        <v>0</v>
      </c>
      <c r="Y116" s="238">
        <f t="shared" si="59"/>
        <v>0</v>
      </c>
      <c r="Z116" s="238">
        <v>1</v>
      </c>
      <c r="AA116" s="238">
        <f t="shared" si="60"/>
        <v>0</v>
      </c>
      <c r="AB116" s="238">
        <f t="shared" si="61"/>
        <v>5651.6040000000003</v>
      </c>
      <c r="AC116" s="238">
        <f t="shared" si="62"/>
        <v>16012.878000000001</v>
      </c>
      <c r="AD116" s="238">
        <f t="shared" si="63"/>
        <v>2016.25</v>
      </c>
      <c r="AE116" s="238">
        <f t="shared" si="64"/>
        <v>2017</v>
      </c>
      <c r="AF116" s="238">
        <f t="shared" si="65"/>
        <v>2021.25</v>
      </c>
      <c r="AG116" s="238">
        <f t="shared" si="66"/>
        <v>2016</v>
      </c>
      <c r="AH116" s="238">
        <f t="shared" si="67"/>
        <v>-8.3333333333333329E-2</v>
      </c>
    </row>
    <row r="117" spans="1:34">
      <c r="A117" s="237">
        <v>132249</v>
      </c>
      <c r="D117" s="237" t="s">
        <v>398</v>
      </c>
      <c r="E117" s="237">
        <v>2016</v>
      </c>
      <c r="F117" s="237">
        <v>4</v>
      </c>
      <c r="G117" s="237">
        <v>0</v>
      </c>
      <c r="I117" s="237" t="s">
        <v>52</v>
      </c>
      <c r="J117" s="237">
        <v>5</v>
      </c>
      <c r="K117" s="237">
        <f t="shared" si="51"/>
        <v>2021</v>
      </c>
      <c r="N117" s="238">
        <v>7289.19</v>
      </c>
      <c r="P117" s="238">
        <f t="shared" si="52"/>
        <v>7289.19</v>
      </c>
      <c r="Q117" s="238">
        <f t="shared" si="53"/>
        <v>121.48649999999999</v>
      </c>
      <c r="R117" s="238">
        <f t="shared" si="54"/>
        <v>1093.3785</v>
      </c>
      <c r="S117" s="238">
        <f t="shared" si="55"/>
        <v>0</v>
      </c>
      <c r="T117" s="238">
        <f t="shared" si="56"/>
        <v>1093.3785</v>
      </c>
      <c r="U117" s="238">
        <v>1</v>
      </c>
      <c r="V117" s="238">
        <f t="shared" si="57"/>
        <v>1093.3785</v>
      </c>
      <c r="X117" s="238">
        <f t="shared" si="58"/>
        <v>0</v>
      </c>
      <c r="Y117" s="238">
        <f t="shared" si="59"/>
        <v>0</v>
      </c>
      <c r="Z117" s="238">
        <v>1</v>
      </c>
      <c r="AA117" s="238">
        <f t="shared" si="60"/>
        <v>0</v>
      </c>
      <c r="AB117" s="238">
        <f t="shared" si="61"/>
        <v>1093.3785</v>
      </c>
      <c r="AC117" s="238">
        <f t="shared" si="62"/>
        <v>3097.9057499999999</v>
      </c>
      <c r="AD117" s="238">
        <f t="shared" si="63"/>
        <v>2016.25</v>
      </c>
      <c r="AE117" s="238">
        <f t="shared" si="64"/>
        <v>2017</v>
      </c>
      <c r="AF117" s="238">
        <f t="shared" si="65"/>
        <v>2021.25</v>
      </c>
      <c r="AG117" s="238">
        <f t="shared" si="66"/>
        <v>2016</v>
      </c>
      <c r="AH117" s="238">
        <f t="shared" si="67"/>
        <v>-8.3333333333333329E-2</v>
      </c>
    </row>
    <row r="118" spans="1:34">
      <c r="A118" s="237">
        <v>165758</v>
      </c>
      <c r="C118" s="237">
        <v>406</v>
      </c>
      <c r="D118" s="237" t="s">
        <v>403</v>
      </c>
      <c r="E118" s="237">
        <v>2016</v>
      </c>
      <c r="F118" s="237">
        <v>6</v>
      </c>
      <c r="G118" s="237">
        <v>0</v>
      </c>
      <c r="I118" s="237" t="s">
        <v>52</v>
      </c>
      <c r="J118" s="237">
        <v>3</v>
      </c>
      <c r="K118" s="237">
        <f t="shared" si="51"/>
        <v>2019</v>
      </c>
      <c r="N118" s="238">
        <v>19969.009999999998</v>
      </c>
      <c r="P118" s="238">
        <f t="shared" si="52"/>
        <v>19969.009999999998</v>
      </c>
      <c r="Q118" s="238">
        <f t="shared" si="53"/>
        <v>554.69472222222214</v>
      </c>
      <c r="R118" s="238">
        <f t="shared" si="54"/>
        <v>3882.8630555550503</v>
      </c>
      <c r="S118" s="238">
        <f t="shared" si="55"/>
        <v>0</v>
      </c>
      <c r="T118" s="238">
        <f t="shared" si="56"/>
        <v>3882.8630555550503</v>
      </c>
      <c r="U118" s="238">
        <v>1</v>
      </c>
      <c r="V118" s="238">
        <f t="shared" si="57"/>
        <v>3882.8630555550503</v>
      </c>
      <c r="X118" s="238">
        <f t="shared" si="58"/>
        <v>0</v>
      </c>
      <c r="Y118" s="238">
        <f t="shared" si="59"/>
        <v>0</v>
      </c>
      <c r="Z118" s="238">
        <v>1</v>
      </c>
      <c r="AA118" s="238">
        <f t="shared" si="60"/>
        <v>0</v>
      </c>
      <c r="AB118" s="238">
        <f t="shared" si="61"/>
        <v>3882.8630555550503</v>
      </c>
      <c r="AC118" s="238">
        <f t="shared" si="62"/>
        <v>8043.0734722224743</v>
      </c>
      <c r="AD118" s="238">
        <f t="shared" si="63"/>
        <v>2016.4166666666667</v>
      </c>
      <c r="AE118" s="238">
        <f t="shared" si="64"/>
        <v>2017</v>
      </c>
      <c r="AF118" s="238">
        <f t="shared" si="65"/>
        <v>2019.4166666666667</v>
      </c>
      <c r="AG118" s="238">
        <f t="shared" si="66"/>
        <v>2016</v>
      </c>
      <c r="AH118" s="238">
        <f t="shared" si="67"/>
        <v>-8.3333333333333329E-2</v>
      </c>
    </row>
    <row r="120" spans="1:34" ht="13.5" thickBot="1">
      <c r="D120" s="237" t="s">
        <v>51</v>
      </c>
      <c r="N120" s="238">
        <f>SUM(N100:N119)</f>
        <v>780726.16250000009</v>
      </c>
      <c r="P120" s="238">
        <f t="shared" ref="P120:AC120" si="68">SUM(P100:P119)</f>
        <v>641828.65250000008</v>
      </c>
      <c r="Q120" s="238">
        <f t="shared" si="68"/>
        <v>8501.6141369047618</v>
      </c>
      <c r="R120" s="238">
        <f t="shared" si="68"/>
        <v>35111.901337301162</v>
      </c>
      <c r="S120" s="238">
        <f t="shared" si="68"/>
        <v>0</v>
      </c>
      <c r="T120" s="238">
        <f t="shared" si="68"/>
        <v>35111.901337301162</v>
      </c>
      <c r="V120" s="238">
        <f t="shared" si="68"/>
        <v>35111.901337301162</v>
      </c>
      <c r="W120" s="238">
        <f t="shared" si="68"/>
        <v>0</v>
      </c>
      <c r="X120" s="238">
        <f t="shared" si="68"/>
        <v>467067.16987301572</v>
      </c>
      <c r="Y120" s="238">
        <f t="shared" si="68"/>
        <v>467067.16987301572</v>
      </c>
      <c r="AA120" s="238">
        <f t="shared" si="68"/>
        <v>467067.16987301572</v>
      </c>
      <c r="AB120" s="238">
        <f t="shared" si="68"/>
        <v>502179.07121031685</v>
      </c>
      <c r="AC120" s="238">
        <f t="shared" si="68"/>
        <v>262458.60570833378</v>
      </c>
    </row>
    <row r="122" spans="1:34" ht="13.5" thickBot="1">
      <c r="B122" s="237" t="s">
        <v>57</v>
      </c>
      <c r="C122" s="237" t="s">
        <v>57</v>
      </c>
      <c r="D122" s="237" t="s">
        <v>179</v>
      </c>
      <c r="E122" s="237">
        <v>2008</v>
      </c>
      <c r="F122" s="237">
        <v>1</v>
      </c>
      <c r="G122" s="237">
        <v>0.2</v>
      </c>
      <c r="I122" s="237" t="s">
        <v>52</v>
      </c>
      <c r="J122" s="237">
        <v>7</v>
      </c>
      <c r="K122" s="237">
        <f>E122+J122</f>
        <v>2015</v>
      </c>
      <c r="N122" s="238">
        <f>(128356.94)</f>
        <v>128356.94</v>
      </c>
      <c r="P122" s="238">
        <f>N122-N122*G122</f>
        <v>102685.552</v>
      </c>
      <c r="Q122" s="238">
        <f>P122/J122/12</f>
        <v>1222.4470476190475</v>
      </c>
      <c r="R122" s="238">
        <f>IF(O122&gt;0,0,IF(OR(AD122&gt;AE122,AF122&lt;AG122),0,IF(AND(AF122&gt;=AG122,AF122&lt;=AE122),Q122*((AF122-AG122)*12),IF(AND(AG122&lt;=AD122,AE122&gt;=AD122),((AE122-AD122)*12)*Q122,IF(AF122&gt;AE122,12*Q122,0)))))</f>
        <v>0</v>
      </c>
      <c r="S122" s="238">
        <f>IF(O122=0,0,IF(AND(AH122&gt;=AG122,AH122&lt;=AF122),((AH122-AG122)*12)*Q122,0))</f>
        <v>0</v>
      </c>
      <c r="T122" s="238">
        <f>IF(S122&gt;0,S122,R122)</f>
        <v>0</v>
      </c>
      <c r="U122" s="238">
        <v>1</v>
      </c>
      <c r="V122" s="238">
        <f>U122*SUM(R122:S122)</f>
        <v>0</v>
      </c>
      <c r="X122" s="238">
        <f>IF(AD122&gt;AE122,0,IF(AF122&lt;AG122,P122,IF(AND(AF122&gt;=AG122,AF122&lt;=AE122),(P122-T122),IF(AND(AG122&lt;=AD122,AE122&gt;=AD122),0,IF(AF122&gt;AE122,((AG122-AD122)*12)*Q122,0)))))</f>
        <v>102685.552</v>
      </c>
      <c r="Y122" s="238">
        <f>X122*U122</f>
        <v>102685.552</v>
      </c>
      <c r="Z122" s="238">
        <v>1</v>
      </c>
      <c r="AA122" s="238">
        <f>Y122*Z122</f>
        <v>102685.552</v>
      </c>
      <c r="AB122" s="238">
        <f>IF(O122&gt;0,0,AA122+V122*Z122)*Z122</f>
        <v>102685.552</v>
      </c>
      <c r="AC122" s="238">
        <f>IF(O122&gt;0,(N122-AA122)/2,IF(AD122&gt;=AG122,(((N122*U122)*Z122)-AB122)/2,((((N122*U122)*Z122)-AA122)+(((N122*U122)*Z122)-AB122))/2))</f>
        <v>25671.388000000006</v>
      </c>
      <c r="AD122" s="238">
        <f>$E122+(($F122-1)/12)</f>
        <v>2008</v>
      </c>
      <c r="AE122" s="238">
        <f>($P$5+1)-($P$2/12)</f>
        <v>2017</v>
      </c>
      <c r="AF122" s="238">
        <f>$K122+(($F122-1)/12)</f>
        <v>2015</v>
      </c>
      <c r="AG122" s="238">
        <f>$P$4+($P$3/12)</f>
        <v>2016</v>
      </c>
      <c r="AH122" s="238">
        <f>$L122+(($M122-1)/12)</f>
        <v>-8.3333333333333329E-2</v>
      </c>
    </row>
    <row r="124" spans="1:34" ht="13.5" thickBot="1">
      <c r="D124" s="237" t="s">
        <v>211</v>
      </c>
      <c r="N124" s="238">
        <f>N49+N97+N120</f>
        <v>6130216.6174999997</v>
      </c>
      <c r="P124" s="238">
        <f>P49+P97+P120</f>
        <v>4985605.2188999988</v>
      </c>
      <c r="Q124" s="238">
        <f>Q49+Q97+Q120</f>
        <v>68575.680650555558</v>
      </c>
      <c r="R124" s="238">
        <f>R49+R97+R120</f>
        <v>284569.56778808829</v>
      </c>
      <c r="S124" s="238">
        <f>S49+S97+S120</f>
        <v>0</v>
      </c>
      <c r="T124" s="238">
        <f>T49+T97+T120</f>
        <v>85942.023732537375</v>
      </c>
      <c r="V124" s="238">
        <f>V49+V97+V120</f>
        <v>284569.56778808829</v>
      </c>
      <c r="W124" s="238">
        <f>W49+W97+W120</f>
        <v>0</v>
      </c>
      <c r="X124" s="238">
        <f>X49+X97+X120</f>
        <v>2206257.2401190493</v>
      </c>
      <c r="Y124" s="238">
        <f>Y49+Y97+Y120</f>
        <v>2206257.2401190493</v>
      </c>
      <c r="AA124" s="238">
        <f>AA49+AA97+AA120</f>
        <v>3704515.9267904731</v>
      </c>
      <c r="AB124" s="238">
        <f>AB49+AB97+AB120</f>
        <v>3989085.4945785603</v>
      </c>
      <c r="AC124" s="238">
        <f>AC49+AC97+AC120</f>
        <v>1939520.3030654835</v>
      </c>
    </row>
    <row r="125" spans="1:34" ht="13.5" thickTop="1"/>
    <row r="126" spans="1:34">
      <c r="D126" s="237" t="s">
        <v>87</v>
      </c>
    </row>
    <row r="127" spans="1:34">
      <c r="B127" s="237" t="s">
        <v>88</v>
      </c>
      <c r="D127" s="237" t="s">
        <v>89</v>
      </c>
      <c r="E127" s="237">
        <v>1991</v>
      </c>
      <c r="F127" s="237">
        <v>8</v>
      </c>
      <c r="I127" s="237" t="s">
        <v>52</v>
      </c>
      <c r="J127" s="237">
        <v>5</v>
      </c>
      <c r="K127" s="237">
        <f t="shared" ref="K127:K134" si="69">E127+J127</f>
        <v>1996</v>
      </c>
      <c r="N127" s="238">
        <v>980.98</v>
      </c>
      <c r="P127" s="238">
        <f t="shared" ref="P127:P134" si="70">N127-N127*G127</f>
        <v>980.98</v>
      </c>
      <c r="Q127" s="238">
        <f t="shared" ref="Q127:Q134" si="71">P127/J127/12</f>
        <v>16.349666666666668</v>
      </c>
      <c r="R127" s="238">
        <f t="shared" ref="R127:R134" si="72">IF(O127&gt;0,0,IF(OR(AD127&gt;AE127,AF127&lt;AG127),0,IF(AND(AF127&gt;=AG127,AF127&lt;=AE127),Q127*((AF127-AG127)*12),IF(AND(AG127&lt;=AD127,AE127&gt;=AD127),((AE127-AD127)*12)*Q127,IF(AF127&gt;AE127,12*Q127,0)))))</f>
        <v>0</v>
      </c>
      <c r="S127" s="238">
        <f t="shared" ref="S127:S134" si="73">IF(O127=0,0,IF(AND(AH127&gt;=AG127,AH127&lt;=AF127),((AH127-AG127)*12)*Q127,0))</f>
        <v>0</v>
      </c>
      <c r="T127" s="238">
        <f t="shared" ref="T127:T134" si="74">IF(S127&gt;0,S127,R127)</f>
        <v>0</v>
      </c>
      <c r="U127" s="238">
        <v>1</v>
      </c>
      <c r="V127" s="238">
        <f t="shared" ref="V127:V134" si="75">U127*SUM(R127:S127)</f>
        <v>0</v>
      </c>
      <c r="X127" s="238">
        <f t="shared" ref="X127:X134" si="76">IF(AD127&gt;AE127,0,IF(AF127&lt;AG127,P127,IF(AND(AF127&gt;=AG127,AF127&lt;=AE127),(P127-T127),IF(AND(AG127&lt;=AD127,AE127&gt;=AD127),0,IF(AF127&gt;AE127,((AG127-AD127)*12)*Q127,0)))))</f>
        <v>980.98</v>
      </c>
      <c r="Y127" s="238">
        <f t="shared" ref="Y127:Y134" si="77">X127*U127</f>
        <v>980.98</v>
      </c>
      <c r="Z127" s="238">
        <v>1</v>
      </c>
      <c r="AA127" s="238">
        <f t="shared" ref="AA127:AA134" si="78">Y127*Z127</f>
        <v>980.98</v>
      </c>
      <c r="AB127" s="238">
        <f t="shared" ref="AB127:AB134" si="79">IF(O127&gt;0,0,AA127+V127*Z127)*Z127</f>
        <v>980.98</v>
      </c>
      <c r="AC127" s="238">
        <f t="shared" ref="AC127:AC134" si="80">IF(O127&gt;0,(N127-AA127)/2,IF(AD127&gt;=AG127,(((N127*U127)*Z127)-AB127)/2,((((N127*U127)*Z127)-AA127)+(((N127*U127)*Z127)-AB127))/2))</f>
        <v>0</v>
      </c>
      <c r="AD127" s="238">
        <f t="shared" ref="AD127:AD134" si="81">$E127+(($F127-1)/12)</f>
        <v>1991.5833333333333</v>
      </c>
      <c r="AE127" s="238">
        <f t="shared" ref="AE127:AE134" si="82">($P$5+1)-($P$2/12)</f>
        <v>2017</v>
      </c>
      <c r="AF127" s="238">
        <f t="shared" ref="AF127:AF134" si="83">$K127+(($F127-1)/12)</f>
        <v>1996.5833333333333</v>
      </c>
      <c r="AG127" s="238">
        <f t="shared" ref="AG127:AG134" si="84">$P$4+($P$3/12)</f>
        <v>2016</v>
      </c>
      <c r="AH127" s="238">
        <f t="shared" ref="AH127:AH134" si="85">$L127+(($M127-1)/12)</f>
        <v>-8.3333333333333329E-2</v>
      </c>
    </row>
    <row r="128" spans="1:34">
      <c r="B128" s="237" t="s">
        <v>88</v>
      </c>
      <c r="D128" s="237" t="s">
        <v>89</v>
      </c>
      <c r="E128" s="237">
        <v>1991</v>
      </c>
      <c r="F128" s="237">
        <v>12</v>
      </c>
      <c r="I128" s="237" t="s">
        <v>52</v>
      </c>
      <c r="J128" s="237">
        <v>5</v>
      </c>
      <c r="K128" s="237">
        <f t="shared" si="69"/>
        <v>1996</v>
      </c>
      <c r="N128" s="238">
        <v>980.98</v>
      </c>
      <c r="P128" s="238">
        <f t="shared" si="70"/>
        <v>980.98</v>
      </c>
      <c r="Q128" s="238">
        <f t="shared" si="71"/>
        <v>16.349666666666668</v>
      </c>
      <c r="R128" s="238">
        <f t="shared" si="72"/>
        <v>0</v>
      </c>
      <c r="S128" s="238">
        <f t="shared" si="73"/>
        <v>0</v>
      </c>
      <c r="T128" s="238">
        <f t="shared" si="74"/>
        <v>0</v>
      </c>
      <c r="U128" s="238">
        <v>1</v>
      </c>
      <c r="V128" s="238">
        <f t="shared" si="75"/>
        <v>0</v>
      </c>
      <c r="X128" s="238">
        <f t="shared" si="76"/>
        <v>980.98</v>
      </c>
      <c r="Y128" s="238">
        <f t="shared" si="77"/>
        <v>980.98</v>
      </c>
      <c r="Z128" s="238">
        <v>1</v>
      </c>
      <c r="AA128" s="238">
        <f t="shared" si="78"/>
        <v>980.98</v>
      </c>
      <c r="AB128" s="238">
        <f t="shared" si="79"/>
        <v>980.98</v>
      </c>
      <c r="AC128" s="238">
        <f t="shared" si="80"/>
        <v>0</v>
      </c>
      <c r="AD128" s="238">
        <f t="shared" si="81"/>
        <v>1991.9166666666667</v>
      </c>
      <c r="AE128" s="238">
        <f t="shared" si="82"/>
        <v>2017</v>
      </c>
      <c r="AF128" s="238">
        <f t="shared" si="83"/>
        <v>1996.9166666666667</v>
      </c>
      <c r="AG128" s="238">
        <f t="shared" si="84"/>
        <v>2016</v>
      </c>
      <c r="AH128" s="238">
        <f t="shared" si="85"/>
        <v>-8.3333333333333329E-2</v>
      </c>
    </row>
    <row r="129" spans="1:34">
      <c r="A129" s="237">
        <v>6471</v>
      </c>
      <c r="B129" s="237" t="s">
        <v>54</v>
      </c>
      <c r="C129" s="237">
        <v>23</v>
      </c>
      <c r="D129" s="237" t="s">
        <v>232</v>
      </c>
      <c r="E129" s="237">
        <v>1993</v>
      </c>
      <c r="F129" s="237">
        <v>10</v>
      </c>
      <c r="G129" s="237">
        <v>0.2</v>
      </c>
      <c r="I129" s="237" t="s">
        <v>52</v>
      </c>
      <c r="J129" s="237">
        <v>7</v>
      </c>
      <c r="K129" s="237">
        <f t="shared" si="69"/>
        <v>2000</v>
      </c>
      <c r="N129" s="238">
        <v>104498.89</v>
      </c>
      <c r="O129" s="238">
        <v>0</v>
      </c>
      <c r="P129" s="238">
        <f t="shared" si="70"/>
        <v>83599.111999999994</v>
      </c>
      <c r="Q129" s="238">
        <f t="shared" si="71"/>
        <v>995.22752380952363</v>
      </c>
      <c r="R129" s="238">
        <f t="shared" si="72"/>
        <v>0</v>
      </c>
      <c r="S129" s="238">
        <f t="shared" si="73"/>
        <v>0</v>
      </c>
      <c r="T129" s="238">
        <f t="shared" si="74"/>
        <v>0</v>
      </c>
      <c r="U129" s="238">
        <v>1</v>
      </c>
      <c r="V129" s="238">
        <f t="shared" si="75"/>
        <v>0</v>
      </c>
      <c r="X129" s="238">
        <f t="shared" si="76"/>
        <v>83599.111999999994</v>
      </c>
      <c r="Y129" s="238">
        <f t="shared" si="77"/>
        <v>83599.111999999994</v>
      </c>
      <c r="Z129" s="238">
        <v>1</v>
      </c>
      <c r="AA129" s="238">
        <f t="shared" si="78"/>
        <v>83599.111999999994</v>
      </c>
      <c r="AB129" s="238">
        <f t="shared" si="79"/>
        <v>83599.111999999994</v>
      </c>
      <c r="AC129" s="238">
        <f t="shared" si="80"/>
        <v>20899.778000000006</v>
      </c>
      <c r="AD129" s="238">
        <f t="shared" si="81"/>
        <v>1993.75</v>
      </c>
      <c r="AE129" s="238">
        <f t="shared" si="82"/>
        <v>2017</v>
      </c>
      <c r="AF129" s="238">
        <f t="shared" si="83"/>
        <v>2000.75</v>
      </c>
      <c r="AG129" s="238">
        <f t="shared" si="84"/>
        <v>2016</v>
      </c>
      <c r="AH129" s="238">
        <f t="shared" si="85"/>
        <v>-8.3333333333333329E-2</v>
      </c>
    </row>
    <row r="130" spans="1:34">
      <c r="B130" s="237" t="s">
        <v>54</v>
      </c>
      <c r="C130" s="237">
        <v>23</v>
      </c>
      <c r="D130" s="237" t="s">
        <v>73</v>
      </c>
      <c r="E130" s="237">
        <v>2002</v>
      </c>
      <c r="F130" s="237">
        <v>12</v>
      </c>
      <c r="I130" s="237" t="s">
        <v>52</v>
      </c>
      <c r="J130" s="237">
        <v>5</v>
      </c>
      <c r="K130" s="237">
        <f t="shared" si="69"/>
        <v>2007</v>
      </c>
      <c r="N130" s="238">
        <v>6092.8</v>
      </c>
      <c r="O130" s="238">
        <v>0</v>
      </c>
      <c r="P130" s="238">
        <f t="shared" si="70"/>
        <v>6092.8</v>
      </c>
      <c r="Q130" s="238">
        <f t="shared" si="71"/>
        <v>101.54666666666667</v>
      </c>
      <c r="R130" s="238">
        <f t="shared" si="72"/>
        <v>0</v>
      </c>
      <c r="S130" s="238">
        <f t="shared" si="73"/>
        <v>0</v>
      </c>
      <c r="T130" s="238">
        <f t="shared" si="74"/>
        <v>0</v>
      </c>
      <c r="U130" s="238">
        <v>1</v>
      </c>
      <c r="V130" s="238">
        <f t="shared" si="75"/>
        <v>0</v>
      </c>
      <c r="X130" s="238">
        <f t="shared" si="76"/>
        <v>6092.8</v>
      </c>
      <c r="Y130" s="238">
        <f t="shared" si="77"/>
        <v>6092.8</v>
      </c>
      <c r="Z130" s="238">
        <v>1</v>
      </c>
      <c r="AA130" s="238">
        <f t="shared" si="78"/>
        <v>6092.8</v>
      </c>
      <c r="AB130" s="238">
        <f t="shared" si="79"/>
        <v>6092.8</v>
      </c>
      <c r="AC130" s="238">
        <f t="shared" si="80"/>
        <v>0</v>
      </c>
      <c r="AD130" s="238">
        <f t="shared" si="81"/>
        <v>2002.9166666666667</v>
      </c>
      <c r="AE130" s="238">
        <f t="shared" si="82"/>
        <v>2017</v>
      </c>
      <c r="AF130" s="238">
        <f t="shared" si="83"/>
        <v>2007.9166666666667</v>
      </c>
      <c r="AG130" s="238">
        <f t="shared" si="84"/>
        <v>2016</v>
      </c>
      <c r="AH130" s="238">
        <f t="shared" si="85"/>
        <v>-8.3333333333333329E-2</v>
      </c>
    </row>
    <row r="131" spans="1:34">
      <c r="B131" s="237" t="s">
        <v>88</v>
      </c>
      <c r="D131" s="237" t="s">
        <v>167</v>
      </c>
      <c r="E131" s="237">
        <v>2008</v>
      </c>
      <c r="F131" s="237">
        <v>4</v>
      </c>
      <c r="G131" s="237">
        <v>0.2</v>
      </c>
      <c r="I131" s="237" t="s">
        <v>52</v>
      </c>
      <c r="J131" s="237">
        <v>7</v>
      </c>
      <c r="K131" s="237">
        <f t="shared" si="69"/>
        <v>2015</v>
      </c>
      <c r="N131" s="238">
        <v>560.39</v>
      </c>
      <c r="P131" s="238">
        <f t="shared" si="70"/>
        <v>448.31200000000001</v>
      </c>
      <c r="Q131" s="238">
        <f t="shared" si="71"/>
        <v>5.3370476190476195</v>
      </c>
      <c r="R131" s="238">
        <f t="shared" si="72"/>
        <v>0</v>
      </c>
      <c r="S131" s="238">
        <f t="shared" si="73"/>
        <v>0</v>
      </c>
      <c r="T131" s="238">
        <f t="shared" si="74"/>
        <v>0</v>
      </c>
      <c r="U131" s="238">
        <v>1</v>
      </c>
      <c r="V131" s="238">
        <f t="shared" si="75"/>
        <v>0</v>
      </c>
      <c r="X131" s="238">
        <f t="shared" si="76"/>
        <v>448.31200000000001</v>
      </c>
      <c r="Y131" s="238">
        <f t="shared" si="77"/>
        <v>448.31200000000001</v>
      </c>
      <c r="Z131" s="238">
        <v>1</v>
      </c>
      <c r="AA131" s="238">
        <f t="shared" si="78"/>
        <v>448.31200000000001</v>
      </c>
      <c r="AB131" s="238">
        <f t="shared" si="79"/>
        <v>448.31200000000001</v>
      </c>
      <c r="AC131" s="238">
        <f t="shared" si="80"/>
        <v>112.07799999999997</v>
      </c>
      <c r="AD131" s="238">
        <f t="shared" si="81"/>
        <v>2008.25</v>
      </c>
      <c r="AE131" s="238">
        <f t="shared" si="82"/>
        <v>2017</v>
      </c>
      <c r="AF131" s="238">
        <f t="shared" si="83"/>
        <v>2015.25</v>
      </c>
      <c r="AG131" s="238">
        <f t="shared" si="84"/>
        <v>2016</v>
      </c>
      <c r="AH131" s="238">
        <f t="shared" si="85"/>
        <v>-8.3333333333333329E-2</v>
      </c>
    </row>
    <row r="132" spans="1:34">
      <c r="A132" s="237">
        <v>102188</v>
      </c>
      <c r="B132" s="237" t="s">
        <v>88</v>
      </c>
      <c r="C132" s="237">
        <v>624</v>
      </c>
      <c r="D132" s="237" t="s">
        <v>241</v>
      </c>
      <c r="E132" s="237">
        <v>2009</v>
      </c>
      <c r="F132" s="237">
        <v>5</v>
      </c>
      <c r="G132" s="237">
        <v>0.33</v>
      </c>
      <c r="I132" s="237" t="s">
        <v>52</v>
      </c>
      <c r="J132" s="237">
        <v>5</v>
      </c>
      <c r="K132" s="237">
        <f>E132+J132</f>
        <v>2014</v>
      </c>
      <c r="N132" s="238">
        <v>291802</v>
      </c>
      <c r="P132" s="238">
        <f>N132-N132*G132</f>
        <v>195507.34</v>
      </c>
      <c r="Q132" s="238">
        <f>P132/J132/12</f>
        <v>3258.4556666666667</v>
      </c>
      <c r="R132" s="238">
        <f>IF(O132&gt;0,0,IF(OR(AD132&gt;AE132,AF132&lt;AG132),0,IF(AND(AF132&gt;=AG132,AF132&lt;=AE132),Q132*((AF132-AG132)*12),IF(AND(AG132&lt;=AD132,AE132&gt;=AD132),((AE132-AD132)*12)*Q132,IF(AF132&gt;AE132,12*Q132,0)))))</f>
        <v>0</v>
      </c>
      <c r="S132" s="238">
        <f>IF(O132=0,0,IF(AND(AH132&gt;=AG132,AH132&lt;=AF132),((AH132-AG132)*12)*Q132,0))</f>
        <v>0</v>
      </c>
      <c r="T132" s="238">
        <f>IF(S132&gt;0,S132,R132)</f>
        <v>0</v>
      </c>
      <c r="U132" s="238">
        <v>1</v>
      </c>
      <c r="V132" s="238">
        <f>U132*SUM(R132:S132)</f>
        <v>0</v>
      </c>
      <c r="X132" s="238">
        <f>IF(AD132&gt;AE132,0,IF(AF132&lt;AG132,P132,IF(AND(AF132&gt;=AG132,AF132&lt;=AE132),(P132-T132),IF(AND(AG132&lt;=AD132,AE132&gt;=AD132),0,IF(AF132&gt;AE132,((AG132-AD132)*12)*Q132,0)))))</f>
        <v>195507.34</v>
      </c>
      <c r="Y132" s="238">
        <f>X132*U132</f>
        <v>195507.34</v>
      </c>
      <c r="Z132" s="238">
        <v>1</v>
      </c>
      <c r="AA132" s="238">
        <f>Y132*Z132</f>
        <v>195507.34</v>
      </c>
      <c r="AB132" s="238">
        <f>IF(O132&gt;0,0,AA132+V132*Z132)*Z132</f>
        <v>195507.34</v>
      </c>
      <c r="AC132" s="238">
        <f>IF(O132&gt;0,(N132-AA132)/2,IF(AD132&gt;=AG132,(((N132*U132)*Z132)-AB132)/2,((((N132*U132)*Z132)-AA132)+(((N132*U132)*Z132)-AB132))/2))</f>
        <v>96294.66</v>
      </c>
      <c r="AD132" s="238">
        <f>$E132+(($F132-1)/12)</f>
        <v>2009.3333333333333</v>
      </c>
      <c r="AE132" s="238">
        <f>($P$5+1)-($P$2/12)</f>
        <v>2017</v>
      </c>
      <c r="AF132" s="238">
        <f>$K132+(($F132-1)/12)</f>
        <v>2014.3333333333333</v>
      </c>
      <c r="AG132" s="238">
        <f>$P$4+($P$3/12)</f>
        <v>2016</v>
      </c>
      <c r="AH132" s="238">
        <f>$L132+(($M132-1)/12)</f>
        <v>-8.3333333333333329E-2</v>
      </c>
    </row>
    <row r="133" spans="1:34">
      <c r="A133" s="237">
        <v>107117</v>
      </c>
      <c r="B133" s="237" t="s">
        <v>88</v>
      </c>
      <c r="C133" s="237">
        <v>23</v>
      </c>
      <c r="D133" s="237" t="s">
        <v>278</v>
      </c>
      <c r="E133" s="237">
        <v>2013</v>
      </c>
      <c r="F133" s="237">
        <v>8</v>
      </c>
      <c r="G133" s="237">
        <v>0.2</v>
      </c>
      <c r="I133" s="237" t="s">
        <v>52</v>
      </c>
      <c r="J133" s="237">
        <v>7</v>
      </c>
      <c r="K133" s="237">
        <f t="shared" si="69"/>
        <v>2020</v>
      </c>
      <c r="N133" s="238">
        <v>6068.42</v>
      </c>
      <c r="P133" s="238">
        <f t="shared" si="70"/>
        <v>4854.7359999999999</v>
      </c>
      <c r="Q133" s="238">
        <f t="shared" si="71"/>
        <v>57.794476190476189</v>
      </c>
      <c r="R133" s="238">
        <f t="shared" si="72"/>
        <v>693.53371428571427</v>
      </c>
      <c r="S133" s="238">
        <f t="shared" si="73"/>
        <v>0</v>
      </c>
      <c r="T133" s="238">
        <f t="shared" si="74"/>
        <v>693.53371428571427</v>
      </c>
      <c r="U133" s="238">
        <v>1</v>
      </c>
      <c r="V133" s="238">
        <f t="shared" si="75"/>
        <v>693.53371428571427</v>
      </c>
      <c r="X133" s="238">
        <f t="shared" si="76"/>
        <v>1676.039809523862</v>
      </c>
      <c r="Y133" s="238">
        <f t="shared" si="77"/>
        <v>1676.039809523862</v>
      </c>
      <c r="Z133" s="238">
        <v>1</v>
      </c>
      <c r="AA133" s="238">
        <f t="shared" si="78"/>
        <v>1676.039809523862</v>
      </c>
      <c r="AB133" s="238">
        <f t="shared" si="79"/>
        <v>2369.5735238095763</v>
      </c>
      <c r="AC133" s="238">
        <f t="shared" si="80"/>
        <v>4045.6133333332809</v>
      </c>
      <c r="AD133" s="238">
        <f t="shared" si="81"/>
        <v>2013.5833333333333</v>
      </c>
      <c r="AE133" s="238">
        <f t="shared" si="82"/>
        <v>2017</v>
      </c>
      <c r="AF133" s="238">
        <f t="shared" si="83"/>
        <v>2020.5833333333333</v>
      </c>
      <c r="AG133" s="238">
        <f t="shared" si="84"/>
        <v>2016</v>
      </c>
      <c r="AH133" s="238">
        <f t="shared" si="85"/>
        <v>-8.3333333333333329E-2</v>
      </c>
    </row>
    <row r="134" spans="1:34">
      <c r="A134" s="237" t="s">
        <v>424</v>
      </c>
      <c r="D134" s="237" t="s">
        <v>427</v>
      </c>
      <c r="E134" s="237">
        <v>2016</v>
      </c>
      <c r="F134" s="237">
        <v>3</v>
      </c>
      <c r="G134" s="237">
        <v>0</v>
      </c>
      <c r="I134" s="237" t="s">
        <v>52</v>
      </c>
      <c r="J134" s="237">
        <v>1</v>
      </c>
      <c r="K134" s="237">
        <f t="shared" si="69"/>
        <v>2017</v>
      </c>
      <c r="N134" s="238">
        <f>(25892.28+23056.62)/104*2</f>
        <v>941.32499999999993</v>
      </c>
      <c r="P134" s="238">
        <f t="shared" si="70"/>
        <v>941.32499999999993</v>
      </c>
      <c r="Q134" s="238">
        <f t="shared" si="71"/>
        <v>78.443749999999994</v>
      </c>
      <c r="R134" s="238">
        <f t="shared" si="72"/>
        <v>784.4374999999286</v>
      </c>
      <c r="S134" s="238">
        <f t="shared" si="73"/>
        <v>0</v>
      </c>
      <c r="T134" s="238">
        <f t="shared" si="74"/>
        <v>784.4374999999286</v>
      </c>
      <c r="U134" s="238">
        <v>1</v>
      </c>
      <c r="V134" s="238">
        <f t="shared" si="75"/>
        <v>784.4374999999286</v>
      </c>
      <c r="X134" s="238">
        <f t="shared" si="76"/>
        <v>0</v>
      </c>
      <c r="Y134" s="238">
        <f t="shared" si="77"/>
        <v>0</v>
      </c>
      <c r="Z134" s="238">
        <v>1</v>
      </c>
      <c r="AA134" s="238">
        <f t="shared" si="78"/>
        <v>0</v>
      </c>
      <c r="AB134" s="238">
        <f t="shared" si="79"/>
        <v>784.4374999999286</v>
      </c>
      <c r="AC134" s="238">
        <f t="shared" si="80"/>
        <v>78.443750000035664</v>
      </c>
      <c r="AD134" s="238">
        <f t="shared" si="81"/>
        <v>2016.1666666666667</v>
      </c>
      <c r="AE134" s="238">
        <f t="shared" si="82"/>
        <v>2017</v>
      </c>
      <c r="AF134" s="238">
        <f t="shared" si="83"/>
        <v>2017.1666666666667</v>
      </c>
      <c r="AG134" s="238">
        <f t="shared" si="84"/>
        <v>2016</v>
      </c>
      <c r="AH134" s="238">
        <f t="shared" si="85"/>
        <v>-8.3333333333333329E-2</v>
      </c>
    </row>
    <row r="136" spans="1:34" ht="13.5" thickBot="1">
      <c r="D136" s="237" t="s">
        <v>90</v>
      </c>
      <c r="N136" s="238">
        <f>SUM(N127:N135)</f>
        <v>411925.78500000003</v>
      </c>
      <c r="P136" s="238">
        <f t="shared" ref="P136:AC136" si="86">SUM(P127:P135)</f>
        <v>293405.58499999996</v>
      </c>
      <c r="Q136" s="238">
        <f t="shared" si="86"/>
        <v>4529.5044642857147</v>
      </c>
      <c r="R136" s="238">
        <f t="shared" si="86"/>
        <v>1477.9712142856429</v>
      </c>
      <c r="S136" s="238">
        <f t="shared" si="86"/>
        <v>0</v>
      </c>
      <c r="T136" s="238">
        <f t="shared" si="86"/>
        <v>1477.9712142856429</v>
      </c>
      <c r="V136" s="238">
        <f t="shared" si="86"/>
        <v>1477.9712142856429</v>
      </c>
      <c r="W136" s="238">
        <f t="shared" si="86"/>
        <v>0</v>
      </c>
      <c r="X136" s="238">
        <f t="shared" si="86"/>
        <v>289285.56380952382</v>
      </c>
      <c r="Y136" s="238">
        <f t="shared" si="86"/>
        <v>289285.56380952382</v>
      </c>
      <c r="AA136" s="238">
        <f t="shared" si="86"/>
        <v>289285.56380952382</v>
      </c>
      <c r="AB136" s="238">
        <f t="shared" si="86"/>
        <v>290763.53502380947</v>
      </c>
      <c r="AC136" s="238">
        <f t="shared" si="86"/>
        <v>121430.57308333332</v>
      </c>
    </row>
    <row r="137" spans="1:34">
      <c r="C137" s="237" t="s">
        <v>57</v>
      </c>
    </row>
    <row r="138" spans="1:34">
      <c r="D138" s="237" t="s">
        <v>91</v>
      </c>
    </row>
    <row r="139" spans="1:34">
      <c r="B139" s="237" t="s">
        <v>92</v>
      </c>
      <c r="D139" s="237" t="s">
        <v>93</v>
      </c>
      <c r="E139" s="237">
        <v>1990</v>
      </c>
      <c r="F139" s="237">
        <v>5</v>
      </c>
      <c r="I139" s="237" t="s">
        <v>52</v>
      </c>
      <c r="J139" s="237">
        <v>5</v>
      </c>
      <c r="K139" s="237">
        <f>E139+J139</f>
        <v>1995</v>
      </c>
      <c r="N139" s="238">
        <v>5812.79</v>
      </c>
      <c r="P139" s="238">
        <f>N139-N139*G139</f>
        <v>5812.79</v>
      </c>
      <c r="Q139" s="238">
        <f>P139/J139/12</f>
        <v>96.879833333333337</v>
      </c>
      <c r="R139" s="238">
        <f>IF(O139&gt;0,0,IF(OR(AD139&gt;AE139,AF139&lt;AG139),0,IF(AND(AF139&gt;=AG139,AF139&lt;=AE139),Q139*((AF139-AG139)*12),IF(AND(AG139&lt;=AD139,AE139&gt;=AD139),((AE139-AD139)*12)*Q139,IF(AF139&gt;AE139,12*Q139,0)))))</f>
        <v>0</v>
      </c>
      <c r="S139" s="238">
        <f>IF(O139=0,0,IF(AND(AH139&gt;=AG139,AH139&lt;=AF139),((AH139-AG139)*12)*Q139,0))</f>
        <v>0</v>
      </c>
      <c r="T139" s="238">
        <f>IF(S139&gt;0,S139,R139)</f>
        <v>0</v>
      </c>
      <c r="U139" s="238">
        <v>1</v>
      </c>
      <c r="V139" s="238">
        <f>U139*SUM(R139:S139)</f>
        <v>0</v>
      </c>
      <c r="X139" s="238">
        <f>IF(AD139&gt;AE139,0,IF(AF139&lt;AG139,P139,IF(AND(AF139&gt;=AG139,AF139&lt;=AE139),(P139-T139),IF(AND(AG139&lt;=AD139,AE139&gt;=AD139),0,IF(AF139&gt;AE139,((AG139-AD139)*12)*Q139,0)))))</f>
        <v>5812.79</v>
      </c>
      <c r="Y139" s="238">
        <f>X139*U139</f>
        <v>5812.79</v>
      </c>
      <c r="Z139" s="238">
        <v>1</v>
      </c>
      <c r="AA139" s="238">
        <f>Y139*Z139</f>
        <v>5812.79</v>
      </c>
      <c r="AB139" s="238">
        <f>IF(O139&gt;0,0,AA139+V139*Z139)*Z139</f>
        <v>5812.79</v>
      </c>
      <c r="AC139" s="238">
        <f>IF(O139&gt;0,(N139-AA139)/2,IF(AD139&gt;=AG139,(((N139*U139)*Z139)-AB139)/2,((((N139*U139)*Z139)-AA139)+(((N139*U139)*Z139)-AB139))/2))</f>
        <v>0</v>
      </c>
      <c r="AD139" s="238">
        <f>$E139+(($F139-1)/12)</f>
        <v>1990.3333333333333</v>
      </c>
      <c r="AE139" s="238">
        <f t="shared" ref="AE139:AE152" si="87">($P$5+1)-($P$2/12)</f>
        <v>2017</v>
      </c>
      <c r="AF139" s="238">
        <f>$K139+(($F139-1)/12)</f>
        <v>1995.3333333333333</v>
      </c>
      <c r="AG139" s="238">
        <f t="shared" ref="AG139:AG152" si="88">$P$4+($P$3/12)</f>
        <v>2016</v>
      </c>
      <c r="AH139" s="238">
        <f>$L139+(($M139-1)/12)</f>
        <v>-8.3333333333333329E-2</v>
      </c>
    </row>
    <row r="140" spans="1:34">
      <c r="B140" s="237" t="s">
        <v>92</v>
      </c>
      <c r="D140" s="237" t="s">
        <v>70</v>
      </c>
      <c r="E140" s="237">
        <v>1990</v>
      </c>
      <c r="F140" s="237">
        <v>7</v>
      </c>
      <c r="I140" s="237" t="s">
        <v>52</v>
      </c>
      <c r="J140" s="237">
        <v>5</v>
      </c>
      <c r="K140" s="237">
        <f>E140+J140</f>
        <v>1995</v>
      </c>
      <c r="N140" s="238">
        <v>3727.73</v>
      </c>
      <c r="P140" s="238">
        <f>N140-N140*G140</f>
        <v>3727.73</v>
      </c>
      <c r="Q140" s="238">
        <f>P140/J140/12</f>
        <v>62.12883333333334</v>
      </c>
      <c r="R140" s="238">
        <f>IF(O140&gt;0,0,IF(OR(AD140&gt;AE140,AF140&lt;AG140),0,IF(AND(AF140&gt;=AG140,AF140&lt;=AE140),Q140*((AF140-AG140)*12),IF(AND(AG140&lt;=AD140,AE140&gt;=AD140),((AE140-AD140)*12)*Q140,IF(AF140&gt;AE140,12*Q140,0)))))</f>
        <v>0</v>
      </c>
      <c r="S140" s="238">
        <f>IF(O140=0,0,IF(AND(AH140&gt;=AG140,AH140&lt;=AF140),((AH140-AG140)*12)*Q140,0))</f>
        <v>0</v>
      </c>
      <c r="T140" s="238">
        <f>IF(S140&gt;0,S140,R140)</f>
        <v>0</v>
      </c>
      <c r="U140" s="238">
        <v>1</v>
      </c>
      <c r="V140" s="238">
        <f>U140*SUM(R140:S140)</f>
        <v>0</v>
      </c>
      <c r="X140" s="238">
        <f>IF(AD140&gt;AE140,0,IF(AF140&lt;AG140,P140,IF(AND(AF140&gt;=AG140,AF140&lt;=AE140),(P140-T140),IF(AND(AG140&lt;=AD140,AE140&gt;=AD140),0,IF(AF140&gt;AE140,((AG140-AD140)*12)*Q140,0)))))</f>
        <v>3727.73</v>
      </c>
      <c r="Y140" s="238">
        <f>X140*U140</f>
        <v>3727.73</v>
      </c>
      <c r="Z140" s="238">
        <v>1</v>
      </c>
      <c r="AA140" s="238">
        <f>Y140*Z140</f>
        <v>3727.73</v>
      </c>
      <c r="AB140" s="238">
        <f>IF(O140&gt;0,0,AA140+V140*Z140)*Z140</f>
        <v>3727.73</v>
      </c>
      <c r="AC140" s="238">
        <f>IF(O140&gt;0,(N140-AA140)/2,IF(AD140&gt;=AG140,(((N140*U140)*Z140)-AB140)/2,((((N140*U140)*Z140)-AA140)+(((N140*U140)*Z140)-AB140))/2))</f>
        <v>0</v>
      </c>
      <c r="AD140" s="238">
        <f>$E140+(($F140-1)/12)</f>
        <v>1990.5</v>
      </c>
      <c r="AE140" s="238">
        <f t="shared" si="87"/>
        <v>2017</v>
      </c>
      <c r="AF140" s="238">
        <f>$K140+(($F140-1)/12)</f>
        <v>1995.5</v>
      </c>
      <c r="AG140" s="238">
        <f t="shared" si="88"/>
        <v>2016</v>
      </c>
      <c r="AH140" s="238">
        <f>$L140+(($M140-1)/12)</f>
        <v>-8.3333333333333329E-2</v>
      </c>
    </row>
    <row r="141" spans="1:34">
      <c r="A141" s="237">
        <v>28522</v>
      </c>
      <c r="B141" s="237" t="s">
        <v>71</v>
      </c>
      <c r="C141" s="237" t="s">
        <v>94</v>
      </c>
      <c r="D141" s="237" t="s">
        <v>365</v>
      </c>
      <c r="E141" s="237">
        <v>2004</v>
      </c>
      <c r="F141" s="237">
        <v>9</v>
      </c>
      <c r="G141" s="237">
        <v>0.2</v>
      </c>
      <c r="I141" s="237" t="s">
        <v>52</v>
      </c>
      <c r="J141" s="237">
        <v>7</v>
      </c>
      <c r="K141" s="237">
        <f>E141+J141</f>
        <v>2011</v>
      </c>
      <c r="N141" s="238">
        <f>58641.25+8595.55</f>
        <v>67236.800000000003</v>
      </c>
      <c r="P141" s="238">
        <f>N141-N141*G141</f>
        <v>53789.440000000002</v>
      </c>
      <c r="Q141" s="238">
        <f>P141/J141/12</f>
        <v>640.35047619047623</v>
      </c>
      <c r="R141" s="238">
        <f>IF(O141&gt;0,0,IF(OR(AD141&gt;AE141,AF141&lt;AG141),0,IF(AND(AF141&gt;=AG141,AF141&lt;=AE141),Q141*((AF141-AG141)*12),IF(AND(AG141&lt;=AD141,AE141&gt;=AD141),((AE141-AD141)*12)*Q141,IF(AF141&gt;AE141,12*Q141,0)))))</f>
        <v>0</v>
      </c>
      <c r="S141" s="238">
        <f>IF(O141=0,0,IF(AND(AH141&gt;=AG141,AH141&lt;=AF141),((AH141-AG141)*12)*Q141,0))</f>
        <v>0</v>
      </c>
      <c r="T141" s="238">
        <f>IF(S141&gt;0,S141,R141)</f>
        <v>0</v>
      </c>
      <c r="U141" s="238">
        <v>1</v>
      </c>
      <c r="V141" s="238">
        <f>U141*SUM(R141:S141)</f>
        <v>0</v>
      </c>
      <c r="X141" s="238">
        <f>IF(AD141&gt;AE141,0,IF(AF141&lt;AG141,P141,IF(AND(AF141&gt;=AG141,AF141&lt;=AE141),(P141-T141),IF(AND(AG141&lt;=AD141,AE141&gt;=AD141),0,IF(AF141&gt;AE141,((AG141-AD141)*12)*Q141,0)))))</f>
        <v>53789.440000000002</v>
      </c>
      <c r="Y141" s="238">
        <f>X141*U141</f>
        <v>53789.440000000002</v>
      </c>
      <c r="Z141" s="238">
        <v>1</v>
      </c>
      <c r="AA141" s="238">
        <f>Y141*Z141</f>
        <v>53789.440000000002</v>
      </c>
      <c r="AB141" s="238">
        <f>IF(O141&gt;0,0,AA141+V141*Z141)*Z141</f>
        <v>53789.440000000002</v>
      </c>
      <c r="AC141" s="238">
        <f>IF(O141&gt;0,(N141-AA141)/2,IF(AD141&gt;=AG141,(((N141*U141)*Z141)-AB141)/2,((((N141*U141)*Z141)-AA141)+(((N141*U141)*Z141)-AB141))/2))</f>
        <v>13447.36</v>
      </c>
      <c r="AD141" s="238">
        <f>$E141+(($F141-1)/12)</f>
        <v>2004.6666666666667</v>
      </c>
      <c r="AE141" s="238">
        <f t="shared" si="87"/>
        <v>2017</v>
      </c>
      <c r="AF141" s="238">
        <f>$K141+(($F141-1)/12)</f>
        <v>2011.6666666666667</v>
      </c>
      <c r="AG141" s="238">
        <f t="shared" si="88"/>
        <v>2016</v>
      </c>
      <c r="AH141" s="238">
        <f>$L141+(($M141-1)/12)</f>
        <v>-8.3333333333333329E-2</v>
      </c>
    </row>
    <row r="142" spans="1:34">
      <c r="A142" s="237">
        <v>31390</v>
      </c>
      <c r="B142" s="237" t="s">
        <v>92</v>
      </c>
      <c r="C142" s="237">
        <v>806</v>
      </c>
      <c r="D142" s="237" t="s">
        <v>95</v>
      </c>
      <c r="E142" s="237">
        <v>2005</v>
      </c>
      <c r="F142" s="237">
        <v>3</v>
      </c>
      <c r="G142" s="237">
        <v>0.2</v>
      </c>
      <c r="I142" s="237" t="s">
        <v>52</v>
      </c>
      <c r="J142" s="237">
        <v>7</v>
      </c>
      <c r="K142" s="237">
        <f t="shared" ref="K142:K152" si="89">E142+J142</f>
        <v>2012</v>
      </c>
      <c r="N142" s="238">
        <v>198658.47</v>
      </c>
      <c r="P142" s="238">
        <f t="shared" ref="P142:P147" si="90">N142-N142*G142</f>
        <v>158926.77600000001</v>
      </c>
      <c r="Q142" s="238">
        <f t="shared" ref="Q142:Q147" si="91">P142/J142/12</f>
        <v>1891.9854285714289</v>
      </c>
      <c r="R142" s="238">
        <f t="shared" ref="R142:R147" si="92">IF(O142&gt;0,0,IF(OR(AD142&gt;AE142,AF142&lt;AG142),0,IF(AND(AF142&gt;=AG142,AF142&lt;=AE142),Q142*((AF142-AG142)*12),IF(AND(AG142&lt;=AD142,AE142&gt;=AD142),((AE142-AD142)*12)*Q142,IF(AF142&gt;AE142,12*Q142,0)))))</f>
        <v>0</v>
      </c>
      <c r="S142" s="238">
        <f t="shared" ref="S142:S147" si="93">IF(O142=0,0,IF(AND(AH142&gt;=AG142,AH142&lt;=AF142),((AH142-AG142)*12)*Q142,0))</f>
        <v>0</v>
      </c>
      <c r="T142" s="238">
        <f t="shared" ref="T142:T147" si="94">IF(S142&gt;0,S142,R142)</f>
        <v>0</v>
      </c>
      <c r="U142" s="238">
        <v>1</v>
      </c>
      <c r="V142" s="238">
        <f t="shared" ref="V142:V147" si="95">U142*SUM(R142:S142)</f>
        <v>0</v>
      </c>
      <c r="X142" s="238">
        <f t="shared" ref="X142:X147" si="96">IF(AD142&gt;AE142,0,IF(AF142&lt;AG142,P142,IF(AND(AF142&gt;=AG142,AF142&lt;=AE142),(P142-T142),IF(AND(AG142&lt;=AD142,AE142&gt;=AD142),0,IF(AF142&gt;AE142,((AG142-AD142)*12)*Q142,0)))))</f>
        <v>158926.77600000001</v>
      </c>
      <c r="Y142" s="238">
        <f t="shared" ref="Y142:Y147" si="97">X142*U142</f>
        <v>158926.77600000001</v>
      </c>
      <c r="Z142" s="238">
        <v>1</v>
      </c>
      <c r="AA142" s="238">
        <f t="shared" ref="AA142:AA147" si="98">Y142*Z142</f>
        <v>158926.77600000001</v>
      </c>
      <c r="AB142" s="238">
        <f t="shared" ref="AB142:AB147" si="99">IF(O142&gt;0,0,AA142+V142*Z142)*Z142</f>
        <v>158926.77600000001</v>
      </c>
      <c r="AC142" s="238">
        <f t="shared" ref="AC142:AC147" si="100">IF(O142&gt;0,(N142-AA142)/2,IF(AD142&gt;=AG142,(((N142*U142)*Z142)-AB142)/2,((((N142*U142)*Z142)-AA142)+(((N142*U142)*Z142)-AB142))/2))</f>
        <v>39731.693999999989</v>
      </c>
      <c r="AD142" s="238">
        <f t="shared" ref="AD142:AD152" si="101">$E142+(($F142-1)/12)</f>
        <v>2005.1666666666667</v>
      </c>
      <c r="AE142" s="238">
        <f t="shared" si="87"/>
        <v>2017</v>
      </c>
      <c r="AF142" s="238">
        <f t="shared" ref="AF142:AF152" si="102">$K142+(($F142-1)/12)</f>
        <v>2012.1666666666667</v>
      </c>
      <c r="AG142" s="238">
        <f t="shared" si="88"/>
        <v>2016</v>
      </c>
      <c r="AH142" s="238">
        <f t="shared" ref="AH142:AH152" si="103">$L142+(($M142-1)/12)</f>
        <v>-8.3333333333333329E-2</v>
      </c>
    </row>
    <row r="143" spans="1:34">
      <c r="A143" s="237">
        <v>31392</v>
      </c>
      <c r="B143" s="237" t="s">
        <v>92</v>
      </c>
      <c r="C143" s="237">
        <v>808</v>
      </c>
      <c r="D143" s="237" t="s">
        <v>96</v>
      </c>
      <c r="E143" s="237">
        <v>2005</v>
      </c>
      <c r="F143" s="237">
        <v>3</v>
      </c>
      <c r="G143" s="237">
        <v>0.2</v>
      </c>
      <c r="I143" s="237" t="s">
        <v>52</v>
      </c>
      <c r="J143" s="237">
        <v>7</v>
      </c>
      <c r="K143" s="237">
        <f t="shared" si="89"/>
        <v>2012</v>
      </c>
      <c r="N143" s="238">
        <v>202260.86</v>
      </c>
      <c r="P143" s="238">
        <f t="shared" si="90"/>
        <v>161808.68799999999</v>
      </c>
      <c r="Q143" s="238">
        <f t="shared" si="91"/>
        <v>1926.2939047619047</v>
      </c>
      <c r="R143" s="238">
        <f t="shared" si="92"/>
        <v>0</v>
      </c>
      <c r="S143" s="238">
        <f t="shared" si="93"/>
        <v>0</v>
      </c>
      <c r="T143" s="238">
        <f t="shared" si="94"/>
        <v>0</v>
      </c>
      <c r="U143" s="238">
        <v>1</v>
      </c>
      <c r="V143" s="238">
        <f t="shared" si="95"/>
        <v>0</v>
      </c>
      <c r="X143" s="238">
        <f t="shared" si="96"/>
        <v>161808.68799999999</v>
      </c>
      <c r="Y143" s="238">
        <f t="shared" si="97"/>
        <v>161808.68799999999</v>
      </c>
      <c r="Z143" s="238">
        <v>1</v>
      </c>
      <c r="AA143" s="238">
        <f t="shared" si="98"/>
        <v>161808.68799999999</v>
      </c>
      <c r="AB143" s="238">
        <f t="shared" si="99"/>
        <v>161808.68799999999</v>
      </c>
      <c r="AC143" s="238">
        <f t="shared" si="100"/>
        <v>40452.171999999991</v>
      </c>
      <c r="AD143" s="238">
        <f t="shared" si="101"/>
        <v>2005.1666666666667</v>
      </c>
      <c r="AE143" s="238">
        <f t="shared" si="87"/>
        <v>2017</v>
      </c>
      <c r="AF143" s="238">
        <f t="shared" si="102"/>
        <v>2012.1666666666667</v>
      </c>
      <c r="AG143" s="238">
        <f t="shared" si="88"/>
        <v>2016</v>
      </c>
      <c r="AH143" s="238">
        <f t="shared" si="103"/>
        <v>-8.3333333333333329E-2</v>
      </c>
    </row>
    <row r="144" spans="1:34">
      <c r="A144" s="237">
        <v>31394</v>
      </c>
      <c r="B144" s="237" t="s">
        <v>92</v>
      </c>
      <c r="C144" s="237">
        <v>810</v>
      </c>
      <c r="D144" s="237" t="s">
        <v>95</v>
      </c>
      <c r="E144" s="237">
        <v>2005</v>
      </c>
      <c r="F144" s="237">
        <v>3</v>
      </c>
      <c r="G144" s="237">
        <v>0.2</v>
      </c>
      <c r="I144" s="237" t="s">
        <v>52</v>
      </c>
      <c r="J144" s="237">
        <v>7</v>
      </c>
      <c r="K144" s="237">
        <f t="shared" si="89"/>
        <v>2012</v>
      </c>
      <c r="N144" s="238">
        <v>198658.47</v>
      </c>
      <c r="P144" s="238">
        <f t="shared" si="90"/>
        <v>158926.77600000001</v>
      </c>
      <c r="Q144" s="238">
        <f t="shared" si="91"/>
        <v>1891.9854285714289</v>
      </c>
      <c r="R144" s="238">
        <f t="shared" si="92"/>
        <v>0</v>
      </c>
      <c r="S144" s="238">
        <f t="shared" si="93"/>
        <v>0</v>
      </c>
      <c r="T144" s="238">
        <f t="shared" si="94"/>
        <v>0</v>
      </c>
      <c r="U144" s="238">
        <v>1</v>
      </c>
      <c r="V144" s="238">
        <f t="shared" si="95"/>
        <v>0</v>
      </c>
      <c r="X144" s="238">
        <f t="shared" si="96"/>
        <v>158926.77600000001</v>
      </c>
      <c r="Y144" s="238">
        <f t="shared" si="97"/>
        <v>158926.77600000001</v>
      </c>
      <c r="Z144" s="238">
        <v>1</v>
      </c>
      <c r="AA144" s="238">
        <f t="shared" si="98"/>
        <v>158926.77600000001</v>
      </c>
      <c r="AB144" s="238">
        <f t="shared" si="99"/>
        <v>158926.77600000001</v>
      </c>
      <c r="AC144" s="238">
        <f t="shared" si="100"/>
        <v>39731.693999999989</v>
      </c>
      <c r="AD144" s="238">
        <f t="shared" si="101"/>
        <v>2005.1666666666667</v>
      </c>
      <c r="AE144" s="238">
        <f t="shared" si="87"/>
        <v>2017</v>
      </c>
      <c r="AF144" s="238">
        <f t="shared" si="102"/>
        <v>2012.1666666666667</v>
      </c>
      <c r="AG144" s="238">
        <f t="shared" si="88"/>
        <v>2016</v>
      </c>
      <c r="AH144" s="238">
        <f t="shared" si="103"/>
        <v>-8.3333333333333329E-2</v>
      </c>
    </row>
    <row r="145" spans="1:34">
      <c r="B145" s="237" t="s">
        <v>92</v>
      </c>
      <c r="D145" s="237" t="s">
        <v>165</v>
      </c>
      <c r="E145" s="237">
        <v>2008</v>
      </c>
      <c r="F145" s="237">
        <v>3</v>
      </c>
      <c r="G145" s="237">
        <v>0.2</v>
      </c>
      <c r="I145" s="237" t="s">
        <v>52</v>
      </c>
      <c r="J145" s="237">
        <v>7</v>
      </c>
      <c r="K145" s="237">
        <f t="shared" si="89"/>
        <v>2015</v>
      </c>
      <c r="N145" s="238">
        <v>2980.8</v>
      </c>
      <c r="P145" s="238">
        <f t="shared" si="90"/>
        <v>2384.6400000000003</v>
      </c>
      <c r="Q145" s="238">
        <f t="shared" si="91"/>
        <v>28.388571428571435</v>
      </c>
      <c r="R145" s="238">
        <f t="shared" si="92"/>
        <v>0</v>
      </c>
      <c r="S145" s="238">
        <f t="shared" si="93"/>
        <v>0</v>
      </c>
      <c r="T145" s="238">
        <f t="shared" si="94"/>
        <v>0</v>
      </c>
      <c r="U145" s="238">
        <v>1</v>
      </c>
      <c r="V145" s="238">
        <f t="shared" si="95"/>
        <v>0</v>
      </c>
      <c r="X145" s="238">
        <f t="shared" si="96"/>
        <v>2384.6400000000003</v>
      </c>
      <c r="Y145" s="238">
        <f t="shared" si="97"/>
        <v>2384.6400000000003</v>
      </c>
      <c r="Z145" s="238">
        <v>1</v>
      </c>
      <c r="AA145" s="238">
        <f t="shared" si="98"/>
        <v>2384.6400000000003</v>
      </c>
      <c r="AB145" s="238">
        <f t="shared" si="99"/>
        <v>2384.6400000000003</v>
      </c>
      <c r="AC145" s="238">
        <f t="shared" si="100"/>
        <v>596.15999999999985</v>
      </c>
      <c r="AD145" s="238">
        <f t="shared" si="101"/>
        <v>2008.1666666666667</v>
      </c>
      <c r="AE145" s="238">
        <f t="shared" si="87"/>
        <v>2017</v>
      </c>
      <c r="AF145" s="238">
        <f t="shared" si="102"/>
        <v>2015.1666666666667</v>
      </c>
      <c r="AG145" s="238">
        <f t="shared" si="88"/>
        <v>2016</v>
      </c>
      <c r="AH145" s="238">
        <f t="shared" si="103"/>
        <v>-8.3333333333333329E-2</v>
      </c>
    </row>
    <row r="146" spans="1:34">
      <c r="A146" s="237">
        <v>109254</v>
      </c>
      <c r="B146" s="237" t="s">
        <v>301</v>
      </c>
      <c r="C146" s="237">
        <v>132</v>
      </c>
      <c r="D146" s="237" t="s">
        <v>302</v>
      </c>
      <c r="E146" s="237">
        <v>2010</v>
      </c>
      <c r="F146" s="237">
        <v>7</v>
      </c>
      <c r="G146" s="237">
        <v>0.33</v>
      </c>
      <c r="I146" s="237" t="s">
        <v>52</v>
      </c>
      <c r="J146" s="237">
        <v>5</v>
      </c>
      <c r="K146" s="237">
        <f>E146+J146</f>
        <v>2015</v>
      </c>
      <c r="N146" s="238">
        <v>46580</v>
      </c>
      <c r="P146" s="238">
        <f>N146-N146*G146</f>
        <v>31208.6</v>
      </c>
      <c r="Q146" s="238">
        <f>P146/J146/12</f>
        <v>520.14333333333332</v>
      </c>
      <c r="R146" s="238">
        <f>IF(O146&gt;0,0,IF(OR(AD146&gt;AE146,AF146&lt;AG146),0,IF(AND(AF146&gt;=AG146,AF146&lt;=AE146),Q146*((AF146-AG146)*12),IF(AND(AG146&lt;=AD146,AE146&gt;=AD146),((AE146-AD146)*12)*Q146,IF(AF146&gt;AE146,12*Q146,0)))))</f>
        <v>0</v>
      </c>
      <c r="S146" s="238">
        <f>IF(O146=0,0,IF(AND(AH146&gt;=AG146,AH146&lt;=AF146),((AH146-AG146)*12)*Q146,0))</f>
        <v>0</v>
      </c>
      <c r="T146" s="238">
        <f>IF(S146&gt;0,S146,R146)</f>
        <v>0</v>
      </c>
      <c r="U146" s="238">
        <v>1</v>
      </c>
      <c r="V146" s="238">
        <f>U146*SUM(R146:S146)</f>
        <v>0</v>
      </c>
      <c r="X146" s="238">
        <f>IF(AD146&gt;AE146,0,IF(AF146&lt;AG146,P146,IF(AND(AF146&gt;=AG146,AF146&lt;=AE146),(P146-T146),IF(AND(AG146&lt;=AD146,AE146&gt;=AD146),0,IF(AF146&gt;AE146,((AG146-AD146)*12)*Q146,0)))))</f>
        <v>31208.6</v>
      </c>
      <c r="Y146" s="238">
        <f>X146*U146</f>
        <v>31208.6</v>
      </c>
      <c r="Z146" s="238">
        <v>1</v>
      </c>
      <c r="AA146" s="238">
        <f>Y146*Z146</f>
        <v>31208.6</v>
      </c>
      <c r="AB146" s="238">
        <f>IF(O146&gt;0,0,AA146+V146*Z146)*Z146</f>
        <v>31208.6</v>
      </c>
      <c r="AC146" s="238">
        <f>IF(O146&gt;0,(N146-AA146)/2,IF(AD146&gt;=AG146,(((N146*U146)*Z146)-AB146)/2,((((N146*U146)*Z146)-AA146)+(((N146*U146)*Z146)-AB146))/2))</f>
        <v>15371.400000000001</v>
      </c>
      <c r="AD146" s="238">
        <f>$E146+(($F146-1)/12)</f>
        <v>2010.5</v>
      </c>
      <c r="AE146" s="238">
        <f t="shared" si="87"/>
        <v>2017</v>
      </c>
      <c r="AF146" s="238">
        <f>$K146+(($F146-1)/12)</f>
        <v>2015.5</v>
      </c>
      <c r="AG146" s="238">
        <f t="shared" si="88"/>
        <v>2016</v>
      </c>
      <c r="AH146" s="238">
        <f>$L146+(($M146-1)/12)</f>
        <v>-8.3333333333333329E-2</v>
      </c>
    </row>
    <row r="147" spans="1:34">
      <c r="C147" s="237">
        <v>4</v>
      </c>
      <c r="D147" s="237" t="s">
        <v>214</v>
      </c>
      <c r="E147" s="237">
        <v>2010</v>
      </c>
      <c r="F147" s="237">
        <v>7</v>
      </c>
      <c r="G147" s="237">
        <v>0.2</v>
      </c>
      <c r="I147" s="237" t="s">
        <v>52</v>
      </c>
      <c r="J147" s="237">
        <v>7</v>
      </c>
      <c r="K147" s="237">
        <f t="shared" si="89"/>
        <v>2017</v>
      </c>
      <c r="N147" s="238">
        <f>1119.82+1119.82</f>
        <v>2239.64</v>
      </c>
      <c r="P147" s="238">
        <f t="shared" si="90"/>
        <v>1791.712</v>
      </c>
      <c r="Q147" s="238">
        <f t="shared" si="91"/>
        <v>21.329904761904761</v>
      </c>
      <c r="R147" s="238">
        <f t="shared" si="92"/>
        <v>255.95885714285714</v>
      </c>
      <c r="S147" s="238">
        <f t="shared" si="93"/>
        <v>0</v>
      </c>
      <c r="T147" s="238">
        <f t="shared" si="94"/>
        <v>255.95885714285714</v>
      </c>
      <c r="U147" s="238">
        <v>1</v>
      </c>
      <c r="V147" s="238">
        <f t="shared" si="95"/>
        <v>255.95885714285714</v>
      </c>
      <c r="X147" s="238">
        <f t="shared" si="96"/>
        <v>1407.7737142857143</v>
      </c>
      <c r="Y147" s="238">
        <f t="shared" si="97"/>
        <v>1407.7737142857143</v>
      </c>
      <c r="Z147" s="238">
        <v>1</v>
      </c>
      <c r="AA147" s="238">
        <f t="shared" si="98"/>
        <v>1407.7737142857143</v>
      </c>
      <c r="AB147" s="238">
        <f t="shared" si="99"/>
        <v>1663.7325714285714</v>
      </c>
      <c r="AC147" s="238">
        <f t="shared" si="100"/>
        <v>703.88685714285702</v>
      </c>
      <c r="AD147" s="238">
        <f t="shared" si="101"/>
        <v>2010.5</v>
      </c>
      <c r="AE147" s="238">
        <f t="shared" si="87"/>
        <v>2017</v>
      </c>
      <c r="AF147" s="238">
        <f t="shared" si="102"/>
        <v>2017.5</v>
      </c>
      <c r="AG147" s="238">
        <f t="shared" si="88"/>
        <v>2016</v>
      </c>
      <c r="AH147" s="238">
        <f t="shared" si="103"/>
        <v>-8.3333333333333329E-2</v>
      </c>
    </row>
    <row r="148" spans="1:34">
      <c r="A148" s="237">
        <v>99657</v>
      </c>
      <c r="B148" s="237" t="s">
        <v>92</v>
      </c>
      <c r="C148" s="237">
        <v>822</v>
      </c>
      <c r="D148" s="237" t="s">
        <v>242</v>
      </c>
      <c r="E148" s="237">
        <v>2012</v>
      </c>
      <c r="F148" s="237">
        <v>12</v>
      </c>
      <c r="G148" s="237">
        <v>0.2</v>
      </c>
      <c r="I148" s="237" t="s">
        <v>52</v>
      </c>
      <c r="J148" s="237">
        <v>7</v>
      </c>
      <c r="K148" s="237">
        <f t="shared" si="89"/>
        <v>2019</v>
      </c>
      <c r="N148" s="238">
        <v>313664.14</v>
      </c>
      <c r="P148" s="238">
        <f>N148-N148*G148</f>
        <v>250931.31200000001</v>
      </c>
      <c r="Q148" s="238">
        <f>P148/J148/12</f>
        <v>2987.2775238095237</v>
      </c>
      <c r="R148" s="238">
        <f>IF(O148&gt;0,0,IF(OR(AD148&gt;AE148,AF148&lt;AG148),0,IF(AND(AF148&gt;=AG148,AF148&lt;=AE148),Q148*((AF148-AG148)*12),IF(AND(AG148&lt;=AD148,AE148&gt;=AD148),((AE148-AD148)*12)*Q148,IF(AF148&gt;AE148,12*Q148,0)))))</f>
        <v>35847.330285714284</v>
      </c>
      <c r="S148" s="238">
        <f>IF(O148=0,0,IF(AND(AH148&gt;=AG148,AH148&lt;=AF148),((AH148-AG148)*12)*Q148,0))</f>
        <v>0</v>
      </c>
      <c r="T148" s="238">
        <f>IF(S148&gt;0,S148,R148)</f>
        <v>35847.330285714284</v>
      </c>
      <c r="U148" s="238">
        <v>1</v>
      </c>
      <c r="V148" s="238">
        <f>U148*SUM(R148:S148)</f>
        <v>35847.330285714284</v>
      </c>
      <c r="X148" s="238">
        <f>IF(AD148&gt;AE148,0,IF(AF148&lt;AG148,P148,IF(AND(AF148&gt;=AG148,AF148&lt;=AE148),(P148-T148),IF(AND(AG148&lt;=AD148,AE148&gt;=AD148),0,IF(AF148&gt;AE148,((AG148-AD148)*12)*Q148,0)))))</f>
        <v>110529.26838094967</v>
      </c>
      <c r="Y148" s="238">
        <f>X148*U148</f>
        <v>110529.26838094967</v>
      </c>
      <c r="Z148" s="238">
        <v>1</v>
      </c>
      <c r="AA148" s="238">
        <f>Y148*Z148</f>
        <v>110529.26838094967</v>
      </c>
      <c r="AB148" s="238">
        <f>IF(O148&gt;0,0,AA148+V148*Z148)*Z148</f>
        <v>146376.59866666395</v>
      </c>
      <c r="AC148" s="238">
        <f>IF(O148&gt;0,(N148-AA148)/2,IF(AD148&gt;=AG148,(((N148*U148)*Z148)-AB148)/2,((((N148*U148)*Z148)-AA148)+(((N148*U148)*Z148)-AB148))/2))</f>
        <v>185211.20647619321</v>
      </c>
      <c r="AD148" s="238">
        <f t="shared" si="101"/>
        <v>2012.9166666666667</v>
      </c>
      <c r="AE148" s="238">
        <f t="shared" si="87"/>
        <v>2017</v>
      </c>
      <c r="AF148" s="238">
        <f t="shared" si="102"/>
        <v>2019.9166666666667</v>
      </c>
      <c r="AG148" s="238">
        <f t="shared" si="88"/>
        <v>2016</v>
      </c>
      <c r="AH148" s="238">
        <f t="shared" si="103"/>
        <v>-8.3333333333333329E-2</v>
      </c>
    </row>
    <row r="149" spans="1:34">
      <c r="A149" s="237">
        <v>110968</v>
      </c>
      <c r="B149" s="237" t="s">
        <v>92</v>
      </c>
      <c r="C149" s="237">
        <v>825</v>
      </c>
      <c r="D149" s="237" t="s">
        <v>312</v>
      </c>
      <c r="E149" s="237">
        <v>2014</v>
      </c>
      <c r="F149" s="237">
        <v>2</v>
      </c>
      <c r="G149" s="237">
        <v>0.2</v>
      </c>
      <c r="I149" s="237" t="s">
        <v>52</v>
      </c>
      <c r="J149" s="237">
        <v>7</v>
      </c>
      <c r="K149" s="237">
        <f t="shared" si="89"/>
        <v>2021</v>
      </c>
      <c r="N149" s="238">
        <v>318992.86</v>
      </c>
      <c r="P149" s="238">
        <f>N149-N149*G149</f>
        <v>255194.288</v>
      </c>
      <c r="Q149" s="238">
        <f>P149/J149/12</f>
        <v>3038.0272380952379</v>
      </c>
      <c r="R149" s="238">
        <f>IF(O149&gt;0,0,IF(OR(AD149&gt;AE149,AF149&lt;AG149),0,IF(AND(AF149&gt;=AG149,AF149&lt;=AE149),Q149*((AF149-AG149)*12),IF(AND(AG149&lt;=AD149,AE149&gt;=AD149),((AE149-AD149)*12)*Q149,IF(AF149&gt;AE149,12*Q149,0)))))</f>
        <v>36456.326857142856</v>
      </c>
      <c r="S149" s="238">
        <f>IF(O149=0,0,IF(AND(AH149&gt;=AG149,AH149&lt;=AF149),((AH149-AG149)*12)*Q149,0))</f>
        <v>0</v>
      </c>
      <c r="T149" s="238">
        <f>IF(S149&gt;0,S149,R149)</f>
        <v>36456.326857142856</v>
      </c>
      <c r="U149" s="238">
        <v>1</v>
      </c>
      <c r="V149" s="238">
        <f>U149*SUM(R149:S149)</f>
        <v>36456.326857142856</v>
      </c>
      <c r="X149" s="238">
        <f>IF(AD149&gt;AE149,0,IF(AF149&lt;AG149,P149,IF(AND(AF149&gt;=AG149,AF149&lt;=AE149),(P149-T149),IF(AND(AG149&lt;=AD149,AE149&gt;=AD149),0,IF(AF149&gt;AE149,((AG149-AD149)*12)*Q149,0)))))</f>
        <v>69874.62647619324</v>
      </c>
      <c r="Y149" s="238">
        <f>X149*U149</f>
        <v>69874.62647619324</v>
      </c>
      <c r="Z149" s="238">
        <v>1</v>
      </c>
      <c r="AA149" s="238">
        <f>Y149*Z149</f>
        <v>69874.62647619324</v>
      </c>
      <c r="AB149" s="238">
        <f>IF(O149&gt;0,0,AA149+V149*Z149)*Z149</f>
        <v>106330.9533333361</v>
      </c>
      <c r="AC149" s="238">
        <f>IF(O149&gt;0,(N149-AA149)/2,IF(AD149&gt;=AG149,(((N149*U149)*Z149)-AB149)/2,((((N149*U149)*Z149)-AA149)+(((N149*U149)*Z149)-AB149))/2))</f>
        <v>230890.07009523531</v>
      </c>
      <c r="AD149" s="238">
        <f t="shared" si="101"/>
        <v>2014.0833333333333</v>
      </c>
      <c r="AE149" s="238">
        <f t="shared" si="87"/>
        <v>2017</v>
      </c>
      <c r="AF149" s="238">
        <f t="shared" si="102"/>
        <v>2021.0833333333333</v>
      </c>
      <c r="AG149" s="238">
        <f t="shared" si="88"/>
        <v>2016</v>
      </c>
      <c r="AH149" s="238">
        <f t="shared" si="103"/>
        <v>-8.3333333333333329E-2</v>
      </c>
    </row>
    <row r="150" spans="1:34">
      <c r="A150" s="237">
        <v>116566</v>
      </c>
      <c r="B150" s="237" t="s">
        <v>92</v>
      </c>
      <c r="C150" s="237">
        <v>826</v>
      </c>
      <c r="D150" s="237" t="s">
        <v>318</v>
      </c>
      <c r="E150" s="237">
        <v>2014</v>
      </c>
      <c r="F150" s="237">
        <v>10</v>
      </c>
      <c r="G150" s="237">
        <v>0.2</v>
      </c>
      <c r="I150" s="237" t="s">
        <v>52</v>
      </c>
      <c r="J150" s="237">
        <v>7</v>
      </c>
      <c r="K150" s="237">
        <f t="shared" si="89"/>
        <v>2021</v>
      </c>
      <c r="N150" s="238">
        <v>325033.65999999997</v>
      </c>
      <c r="P150" s="238">
        <f>N150-N150*G150</f>
        <v>260026.92799999999</v>
      </c>
      <c r="Q150" s="238">
        <f>P150/J150/12</f>
        <v>3095.5586666666663</v>
      </c>
      <c r="R150" s="238">
        <f>IF(O150&gt;0,0,IF(OR(AD150&gt;AE150,AF150&lt;AG150),0,IF(AND(AF150&gt;=AG150,AF150&lt;=AE150),Q150*((AF150-AG150)*12),IF(AND(AG150&lt;=AD150,AE150&gt;=AD150),((AE150-AD150)*12)*Q150,IF(AF150&gt;AE150,12*Q150,0)))))</f>
        <v>37146.703999999998</v>
      </c>
      <c r="S150" s="238">
        <f>IF(O150=0,0,IF(AND(AH150&gt;=AG150,AH150&lt;=AF150),((AH150-AG150)*12)*Q150,0))</f>
        <v>0</v>
      </c>
      <c r="T150" s="238">
        <f>IF(S150&gt;0,S150,R150)</f>
        <v>37146.703999999998</v>
      </c>
      <c r="U150" s="238">
        <v>1</v>
      </c>
      <c r="V150" s="238">
        <f>U150*SUM(R150:S150)</f>
        <v>37146.703999999998</v>
      </c>
      <c r="X150" s="238">
        <f>IF(AD150&gt;AE150,0,IF(AF150&lt;AG150,P150,IF(AND(AF150&gt;=AG150,AF150&lt;=AE150),(P150-T150),IF(AND(AG150&lt;=AD150,AE150&gt;=AD150),0,IF(AF150&gt;AE150,((AG150-AD150)*12)*Q150,0)))))</f>
        <v>46433.38</v>
      </c>
      <c r="Y150" s="238">
        <f>X150*U150</f>
        <v>46433.38</v>
      </c>
      <c r="Z150" s="238">
        <v>1</v>
      </c>
      <c r="AA150" s="238">
        <f>Y150*Z150</f>
        <v>46433.38</v>
      </c>
      <c r="AB150" s="238">
        <f>IF(O150&gt;0,0,AA150+V150*Z150)*Z150</f>
        <v>83580.084000000003</v>
      </c>
      <c r="AC150" s="238">
        <f>IF(O150&gt;0,(N150-AA150)/2,IF(AD150&gt;=AG150,(((N150*U150)*Z150)-AB150)/2,((((N150*U150)*Z150)-AA150)+(((N150*U150)*Z150)-AB150))/2))</f>
        <v>260026.92799999996</v>
      </c>
      <c r="AD150" s="238">
        <f t="shared" si="101"/>
        <v>2014.75</v>
      </c>
      <c r="AE150" s="238">
        <f t="shared" si="87"/>
        <v>2017</v>
      </c>
      <c r="AF150" s="238">
        <f t="shared" si="102"/>
        <v>2021.75</v>
      </c>
      <c r="AG150" s="238">
        <f t="shared" si="88"/>
        <v>2016</v>
      </c>
      <c r="AH150" s="238">
        <f t="shared" si="103"/>
        <v>-8.3333333333333329E-2</v>
      </c>
    </row>
    <row r="151" spans="1:34">
      <c r="A151" s="237">
        <v>121030</v>
      </c>
      <c r="B151" s="237" t="s">
        <v>92</v>
      </c>
      <c r="C151" s="237">
        <v>806</v>
      </c>
      <c r="D151" s="237" t="s">
        <v>331</v>
      </c>
      <c r="E151" s="237">
        <v>2015</v>
      </c>
      <c r="F151" s="237">
        <v>2</v>
      </c>
      <c r="G151" s="237">
        <v>0</v>
      </c>
      <c r="I151" s="237" t="s">
        <v>52</v>
      </c>
      <c r="J151" s="237">
        <v>3</v>
      </c>
      <c r="K151" s="237">
        <f t="shared" si="89"/>
        <v>2018</v>
      </c>
      <c r="N151" s="238">
        <v>7364.29</v>
      </c>
      <c r="P151" s="238">
        <f>N151-N151*G151</f>
        <v>7364.29</v>
      </c>
      <c r="Q151" s="238">
        <f>P151/J151/12</f>
        <v>204.5636111111111</v>
      </c>
      <c r="R151" s="238">
        <f>IF(O151&gt;0,0,IF(OR(AD151&gt;AE151,AF151&lt;AG151),0,IF(AND(AF151&gt;=AG151,AF151&lt;=AE151),Q151*((AF151-AG151)*12),IF(AND(AG151&lt;=AD151,AE151&gt;=AD151),((AE151-AD151)*12)*Q151,IF(AF151&gt;AE151,12*Q151,0)))))</f>
        <v>2454.7633333333333</v>
      </c>
      <c r="S151" s="238">
        <f>IF(O151=0,0,IF(AND(AH151&gt;=AG151,AH151&lt;=AF151),((AH151-AG151)*12)*Q151,0))</f>
        <v>0</v>
      </c>
      <c r="T151" s="238">
        <f>IF(S151&gt;0,S151,R151)</f>
        <v>2454.7633333333333</v>
      </c>
      <c r="U151" s="238">
        <v>1</v>
      </c>
      <c r="V151" s="238">
        <f>U151*SUM(R151:S151)</f>
        <v>2454.7633333333333</v>
      </c>
      <c r="X151" s="238">
        <f>IF(AD151&gt;AE151,0,IF(AF151&lt;AG151,P151,IF(AND(AF151&gt;=AG151,AF151&lt;=AE151),(P151-T151),IF(AND(AG151&lt;=AD151,AE151&gt;=AD151),0,IF(AF151&gt;AE151,((AG151-AD151)*12)*Q151,0)))))</f>
        <v>2250.1997222224081</v>
      </c>
      <c r="Y151" s="238">
        <f>X151*U151</f>
        <v>2250.1997222224081</v>
      </c>
      <c r="Z151" s="238">
        <v>1</v>
      </c>
      <c r="AA151" s="238">
        <f>Y151*Z151</f>
        <v>2250.1997222224081</v>
      </c>
      <c r="AB151" s="238">
        <f>IF(O151&gt;0,0,AA151+V151*Z151)*Z151</f>
        <v>4704.9630555557414</v>
      </c>
      <c r="AC151" s="238">
        <f>IF(O151&gt;0,(N151-AA151)/2,IF(AD151&gt;=AG151,(((N151*U151)*Z151)-AB151)/2,((((N151*U151)*Z151)-AA151)+(((N151*U151)*Z151)-AB151))/2))</f>
        <v>3886.7086111109252</v>
      </c>
      <c r="AD151" s="238">
        <f t="shared" si="101"/>
        <v>2015.0833333333333</v>
      </c>
      <c r="AE151" s="238">
        <f t="shared" si="87"/>
        <v>2017</v>
      </c>
      <c r="AF151" s="238">
        <f t="shared" si="102"/>
        <v>2018.0833333333333</v>
      </c>
      <c r="AG151" s="238">
        <f t="shared" si="88"/>
        <v>2016</v>
      </c>
      <c r="AH151" s="238">
        <f t="shared" si="103"/>
        <v>-8.3333333333333329E-2</v>
      </c>
    </row>
    <row r="152" spans="1:34">
      <c r="A152" s="237" t="s">
        <v>424</v>
      </c>
      <c r="D152" s="237" t="s">
        <v>428</v>
      </c>
      <c r="E152" s="237">
        <v>2016</v>
      </c>
      <c r="F152" s="237">
        <v>3</v>
      </c>
      <c r="G152" s="237">
        <v>0</v>
      </c>
      <c r="I152" s="237" t="s">
        <v>52</v>
      </c>
      <c r="J152" s="237">
        <v>1</v>
      </c>
      <c r="K152" s="237">
        <f t="shared" si="89"/>
        <v>2017</v>
      </c>
      <c r="N152" s="238">
        <f>(25892.28+23056.62)/104*8</f>
        <v>3765.2999999999997</v>
      </c>
      <c r="P152" s="238">
        <f>N152-N152*G152</f>
        <v>3765.2999999999997</v>
      </c>
      <c r="Q152" s="238">
        <f>P152/J152/12</f>
        <v>313.77499999999998</v>
      </c>
      <c r="R152" s="238">
        <f>IF(O152&gt;0,0,IF(OR(AD152&gt;AE152,AF152&lt;AG152),0,IF(AND(AF152&gt;=AG152,AF152&lt;=AE152),Q152*((AF152-AG152)*12),IF(AND(AG152&lt;=AD152,AE152&gt;=AD152),((AE152-AD152)*12)*Q152,IF(AF152&gt;AE152,12*Q152,0)))))</f>
        <v>3137.7499999997144</v>
      </c>
      <c r="S152" s="238">
        <f>IF(O152=0,0,IF(AND(AH152&gt;=AG152,AH152&lt;=AF152),((AH152-AG152)*12)*Q152,0))</f>
        <v>0</v>
      </c>
      <c r="T152" s="238">
        <f>IF(S152&gt;0,S152,R152)</f>
        <v>3137.7499999997144</v>
      </c>
      <c r="U152" s="238">
        <v>1</v>
      </c>
      <c r="V152" s="238">
        <f>U152*SUM(R152:S152)</f>
        <v>3137.7499999997144</v>
      </c>
      <c r="X152" s="238">
        <f>IF(AD152&gt;AE152,0,IF(AF152&lt;AG152,P152,IF(AND(AF152&gt;=AG152,AF152&lt;=AE152),(P152-T152),IF(AND(AG152&lt;=AD152,AE152&gt;=AD152),0,IF(AF152&gt;AE152,((AG152-AD152)*12)*Q152,0)))))</f>
        <v>0</v>
      </c>
      <c r="Y152" s="238">
        <f>X152*U152</f>
        <v>0</v>
      </c>
      <c r="Z152" s="238">
        <v>1</v>
      </c>
      <c r="AA152" s="238">
        <f>Y152*Z152</f>
        <v>0</v>
      </c>
      <c r="AB152" s="238">
        <f>IF(O152&gt;0,0,AA152+V152*Z152)*Z152</f>
        <v>3137.7499999997144</v>
      </c>
      <c r="AC152" s="238">
        <f>IF(O152&gt;0,(N152-AA152)/2,IF(AD152&gt;=AG152,(((N152*U152)*Z152)-AB152)/2,((((N152*U152)*Z152)-AA152)+(((N152*U152)*Z152)-AB152))/2))</f>
        <v>313.77500000014265</v>
      </c>
      <c r="AD152" s="238">
        <f t="shared" si="101"/>
        <v>2016.1666666666667</v>
      </c>
      <c r="AE152" s="238">
        <f t="shared" si="87"/>
        <v>2017</v>
      </c>
      <c r="AF152" s="238">
        <f t="shared" si="102"/>
        <v>2017.1666666666667</v>
      </c>
      <c r="AG152" s="238">
        <f t="shared" si="88"/>
        <v>2016</v>
      </c>
      <c r="AH152" s="238">
        <f t="shared" si="103"/>
        <v>-8.3333333333333329E-2</v>
      </c>
    </row>
    <row r="154" spans="1:34" ht="13.5" thickBot="1">
      <c r="D154" s="237" t="s">
        <v>97</v>
      </c>
      <c r="N154" s="238">
        <f>SUM(N139:N153)</f>
        <v>1696975.81</v>
      </c>
      <c r="P154" s="238">
        <f>SUM(P139:P153)</f>
        <v>1355659.2700000003</v>
      </c>
      <c r="Q154" s="238">
        <f>SUM(Q139:Q153)</f>
        <v>16718.687753968254</v>
      </c>
      <c r="R154" s="238">
        <f>SUM(R139:R153)</f>
        <v>115298.83333333304</v>
      </c>
      <c r="S154" s="238">
        <f>SUM(S139:S153)</f>
        <v>0</v>
      </c>
      <c r="T154" s="238">
        <f>SUM(T139:T153)</f>
        <v>115298.83333333304</v>
      </c>
      <c r="V154" s="238">
        <f>SUM(V139:V153)</f>
        <v>115298.83333333304</v>
      </c>
      <c r="AA154" s="238">
        <f>SUM(AA139:AA153)</f>
        <v>807080.68829365086</v>
      </c>
      <c r="AB154" s="238">
        <f>SUM(AB139:AB153)</f>
        <v>922379.521626984</v>
      </c>
      <c r="AC154" s="238">
        <f>SUM(AC139:AC153)</f>
        <v>830363.05503968231</v>
      </c>
    </row>
    <row r="156" spans="1:34">
      <c r="D156" s="237" t="s">
        <v>98</v>
      </c>
    </row>
    <row r="158" spans="1:34">
      <c r="B158" s="237" t="s">
        <v>99</v>
      </c>
      <c r="D158" s="237" t="s">
        <v>168</v>
      </c>
      <c r="E158" s="237">
        <v>2008</v>
      </c>
      <c r="F158" s="237">
        <v>3</v>
      </c>
      <c r="G158" s="237">
        <v>0.2</v>
      </c>
      <c r="I158" s="237" t="s">
        <v>52</v>
      </c>
      <c r="J158" s="237">
        <v>7</v>
      </c>
      <c r="K158" s="237">
        <f t="shared" ref="K158:K163" si="104">E158+J158</f>
        <v>2015</v>
      </c>
      <c r="N158" s="238">
        <f>560.39*3</f>
        <v>1681.17</v>
      </c>
      <c r="P158" s="238">
        <f t="shared" ref="P158:P165" si="105">N158-N158*G158</f>
        <v>1344.9360000000001</v>
      </c>
      <c r="Q158" s="238">
        <f t="shared" ref="Q158:Q165" si="106">P158/J158/12</f>
        <v>16.011142857142861</v>
      </c>
      <c r="R158" s="238">
        <f t="shared" ref="R158:R165" si="107">IF(O158&gt;0,0,IF(OR(AD158&gt;AE158,AF158&lt;AG158),0,IF(AND(AF158&gt;=AG158,AF158&lt;=AE158),Q158*((AF158-AG158)*12),IF(AND(AG158&lt;=AD158,AE158&gt;=AD158),((AE158-AD158)*12)*Q158,IF(AF158&gt;AE158,12*Q158,0)))))</f>
        <v>0</v>
      </c>
      <c r="S158" s="238">
        <f t="shared" ref="S158:S165" si="108">IF(O158=0,0,IF(AND(AH158&gt;=AG158,AH158&lt;=AF158),((AH158-AG158)*12)*Q158,0))</f>
        <v>0</v>
      </c>
      <c r="T158" s="238">
        <f t="shared" ref="T158:T165" si="109">IF(S158&gt;0,S158,R158)</f>
        <v>0</v>
      </c>
      <c r="U158" s="238">
        <v>1</v>
      </c>
      <c r="V158" s="238">
        <f t="shared" ref="V158:V165" si="110">U158*SUM(R158:S158)</f>
        <v>0</v>
      </c>
      <c r="X158" s="238">
        <f t="shared" ref="X158:X165" si="111">IF(AD158&gt;AE158,0,IF(AF158&lt;AG158,P158,IF(AND(AF158&gt;=AG158,AF158&lt;=AE158),(P158-T158),IF(AND(AG158&lt;=AD158,AE158&gt;=AD158),0,IF(AF158&gt;AE158,((AG158-AD158)*12)*Q158,0)))))</f>
        <v>1344.9360000000001</v>
      </c>
      <c r="Y158" s="238">
        <f t="shared" ref="Y158:Y165" si="112">X158*U158</f>
        <v>1344.9360000000001</v>
      </c>
      <c r="Z158" s="238">
        <v>1</v>
      </c>
      <c r="AA158" s="238">
        <f t="shared" ref="AA158:AA165" si="113">Y158*Z158</f>
        <v>1344.9360000000001</v>
      </c>
      <c r="AB158" s="238">
        <f t="shared" ref="AB158:AB165" si="114">IF(O158&gt;0,0,AA158+V158*Z158)*Z158</f>
        <v>1344.9360000000001</v>
      </c>
      <c r="AC158" s="238">
        <f t="shared" ref="AC158:AC165" si="115">IF(O158&gt;0,(N158-AA158)/2,IF(AD158&gt;=AG158,(((N158*U158)*Z158)-AB158)/2,((((N158*U158)*Z158)-AA158)+(((N158*U158)*Z158)-AB158))/2))</f>
        <v>336.23399999999992</v>
      </c>
      <c r="AD158" s="238">
        <f t="shared" ref="AD158:AD165" si="116">$E158+(($F158-1)/12)</f>
        <v>2008.1666666666667</v>
      </c>
      <c r="AE158" s="238">
        <f t="shared" ref="AE158:AE165" si="117">($P$5+1)-($P$2/12)</f>
        <v>2017</v>
      </c>
      <c r="AF158" s="238">
        <f t="shared" ref="AF158:AF165" si="118">$K158+(($F158-1)/12)</f>
        <v>2015.1666666666667</v>
      </c>
      <c r="AG158" s="238">
        <f t="shared" ref="AG158:AG165" si="119">$P$4+($P$3/12)</f>
        <v>2016</v>
      </c>
      <c r="AH158" s="238">
        <f t="shared" ref="AH158:AH165" si="120">$L158+(($M158-1)/12)</f>
        <v>-8.3333333333333329E-2</v>
      </c>
    </row>
    <row r="159" spans="1:34">
      <c r="A159" s="237">
        <v>58436</v>
      </c>
      <c r="B159" s="237" t="s">
        <v>171</v>
      </c>
      <c r="C159" s="237">
        <v>814</v>
      </c>
      <c r="D159" s="237" t="s">
        <v>178</v>
      </c>
      <c r="E159" s="237">
        <v>2008</v>
      </c>
      <c r="F159" s="237">
        <v>6</v>
      </c>
      <c r="G159" s="237">
        <v>0.2</v>
      </c>
      <c r="I159" s="237" t="s">
        <v>52</v>
      </c>
      <c r="J159" s="237">
        <v>7</v>
      </c>
      <c r="K159" s="237">
        <f t="shared" si="104"/>
        <v>2015</v>
      </c>
      <c r="N159" s="238">
        <f>232760.51</f>
        <v>232760.51</v>
      </c>
      <c r="P159" s="238">
        <f t="shared" si="105"/>
        <v>186208.408</v>
      </c>
      <c r="Q159" s="238">
        <f t="shared" si="106"/>
        <v>2216.766761904762</v>
      </c>
      <c r="R159" s="238">
        <f t="shared" si="107"/>
        <v>0</v>
      </c>
      <c r="S159" s="238">
        <f t="shared" si="108"/>
        <v>0</v>
      </c>
      <c r="T159" s="238">
        <f t="shared" si="109"/>
        <v>0</v>
      </c>
      <c r="U159" s="238">
        <v>1</v>
      </c>
      <c r="V159" s="238">
        <f t="shared" si="110"/>
        <v>0</v>
      </c>
      <c r="X159" s="238">
        <f t="shared" si="111"/>
        <v>186208.408</v>
      </c>
      <c r="Y159" s="238">
        <f t="shared" si="112"/>
        <v>186208.408</v>
      </c>
      <c r="Z159" s="238">
        <v>1</v>
      </c>
      <c r="AA159" s="238">
        <f t="shared" si="113"/>
        <v>186208.408</v>
      </c>
      <c r="AB159" s="238">
        <f t="shared" si="114"/>
        <v>186208.408</v>
      </c>
      <c r="AC159" s="238">
        <f t="shared" si="115"/>
        <v>46552.102000000014</v>
      </c>
      <c r="AD159" s="238">
        <f t="shared" si="116"/>
        <v>2008.4166666666667</v>
      </c>
      <c r="AE159" s="238">
        <f t="shared" si="117"/>
        <v>2017</v>
      </c>
      <c r="AF159" s="238">
        <f t="shared" si="118"/>
        <v>2015.4166666666667</v>
      </c>
      <c r="AG159" s="238">
        <f t="shared" si="119"/>
        <v>2016</v>
      </c>
      <c r="AH159" s="238">
        <f t="shared" si="120"/>
        <v>-8.3333333333333329E-2</v>
      </c>
    </row>
    <row r="160" spans="1:34">
      <c r="A160" s="237">
        <v>75879</v>
      </c>
      <c r="B160" s="237" t="s">
        <v>99</v>
      </c>
      <c r="C160" s="237">
        <v>820</v>
      </c>
      <c r="D160" s="237" t="s">
        <v>203</v>
      </c>
      <c r="E160" s="237">
        <v>2010</v>
      </c>
      <c r="F160" s="237">
        <v>7</v>
      </c>
      <c r="G160" s="237">
        <v>0.2</v>
      </c>
      <c r="I160" s="237" t="s">
        <v>52</v>
      </c>
      <c r="J160" s="237">
        <v>7</v>
      </c>
      <c r="K160" s="237">
        <f t="shared" si="104"/>
        <v>2017</v>
      </c>
      <c r="N160" s="238">
        <f>277646.47+1916.25</f>
        <v>279562.71999999997</v>
      </c>
      <c r="P160" s="238">
        <f t="shared" si="105"/>
        <v>223650.17599999998</v>
      </c>
      <c r="Q160" s="238">
        <f t="shared" si="106"/>
        <v>2662.5020952380951</v>
      </c>
      <c r="R160" s="238">
        <f t="shared" si="107"/>
        <v>31950.025142857143</v>
      </c>
      <c r="S160" s="238">
        <f t="shared" si="108"/>
        <v>0</v>
      </c>
      <c r="T160" s="238">
        <f t="shared" si="109"/>
        <v>31950.025142857143</v>
      </c>
      <c r="U160" s="238">
        <v>1</v>
      </c>
      <c r="V160" s="238">
        <f t="shared" si="110"/>
        <v>31950.025142857143</v>
      </c>
      <c r="X160" s="238">
        <f t="shared" si="111"/>
        <v>175725.13828571429</v>
      </c>
      <c r="Y160" s="238">
        <f t="shared" si="112"/>
        <v>175725.13828571429</v>
      </c>
      <c r="Z160" s="238">
        <v>1</v>
      </c>
      <c r="AA160" s="238">
        <f t="shared" si="113"/>
        <v>175725.13828571429</v>
      </c>
      <c r="AB160" s="238">
        <f t="shared" si="114"/>
        <v>207675.16342857142</v>
      </c>
      <c r="AC160" s="238">
        <f t="shared" si="115"/>
        <v>87862.569142857115</v>
      </c>
      <c r="AD160" s="238">
        <f t="shared" si="116"/>
        <v>2010.5</v>
      </c>
      <c r="AE160" s="238">
        <f t="shared" si="117"/>
        <v>2017</v>
      </c>
      <c r="AF160" s="238">
        <f t="shared" si="118"/>
        <v>2017.5</v>
      </c>
      <c r="AG160" s="238">
        <f t="shared" si="119"/>
        <v>2016</v>
      </c>
      <c r="AH160" s="238">
        <f t="shared" si="120"/>
        <v>-8.3333333333333329E-2</v>
      </c>
    </row>
    <row r="161" spans="1:34">
      <c r="B161" s="237" t="s">
        <v>99</v>
      </c>
      <c r="D161" s="237" t="s">
        <v>224</v>
      </c>
      <c r="E161" s="237">
        <v>2011</v>
      </c>
      <c r="F161" s="237">
        <v>1</v>
      </c>
      <c r="G161" s="237">
        <v>0.2</v>
      </c>
      <c r="I161" s="237" t="s">
        <v>52</v>
      </c>
      <c r="J161" s="237">
        <v>7</v>
      </c>
      <c r="K161" s="237">
        <f t="shared" si="104"/>
        <v>2018</v>
      </c>
      <c r="N161" s="238">
        <f>6260.49/11*5</f>
        <v>2845.6772727272728</v>
      </c>
      <c r="P161" s="238">
        <f t="shared" si="105"/>
        <v>2276.5418181818181</v>
      </c>
      <c r="Q161" s="238">
        <f t="shared" si="106"/>
        <v>27.10168831168831</v>
      </c>
      <c r="R161" s="238">
        <f t="shared" si="107"/>
        <v>325.22025974025973</v>
      </c>
      <c r="S161" s="238">
        <f t="shared" si="108"/>
        <v>0</v>
      </c>
      <c r="T161" s="238">
        <f t="shared" si="109"/>
        <v>325.22025974025973</v>
      </c>
      <c r="U161" s="238">
        <v>1</v>
      </c>
      <c r="V161" s="238">
        <f t="shared" si="110"/>
        <v>325.22025974025973</v>
      </c>
      <c r="X161" s="238">
        <f t="shared" si="111"/>
        <v>1626.1012987012987</v>
      </c>
      <c r="Y161" s="238">
        <f t="shared" si="112"/>
        <v>1626.1012987012987</v>
      </c>
      <c r="Z161" s="238">
        <v>1</v>
      </c>
      <c r="AA161" s="238">
        <f t="shared" si="113"/>
        <v>1626.1012987012987</v>
      </c>
      <c r="AB161" s="238">
        <f t="shared" si="114"/>
        <v>1951.3215584415584</v>
      </c>
      <c r="AC161" s="238">
        <f t="shared" si="115"/>
        <v>1056.9658441558443</v>
      </c>
      <c r="AD161" s="238">
        <f t="shared" si="116"/>
        <v>2011</v>
      </c>
      <c r="AE161" s="238">
        <f t="shared" si="117"/>
        <v>2017</v>
      </c>
      <c r="AF161" s="238">
        <f t="shared" si="118"/>
        <v>2018</v>
      </c>
      <c r="AG161" s="238">
        <f t="shared" si="119"/>
        <v>2016</v>
      </c>
      <c r="AH161" s="238">
        <f t="shared" si="120"/>
        <v>-8.3333333333333329E-2</v>
      </c>
    </row>
    <row r="162" spans="1:34">
      <c r="A162" s="237">
        <v>122580</v>
      </c>
      <c r="B162" s="237" t="s">
        <v>99</v>
      </c>
      <c r="C162" s="237">
        <v>831</v>
      </c>
      <c r="D162" s="237" t="s">
        <v>332</v>
      </c>
      <c r="E162" s="237">
        <v>2015</v>
      </c>
      <c r="F162" s="237">
        <v>5</v>
      </c>
      <c r="G162" s="237">
        <v>0.2</v>
      </c>
      <c r="I162" s="237" t="s">
        <v>52</v>
      </c>
      <c r="J162" s="237">
        <v>7</v>
      </c>
      <c r="K162" s="237">
        <f t="shared" si="104"/>
        <v>2022</v>
      </c>
      <c r="N162" s="238">
        <v>326336.78000000003</v>
      </c>
      <c r="P162" s="238">
        <f t="shared" si="105"/>
        <v>261069.42400000003</v>
      </c>
      <c r="Q162" s="238">
        <f t="shared" si="106"/>
        <v>3107.9693333333339</v>
      </c>
      <c r="R162" s="238">
        <f t="shared" si="107"/>
        <v>37295.632000000005</v>
      </c>
      <c r="S162" s="238">
        <f t="shared" si="108"/>
        <v>0</v>
      </c>
      <c r="T162" s="238">
        <f t="shared" si="109"/>
        <v>37295.632000000005</v>
      </c>
      <c r="U162" s="238">
        <v>1</v>
      </c>
      <c r="V162" s="238">
        <f t="shared" si="110"/>
        <v>37295.632000000005</v>
      </c>
      <c r="X162" s="238">
        <f t="shared" si="111"/>
        <v>24863.754666669498</v>
      </c>
      <c r="Y162" s="238">
        <f t="shared" si="112"/>
        <v>24863.754666669498</v>
      </c>
      <c r="Z162" s="238">
        <v>1</v>
      </c>
      <c r="AA162" s="238">
        <f t="shared" si="113"/>
        <v>24863.754666669498</v>
      </c>
      <c r="AB162" s="238">
        <f t="shared" si="114"/>
        <v>62159.386666669503</v>
      </c>
      <c r="AC162" s="238">
        <f t="shared" si="115"/>
        <v>282825.20933333051</v>
      </c>
      <c r="AD162" s="238">
        <f t="shared" si="116"/>
        <v>2015.3333333333333</v>
      </c>
      <c r="AE162" s="238">
        <f t="shared" si="117"/>
        <v>2017</v>
      </c>
      <c r="AF162" s="238">
        <f t="shared" si="118"/>
        <v>2022.3333333333333</v>
      </c>
      <c r="AG162" s="238">
        <f t="shared" si="119"/>
        <v>2016</v>
      </c>
      <c r="AH162" s="238">
        <f t="shared" si="120"/>
        <v>-8.3333333333333329E-2</v>
      </c>
    </row>
    <row r="163" spans="1:34">
      <c r="A163" s="237" t="s">
        <v>424</v>
      </c>
      <c r="D163" s="237" t="s">
        <v>426</v>
      </c>
      <c r="E163" s="237">
        <v>2016</v>
      </c>
      <c r="F163" s="237">
        <v>3</v>
      </c>
      <c r="G163" s="237">
        <v>0</v>
      </c>
      <c r="I163" s="237" t="s">
        <v>52</v>
      </c>
      <c r="J163" s="237">
        <v>1</v>
      </c>
      <c r="K163" s="237">
        <f t="shared" si="104"/>
        <v>2017</v>
      </c>
      <c r="N163" s="238">
        <f>(25892.28+23056.62)/104*5</f>
        <v>2353.3125</v>
      </c>
      <c r="P163" s="238">
        <f t="shared" si="105"/>
        <v>2353.3125</v>
      </c>
      <c r="Q163" s="238">
        <f t="shared" si="106"/>
        <v>196.109375</v>
      </c>
      <c r="R163" s="238">
        <f t="shared" si="107"/>
        <v>1961.0937499998217</v>
      </c>
      <c r="S163" s="238">
        <f t="shared" si="108"/>
        <v>0</v>
      </c>
      <c r="T163" s="238">
        <f t="shared" si="109"/>
        <v>1961.0937499998217</v>
      </c>
      <c r="U163" s="238">
        <v>1</v>
      </c>
      <c r="V163" s="238">
        <f t="shared" si="110"/>
        <v>1961.0937499998217</v>
      </c>
      <c r="X163" s="238">
        <f t="shared" si="111"/>
        <v>0</v>
      </c>
      <c r="Y163" s="238">
        <f t="shared" si="112"/>
        <v>0</v>
      </c>
      <c r="Z163" s="238">
        <v>1</v>
      </c>
      <c r="AA163" s="238">
        <f t="shared" si="113"/>
        <v>0</v>
      </c>
      <c r="AB163" s="238">
        <f t="shared" si="114"/>
        <v>1961.0937499998217</v>
      </c>
      <c r="AC163" s="238">
        <f t="shared" si="115"/>
        <v>196.10937500008913</v>
      </c>
      <c r="AD163" s="238">
        <f t="shared" si="116"/>
        <v>2016.1666666666667</v>
      </c>
      <c r="AE163" s="238">
        <f t="shared" si="117"/>
        <v>2017</v>
      </c>
      <c r="AF163" s="238">
        <f t="shared" si="118"/>
        <v>2017.1666666666667</v>
      </c>
      <c r="AG163" s="238">
        <f t="shared" si="119"/>
        <v>2016</v>
      </c>
      <c r="AH163" s="238">
        <f t="shared" si="120"/>
        <v>-8.3333333333333329E-2</v>
      </c>
    </row>
    <row r="164" spans="1:34">
      <c r="A164" s="237">
        <v>132074</v>
      </c>
      <c r="B164" s="237" t="s">
        <v>99</v>
      </c>
      <c r="C164" s="237">
        <v>837</v>
      </c>
      <c r="D164" s="237" t="s">
        <v>395</v>
      </c>
      <c r="E164" s="237">
        <v>2016</v>
      </c>
      <c r="F164" s="237">
        <v>4</v>
      </c>
      <c r="G164" s="237">
        <v>0</v>
      </c>
      <c r="I164" s="237" t="s">
        <v>52</v>
      </c>
      <c r="J164" s="237">
        <v>10</v>
      </c>
      <c r="K164" s="237">
        <f>E164+J164</f>
        <v>2026</v>
      </c>
      <c r="N164" s="238">
        <v>327729.76</v>
      </c>
      <c r="P164" s="238">
        <f t="shared" si="105"/>
        <v>327729.76</v>
      </c>
      <c r="Q164" s="238">
        <f t="shared" si="106"/>
        <v>2731.0813333333335</v>
      </c>
      <c r="R164" s="238">
        <f t="shared" si="107"/>
        <v>24579.732000000004</v>
      </c>
      <c r="S164" s="238">
        <f t="shared" si="108"/>
        <v>0</v>
      </c>
      <c r="T164" s="238">
        <f t="shared" si="109"/>
        <v>24579.732000000004</v>
      </c>
      <c r="U164" s="238">
        <v>1</v>
      </c>
      <c r="V164" s="238">
        <f t="shared" si="110"/>
        <v>24579.732000000004</v>
      </c>
      <c r="X164" s="238">
        <f t="shared" si="111"/>
        <v>0</v>
      </c>
      <c r="Y164" s="238">
        <f t="shared" si="112"/>
        <v>0</v>
      </c>
      <c r="Z164" s="238">
        <v>1</v>
      </c>
      <c r="AA164" s="238">
        <f t="shared" si="113"/>
        <v>0</v>
      </c>
      <c r="AB164" s="238">
        <f t="shared" si="114"/>
        <v>24579.732000000004</v>
      </c>
      <c r="AC164" s="238">
        <f t="shared" si="115"/>
        <v>151575.014</v>
      </c>
      <c r="AD164" s="238">
        <f t="shared" si="116"/>
        <v>2016.25</v>
      </c>
      <c r="AE164" s="238">
        <f t="shared" si="117"/>
        <v>2017</v>
      </c>
      <c r="AF164" s="238">
        <f t="shared" si="118"/>
        <v>2026.25</v>
      </c>
      <c r="AG164" s="238">
        <f t="shared" si="119"/>
        <v>2016</v>
      </c>
      <c r="AH164" s="238">
        <f t="shared" si="120"/>
        <v>-8.3333333333333329E-2</v>
      </c>
    </row>
    <row r="165" spans="1:34">
      <c r="A165" s="237">
        <v>166834</v>
      </c>
      <c r="C165" s="237">
        <v>812</v>
      </c>
      <c r="D165" s="237" t="s">
        <v>408</v>
      </c>
      <c r="E165" s="237">
        <v>2016</v>
      </c>
      <c r="F165" s="237">
        <v>7</v>
      </c>
      <c r="G165" s="237">
        <v>0</v>
      </c>
      <c r="I165" s="237" t="s">
        <v>52</v>
      </c>
      <c r="J165" s="237">
        <v>3</v>
      </c>
      <c r="K165" s="237">
        <f>E165+J165</f>
        <v>2019</v>
      </c>
      <c r="N165" s="238">
        <v>25528.62</v>
      </c>
      <c r="P165" s="238">
        <f t="shared" si="105"/>
        <v>25528.62</v>
      </c>
      <c r="Q165" s="238">
        <f t="shared" si="106"/>
        <v>709.12833333333322</v>
      </c>
      <c r="R165" s="238">
        <f t="shared" si="107"/>
        <v>4254.7699999999995</v>
      </c>
      <c r="S165" s="238">
        <f t="shared" si="108"/>
        <v>0</v>
      </c>
      <c r="T165" s="238">
        <f t="shared" si="109"/>
        <v>4254.7699999999995</v>
      </c>
      <c r="U165" s="238">
        <v>1</v>
      </c>
      <c r="V165" s="238">
        <f t="shared" si="110"/>
        <v>4254.7699999999995</v>
      </c>
      <c r="X165" s="238">
        <f t="shared" si="111"/>
        <v>0</v>
      </c>
      <c r="Y165" s="238">
        <f t="shared" si="112"/>
        <v>0</v>
      </c>
      <c r="Z165" s="238">
        <v>1</v>
      </c>
      <c r="AA165" s="238">
        <f t="shared" si="113"/>
        <v>0</v>
      </c>
      <c r="AB165" s="238">
        <f t="shared" si="114"/>
        <v>4254.7699999999995</v>
      </c>
      <c r="AC165" s="238">
        <f t="shared" si="115"/>
        <v>10636.924999999999</v>
      </c>
      <c r="AD165" s="238">
        <f t="shared" si="116"/>
        <v>2016.5</v>
      </c>
      <c r="AE165" s="238">
        <f t="shared" si="117"/>
        <v>2017</v>
      </c>
      <c r="AF165" s="238">
        <f t="shared" si="118"/>
        <v>2019.5</v>
      </c>
      <c r="AG165" s="238">
        <f t="shared" si="119"/>
        <v>2016</v>
      </c>
      <c r="AH165" s="238">
        <f t="shared" si="120"/>
        <v>-8.3333333333333329E-2</v>
      </c>
    </row>
    <row r="167" spans="1:34" ht="13.5" thickBot="1">
      <c r="D167" s="237" t="s">
        <v>100</v>
      </c>
      <c r="N167" s="238">
        <f>SUM(N157:N166)</f>
        <v>1198798.5497727273</v>
      </c>
      <c r="P167" s="238">
        <f>SUM(P157:P166)</f>
        <v>1030161.1783181818</v>
      </c>
      <c r="Q167" s="238">
        <f>SUM(Q157:Q166)</f>
        <v>11666.670063311689</v>
      </c>
      <c r="R167" s="238">
        <f>SUM(R157:R166)</f>
        <v>100366.47315259725</v>
      </c>
      <c r="S167" s="238">
        <f>SUM(S157:S166)</f>
        <v>0</v>
      </c>
      <c r="T167" s="238">
        <f>SUM(T157:T166)</f>
        <v>100366.47315259725</v>
      </c>
      <c r="V167" s="238">
        <f>SUM(V157:V166)</f>
        <v>100366.47315259725</v>
      </c>
      <c r="W167" s="238">
        <f>SUM(W157:W166)</f>
        <v>0</v>
      </c>
      <c r="X167" s="238">
        <f>SUM(X157:X166)</f>
        <v>389768.33825108502</v>
      </c>
      <c r="Y167" s="238">
        <f>SUM(Y157:Y166)</f>
        <v>389768.33825108502</v>
      </c>
      <c r="AA167" s="238">
        <f>SUM(AA157:AA166)</f>
        <v>389768.33825108502</v>
      </c>
      <c r="AB167" s="238">
        <f>SUM(AB157:AB166)</f>
        <v>490134.81140368234</v>
      </c>
      <c r="AC167" s="238">
        <f>SUM(AC157:AC166)</f>
        <v>581041.12869534362</v>
      </c>
    </row>
    <row r="169" spans="1:34">
      <c r="D169" s="237" t="s">
        <v>161</v>
      </c>
    </row>
    <row r="170" spans="1:34">
      <c r="B170" s="237" t="s">
        <v>72</v>
      </c>
      <c r="D170" s="237" t="s">
        <v>148</v>
      </c>
      <c r="E170" s="237">
        <v>2006</v>
      </c>
      <c r="F170" s="237">
        <v>6</v>
      </c>
      <c r="G170" s="237">
        <v>0.33</v>
      </c>
      <c r="I170" s="237" t="s">
        <v>52</v>
      </c>
      <c r="J170" s="237">
        <v>5</v>
      </c>
      <c r="K170" s="237">
        <f>E170+J170</f>
        <v>2011</v>
      </c>
      <c r="N170" s="238">
        <v>2720</v>
      </c>
      <c r="P170" s="238">
        <f>N170-N170*G170</f>
        <v>1822.4</v>
      </c>
      <c r="Q170" s="238">
        <f>P170/J170/12</f>
        <v>30.373333333333335</v>
      </c>
      <c r="R170" s="238">
        <f>IF(O170&gt;0,0,IF(OR(AD170&gt;AE170,AF170&lt;AG170),0,IF(AND(AF170&gt;=AG170,AF170&lt;=AE170),Q170*((AF170-AG170)*12),IF(AND(AG170&lt;=AD170,AE170&gt;=AD170),((AE170-AD170)*12)*Q170,IF(AF170&gt;AE170,12*Q170,0)))))</f>
        <v>0</v>
      </c>
      <c r="S170" s="238">
        <f>IF(O170=0,0,IF(AND(AH170&gt;=AG170,AH170&lt;=AF170),((AH170-AG170)*12)*Q170,0))</f>
        <v>0</v>
      </c>
      <c r="T170" s="238">
        <f>IF(S170&gt;0,S170,R170)</f>
        <v>0</v>
      </c>
      <c r="U170" s="238">
        <v>1</v>
      </c>
      <c r="V170" s="238">
        <f>U170*SUM(R170:S170)</f>
        <v>0</v>
      </c>
      <c r="X170" s="238">
        <f>IF(AD170&gt;AE170,0,IF(AF170&lt;AG170,P170,IF(AND(AF170&gt;=AG170,AF170&lt;=AE170),(P170-T170),IF(AND(AG170&lt;=AD170,AE170&gt;=AD170),0,IF(AF170&gt;AE170,((AG170-AD170)*12)*Q170,0)))))</f>
        <v>1822.4</v>
      </c>
      <c r="Y170" s="238">
        <f>X170*U170</f>
        <v>1822.4</v>
      </c>
      <c r="Z170" s="238">
        <v>1</v>
      </c>
      <c r="AA170" s="238">
        <f>Y170*Z170</f>
        <v>1822.4</v>
      </c>
      <c r="AB170" s="238">
        <f>IF(O170&gt;0,0,AA170+V170*Z170)*Z170</f>
        <v>1822.4</v>
      </c>
      <c r="AC170" s="238">
        <f>IF(O170&gt;0,(N170-AA170)/2,IF(AD170&gt;=AG170,(((N170*U170)*Z170)-AB170)/2,((((N170*U170)*Z170)-AA170)+(((N170*U170)*Z170)-AB170))/2))</f>
        <v>897.59999999999991</v>
      </c>
      <c r="AD170" s="238">
        <f>$E170+(($F170-1)/12)</f>
        <v>2006.4166666666667</v>
      </c>
      <c r="AE170" s="238">
        <f>($P$5+1)-($P$2/12)</f>
        <v>2017</v>
      </c>
      <c r="AF170" s="238">
        <f>$K170+(($F170-1)/12)</f>
        <v>2011.4166666666667</v>
      </c>
      <c r="AG170" s="238">
        <f>$P$4+($P$3/12)</f>
        <v>2016</v>
      </c>
      <c r="AH170" s="238">
        <f>$L170+(($M170-1)/12)</f>
        <v>-8.3333333333333329E-2</v>
      </c>
    </row>
    <row r="171" spans="1:34">
      <c r="B171" s="237" t="s">
        <v>72</v>
      </c>
      <c r="C171" s="237" t="s">
        <v>228</v>
      </c>
      <c r="D171" s="237" t="s">
        <v>248</v>
      </c>
      <c r="E171" s="237">
        <v>2010</v>
      </c>
      <c r="F171" s="237">
        <v>4</v>
      </c>
      <c r="G171" s="237">
        <v>0.2</v>
      </c>
      <c r="I171" s="237" t="s">
        <v>52</v>
      </c>
      <c r="J171" s="237">
        <v>7</v>
      </c>
      <c r="K171" s="237">
        <f>E171+J171</f>
        <v>2017</v>
      </c>
      <c r="N171" s="238">
        <v>35496</v>
      </c>
      <c r="P171" s="238">
        <f>N171-N171*G171</f>
        <v>28396.799999999999</v>
      </c>
      <c r="Q171" s="238">
        <f>P171/J171/12</f>
        <v>338.05714285714288</v>
      </c>
      <c r="R171" s="238">
        <f>IF(O171&gt;0,0,IF(OR(AD171&gt;AE171,AF171&lt;AG171),0,IF(AND(AF171&gt;=AG171,AF171&lt;=AE171),Q171*((AF171-AG171)*12),IF(AND(AG171&lt;=AD171,AE171&gt;=AD171),((AE171-AD171)*12)*Q171,IF(AF171&gt;AE171,12*Q171,0)))))</f>
        <v>4056.6857142857143</v>
      </c>
      <c r="S171" s="238">
        <f>IF(O171=0,0,IF(AND(AH171&gt;=AG171,AH171&lt;=AF171),((AH171-AG171)*12)*Q171,0))</f>
        <v>0</v>
      </c>
      <c r="T171" s="238">
        <f>IF(S171&gt;0,S171,R171)</f>
        <v>4056.6857142857143</v>
      </c>
      <c r="U171" s="238">
        <v>1</v>
      </c>
      <c r="V171" s="238">
        <f>U171*SUM(R171:S171)</f>
        <v>4056.6857142857143</v>
      </c>
      <c r="X171" s="238">
        <f>IF(AD171&gt;AE171,0,IF(AF171&lt;AG171,P171,IF(AND(AF171&gt;=AG171,AF171&lt;=AE171),(P171-T171),IF(AND(AG171&lt;=AD171,AE171&gt;=AD171),0,IF(AF171&gt;AE171,((AG171-AD171)*12)*Q171,0)))))</f>
        <v>23325.942857142858</v>
      </c>
      <c r="Y171" s="238">
        <f>X171*U171</f>
        <v>23325.942857142858</v>
      </c>
      <c r="Z171" s="238">
        <v>1</v>
      </c>
      <c r="AA171" s="238">
        <f>Y171*Z171</f>
        <v>23325.942857142858</v>
      </c>
      <c r="AB171" s="238">
        <f>IF(O171&gt;0,0,AA171+V171*Z171)*Z171</f>
        <v>27382.628571428573</v>
      </c>
      <c r="AC171" s="238">
        <f>IF(O171&gt;0,(N171-AA171)/2,IF(AD171&gt;=AG171,(((N171*U171)*Z171)-AB171)/2,((((N171*U171)*Z171)-AA171)+(((N171*U171)*Z171)-AB171))/2))</f>
        <v>10141.714285714284</v>
      </c>
      <c r="AD171" s="238">
        <f>$E171+(($F171-1)/12)</f>
        <v>2010.25</v>
      </c>
      <c r="AE171" s="238">
        <f>($P$5+1)-($P$2/12)</f>
        <v>2017</v>
      </c>
      <c r="AF171" s="238">
        <f>$K171+(($F171-1)/12)</f>
        <v>2017.25</v>
      </c>
      <c r="AG171" s="238">
        <f>$P$4+($P$3/12)</f>
        <v>2016</v>
      </c>
      <c r="AH171" s="238">
        <f>$L171+(($M171-1)/12)</f>
        <v>-8.3333333333333329E-2</v>
      </c>
    </row>
    <row r="172" spans="1:34">
      <c r="A172" s="237" t="s">
        <v>424</v>
      </c>
      <c r="D172" s="237" t="s">
        <v>429</v>
      </c>
      <c r="E172" s="237">
        <v>2016</v>
      </c>
      <c r="F172" s="237">
        <v>3</v>
      </c>
      <c r="G172" s="237">
        <v>0</v>
      </c>
      <c r="I172" s="237" t="s">
        <v>52</v>
      </c>
      <c r="J172" s="237">
        <v>1</v>
      </c>
      <c r="K172" s="237">
        <f>E172+J172</f>
        <v>2017</v>
      </c>
      <c r="N172" s="238">
        <f>(25892.28+23056.62)/104*1</f>
        <v>470.66249999999997</v>
      </c>
      <c r="P172" s="238">
        <f>N172-N172*G172</f>
        <v>470.66249999999997</v>
      </c>
      <c r="Q172" s="238">
        <f>P172/J172/12</f>
        <v>39.221874999999997</v>
      </c>
      <c r="R172" s="238">
        <f>IF(O172&gt;0,0,IF(OR(AD172&gt;AE172,AF172&lt;AG172),0,IF(AND(AF172&gt;=AG172,AF172&lt;=AE172),Q172*((AF172-AG172)*12),IF(AND(AG172&lt;=AD172,AE172&gt;=AD172),((AE172-AD172)*12)*Q172,IF(AF172&gt;AE172,12*Q172,0)))))</f>
        <v>392.2187499999643</v>
      </c>
      <c r="S172" s="238">
        <f>IF(O172=0,0,IF(AND(AH172&gt;=AG172,AH172&lt;=AF172),((AH172-AG172)*12)*Q172,0))</f>
        <v>0</v>
      </c>
      <c r="T172" s="238">
        <f>IF(S172&gt;0,S172,R172)</f>
        <v>392.2187499999643</v>
      </c>
      <c r="U172" s="238">
        <v>1</v>
      </c>
      <c r="V172" s="238">
        <f>U172*SUM(R172:S172)</f>
        <v>392.2187499999643</v>
      </c>
      <c r="X172" s="238">
        <f>IF(AD172&gt;AE172,0,IF(AF172&lt;AG172,P172,IF(AND(AF172&gt;=AG172,AF172&lt;=AE172),(P172-T172),IF(AND(AG172&lt;=AD172,AE172&gt;=AD172),0,IF(AF172&gt;AE172,((AG172-AD172)*12)*Q172,0)))))</f>
        <v>0</v>
      </c>
      <c r="Y172" s="238">
        <f>X172*U172</f>
        <v>0</v>
      </c>
      <c r="Z172" s="238">
        <v>1</v>
      </c>
      <c r="AA172" s="238">
        <f>Y172*Z172</f>
        <v>0</v>
      </c>
      <c r="AB172" s="238">
        <f>IF(O172&gt;0,0,AA172+V172*Z172)*Z172</f>
        <v>392.2187499999643</v>
      </c>
      <c r="AC172" s="238">
        <f>IF(O172&gt;0,(N172-AA172)/2,IF(AD172&gt;=AG172,(((N172*U172)*Z172)-AB172)/2,((((N172*U172)*Z172)-AA172)+(((N172*U172)*Z172)-AB172))/2))</f>
        <v>39.221875000017832</v>
      </c>
      <c r="AD172" s="238">
        <f>$E172+(($F172-1)/12)</f>
        <v>2016.1666666666667</v>
      </c>
      <c r="AE172" s="238">
        <f>($P$5+1)-($P$2/12)</f>
        <v>2017</v>
      </c>
      <c r="AF172" s="238">
        <f>$K172+(($F172-1)/12)</f>
        <v>2017.1666666666667</v>
      </c>
      <c r="AG172" s="238">
        <f>$P$4+($P$3/12)</f>
        <v>2016</v>
      </c>
      <c r="AH172" s="238">
        <f>$L172+(($M172-1)/12)</f>
        <v>-8.3333333333333329E-2</v>
      </c>
    </row>
    <row r="173" spans="1:34" ht="13.5" thickBot="1">
      <c r="D173" s="237" t="s">
        <v>162</v>
      </c>
      <c r="N173" s="238">
        <f>SUM(N170:N172)</f>
        <v>38686.662499999999</v>
      </c>
      <c r="P173" s="238">
        <f t="shared" ref="P173:AC173" si="121">SUM(P170:P172)</f>
        <v>30689.862499999999</v>
      </c>
      <c r="Q173" s="238">
        <f t="shared" si="121"/>
        <v>407.65235119047622</v>
      </c>
      <c r="R173" s="238">
        <f t="shared" si="121"/>
        <v>4448.9044642856788</v>
      </c>
      <c r="S173" s="238">
        <f t="shared" si="121"/>
        <v>0</v>
      </c>
      <c r="T173" s="238">
        <f t="shared" si="121"/>
        <v>4448.9044642856788</v>
      </c>
      <c r="V173" s="238">
        <f t="shared" si="121"/>
        <v>4448.9044642856788</v>
      </c>
      <c r="W173" s="238">
        <f t="shared" si="121"/>
        <v>0</v>
      </c>
      <c r="X173" s="238">
        <f t="shared" si="121"/>
        <v>25148.342857142859</v>
      </c>
      <c r="Y173" s="238">
        <f t="shared" si="121"/>
        <v>25148.342857142859</v>
      </c>
      <c r="AA173" s="238">
        <f t="shared" si="121"/>
        <v>25148.342857142859</v>
      </c>
      <c r="AB173" s="238">
        <f t="shared" si="121"/>
        <v>29597.247321428538</v>
      </c>
      <c r="AC173" s="238">
        <f t="shared" si="121"/>
        <v>11078.536160714302</v>
      </c>
    </row>
    <row r="177" spans="4:29" ht="13.5" thickBot="1">
      <c r="D177" s="237" t="s">
        <v>339</v>
      </c>
      <c r="N177" s="238">
        <f>N49+N97+N120+N122+N136+N154+N167+N173</f>
        <v>9604960.3647727277</v>
      </c>
      <c r="P177" s="238">
        <f>P49+P97+P120+P122+P136+P154+P167+P173</f>
        <v>7798206.6667181812</v>
      </c>
      <c r="Q177" s="238">
        <f>Q49+Q97+Q120+Q122+Q136+Q154+Q167+Q173</f>
        <v>103120.64233093073</v>
      </c>
      <c r="R177" s="238">
        <f>R49+R97+R120+R122+R136+R154+R167+R173</f>
        <v>506161.74995258992</v>
      </c>
      <c r="V177" s="238">
        <f>V49+V97+V120+V122+V136+V154+V167+V173</f>
        <v>506161.74995258992</v>
      </c>
      <c r="X177" s="238">
        <f>X49+X97+X120+X122+X136+X154+X167+X173</f>
        <v>3013145.0370368012</v>
      </c>
      <c r="AA177" s="238">
        <f>AA49+AA97+AA120+AA122+AA136+AA154+AA167+AA173</f>
        <v>5318484.4120018762</v>
      </c>
      <c r="AB177" s="238">
        <f>AB49+AB97+AB120+AB122+AB136+AB154+AB167+AB173</f>
        <v>5824646.1619544653</v>
      </c>
      <c r="AC177" s="238">
        <f>AC49+AC97+AC120+AC122+AC136+AC154+AC167+AC173</f>
        <v>3509104.9840445574</v>
      </c>
    </row>
  </sheetData>
  <pageMargins left="0.5" right="0.5" top="0.5" bottom="0.55000000000000004" header="0.5" footer="0.5"/>
  <pageSetup scale="51" fitToHeight="3" orientation="landscape" r:id="rId1"/>
  <headerFooter alignWithMargins="0"/>
  <rowBreaks count="1" manualBreakCount="1">
    <brk id="177" min="2" max="28"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J110"/>
  <sheetViews>
    <sheetView showGridLines="0" zoomScaleNormal="100" workbookViewId="0">
      <pane xSplit="3" ySplit="11" topLeftCell="D95" activePane="bottomRight" state="frozen"/>
      <selection activeCell="P18" sqref="P18"/>
      <selection pane="topRight" activeCell="P18" sqref="P18"/>
      <selection pane="bottomLeft" activeCell="P18" sqref="P18"/>
      <selection pane="bottomRight" activeCell="P18" sqref="P18"/>
    </sheetView>
  </sheetViews>
  <sheetFormatPr defaultRowHeight="12.75"/>
  <cols>
    <col min="1" max="1" width="6.88671875" style="237" bestFit="1" customWidth="1"/>
    <col min="2" max="2" width="3" style="237" customWidth="1"/>
    <col min="3" max="3" width="22" style="237" customWidth="1"/>
    <col min="4" max="4" width="5.77734375" style="237" bestFit="1" customWidth="1"/>
    <col min="5" max="5" width="2.88671875" style="237" bestFit="1" customWidth="1"/>
    <col min="6" max="6" width="5.5546875" style="237" bestFit="1" customWidth="1"/>
    <col min="7" max="7" width="1.21875" style="237" bestFit="1" customWidth="1"/>
    <col min="8" max="8" width="1.77734375" style="237" customWidth="1"/>
    <col min="9" max="9" width="4.44140625" style="237" bestFit="1" customWidth="1"/>
    <col min="10" max="10" width="4.33203125" style="237" bestFit="1" customWidth="1"/>
    <col min="11" max="11" width="4.44140625" style="237" customWidth="1"/>
    <col min="12" max="12" width="3.109375" style="237" customWidth="1"/>
    <col min="13" max="13" width="8.88671875" style="237" customWidth="1"/>
    <col min="14" max="14" width="5.21875" style="238" customWidth="1"/>
    <col min="15" max="15" width="8.5546875" style="238" customWidth="1"/>
    <col min="16" max="16" width="6.5546875" style="238" customWidth="1"/>
    <col min="17" max="17" width="8.5546875" style="238" bestFit="1" customWidth="1"/>
    <col min="18" max="18" width="5.21875" style="238" customWidth="1"/>
    <col min="19" max="19" width="8.5546875" style="238" bestFit="1" customWidth="1"/>
    <col min="20" max="20" width="4.6640625" style="238" customWidth="1"/>
    <col min="21" max="21" width="8.5546875" style="238" bestFit="1" customWidth="1"/>
    <col min="22" max="22" width="0.88671875" style="238" customWidth="1"/>
    <col min="23" max="24" width="9.6640625" style="238" bestFit="1" customWidth="1"/>
    <col min="25" max="25" width="4.5546875" style="238" customWidth="1"/>
    <col min="26" max="28" width="9.6640625" style="238" bestFit="1" customWidth="1"/>
    <col min="29" max="29" width="7" style="238" bestFit="1" customWidth="1"/>
    <col min="30" max="30" width="7.77734375" style="238" bestFit="1" customWidth="1"/>
    <col min="31" max="31" width="7.109375" style="238" customWidth="1"/>
    <col min="32" max="32" width="7" style="238" bestFit="1" customWidth="1"/>
    <col min="33" max="33" width="4.77734375" style="238" bestFit="1" customWidth="1"/>
    <col min="34" max="36" width="8.88671875" style="238"/>
    <col min="37" max="16384" width="8.88671875" style="237"/>
  </cols>
  <sheetData>
    <row r="1" spans="1:33">
      <c r="C1" s="237" t="s">
        <v>101</v>
      </c>
      <c r="M1" s="237" t="s">
        <v>256</v>
      </c>
      <c r="O1" s="238" t="s">
        <v>266</v>
      </c>
      <c r="AD1" s="238">
        <f>Summary!F5</f>
        <v>43009</v>
      </c>
    </row>
    <row r="2" spans="1:33">
      <c r="C2" s="237" t="s">
        <v>0</v>
      </c>
      <c r="M2" s="237" t="s">
        <v>259</v>
      </c>
      <c r="O2" s="238">
        <f>+'2111 Trks - Orig'!P2</f>
        <v>12</v>
      </c>
      <c r="P2" s="238" t="s">
        <v>1</v>
      </c>
    </row>
    <row r="3" spans="1:33">
      <c r="C3" s="237">
        <f>Summary!H5</f>
        <v>43373</v>
      </c>
      <c r="D3" s="240"/>
      <c r="M3" s="237" t="s">
        <v>254</v>
      </c>
      <c r="O3" s="238">
        <f>+'2111 Trks - Orig'!P3</f>
        <v>0</v>
      </c>
      <c r="P3" s="238" t="s">
        <v>3</v>
      </c>
      <c r="AD3" s="238" t="s">
        <v>4</v>
      </c>
      <c r="AE3" s="238" t="s">
        <v>5</v>
      </c>
    </row>
    <row r="4" spans="1:33">
      <c r="M4" s="237" t="s">
        <v>255</v>
      </c>
      <c r="O4" s="238">
        <f>+'2111 Trks - Orig'!P4</f>
        <v>2016</v>
      </c>
      <c r="P4" s="238" t="s">
        <v>6</v>
      </c>
      <c r="AD4" s="238" t="s">
        <v>7</v>
      </c>
      <c r="AE4" s="238" t="s">
        <v>8</v>
      </c>
    </row>
    <row r="5" spans="1:33">
      <c r="O5" s="238">
        <f>+'2111 Trks - Orig'!P5</f>
        <v>2017</v>
      </c>
      <c r="P5" s="238" t="s">
        <v>11</v>
      </c>
      <c r="AD5" s="238" t="s">
        <v>12</v>
      </c>
      <c r="AE5" s="238" t="s">
        <v>13</v>
      </c>
    </row>
    <row r="6" spans="1:33">
      <c r="AD6" s="238" t="s">
        <v>15</v>
      </c>
      <c r="AE6" s="238" t="s">
        <v>16</v>
      </c>
    </row>
    <row r="7" spans="1:33">
      <c r="AD7" s="238" t="s">
        <v>20</v>
      </c>
      <c r="AE7" s="238" t="s">
        <v>21</v>
      </c>
    </row>
    <row r="8" spans="1:33">
      <c r="M8" s="237">
        <f>+SUM(M15,M73:M74,M100:M105)</f>
        <v>84012.45</v>
      </c>
      <c r="R8" s="238" t="s">
        <v>25</v>
      </c>
      <c r="U8" s="238" t="s">
        <v>17</v>
      </c>
      <c r="W8" s="238" t="s">
        <v>18</v>
      </c>
      <c r="X8" s="238" t="s">
        <v>118</v>
      </c>
      <c r="Z8" s="238" t="s">
        <v>19</v>
      </c>
      <c r="AA8" s="238" t="s">
        <v>19</v>
      </c>
    </row>
    <row r="9" spans="1:33">
      <c r="B9" s="237" t="s">
        <v>57</v>
      </c>
      <c r="D9" s="237" t="s">
        <v>59</v>
      </c>
      <c r="F9" s="237" t="s">
        <v>23</v>
      </c>
      <c r="H9" s="237" t="s">
        <v>57</v>
      </c>
      <c r="J9" s="237" t="s">
        <v>24</v>
      </c>
      <c r="K9" s="237" t="s">
        <v>57</v>
      </c>
      <c r="M9" s="237" t="s">
        <v>57</v>
      </c>
      <c r="N9" s="238" t="s">
        <v>31</v>
      </c>
      <c r="O9" s="238" t="s">
        <v>57</v>
      </c>
      <c r="Q9" s="238" t="s">
        <v>68</v>
      </c>
      <c r="R9" s="238" t="s">
        <v>24</v>
      </c>
      <c r="S9" s="238" t="s">
        <v>17</v>
      </c>
      <c r="T9" s="238" t="s">
        <v>34</v>
      </c>
      <c r="U9" s="238" t="s">
        <v>19</v>
      </c>
      <c r="W9" s="238" t="s">
        <v>117</v>
      </c>
      <c r="X9" s="238" t="s">
        <v>117</v>
      </c>
      <c r="Y9" s="238" t="s">
        <v>27</v>
      </c>
      <c r="Z9" s="238" t="s">
        <v>28</v>
      </c>
      <c r="AA9" s="238" t="s">
        <v>28</v>
      </c>
      <c r="AB9" s="238" t="s">
        <v>38</v>
      </c>
    </row>
    <row r="10" spans="1:33">
      <c r="C10" s="237" t="s">
        <v>249</v>
      </c>
      <c r="D10" s="237" t="s">
        <v>61</v>
      </c>
      <c r="F10" s="237" t="s">
        <v>29</v>
      </c>
      <c r="H10" s="237" t="s">
        <v>30</v>
      </c>
      <c r="I10" s="237" t="s">
        <v>64</v>
      </c>
      <c r="J10" s="237" t="s">
        <v>65</v>
      </c>
      <c r="K10" s="237" t="s">
        <v>31</v>
      </c>
      <c r="L10" s="237" t="s">
        <v>41</v>
      </c>
      <c r="M10" s="237" t="s">
        <v>31</v>
      </c>
      <c r="N10" s="238" t="s">
        <v>25</v>
      </c>
      <c r="O10" s="238" t="s">
        <v>67</v>
      </c>
      <c r="P10" s="238" t="s">
        <v>69</v>
      </c>
      <c r="Q10" s="238" t="s">
        <v>24</v>
      </c>
      <c r="R10" s="238" t="s">
        <v>43</v>
      </c>
      <c r="S10" s="238" t="s">
        <v>33</v>
      </c>
      <c r="T10" s="238" t="s">
        <v>36</v>
      </c>
      <c r="U10" s="238" t="s">
        <v>32</v>
      </c>
      <c r="W10" s="238" t="s">
        <v>67</v>
      </c>
      <c r="X10" s="238" t="s">
        <v>67</v>
      </c>
      <c r="Y10" s="238" t="s">
        <v>36</v>
      </c>
      <c r="Z10" s="238" t="s">
        <v>37</v>
      </c>
      <c r="AA10" s="238" t="s">
        <v>37</v>
      </c>
      <c r="AB10" s="238" t="s">
        <v>45</v>
      </c>
      <c r="AC10" s="238" t="s">
        <v>4</v>
      </c>
      <c r="AD10" s="238" t="s">
        <v>46</v>
      </c>
      <c r="AE10" s="238" t="s">
        <v>47</v>
      </c>
      <c r="AF10" s="238" t="s">
        <v>15</v>
      </c>
      <c r="AG10" s="238" t="s">
        <v>20</v>
      </c>
    </row>
    <row r="11" spans="1:33">
      <c r="A11" s="237" t="s">
        <v>53</v>
      </c>
      <c r="B11" s="237" t="s">
        <v>62</v>
      </c>
      <c r="C11" s="237" t="s">
        <v>63</v>
      </c>
      <c r="D11" s="237" t="s">
        <v>24</v>
      </c>
      <c r="E11" s="237" t="s">
        <v>39</v>
      </c>
      <c r="F11" s="237" t="s">
        <v>34</v>
      </c>
      <c r="G11" s="237" t="s">
        <v>49</v>
      </c>
      <c r="H11" s="237" t="s">
        <v>40</v>
      </c>
      <c r="I11" s="237" t="s">
        <v>66</v>
      </c>
      <c r="J11" s="237" t="s">
        <v>67</v>
      </c>
      <c r="K11" s="237" t="s">
        <v>42</v>
      </c>
      <c r="L11" s="237" t="s">
        <v>49</v>
      </c>
      <c r="M11" s="237" t="s">
        <v>42</v>
      </c>
      <c r="N11" s="238" t="s">
        <v>49</v>
      </c>
      <c r="O11" s="238" t="s">
        <v>42</v>
      </c>
      <c r="P11" s="238" t="s">
        <v>67</v>
      </c>
      <c r="Q11" s="238" t="s">
        <v>67</v>
      </c>
      <c r="R11" s="238" t="s">
        <v>49</v>
      </c>
      <c r="S11" s="238" t="s">
        <v>44</v>
      </c>
      <c r="T11" s="238" t="s">
        <v>49</v>
      </c>
      <c r="U11" s="238" t="s">
        <v>37</v>
      </c>
      <c r="W11" s="238">
        <f>AD1</f>
        <v>43009</v>
      </c>
      <c r="X11" s="239">
        <f>+C3</f>
        <v>43373</v>
      </c>
      <c r="Y11" s="239" t="s">
        <v>34</v>
      </c>
      <c r="Z11" s="239">
        <f>+W11</f>
        <v>43009</v>
      </c>
      <c r="AA11" s="239">
        <f>+C3</f>
        <v>43373</v>
      </c>
      <c r="AB11" s="239">
        <f>AA11</f>
        <v>43373</v>
      </c>
      <c r="AC11" s="239"/>
    </row>
    <row r="12" spans="1:33">
      <c r="C12" s="237" t="s">
        <v>220</v>
      </c>
      <c r="D12" s="237">
        <v>2011</v>
      </c>
      <c r="E12" s="237">
        <v>12</v>
      </c>
      <c r="F12" s="237">
        <v>0</v>
      </c>
      <c r="H12" s="237" t="s">
        <v>52</v>
      </c>
      <c r="I12" s="237">
        <v>20</v>
      </c>
      <c r="J12" s="237">
        <f>D12+I12</f>
        <v>2031</v>
      </c>
      <c r="M12" s="237">
        <f>1664.5</f>
        <v>1664.5</v>
      </c>
      <c r="O12" s="238">
        <f>M12-M12*F12</f>
        <v>1664.5</v>
      </c>
      <c r="P12" s="238">
        <f>O12/I12/12</f>
        <v>6.9354166666666659</v>
      </c>
      <c r="Q12" s="238">
        <f>IF(N12&gt;0,0,IF(OR(AC12&gt;AD12,AE12&lt;AF12),0,IF(AND(AE12&gt;=AF12,AE12&lt;=AD12),P12*((AE12-AF12)*12),IF(AND(AF12&lt;=AC12,AD12&gt;=AC12),((AD12-AC12)*12)*P12,IF(AE12&gt;AD12,12*P12,0)))))</f>
        <v>83.224999999999994</v>
      </c>
      <c r="R12" s="238">
        <f>IF(N12=0,0,IF(AND(AG12&gt;=AF12,AG12&lt;=AE12),((AG12-AF12)*12)*P12,0))</f>
        <v>0</v>
      </c>
      <c r="S12" s="238">
        <f>IF(R12&gt;0,R12,Q12)</f>
        <v>83.224999999999994</v>
      </c>
      <c r="T12" s="238">
        <v>1</v>
      </c>
      <c r="U12" s="238">
        <f>T12*SUM(Q12:R12)</f>
        <v>83.224999999999994</v>
      </c>
      <c r="W12" s="238">
        <f>IF(AC12&gt;AD12,0,IF(AE12&lt;AF12,O12,IF(AND(AE12&gt;=AF12,AE12&lt;=AD12),(O12-S12),IF(AND(AF12&lt;=AC12,AD12&gt;=AC12),0,IF(AE12&gt;AD12,((AF12-AC12)*12)*P12,0)))))</f>
        <v>339.83541666666031</v>
      </c>
      <c r="X12" s="238">
        <f>W12*T12</f>
        <v>339.83541666666031</v>
      </c>
      <c r="Y12" s="238">
        <v>1</v>
      </c>
      <c r="Z12" s="238">
        <f>X12*Y12</f>
        <v>339.83541666666031</v>
      </c>
      <c r="AA12" s="238">
        <f>IF(N12&gt;0,0,Z12+U12*Y12)*Y12</f>
        <v>423.06041666666033</v>
      </c>
      <c r="AB12" s="238">
        <f>IF(N12&gt;0,(M12-Z12)/2,IF(AC12&gt;=AF12,(((M12*T12)*Y12)-AA12)/2,((((M12*T12)*Y12)-Z12)+(((M12*T12)*Y12)-AA12))/2))</f>
        <v>1283.0520833333396</v>
      </c>
      <c r="AC12" s="238">
        <f>$D12+(($E12-1)/12)</f>
        <v>2011.9166666666667</v>
      </c>
      <c r="AD12" s="238">
        <f>($O$5+1)-($O$2/12)</f>
        <v>2017</v>
      </c>
      <c r="AE12" s="238">
        <f>$J12+(($E12-1)/12)</f>
        <v>2031.9166666666667</v>
      </c>
      <c r="AF12" s="238">
        <f>$O$4+($O$3/12)</f>
        <v>2016</v>
      </c>
      <c r="AG12" s="238">
        <f>$K12+(($L12-1)/12)</f>
        <v>-8.3333333333333329E-2</v>
      </c>
    </row>
    <row r="13" spans="1:33">
      <c r="A13" s="237">
        <v>98430</v>
      </c>
      <c r="C13" s="237" t="s">
        <v>246</v>
      </c>
      <c r="D13" s="237">
        <v>2012</v>
      </c>
      <c r="E13" s="237">
        <v>1</v>
      </c>
      <c r="F13" s="237">
        <v>0</v>
      </c>
      <c r="H13" s="237" t="s">
        <v>52</v>
      </c>
      <c r="I13" s="237">
        <v>30</v>
      </c>
      <c r="J13" s="237">
        <f>D13+I13</f>
        <v>2042</v>
      </c>
      <c r="M13" s="237">
        <f>753818</f>
        <v>753818</v>
      </c>
      <c r="O13" s="238">
        <f>M13-M13*F13</f>
        <v>753818</v>
      </c>
      <c r="P13" s="238">
        <f>O13/I13/12</f>
        <v>2093.9388888888889</v>
      </c>
      <c r="Q13" s="238">
        <f>IF(N13&gt;0,0,IF(OR(AC13&gt;AD13,AE13&lt;AF13),0,IF(AND(AE13&gt;=AF13,AE13&lt;=AD13),P13*((AE13-AF13)*12),IF(AND(AF13&lt;=AC13,AD13&gt;=AC13),((AD13-AC13)*12)*P13,IF(AE13&gt;AD13,12*P13,0)))))</f>
        <v>25127.266666666666</v>
      </c>
      <c r="R13" s="238">
        <f>IF(N13=0,0,IF(AND(AG13&gt;=AF13,AG13&lt;=AE13),((AG13-AF13)*12)*P13,0))</f>
        <v>0</v>
      </c>
      <c r="S13" s="238">
        <f>IF(R13&gt;0,R13,Q13)</f>
        <v>25127.266666666666</v>
      </c>
      <c r="T13" s="238">
        <v>1</v>
      </c>
      <c r="U13" s="238">
        <f>T13*SUM(Q13:R13)</f>
        <v>25127.266666666666</v>
      </c>
      <c r="W13" s="238">
        <f>IF(AC13&gt;AD13,0,IF(AE13&lt;AF13,O13,IF(AND(AE13&gt;=AF13,AE13&lt;=AD13),(O13-S13),IF(AND(AF13&lt;=AC13,AD13&gt;=AC13),0,IF(AE13&gt;AD13,((AF13-AC13)*12)*P13,0)))))</f>
        <v>100509.06666666667</v>
      </c>
      <c r="X13" s="238">
        <f>W13*T13</f>
        <v>100509.06666666667</v>
      </c>
      <c r="Y13" s="238">
        <v>1</v>
      </c>
      <c r="Z13" s="238">
        <f>X13*Y13</f>
        <v>100509.06666666667</v>
      </c>
      <c r="AA13" s="238">
        <f>IF(N13&gt;0,0,Z13+U13*Y13)*Y13</f>
        <v>125636.33333333333</v>
      </c>
      <c r="AB13" s="238">
        <f>IF(N13&gt;0,(M13-Z13)/2,IF(AC13&gt;=AF13,(((M13*T13)*Y13)-AA13)/2,((((M13*T13)*Y13)-Z13)+(((M13*T13)*Y13)-AA13))/2))</f>
        <v>640745.30000000005</v>
      </c>
      <c r="AC13" s="238">
        <f>$D13+(($E13-1)/12)</f>
        <v>2012</v>
      </c>
      <c r="AD13" s="238">
        <f>($O$5+1)-($O$2/12)</f>
        <v>2017</v>
      </c>
      <c r="AE13" s="238">
        <f>$J13+(($E13-1)/12)</f>
        <v>2042</v>
      </c>
      <c r="AF13" s="238">
        <f>$O$4+($O$3/12)</f>
        <v>2016</v>
      </c>
      <c r="AG13" s="238">
        <f>$K13+(($L13-1)/12)</f>
        <v>-8.3333333333333329E-2</v>
      </c>
    </row>
    <row r="14" spans="1:33">
      <c r="A14" s="237">
        <v>109566</v>
      </c>
      <c r="C14" s="237" t="s">
        <v>298</v>
      </c>
      <c r="D14" s="237">
        <v>2013</v>
      </c>
      <c r="E14" s="237">
        <v>12</v>
      </c>
      <c r="F14" s="237">
        <v>0</v>
      </c>
      <c r="H14" s="237" t="s">
        <v>52</v>
      </c>
      <c r="I14" s="237">
        <v>40</v>
      </c>
      <c r="J14" s="237">
        <f>D14+I14</f>
        <v>2053</v>
      </c>
      <c r="M14" s="237">
        <f>5573344.73+1650.8+3969.58+42201.92+306599.73+1301.63+11814.1+29651.93+2520+742.58-1288.93+631.14</f>
        <v>5973139.209999999</v>
      </c>
      <c r="O14" s="238">
        <f>M14-M14*F14</f>
        <v>5973139.209999999</v>
      </c>
      <c r="P14" s="238">
        <f>O14/I14/12</f>
        <v>12444.04002083333</v>
      </c>
      <c r="Q14" s="238">
        <f>IF(N14&gt;0,0,IF(OR(AC14&gt;AD14,AE14&lt;AF14),0,IF(AND(AE14&gt;=AF14,AE14&lt;=AD14),P14*((AE14-AF14)*12),IF(AND(AF14&lt;=AC14,AD14&gt;=AC14),((AD14-AC14)*12)*P14,IF(AE14&gt;AD14,12*P14,0)))))</f>
        <v>149328.48024999996</v>
      </c>
      <c r="R14" s="238">
        <f>IF(N14=0,0,IF(AND(AG14&gt;=AF14,AG14&lt;=AE14),((AG14-AF14)*12)*P14,0))</f>
        <v>0</v>
      </c>
      <c r="S14" s="238">
        <f>IF(R14&gt;0,R14,Q14)</f>
        <v>149328.48024999996</v>
      </c>
      <c r="T14" s="238">
        <v>1</v>
      </c>
      <c r="U14" s="238">
        <f>T14*SUM(Q14:R14)</f>
        <v>149328.48024999996</v>
      </c>
      <c r="W14" s="238">
        <f>IF(AC14&gt;AD14,0,IF(AE14&lt;AF14,O14,IF(AND(AE14&gt;=AF14,AE14&lt;=AD14),(O14-S14),IF(AND(AF14&lt;=AC14,AD14&gt;=AC14),0,IF(AE14&gt;AD14,((AF14-AC14)*12)*P14,0)))))</f>
        <v>311101.00052082195</v>
      </c>
      <c r="X14" s="238">
        <f>W14*T14</f>
        <v>311101.00052082195</v>
      </c>
      <c r="Y14" s="238">
        <v>1</v>
      </c>
      <c r="Z14" s="238">
        <f>X14*Y14</f>
        <v>311101.00052082195</v>
      </c>
      <c r="AA14" s="238">
        <f>IF(N14&gt;0,0,Z14+U14*Y14)*Y14</f>
        <v>460429.48077082192</v>
      </c>
      <c r="AB14" s="238">
        <f>IF(N14&gt;0,(M14-Z14)/2,IF(AC14&gt;=AF14,(((M14*T14)*Y14)-AA14)/2,((((M14*T14)*Y14)-Z14)+(((M14*T14)*Y14)-AA14))/2))</f>
        <v>5587373.9693541769</v>
      </c>
      <c r="AC14" s="238">
        <f>$D14+(($E14-1)/12)</f>
        <v>2013.9166666666667</v>
      </c>
      <c r="AD14" s="238">
        <f>($O$5+1)-($O$2/12)</f>
        <v>2017</v>
      </c>
      <c r="AE14" s="238">
        <f>$J14+(($E14-1)/12)</f>
        <v>2053.9166666666665</v>
      </c>
      <c r="AF14" s="238">
        <f>$O$4+($O$3/12)</f>
        <v>2016</v>
      </c>
      <c r="AG14" s="238">
        <f>$K14+(($L14-1)/12)</f>
        <v>-8.3333333333333329E-2</v>
      </c>
    </row>
    <row r="15" spans="1:33">
      <c r="A15" s="237">
        <v>170429</v>
      </c>
      <c r="C15" s="237" t="s">
        <v>414</v>
      </c>
      <c r="D15" s="237">
        <v>2016</v>
      </c>
      <c r="E15" s="237">
        <v>11</v>
      </c>
      <c r="F15" s="237">
        <v>0</v>
      </c>
      <c r="H15" s="237" t="s">
        <v>52</v>
      </c>
      <c r="I15" s="237">
        <v>10</v>
      </c>
      <c r="J15" s="237">
        <f>D15+I15</f>
        <v>2026</v>
      </c>
      <c r="M15" s="237">
        <v>17748.240000000002</v>
      </c>
      <c r="O15" s="238">
        <f>M15-M15*F15</f>
        <v>17748.240000000002</v>
      </c>
      <c r="P15" s="238">
        <f>O15/I15/12</f>
        <v>147.90200000000002</v>
      </c>
      <c r="Q15" s="238">
        <f>IF(N15&gt;0,0,IF(OR(AC15&gt;AD15,AE15&lt;AF15),0,IF(AND(AE15&gt;=AF15,AE15&lt;=AD15),P15*((AE15-AF15)*12),IF(AND(AF15&lt;=AC15,AD15&gt;=AC15),((AD15-AC15)*12)*P15,IF(AE15&gt;AD15,12*P15,0)))))</f>
        <v>295.80400000013452</v>
      </c>
      <c r="R15" s="238">
        <f>IF(N15=0,0,IF(AND(AG15&gt;=AF15,AG15&lt;=AE15),((AG15-AF15)*12)*P15,0))</f>
        <v>0</v>
      </c>
      <c r="S15" s="238">
        <f>IF(R15&gt;0,R15,Q15)</f>
        <v>295.80400000013452</v>
      </c>
      <c r="T15" s="238">
        <v>1</v>
      </c>
      <c r="U15" s="238">
        <f>T15*SUM(Q15:R15)</f>
        <v>295.80400000013452</v>
      </c>
      <c r="W15" s="238">
        <f>IF(AC15&gt;AD15,0,IF(AE15&lt;AF15,O15,IF(AND(AE15&gt;=AF15,AE15&lt;=AD15),(O15-S15),IF(AND(AF15&lt;=AC15,AD15&gt;=AC15),0,IF(AE15&gt;AD15,((AF15-AC15)*12)*P15,0)))))</f>
        <v>0</v>
      </c>
      <c r="X15" s="238">
        <f>W15*T15</f>
        <v>0</v>
      </c>
      <c r="Y15" s="238">
        <v>1</v>
      </c>
      <c r="Z15" s="238">
        <f>X15*Y15</f>
        <v>0</v>
      </c>
      <c r="AA15" s="238">
        <f>IF(N15&gt;0,0,Z15+U15*Y15)*Y15</f>
        <v>295.80400000013452</v>
      </c>
      <c r="AB15" s="238">
        <f>IF(N15&gt;0,(M15-Z15)/2,IF(AC15&gt;=AF15,(((M15*T15)*Y15)-AA15)/2,((((M15*T15)*Y15)-Z15)+(((M15*T15)*Y15)-AA15))/2))</f>
        <v>8726.2179999999335</v>
      </c>
      <c r="AC15" s="238">
        <f>$D15+(($E15-1)/12)</f>
        <v>2016.8333333333333</v>
      </c>
      <c r="AD15" s="238">
        <f>($O$5+1)-($O$2/12)</f>
        <v>2017</v>
      </c>
      <c r="AE15" s="238">
        <f>$J15+(($E15-1)/12)</f>
        <v>2026.8333333333333</v>
      </c>
      <c r="AF15" s="238">
        <f>$O$4+($O$3/12)</f>
        <v>2016</v>
      </c>
      <c r="AG15" s="238">
        <f>$K15+(($L15-1)/12)</f>
        <v>-8.3333333333333329E-2</v>
      </c>
    </row>
    <row r="17" spans="1:34" ht="13.5" thickBot="1">
      <c r="C17" s="237" t="s">
        <v>250</v>
      </c>
      <c r="M17" s="237">
        <f>SUM(M12:M16)</f>
        <v>6746369.9499999993</v>
      </c>
      <c r="O17" s="238">
        <f>SUM(O12:O16)</f>
        <v>6746369.9499999993</v>
      </c>
      <c r="P17" s="238">
        <f>SUM(P12:P16)</f>
        <v>14692.816326388885</v>
      </c>
      <c r="Q17" s="238">
        <f>SUM(Q12:Q16)</f>
        <v>174834.77591666675</v>
      </c>
      <c r="R17" s="238">
        <f>SUM(R12:R16)</f>
        <v>0</v>
      </c>
      <c r="S17" s="238">
        <f>SUM(S12:S16)</f>
        <v>174834.77591666675</v>
      </c>
      <c r="U17" s="238">
        <f>SUM(U12:U16)</f>
        <v>174834.77591666675</v>
      </c>
      <c r="V17" s="238">
        <f>SUM(V12:V16)</f>
        <v>0</v>
      </c>
      <c r="W17" s="238">
        <f>SUM(W12:W16)</f>
        <v>411949.90260415524</v>
      </c>
      <c r="X17" s="238">
        <f>SUM(X12:X16)</f>
        <v>411949.90260415524</v>
      </c>
      <c r="Z17" s="238">
        <f>SUM(Z12:Z16)</f>
        <v>411949.90260415524</v>
      </c>
      <c r="AA17" s="238">
        <f>SUM(AA12:AA16)</f>
        <v>586784.67852082208</v>
      </c>
      <c r="AB17" s="238">
        <f>SUM(AB12:AB16)</f>
        <v>6238128.539437511</v>
      </c>
    </row>
    <row r="22" spans="1:34">
      <c r="C22" s="237" t="s">
        <v>269</v>
      </c>
    </row>
    <row r="23" spans="1:34">
      <c r="B23" s="237" t="s">
        <v>77</v>
      </c>
      <c r="C23" s="237" t="s">
        <v>138</v>
      </c>
      <c r="D23" s="237">
        <v>2000</v>
      </c>
      <c r="E23" s="237">
        <v>7</v>
      </c>
      <c r="F23" s="237">
        <v>0</v>
      </c>
      <c r="H23" s="237" t="s">
        <v>52</v>
      </c>
      <c r="I23" s="237">
        <v>15</v>
      </c>
      <c r="J23" s="237">
        <f t="shared" ref="J23:J32" si="0">D23+I23</f>
        <v>2015</v>
      </c>
      <c r="M23" s="237">
        <v>5273.66</v>
      </c>
      <c r="O23" s="238">
        <f t="shared" ref="O23:O30" si="1">M23-M23*F23</f>
        <v>5273.66</v>
      </c>
      <c r="P23" s="238">
        <f t="shared" ref="P23:P30" si="2">O23/I23/12</f>
        <v>29.298111111111112</v>
      </c>
      <c r="Q23" s="238">
        <f t="shared" ref="Q23:Q28" si="3">IF(N23&gt;0,0,IF(OR(AC23&gt;AD23,AE23&lt;AF23),0,IF(AND(AE23&gt;=AF23,AE23&lt;=AD23),P23*((AE23-AF23)*12),IF(AND(AF23&lt;=AC23,AD23&gt;=AC23),((AD23-AC23)*12)*P23,IF(AE23&gt;AD23,12*P23,0)))))</f>
        <v>0</v>
      </c>
      <c r="R23" s="238">
        <f t="shared" ref="R23:R28" si="4">IF(N23=0,0,IF(AND(AG23&gt;=AF23,AG23&lt;=AE23),((AG23-AF23)*12)*P23,0))</f>
        <v>0</v>
      </c>
      <c r="S23" s="238">
        <f t="shared" ref="S23:S28" si="5">IF(R23&gt;0,R23,Q23)</f>
        <v>0</v>
      </c>
      <c r="T23" s="238">
        <v>1</v>
      </c>
      <c r="U23" s="238">
        <f t="shared" ref="U23:U30" si="6">T23*SUM(Q23:R23)</f>
        <v>0</v>
      </c>
      <c r="W23" s="238">
        <f t="shared" ref="W23:W28" si="7">IF(AC23&gt;AD23,0,IF(AE23&lt;AF23,O23,IF(AND(AE23&gt;=AF23,AE23&lt;=AD23),(O23-S23),IF(AND(AF23&lt;=AC23,AD23&gt;=AC23),0,IF(AE23&gt;AD23,((AF23-AC23)*12)*P23,0)))))</f>
        <v>5273.66</v>
      </c>
      <c r="X23" s="238">
        <f t="shared" ref="X23:X30" si="8">W23*T23</f>
        <v>5273.66</v>
      </c>
      <c r="Y23" s="238">
        <v>1</v>
      </c>
      <c r="Z23" s="238">
        <f t="shared" ref="Z23:Z30" si="9">X23*Y23</f>
        <v>5273.66</v>
      </c>
      <c r="AA23" s="238">
        <f t="shared" ref="AA23:AA30" si="10">IF(N23&gt;0,0,Z23+U23*Y23)*Y23</f>
        <v>5273.66</v>
      </c>
      <c r="AB23" s="238">
        <f t="shared" ref="AB23:AB28" si="11">IF(N23&gt;0,(M23-Z23)/2,IF(AC23&gt;=AF23,(((M23*T23)*Y23)-AA23)/2,((((M23*T23)*Y23)-Z23)+(((M23*T23)*Y23)-AA23))/2))</f>
        <v>0</v>
      </c>
      <c r="AC23" s="238">
        <f t="shared" ref="AC23:AC32" si="12">$D23+(($E23-1)/12)</f>
        <v>2000.5</v>
      </c>
      <c r="AD23" s="238">
        <f t="shared" ref="AD23:AD32" si="13">($O$5+1)-($O$2/12)</f>
        <v>2017</v>
      </c>
      <c r="AE23" s="238">
        <f t="shared" ref="AE23:AE32" si="14">$J23+(($E23-1)/12)</f>
        <v>2015.5</v>
      </c>
      <c r="AF23" s="238">
        <f t="shared" ref="AF23:AF32" si="15">$O$4+($O$3/12)</f>
        <v>2016</v>
      </c>
      <c r="AG23" s="238">
        <f t="shared" ref="AG23:AG32" si="16">$K23+(($L23-1)/12)</f>
        <v>-8.3333333333333329E-2</v>
      </c>
      <c r="AH23" s="238" t="s">
        <v>265</v>
      </c>
    </row>
    <row r="24" spans="1:34">
      <c r="B24" s="237" t="s">
        <v>77</v>
      </c>
      <c r="C24" s="237" t="s">
        <v>139</v>
      </c>
      <c r="D24" s="237">
        <v>2000</v>
      </c>
      <c r="E24" s="237">
        <v>7</v>
      </c>
      <c r="F24" s="237">
        <v>0</v>
      </c>
      <c r="H24" s="237" t="s">
        <v>52</v>
      </c>
      <c r="I24" s="237">
        <v>15</v>
      </c>
      <c r="J24" s="237">
        <f t="shared" si="0"/>
        <v>2015</v>
      </c>
      <c r="M24" s="237">
        <v>16198.88</v>
      </c>
      <c r="O24" s="238">
        <f t="shared" si="1"/>
        <v>16198.88</v>
      </c>
      <c r="P24" s="238">
        <f t="shared" si="2"/>
        <v>89.99377777777778</v>
      </c>
      <c r="Q24" s="238">
        <f t="shared" si="3"/>
        <v>0</v>
      </c>
      <c r="R24" s="238">
        <f t="shared" si="4"/>
        <v>0</v>
      </c>
      <c r="S24" s="238">
        <f t="shared" si="5"/>
        <v>0</v>
      </c>
      <c r="T24" s="238">
        <v>1</v>
      </c>
      <c r="U24" s="238">
        <f t="shared" si="6"/>
        <v>0</v>
      </c>
      <c r="W24" s="238">
        <f t="shared" si="7"/>
        <v>16198.88</v>
      </c>
      <c r="X24" s="238">
        <f t="shared" si="8"/>
        <v>16198.88</v>
      </c>
      <c r="Y24" s="238">
        <v>1</v>
      </c>
      <c r="Z24" s="238">
        <f t="shared" si="9"/>
        <v>16198.88</v>
      </c>
      <c r="AA24" s="238">
        <f t="shared" si="10"/>
        <v>16198.88</v>
      </c>
      <c r="AB24" s="238">
        <f t="shared" si="11"/>
        <v>0</v>
      </c>
      <c r="AC24" s="238">
        <f t="shared" si="12"/>
        <v>2000.5</v>
      </c>
      <c r="AD24" s="238">
        <f t="shared" si="13"/>
        <v>2017</v>
      </c>
      <c r="AE24" s="238">
        <f t="shared" si="14"/>
        <v>2015.5</v>
      </c>
      <c r="AF24" s="238">
        <f t="shared" si="15"/>
        <v>2016</v>
      </c>
      <c r="AG24" s="238">
        <f t="shared" si="16"/>
        <v>-8.3333333333333329E-2</v>
      </c>
      <c r="AH24" s="238" t="s">
        <v>265</v>
      </c>
    </row>
    <row r="25" spans="1:34">
      <c r="C25" s="237" t="s">
        <v>140</v>
      </c>
      <c r="D25" s="237">
        <v>2007</v>
      </c>
      <c r="E25" s="237">
        <v>7</v>
      </c>
      <c r="F25" s="237">
        <v>0</v>
      </c>
      <c r="H25" s="237" t="s">
        <v>52</v>
      </c>
      <c r="I25" s="237">
        <v>20</v>
      </c>
      <c r="J25" s="237">
        <f>D25+I25</f>
        <v>2027</v>
      </c>
      <c r="M25" s="237">
        <f>[5]Reconciliation!$F$8</f>
        <v>734487.29999999993</v>
      </c>
      <c r="O25" s="238">
        <f>M25-M25*F25</f>
        <v>734487.29999999993</v>
      </c>
      <c r="P25" s="238">
        <f>O25/I25/12</f>
        <v>3060.36375</v>
      </c>
      <c r="Q25" s="238">
        <f t="shared" si="3"/>
        <v>36724.364999999998</v>
      </c>
      <c r="R25" s="238">
        <f t="shared" si="4"/>
        <v>0</v>
      </c>
      <c r="S25" s="238">
        <f t="shared" si="5"/>
        <v>36724.364999999998</v>
      </c>
      <c r="T25" s="238">
        <v>1</v>
      </c>
      <c r="U25" s="238">
        <f>T25*SUM(Q25:R25)</f>
        <v>36724.364999999998</v>
      </c>
      <c r="W25" s="238">
        <f t="shared" si="7"/>
        <v>312157.10249999998</v>
      </c>
      <c r="X25" s="238">
        <f>W25*T25</f>
        <v>312157.10249999998</v>
      </c>
      <c r="Y25" s="238">
        <v>1</v>
      </c>
      <c r="Z25" s="238">
        <f>X25*Y25</f>
        <v>312157.10249999998</v>
      </c>
      <c r="AA25" s="238">
        <f>IF(N25&gt;0,0,Z25+U25*Y25)*Y25</f>
        <v>348881.46749999997</v>
      </c>
      <c r="AB25" s="238">
        <f t="shared" si="11"/>
        <v>403968.01499999996</v>
      </c>
      <c r="AC25" s="238">
        <f>$D25+(($E25-1)/12)</f>
        <v>2007.5</v>
      </c>
      <c r="AD25" s="238">
        <f t="shared" si="13"/>
        <v>2017</v>
      </c>
      <c r="AE25" s="238">
        <f>$J25+(($E25-1)/12)</f>
        <v>2027.5</v>
      </c>
      <c r="AF25" s="238">
        <f t="shared" si="15"/>
        <v>2016</v>
      </c>
      <c r="AG25" s="238">
        <f>$K25+(($L25-1)/12)</f>
        <v>-8.3333333333333329E-2</v>
      </c>
      <c r="AH25" s="238" t="s">
        <v>265</v>
      </c>
    </row>
    <row r="26" spans="1:34">
      <c r="C26" s="237" t="s">
        <v>257</v>
      </c>
      <c r="D26" s="237">
        <v>2007</v>
      </c>
      <c r="E26" s="237">
        <v>7</v>
      </c>
      <c r="F26" s="237">
        <v>0</v>
      </c>
      <c r="H26" s="237" t="s">
        <v>52</v>
      </c>
      <c r="I26" s="237">
        <v>20</v>
      </c>
      <c r="J26" s="237">
        <f>D26+I26</f>
        <v>2027</v>
      </c>
      <c r="M26" s="237">
        <f>[5]Reconciliation!$F$9</f>
        <v>1306485.8600000001</v>
      </c>
      <c r="O26" s="238">
        <f>M26-M26*F26</f>
        <v>1306485.8600000001</v>
      </c>
      <c r="P26" s="238">
        <f>O26/I26/12</f>
        <v>5443.6910833333341</v>
      </c>
      <c r="Q26" s="238">
        <f t="shared" si="3"/>
        <v>65324.293000000005</v>
      </c>
      <c r="R26" s="238">
        <f t="shared" si="4"/>
        <v>0</v>
      </c>
      <c r="S26" s="238">
        <f t="shared" si="5"/>
        <v>65324.293000000005</v>
      </c>
      <c r="T26" s="238">
        <v>1</v>
      </c>
      <c r="U26" s="238">
        <f>T26*SUM(Q26:R26)</f>
        <v>65324.293000000005</v>
      </c>
      <c r="W26" s="238">
        <f t="shared" si="7"/>
        <v>555256.49050000007</v>
      </c>
      <c r="X26" s="238">
        <f>W26*T26</f>
        <v>555256.49050000007</v>
      </c>
      <c r="Y26" s="238">
        <v>1</v>
      </c>
      <c r="Z26" s="238">
        <f>X26*Y26</f>
        <v>555256.49050000007</v>
      </c>
      <c r="AA26" s="238">
        <f>IF(N26&gt;0,0,Z26+U26*Y26)*Y26</f>
        <v>620580.78350000014</v>
      </c>
      <c r="AB26" s="238">
        <f t="shared" si="11"/>
        <v>718567.223</v>
      </c>
      <c r="AC26" s="238">
        <f>$D26+(($E26-1)/12)</f>
        <v>2007.5</v>
      </c>
      <c r="AD26" s="238">
        <f t="shared" si="13"/>
        <v>2017</v>
      </c>
      <c r="AE26" s="238">
        <f>$J26+(($E26-1)/12)</f>
        <v>2027.5</v>
      </c>
      <c r="AF26" s="238">
        <f t="shared" si="15"/>
        <v>2016</v>
      </c>
      <c r="AG26" s="238">
        <f>$K26+(($L26-1)/12)</f>
        <v>-8.3333333333333329E-2</v>
      </c>
      <c r="AH26" s="238" t="s">
        <v>265</v>
      </c>
    </row>
    <row r="27" spans="1:34">
      <c r="C27" s="237" t="s">
        <v>258</v>
      </c>
      <c r="D27" s="237">
        <v>2008</v>
      </c>
      <c r="E27" s="237">
        <v>1</v>
      </c>
      <c r="F27" s="237">
        <v>0</v>
      </c>
      <c r="H27" s="237" t="s">
        <v>52</v>
      </c>
      <c r="I27" s="237">
        <v>20</v>
      </c>
      <c r="J27" s="237">
        <f t="shared" si="0"/>
        <v>2028</v>
      </c>
      <c r="M27" s="237">
        <f>[5]Reconciliation!$F$10</f>
        <v>226036.81</v>
      </c>
      <c r="O27" s="238">
        <f t="shared" si="1"/>
        <v>226036.81</v>
      </c>
      <c r="P27" s="238">
        <f t="shared" si="2"/>
        <v>941.82004166666673</v>
      </c>
      <c r="Q27" s="238">
        <f t="shared" si="3"/>
        <v>11301.8405</v>
      </c>
      <c r="R27" s="238">
        <f t="shared" si="4"/>
        <v>0</v>
      </c>
      <c r="S27" s="238">
        <f t="shared" si="5"/>
        <v>11301.8405</v>
      </c>
      <c r="T27" s="238">
        <v>1</v>
      </c>
      <c r="U27" s="238">
        <f t="shared" si="6"/>
        <v>11301.8405</v>
      </c>
      <c r="W27" s="238">
        <f t="shared" si="7"/>
        <v>90414.724000000002</v>
      </c>
      <c r="X27" s="238">
        <f t="shared" si="8"/>
        <v>90414.724000000002</v>
      </c>
      <c r="Y27" s="238">
        <v>1</v>
      </c>
      <c r="Z27" s="238">
        <f t="shared" si="9"/>
        <v>90414.724000000002</v>
      </c>
      <c r="AA27" s="238">
        <f t="shared" si="10"/>
        <v>101716.56450000001</v>
      </c>
      <c r="AB27" s="238">
        <f t="shared" si="11"/>
        <v>129971.16575</v>
      </c>
      <c r="AC27" s="238">
        <f t="shared" si="12"/>
        <v>2008</v>
      </c>
      <c r="AD27" s="238">
        <f t="shared" si="13"/>
        <v>2017</v>
      </c>
      <c r="AE27" s="238">
        <f t="shared" si="14"/>
        <v>2028</v>
      </c>
      <c r="AF27" s="238">
        <f t="shared" si="15"/>
        <v>2016</v>
      </c>
      <c r="AG27" s="238">
        <f t="shared" si="16"/>
        <v>-8.3333333333333329E-2</v>
      </c>
      <c r="AH27" s="238" t="s">
        <v>265</v>
      </c>
    </row>
    <row r="28" spans="1:34">
      <c r="B28" s="237" t="s">
        <v>77</v>
      </c>
      <c r="C28" s="237" t="s">
        <v>219</v>
      </c>
      <c r="D28" s="237">
        <v>2011</v>
      </c>
      <c r="E28" s="237">
        <v>12</v>
      </c>
      <c r="F28" s="237">
        <v>0</v>
      </c>
      <c r="H28" s="237" t="s">
        <v>52</v>
      </c>
      <c r="I28" s="237">
        <v>10</v>
      </c>
      <c r="J28" s="237">
        <f t="shared" si="0"/>
        <v>2021</v>
      </c>
      <c r="M28" s="237">
        <v>458063.9</v>
      </c>
      <c r="O28" s="238">
        <f t="shared" si="1"/>
        <v>458063.9</v>
      </c>
      <c r="P28" s="238">
        <f t="shared" si="2"/>
        <v>3817.1991666666668</v>
      </c>
      <c r="Q28" s="238">
        <f t="shared" si="3"/>
        <v>45806.39</v>
      </c>
      <c r="R28" s="238">
        <f t="shared" si="4"/>
        <v>0</v>
      </c>
      <c r="S28" s="238">
        <f t="shared" si="5"/>
        <v>45806.39</v>
      </c>
      <c r="T28" s="238">
        <v>1</v>
      </c>
      <c r="U28" s="238">
        <f t="shared" si="6"/>
        <v>45806.39</v>
      </c>
      <c r="W28" s="238">
        <f t="shared" si="7"/>
        <v>187042.75916666319</v>
      </c>
      <c r="X28" s="238">
        <f t="shared" si="8"/>
        <v>187042.75916666319</v>
      </c>
      <c r="Y28" s="238">
        <v>1</v>
      </c>
      <c r="Z28" s="238">
        <f t="shared" si="9"/>
        <v>187042.75916666319</v>
      </c>
      <c r="AA28" s="238">
        <f t="shared" si="10"/>
        <v>232849.14916666318</v>
      </c>
      <c r="AB28" s="238">
        <f t="shared" si="11"/>
        <v>248117.94583333685</v>
      </c>
      <c r="AC28" s="238">
        <f t="shared" si="12"/>
        <v>2011.9166666666667</v>
      </c>
      <c r="AD28" s="238">
        <f t="shared" si="13"/>
        <v>2017</v>
      </c>
      <c r="AE28" s="238">
        <f t="shared" si="14"/>
        <v>2021.9166666666667</v>
      </c>
      <c r="AF28" s="238">
        <f t="shared" si="15"/>
        <v>2016</v>
      </c>
      <c r="AG28" s="238">
        <f t="shared" si="16"/>
        <v>-8.3333333333333329E-2</v>
      </c>
      <c r="AH28" s="238" t="s">
        <v>265</v>
      </c>
    </row>
    <row r="29" spans="1:34">
      <c r="C29" s="237" t="s">
        <v>252</v>
      </c>
      <c r="D29" s="237">
        <v>2012</v>
      </c>
      <c r="E29" s="237">
        <v>3</v>
      </c>
      <c r="F29" s="237">
        <v>0</v>
      </c>
      <c r="H29" s="237" t="s">
        <v>52</v>
      </c>
      <c r="I29" s="237">
        <v>20</v>
      </c>
      <c r="J29" s="237">
        <f t="shared" si="0"/>
        <v>2032</v>
      </c>
      <c r="M29" s="237">
        <v>157686.68</v>
      </c>
      <c r="O29" s="238">
        <f t="shared" si="1"/>
        <v>157686.68</v>
      </c>
      <c r="P29" s="238">
        <f t="shared" si="2"/>
        <v>657.02783333333332</v>
      </c>
      <c r="Q29" s="238">
        <f>IF(N29&gt;0,0,IF(OR(AC29&gt;AD29,AE29&lt;AF29),0,IF(AND(AE29&gt;=AF29,AE29&lt;=AD29),P29*((AE29-AF29)*12),IF(AND(AF29&lt;=AC29,AD29&gt;=AC29),((AD29-AC29)*12)*P29,IF(AE29&gt;AD29,12*P29,0)))))</f>
        <v>7884.3339999999998</v>
      </c>
      <c r="R29" s="238">
        <f>IF(N29=0,0,IF(AND(AG29&gt;=AF29,AG29&lt;=AE29),((AG29-AF29)*12)*P29,0))</f>
        <v>0</v>
      </c>
      <c r="S29" s="238">
        <f>IF(R29&gt;0,R29,Q29)</f>
        <v>7884.3339999999998</v>
      </c>
      <c r="T29" s="238">
        <v>1</v>
      </c>
      <c r="U29" s="238">
        <f t="shared" si="6"/>
        <v>7884.3339999999998</v>
      </c>
      <c r="W29" s="238">
        <f>IF(AC29&gt;AD29,0,IF(AE29&lt;AF29,O29,IF(AND(AE29&gt;=AF29,AE29&lt;=AD29),(O29-S29),IF(AND(AF29&lt;=AC29,AD29&gt;=AC29),0,IF(AE29&gt;AD29,((AF29-AC29)*12)*P29,0)))))</f>
        <v>30223.280333332736</v>
      </c>
      <c r="X29" s="238">
        <f t="shared" si="8"/>
        <v>30223.280333332736</v>
      </c>
      <c r="Y29" s="238">
        <v>1</v>
      </c>
      <c r="Z29" s="238">
        <f t="shared" si="9"/>
        <v>30223.280333332736</v>
      </c>
      <c r="AA29" s="238">
        <f t="shared" si="10"/>
        <v>38107.614333332735</v>
      </c>
      <c r="AB29" s="238">
        <f>IF(N29&gt;0,(M29-Z29)/2,IF(AC29&gt;=AF29,(((M29*T29)*Y29)-AA29)/2,((((M29*T29)*Y29)-Z29)+(((M29*T29)*Y29)-AA29))/2))</f>
        <v>123521.23266666726</v>
      </c>
      <c r="AC29" s="238">
        <f t="shared" si="12"/>
        <v>2012.1666666666667</v>
      </c>
      <c r="AD29" s="238">
        <f t="shared" si="13"/>
        <v>2017</v>
      </c>
      <c r="AE29" s="238">
        <f t="shared" si="14"/>
        <v>2032.1666666666667</v>
      </c>
      <c r="AF29" s="238">
        <f t="shared" si="15"/>
        <v>2016</v>
      </c>
      <c r="AG29" s="238">
        <f t="shared" si="16"/>
        <v>-8.3333333333333329E-2</v>
      </c>
      <c r="AH29" s="238" t="s">
        <v>265</v>
      </c>
    </row>
    <row r="30" spans="1:34">
      <c r="A30" s="237">
        <v>102874</v>
      </c>
      <c r="C30" s="237" t="s">
        <v>271</v>
      </c>
      <c r="D30" s="237">
        <v>2013</v>
      </c>
      <c r="E30" s="237">
        <v>3</v>
      </c>
      <c r="F30" s="237">
        <v>0</v>
      </c>
      <c r="H30" s="237" t="s">
        <v>52</v>
      </c>
      <c r="I30" s="237">
        <v>5</v>
      </c>
      <c r="J30" s="237">
        <f t="shared" si="0"/>
        <v>2018</v>
      </c>
      <c r="M30" s="237">
        <v>34953.300000000003</v>
      </c>
      <c r="O30" s="238">
        <f t="shared" si="1"/>
        <v>34953.300000000003</v>
      </c>
      <c r="P30" s="238">
        <f t="shared" si="2"/>
        <v>582.55500000000006</v>
      </c>
      <c r="Q30" s="238">
        <f>IF(N30&gt;0,0,IF(OR(AC30&gt;AD30,AE30&lt;AF30),0,IF(AND(AE30&gt;=AF30,AE30&lt;=AD30),P30*((AE30-AF30)*12),IF(AND(AF30&lt;=AC30,AD30&gt;=AC30),((AD30-AC30)*12)*P30,IF(AE30&gt;AD30,12*P30,0)))))</f>
        <v>6990.6600000000008</v>
      </c>
      <c r="R30" s="238">
        <f>IF(N30=0,0,IF(AND(AG30&gt;=AF30,AG30&lt;=AE30),((AG30-AF30)*12)*P30,0))</f>
        <v>0</v>
      </c>
      <c r="S30" s="238">
        <f>IF(R30&gt;0,R30,Q30)</f>
        <v>6990.6600000000008</v>
      </c>
      <c r="T30" s="238">
        <v>1</v>
      </c>
      <c r="U30" s="238">
        <f t="shared" si="6"/>
        <v>6990.6600000000008</v>
      </c>
      <c r="W30" s="238">
        <f>IF(AC30&gt;AD30,0,IF(AE30&lt;AF30,O30,IF(AND(AE30&gt;=AF30,AE30&lt;=AD30),(O30-S30),IF(AND(AF30&lt;=AC30,AD30&gt;=AC30),0,IF(AE30&gt;AD30,((AF30-AC30)*12)*P30,0)))))</f>
        <v>19806.869999999471</v>
      </c>
      <c r="X30" s="238">
        <f t="shared" si="8"/>
        <v>19806.869999999471</v>
      </c>
      <c r="Y30" s="238">
        <v>1</v>
      </c>
      <c r="Z30" s="238">
        <f t="shared" si="9"/>
        <v>19806.869999999471</v>
      </c>
      <c r="AA30" s="238">
        <f t="shared" si="10"/>
        <v>26797.529999999471</v>
      </c>
      <c r="AB30" s="238">
        <f>IF(N30&gt;0,(M30-Z30)/2,IF(AC30&gt;=AF30,(((M30*T30)*Y30)-AA30)/2,((((M30*T30)*Y30)-Z30)+(((M30*T30)*Y30)-AA30))/2))</f>
        <v>11651.100000000532</v>
      </c>
      <c r="AC30" s="238">
        <f t="shared" si="12"/>
        <v>2013.1666666666667</v>
      </c>
      <c r="AD30" s="238">
        <f t="shared" si="13"/>
        <v>2017</v>
      </c>
      <c r="AE30" s="238">
        <f t="shared" si="14"/>
        <v>2018.1666666666667</v>
      </c>
      <c r="AF30" s="238">
        <f t="shared" si="15"/>
        <v>2016</v>
      </c>
      <c r="AG30" s="238">
        <f t="shared" si="16"/>
        <v>-8.3333333333333329E-2</v>
      </c>
      <c r="AH30" s="238" t="s">
        <v>265</v>
      </c>
    </row>
    <row r="31" spans="1:34">
      <c r="A31" s="237">
        <v>107185</v>
      </c>
      <c r="B31" s="237" t="s">
        <v>77</v>
      </c>
      <c r="C31" s="237" t="s">
        <v>305</v>
      </c>
      <c r="D31" s="237">
        <v>2013</v>
      </c>
      <c r="E31" s="237">
        <v>10</v>
      </c>
      <c r="F31" s="237">
        <v>0</v>
      </c>
      <c r="H31" s="237" t="s">
        <v>52</v>
      </c>
      <c r="I31" s="237">
        <v>5</v>
      </c>
      <c r="J31" s="237">
        <f t="shared" si="0"/>
        <v>2018</v>
      </c>
      <c r="M31" s="237">
        <f>(42435.72/84)*59</f>
        <v>29806.041428571429</v>
      </c>
      <c r="O31" s="238">
        <f>M31-M31*F31</f>
        <v>29806.041428571429</v>
      </c>
      <c r="P31" s="238">
        <f>O31/I31/12</f>
        <v>496.76735714285718</v>
      </c>
      <c r="Q31" s="238">
        <f>IF(N31&gt;0,0,IF(OR(AC31&gt;AD31,AE31&lt;AF31),0,IF(AND(AE31&gt;=AF31,AE31&lt;=AD31),P31*((AE31-AF31)*12),IF(AND(AF31&lt;=AC31,AD31&gt;=AC31),((AD31-AC31)*12)*P31,IF(AE31&gt;AD31,12*P31,0)))))</f>
        <v>5961.2082857142859</v>
      </c>
      <c r="R31" s="238">
        <f>IF(N31=0,0,IF(AND(AG31&gt;=AF31,AG31&lt;=AE31),((AG31-AF31)*12)*P31,0))</f>
        <v>0</v>
      </c>
      <c r="S31" s="238">
        <f>IF(R31&gt;0,R31,Q31)</f>
        <v>5961.2082857142859</v>
      </c>
      <c r="T31" s="238">
        <v>1</v>
      </c>
      <c r="U31" s="238">
        <f>T31*SUM(Q31:R31)</f>
        <v>5961.2082857142859</v>
      </c>
      <c r="W31" s="238">
        <f>IF(AC31&gt;AD31,0,IF(AE31&lt;AF31,O31,IF(AND(AE31&gt;=AF31,AE31&lt;=AD31),(O31-S31),IF(AND(AF31&lt;=AC31,AD31&gt;=AC31),0,IF(AE31&gt;AD31,((AF31-AC31)*12)*P31,0)))))</f>
        <v>13412.718642857144</v>
      </c>
      <c r="X31" s="238">
        <f>W31*T31</f>
        <v>13412.718642857144</v>
      </c>
      <c r="Y31" s="238">
        <v>1</v>
      </c>
      <c r="Z31" s="238">
        <f>X31*Y31</f>
        <v>13412.718642857144</v>
      </c>
      <c r="AA31" s="238">
        <f>IF(N31&gt;0,0,Z31+U31*Y31)*Y31</f>
        <v>19373.926928571429</v>
      </c>
      <c r="AB31" s="238">
        <f>IF(N31&gt;0,(M31-Z31)/2,IF(AC31&gt;=AF31,(((M31*T31)*Y31)-AA31)/2,((((M31*T31)*Y31)-Z31)+(((M31*T31)*Y31)-AA31))/2))</f>
        <v>13412.718642857142</v>
      </c>
      <c r="AC31" s="238">
        <f t="shared" si="12"/>
        <v>2013.75</v>
      </c>
      <c r="AD31" s="238">
        <f t="shared" si="13"/>
        <v>2017</v>
      </c>
      <c r="AE31" s="238">
        <f t="shared" si="14"/>
        <v>2018.75</v>
      </c>
      <c r="AF31" s="238">
        <f t="shared" si="15"/>
        <v>2016</v>
      </c>
      <c r="AG31" s="238">
        <f t="shared" si="16"/>
        <v>-8.3333333333333329E-2</v>
      </c>
      <c r="AH31" s="238" t="s">
        <v>265</v>
      </c>
    </row>
    <row r="32" spans="1:34">
      <c r="A32" s="237">
        <v>107166</v>
      </c>
      <c r="B32" s="237" t="s">
        <v>303</v>
      </c>
      <c r="C32" s="237" t="s">
        <v>306</v>
      </c>
      <c r="D32" s="237">
        <v>2013</v>
      </c>
      <c r="E32" s="237">
        <v>10</v>
      </c>
      <c r="F32" s="237">
        <v>0</v>
      </c>
      <c r="H32" s="237" t="s">
        <v>52</v>
      </c>
      <c r="I32" s="237">
        <v>5</v>
      </c>
      <c r="J32" s="237">
        <f t="shared" si="0"/>
        <v>2018</v>
      </c>
      <c r="M32" s="237">
        <f>(116633.6/84)*9</f>
        <v>12496.457142857143</v>
      </c>
      <c r="O32" s="238">
        <f>M32-M32*F32</f>
        <v>12496.457142857143</v>
      </c>
      <c r="P32" s="238">
        <f>O32/I32/12</f>
        <v>208.27428571428572</v>
      </c>
      <c r="Q32" s="238">
        <f>IF(N32&gt;0,0,IF(OR(AC32&gt;AD32,AE32&lt;AF32),0,IF(AND(AE32&gt;=AF32,AE32&lt;=AD32),P32*((AE32-AF32)*12),IF(AND(AF32&lt;=AC32,AD32&gt;=AC32),((AD32-AC32)*12)*P32,IF(AE32&gt;AD32,12*P32,0)))))</f>
        <v>2499.2914285714287</v>
      </c>
      <c r="R32" s="238">
        <f>IF(N32=0,0,IF(AND(AG32&gt;=AF32,AG32&lt;=AE32),((AG32-AF32)*12)*P32,0))</f>
        <v>0</v>
      </c>
      <c r="S32" s="238">
        <f>IF(R32&gt;0,R32,Q32)</f>
        <v>2499.2914285714287</v>
      </c>
      <c r="T32" s="238">
        <v>1</v>
      </c>
      <c r="U32" s="238">
        <f>T32*SUM(Q32:R32)</f>
        <v>2499.2914285714287</v>
      </c>
      <c r="W32" s="238">
        <f>IF(AC32&gt;AD32,0,IF(AE32&lt;AF32,O32,IF(AND(AE32&gt;=AF32,AE32&lt;=AD32),(O32-S32),IF(AND(AF32&lt;=AC32,AD32&gt;=AC32),0,IF(AE32&gt;AD32,((AF32-AC32)*12)*P32,0)))))</f>
        <v>5623.4057142857146</v>
      </c>
      <c r="X32" s="238">
        <f>W32*T32</f>
        <v>5623.4057142857146</v>
      </c>
      <c r="Y32" s="238">
        <v>1</v>
      </c>
      <c r="Z32" s="238">
        <f>X32*Y32</f>
        <v>5623.4057142857146</v>
      </c>
      <c r="AA32" s="238">
        <f>IF(N32&gt;0,0,Z32+U32*Y32)*Y32</f>
        <v>8122.6971428571433</v>
      </c>
      <c r="AB32" s="238">
        <f>IF(N32&gt;0,(M32-Z32)/2,IF(AC32&gt;=AF32,(((M32*T32)*Y32)-AA32)/2,((((M32*T32)*Y32)-Z32)+(((M32*T32)*Y32)-AA32))/2))</f>
        <v>5623.4057142857146</v>
      </c>
      <c r="AC32" s="238">
        <f t="shared" si="12"/>
        <v>2013.75</v>
      </c>
      <c r="AD32" s="238">
        <f t="shared" si="13"/>
        <v>2017</v>
      </c>
      <c r="AE32" s="238">
        <f t="shared" si="14"/>
        <v>2018.75</v>
      </c>
      <c r="AF32" s="238">
        <f t="shared" si="15"/>
        <v>2016</v>
      </c>
      <c r="AG32" s="238">
        <f t="shared" si="16"/>
        <v>-8.3333333333333329E-2</v>
      </c>
      <c r="AH32" s="238" t="s">
        <v>265</v>
      </c>
    </row>
    <row r="34" spans="1:33" ht="13.5" thickBot="1">
      <c r="C34" s="237" t="s">
        <v>270</v>
      </c>
      <c r="M34" s="237">
        <f>SUM(M23:M33)</f>
        <v>2981488.8885714291</v>
      </c>
      <c r="O34" s="238">
        <f>SUM(O23:O33)</f>
        <v>2981488.8885714291</v>
      </c>
      <c r="P34" s="238">
        <f>SUM(P23:P33)</f>
        <v>15326.990406746032</v>
      </c>
      <c r="Q34" s="238">
        <f>SUM(Q23:Q33)</f>
        <v>182492.38221428572</v>
      </c>
      <c r="R34" s="238">
        <f>SUM(R12:R33)</f>
        <v>0</v>
      </c>
      <c r="S34" s="238">
        <f>SUM(S23:S33)</f>
        <v>182492.38221428572</v>
      </c>
      <c r="U34" s="238">
        <f>SUM(U23:U33)</f>
        <v>182492.38221428572</v>
      </c>
      <c r="V34" s="238">
        <f>SUM(V12:V33)</f>
        <v>0</v>
      </c>
      <c r="W34" s="238">
        <f t="shared" ref="W34:AB34" si="17">SUM(W23:W33)</f>
        <v>1235409.8908571384</v>
      </c>
      <c r="X34" s="238">
        <f t="shared" si="17"/>
        <v>1235409.8908571384</v>
      </c>
      <c r="Z34" s="238">
        <f t="shared" si="17"/>
        <v>1235409.8908571384</v>
      </c>
      <c r="AA34" s="238">
        <f t="shared" si="17"/>
        <v>1417902.2730714241</v>
      </c>
      <c r="AB34" s="238">
        <f t="shared" si="17"/>
        <v>1654832.8066071474</v>
      </c>
    </row>
    <row r="35" spans="1:33" ht="15.75" customHeight="1"/>
    <row r="36" spans="1:33" ht="12.75" customHeight="1">
      <c r="R36" s="238" t="s">
        <v>25</v>
      </c>
      <c r="U36" s="238" t="s">
        <v>17</v>
      </c>
      <c r="W36" s="238" t="s">
        <v>18</v>
      </c>
      <c r="X36" s="238" t="s">
        <v>118</v>
      </c>
      <c r="Z36" s="238" t="s">
        <v>19</v>
      </c>
      <c r="AA36" s="238" t="s">
        <v>19</v>
      </c>
    </row>
    <row r="37" spans="1:33">
      <c r="B37" s="237" t="s">
        <v>57</v>
      </c>
      <c r="D37" s="237" t="s">
        <v>59</v>
      </c>
      <c r="F37" s="237" t="s">
        <v>23</v>
      </c>
      <c r="H37" s="237" t="s">
        <v>57</v>
      </c>
      <c r="J37" s="237" t="s">
        <v>24</v>
      </c>
      <c r="K37" s="237" t="s">
        <v>57</v>
      </c>
      <c r="N37" s="238" t="s">
        <v>31</v>
      </c>
      <c r="O37" s="238" t="s">
        <v>57</v>
      </c>
      <c r="Q37" s="238" t="s">
        <v>68</v>
      </c>
      <c r="R37" s="238" t="s">
        <v>24</v>
      </c>
      <c r="S37" s="238" t="s">
        <v>17</v>
      </c>
      <c r="T37" s="238" t="s">
        <v>34</v>
      </c>
      <c r="U37" s="238" t="s">
        <v>19</v>
      </c>
      <c r="W37" s="238" t="s">
        <v>117</v>
      </c>
      <c r="X37" s="238" t="s">
        <v>117</v>
      </c>
      <c r="Y37" s="238" t="s">
        <v>27</v>
      </c>
      <c r="Z37" s="238" t="s">
        <v>28</v>
      </c>
      <c r="AA37" s="238" t="s">
        <v>28</v>
      </c>
      <c r="AB37" s="238" t="s">
        <v>38</v>
      </c>
    </row>
    <row r="38" spans="1:33">
      <c r="C38" s="237" t="s">
        <v>142</v>
      </c>
      <c r="D38" s="237" t="s">
        <v>61</v>
      </c>
      <c r="F38" s="237" t="s">
        <v>29</v>
      </c>
      <c r="H38" s="237" t="s">
        <v>30</v>
      </c>
      <c r="I38" s="237" t="s">
        <v>64</v>
      </c>
      <c r="J38" s="237" t="s">
        <v>65</v>
      </c>
      <c r="K38" s="237" t="s">
        <v>31</v>
      </c>
      <c r="L38" s="237" t="s">
        <v>41</v>
      </c>
      <c r="M38" s="237" t="s">
        <v>31</v>
      </c>
      <c r="N38" s="238" t="s">
        <v>25</v>
      </c>
      <c r="O38" s="238" t="s">
        <v>67</v>
      </c>
      <c r="P38" s="238" t="s">
        <v>69</v>
      </c>
      <c r="Q38" s="238" t="s">
        <v>24</v>
      </c>
      <c r="R38" s="238" t="s">
        <v>43</v>
      </c>
      <c r="S38" s="238" t="s">
        <v>33</v>
      </c>
      <c r="T38" s="238" t="s">
        <v>36</v>
      </c>
      <c r="U38" s="238" t="s">
        <v>32</v>
      </c>
      <c r="W38" s="238" t="s">
        <v>67</v>
      </c>
      <c r="X38" s="238" t="s">
        <v>67</v>
      </c>
      <c r="Y38" s="238" t="s">
        <v>36</v>
      </c>
      <c r="Z38" s="238" t="s">
        <v>37</v>
      </c>
      <c r="AA38" s="238" t="s">
        <v>37</v>
      </c>
      <c r="AB38" s="238" t="s">
        <v>45</v>
      </c>
      <c r="AC38" s="238" t="s">
        <v>4</v>
      </c>
      <c r="AD38" s="238" t="s">
        <v>46</v>
      </c>
      <c r="AE38" s="238" t="s">
        <v>47</v>
      </c>
      <c r="AF38" s="238" t="s">
        <v>15</v>
      </c>
      <c r="AG38" s="238" t="s">
        <v>20</v>
      </c>
    </row>
    <row r="39" spans="1:33">
      <c r="A39" s="237" t="s">
        <v>53</v>
      </c>
      <c r="B39" s="237" t="s">
        <v>62</v>
      </c>
      <c r="C39" s="237" t="s">
        <v>63</v>
      </c>
      <c r="D39" s="237" t="s">
        <v>24</v>
      </c>
      <c r="E39" s="237" t="s">
        <v>39</v>
      </c>
      <c r="F39" s="237" t="s">
        <v>34</v>
      </c>
      <c r="G39" s="237" t="s">
        <v>49</v>
      </c>
      <c r="H39" s="237" t="s">
        <v>40</v>
      </c>
      <c r="I39" s="237" t="s">
        <v>66</v>
      </c>
      <c r="J39" s="237" t="s">
        <v>67</v>
      </c>
      <c r="K39" s="237" t="s">
        <v>42</v>
      </c>
      <c r="L39" s="237" t="s">
        <v>49</v>
      </c>
      <c r="M39" s="237" t="s">
        <v>42</v>
      </c>
      <c r="N39" s="238" t="s">
        <v>49</v>
      </c>
      <c r="O39" s="238" t="s">
        <v>42</v>
      </c>
      <c r="P39" s="238" t="s">
        <v>67</v>
      </c>
      <c r="Q39" s="238" t="s">
        <v>67</v>
      </c>
      <c r="R39" s="238" t="s">
        <v>49</v>
      </c>
      <c r="S39" s="238" t="s">
        <v>44</v>
      </c>
      <c r="T39" s="238" t="s">
        <v>49</v>
      </c>
      <c r="U39" s="238" t="s">
        <v>37</v>
      </c>
    </row>
    <row r="40" spans="1:33">
      <c r="A40" s="237">
        <v>17346</v>
      </c>
      <c r="B40" s="237">
        <v>6</v>
      </c>
      <c r="C40" s="237" t="s">
        <v>366</v>
      </c>
      <c r="D40" s="237">
        <v>2002</v>
      </c>
      <c r="E40" s="237">
        <v>11</v>
      </c>
      <c r="F40" s="237">
        <v>0.2</v>
      </c>
      <c r="H40" s="237" t="s">
        <v>52</v>
      </c>
      <c r="I40" s="237">
        <v>7</v>
      </c>
      <c r="J40" s="237">
        <f>D40+I40</f>
        <v>2009</v>
      </c>
      <c r="M40" s="237">
        <f>29999.74</f>
        <v>29999.74</v>
      </c>
      <c r="N40" s="238">
        <v>0</v>
      </c>
      <c r="O40" s="238">
        <f>M40-M40*F40</f>
        <v>23999.792000000001</v>
      </c>
      <c r="P40" s="238">
        <f>O40/I40/12</f>
        <v>285.71180952380956</v>
      </c>
      <c r="Q40" s="238">
        <f>IF(N40&gt;0,0,IF(OR(AC40&gt;AD40,AE40&lt;AF40),0,IF(AND(AE40&gt;=AF40,AE40&lt;=AD40),P40*((AE40-AF40)*12),IF(AND(AF40&lt;=AC40,AD40&gt;=AC40),((AD40-AC40)*12)*P40,IF(AE40&gt;AD40,12*P40,0)))))</f>
        <v>0</v>
      </c>
      <c r="R40" s="238">
        <f>IF(N40=0,0,IF(AND(AG40&gt;=AF40,AG40&lt;=AE40),((AG40-AF40)*12)*P40,0))</f>
        <v>0</v>
      </c>
      <c r="S40" s="238">
        <f>IF(R40&gt;0,R40,Q40)</f>
        <v>0</v>
      </c>
      <c r="T40" s="238">
        <v>1</v>
      </c>
      <c r="U40" s="238">
        <f>T40*SUM(Q40:R40)</f>
        <v>0</v>
      </c>
      <c r="W40" s="238">
        <f>IF(AC40&gt;AD40,0,IF(AE40&lt;AF40,O40,IF(AND(AE40&gt;=AF40,AE40&lt;=AD40),(O40-S40),IF(AND(AF40&lt;=AC40,AD40&gt;=AC40),0,IF(AE40&gt;AD40,((AF40-AC40)*12)*P40,0)))))</f>
        <v>23999.792000000001</v>
      </c>
      <c r="X40" s="238">
        <f>W40*T40</f>
        <v>23999.792000000001</v>
      </c>
      <c r="Y40" s="238">
        <v>1</v>
      </c>
      <c r="Z40" s="238">
        <f>X40*Y40</f>
        <v>23999.792000000001</v>
      </c>
      <c r="AA40" s="238">
        <f>IF(N40&gt;0,0,Z40+U40*Y40)*Y40</f>
        <v>23999.792000000001</v>
      </c>
      <c r="AB40" s="238">
        <f>IF(N40&gt;0,(M40-Z40)/2,IF(AC40&gt;=AF40,(((M40*T40)*Y40)-AA40)/2,((((M40*T40)*Y40)-Z40)+(((M40*T40)*Y40)-AA40))/2))</f>
        <v>5999.9480000000003</v>
      </c>
      <c r="AC40" s="238">
        <f>$D40+(($E40-1)/12)</f>
        <v>2002.8333333333333</v>
      </c>
      <c r="AD40" s="238">
        <f>($O$5+1)-($O$2/12)</f>
        <v>2017</v>
      </c>
      <c r="AE40" s="238">
        <f>$J40+(($E40-1)/12)</f>
        <v>2009.8333333333333</v>
      </c>
      <c r="AF40" s="238">
        <f>$O$4+($O$3/12)</f>
        <v>2016</v>
      </c>
      <c r="AG40" s="238">
        <f>$K40+(($L40-1)/12)</f>
        <v>-8.3333333333333329E-2</v>
      </c>
    </row>
    <row r="41" spans="1:33">
      <c r="A41" s="237">
        <v>75142</v>
      </c>
      <c r="B41" s="237">
        <v>3</v>
      </c>
      <c r="C41" s="237" t="s">
        <v>189</v>
      </c>
      <c r="D41" s="237">
        <v>2010</v>
      </c>
      <c r="E41" s="237">
        <v>6</v>
      </c>
      <c r="F41" s="237">
        <v>0.33</v>
      </c>
      <c r="H41" s="237" t="s">
        <v>52</v>
      </c>
      <c r="I41" s="237">
        <v>5</v>
      </c>
      <c r="J41" s="237">
        <f>D41+I41</f>
        <v>2015</v>
      </c>
      <c r="M41" s="237">
        <f>25131.7</f>
        <v>25131.7</v>
      </c>
      <c r="N41" s="238">
        <v>0</v>
      </c>
      <c r="O41" s="238">
        <f>M41-M41*F41</f>
        <v>16838.239000000001</v>
      </c>
      <c r="P41" s="238">
        <f>O41/I41/12</f>
        <v>280.63731666666666</v>
      </c>
      <c r="Q41" s="238">
        <f>IF(N41&gt;0,0,IF(OR(AC41&gt;AD41,AE41&lt;AF41),0,IF(AND(AE41&gt;=AF41,AE41&lt;=AD41),P41*((AE41-AF41)*12),IF(AND(AF41&lt;=AC41,AD41&gt;=AC41),((AD41-AC41)*12)*P41,IF(AE41&gt;AD41,12*P41,0)))))</f>
        <v>0</v>
      </c>
      <c r="R41" s="238">
        <f>IF(N41=0,0,IF(AND(AG41&gt;=AF41,AG41&lt;=AE41),((AG41-AF41)*12)*P41,0))</f>
        <v>0</v>
      </c>
      <c r="S41" s="238">
        <f>IF(R41&gt;0,R41,Q41)</f>
        <v>0</v>
      </c>
      <c r="T41" s="238">
        <v>1</v>
      </c>
      <c r="U41" s="238">
        <f>T41*SUM(Q41:R41)</f>
        <v>0</v>
      </c>
      <c r="W41" s="238">
        <f>IF(AC41&gt;AD41,0,IF(AE41&lt;AF41,O41,IF(AND(AE41&gt;=AF41,AE41&lt;=AD41),(O41-S41),IF(AND(AF41&lt;=AC41,AD41&gt;=AC41),0,IF(AE41&gt;AD41,((AF41-AC41)*12)*P41,0)))))</f>
        <v>16838.239000000001</v>
      </c>
      <c r="X41" s="238">
        <f>W41*T41</f>
        <v>16838.239000000001</v>
      </c>
      <c r="Y41" s="238">
        <v>1</v>
      </c>
      <c r="Z41" s="238">
        <f>X41*Y41</f>
        <v>16838.239000000001</v>
      </c>
      <c r="AA41" s="238">
        <f>IF(N41&gt;0,0,Z41+U41*Y41)*Y41</f>
        <v>16838.239000000001</v>
      </c>
      <c r="AB41" s="238">
        <f>IF(N41&gt;0,(M41-Z41)/2,IF(AC41&gt;=AF41,(((M41*T41)*Y41)-AA41)/2,((((M41*T41)*Y41)-Z41)+(((M41*T41)*Y41)-AA41))/2))</f>
        <v>8293.4609999999993</v>
      </c>
      <c r="AC41" s="238">
        <f>$D41+(($E41-1)/12)</f>
        <v>2010.4166666666667</v>
      </c>
      <c r="AD41" s="238">
        <f>($O$5+1)-($O$2/12)</f>
        <v>2017</v>
      </c>
      <c r="AE41" s="238">
        <f>$J41+(($E41-1)/12)</f>
        <v>2015.4166666666667</v>
      </c>
      <c r="AF41" s="238">
        <f>$O$4+($O$3/12)</f>
        <v>2016</v>
      </c>
      <c r="AG41" s="238">
        <f>$K41+(($L41-1)/12)</f>
        <v>-8.3333333333333329E-2</v>
      </c>
    </row>
    <row r="42" spans="1:33">
      <c r="A42" s="237">
        <v>118197</v>
      </c>
      <c r="B42" s="237">
        <v>13</v>
      </c>
      <c r="C42" s="237" t="s">
        <v>338</v>
      </c>
      <c r="D42" s="237">
        <v>2013</v>
      </c>
      <c r="E42" s="237">
        <v>8</v>
      </c>
      <c r="F42" s="237">
        <v>0.2</v>
      </c>
      <c r="H42" s="237" t="s">
        <v>52</v>
      </c>
      <c r="I42" s="237">
        <v>7</v>
      </c>
      <c r="J42" s="237">
        <f>D42+I42</f>
        <v>2020</v>
      </c>
      <c r="M42" s="237">
        <f>26744.9+1811.35</f>
        <v>28556.25</v>
      </c>
      <c r="O42" s="238">
        <f>M42-M42*F42</f>
        <v>22845</v>
      </c>
      <c r="P42" s="238">
        <f>O42/I42/12</f>
        <v>271.96428571428572</v>
      </c>
      <c r="Q42" s="238">
        <f>IF(N42&gt;0,0,IF(OR(AC42&gt;AD42,AE42&lt;AF42),0,IF(AND(AE42&gt;=AF42,AE42&lt;=AD42),P42*((AE42-AF42)*12),IF(AND(AF42&lt;=AC42,AD42&gt;=AC42),((AD42-AC42)*12)*P42,IF(AE42&gt;AD42,12*P42,0)))))</f>
        <v>3263.5714285714284</v>
      </c>
      <c r="R42" s="238">
        <f>IF(N42=0,0,IF(AND(AG42&gt;=AF42,AG42&lt;=AE42),((AG42-AF42)*12)*P42,0))</f>
        <v>0</v>
      </c>
      <c r="S42" s="238">
        <f>IF(R42&gt;0,R42,Q42)</f>
        <v>3263.5714285714284</v>
      </c>
      <c r="T42" s="238">
        <v>1</v>
      </c>
      <c r="U42" s="238">
        <f>T42*SUM(Q42:R42)</f>
        <v>3263.5714285714284</v>
      </c>
      <c r="W42" s="238">
        <f>IF(AC42&gt;AD42,0,IF(AE42&lt;AF42,O42,IF(AND(AE42&gt;=AF42,AE42&lt;=AD42),(O42-S42),IF(AND(AF42&lt;=AC42,AD42&gt;=AC42),0,IF(AE42&gt;AD42,((AF42-AC42)*12)*P42,0)))))</f>
        <v>7886.9642857145336</v>
      </c>
      <c r="X42" s="238">
        <f>W42*T42</f>
        <v>7886.9642857145336</v>
      </c>
      <c r="Y42" s="238">
        <v>1</v>
      </c>
      <c r="Z42" s="238">
        <f>X42*Y42</f>
        <v>7886.9642857145336</v>
      </c>
      <c r="AA42" s="238">
        <f>IF(N42&gt;0,0,Z42+U42*Y42)*Y42</f>
        <v>11150.535714285961</v>
      </c>
      <c r="AB42" s="238">
        <f>IF(N42&gt;0,(M42-Z42)/2,IF(AC42&gt;=AF42,(((M42*T42)*Y42)-AA42)/2,((((M42*T42)*Y42)-Z42)+(((M42*T42)*Y42)-AA42))/2))</f>
        <v>19037.499999999753</v>
      </c>
      <c r="AC42" s="238">
        <f>$D42+(($E42-1)/12)</f>
        <v>2013.5833333333333</v>
      </c>
      <c r="AD42" s="238">
        <f>($O$5+1)-($O$2/12)</f>
        <v>2017</v>
      </c>
      <c r="AE42" s="238">
        <f>$J42+(($E42-1)/12)</f>
        <v>2020.5833333333333</v>
      </c>
      <c r="AF42" s="238">
        <f>$O$4+($O$3/12)</f>
        <v>2016</v>
      </c>
      <c r="AG42" s="238">
        <f>$K42+(($L42-1)/12)</f>
        <v>-8.3333333333333329E-2</v>
      </c>
    </row>
    <row r="43" spans="1:33">
      <c r="C43" s="237" t="s">
        <v>57</v>
      </c>
    </row>
    <row r="44" spans="1:33" ht="13.5" thickBot="1">
      <c r="C44" s="237" t="s">
        <v>141</v>
      </c>
      <c r="M44" s="237">
        <f>SUM(M40:M43)</f>
        <v>83687.69</v>
      </c>
      <c r="O44" s="238">
        <f>SUM(O40:O43)</f>
        <v>63683.031000000003</v>
      </c>
      <c r="P44" s="238">
        <f>SUM(P40:P43)</f>
        <v>838.31341190476201</v>
      </c>
      <c r="Q44" s="238">
        <f>SUM(Q40:Q43)</f>
        <v>3263.5714285714284</v>
      </c>
      <c r="S44" s="238">
        <f>SUM(S40:S43)</f>
        <v>3263.5714285714284</v>
      </c>
      <c r="U44" s="238">
        <f t="shared" ref="U44:AB44" si="18">SUM(U40:U43)</f>
        <v>3263.5714285714284</v>
      </c>
      <c r="V44" s="238">
        <f t="shared" si="18"/>
        <v>0</v>
      </c>
      <c r="W44" s="238">
        <f t="shared" si="18"/>
        <v>48724.99528571454</v>
      </c>
      <c r="X44" s="238">
        <f t="shared" si="18"/>
        <v>48724.99528571454</v>
      </c>
      <c r="Z44" s="238">
        <f t="shared" si="18"/>
        <v>48724.99528571454</v>
      </c>
      <c r="AA44" s="238">
        <f t="shared" si="18"/>
        <v>51988.56671428596</v>
      </c>
      <c r="AB44" s="238">
        <f t="shared" si="18"/>
        <v>33330.908999999752</v>
      </c>
    </row>
    <row r="47" spans="1:33">
      <c r="R47" s="238" t="s">
        <v>25</v>
      </c>
      <c r="U47" s="238" t="s">
        <v>17</v>
      </c>
      <c r="W47" s="238" t="s">
        <v>18</v>
      </c>
      <c r="X47" s="238" t="s">
        <v>118</v>
      </c>
      <c r="Z47" s="238" t="s">
        <v>19</v>
      </c>
      <c r="AA47" s="238" t="s">
        <v>19</v>
      </c>
    </row>
    <row r="48" spans="1:33">
      <c r="B48" s="237" t="s">
        <v>57</v>
      </c>
      <c r="D48" s="237" t="s">
        <v>59</v>
      </c>
      <c r="F48" s="237" t="s">
        <v>23</v>
      </c>
      <c r="H48" s="237" t="s">
        <v>57</v>
      </c>
      <c r="J48" s="237" t="s">
        <v>24</v>
      </c>
      <c r="K48" s="237" t="s">
        <v>57</v>
      </c>
      <c r="M48" s="237" t="s">
        <v>57</v>
      </c>
      <c r="N48" s="238" t="s">
        <v>31</v>
      </c>
      <c r="O48" s="238" t="s">
        <v>57</v>
      </c>
      <c r="Q48" s="238" t="s">
        <v>68</v>
      </c>
      <c r="R48" s="238" t="s">
        <v>24</v>
      </c>
      <c r="S48" s="238" t="s">
        <v>17</v>
      </c>
      <c r="T48" s="238" t="s">
        <v>34</v>
      </c>
      <c r="U48" s="238" t="s">
        <v>19</v>
      </c>
      <c r="W48" s="238" t="s">
        <v>117</v>
      </c>
      <c r="X48" s="238" t="s">
        <v>117</v>
      </c>
      <c r="Y48" s="238" t="s">
        <v>27</v>
      </c>
      <c r="Z48" s="238" t="s">
        <v>28</v>
      </c>
      <c r="AA48" s="238" t="s">
        <v>28</v>
      </c>
      <c r="AB48" s="238" t="s">
        <v>38</v>
      </c>
    </row>
    <row r="49" spans="1:33">
      <c r="C49" s="237" t="s">
        <v>135</v>
      </c>
      <c r="D49" s="237" t="s">
        <v>61</v>
      </c>
      <c r="F49" s="237" t="s">
        <v>29</v>
      </c>
      <c r="H49" s="237" t="s">
        <v>30</v>
      </c>
      <c r="I49" s="237" t="s">
        <v>64</v>
      </c>
      <c r="J49" s="237" t="s">
        <v>65</v>
      </c>
      <c r="K49" s="237" t="s">
        <v>31</v>
      </c>
      <c r="L49" s="237" t="s">
        <v>41</v>
      </c>
      <c r="M49" s="237" t="s">
        <v>31</v>
      </c>
      <c r="N49" s="238" t="s">
        <v>25</v>
      </c>
      <c r="O49" s="238" t="s">
        <v>67</v>
      </c>
      <c r="P49" s="238" t="s">
        <v>69</v>
      </c>
      <c r="Q49" s="238" t="s">
        <v>24</v>
      </c>
      <c r="R49" s="238" t="s">
        <v>43</v>
      </c>
      <c r="S49" s="238" t="s">
        <v>33</v>
      </c>
      <c r="T49" s="238" t="s">
        <v>36</v>
      </c>
      <c r="U49" s="238" t="s">
        <v>32</v>
      </c>
      <c r="W49" s="238" t="s">
        <v>67</v>
      </c>
      <c r="X49" s="238" t="s">
        <v>67</v>
      </c>
      <c r="Y49" s="238" t="s">
        <v>36</v>
      </c>
      <c r="Z49" s="238" t="s">
        <v>37</v>
      </c>
      <c r="AA49" s="238" t="s">
        <v>37</v>
      </c>
      <c r="AB49" s="238" t="s">
        <v>45</v>
      </c>
      <c r="AC49" s="238" t="s">
        <v>4</v>
      </c>
      <c r="AD49" s="238" t="s">
        <v>46</v>
      </c>
      <c r="AE49" s="238" t="s">
        <v>47</v>
      </c>
      <c r="AF49" s="238" t="s">
        <v>15</v>
      </c>
      <c r="AG49" s="238" t="s">
        <v>20</v>
      </c>
    </row>
    <row r="50" spans="1:33">
      <c r="B50" s="237" t="s">
        <v>62</v>
      </c>
      <c r="C50" s="237" t="s">
        <v>63</v>
      </c>
      <c r="D50" s="237" t="s">
        <v>24</v>
      </c>
      <c r="E50" s="237" t="s">
        <v>39</v>
      </c>
      <c r="F50" s="237" t="s">
        <v>34</v>
      </c>
      <c r="G50" s="237" t="s">
        <v>49</v>
      </c>
      <c r="H50" s="237" t="s">
        <v>40</v>
      </c>
      <c r="I50" s="237" t="s">
        <v>66</v>
      </c>
      <c r="J50" s="237" t="s">
        <v>67</v>
      </c>
      <c r="K50" s="237" t="s">
        <v>42</v>
      </c>
      <c r="L50" s="237" t="s">
        <v>49</v>
      </c>
      <c r="M50" s="237" t="s">
        <v>42</v>
      </c>
      <c r="N50" s="238" t="s">
        <v>49</v>
      </c>
      <c r="O50" s="238" t="s">
        <v>42</v>
      </c>
      <c r="P50" s="238" t="s">
        <v>67</v>
      </c>
      <c r="Q50" s="238" t="s">
        <v>67</v>
      </c>
      <c r="R50" s="238" t="s">
        <v>49</v>
      </c>
      <c r="S50" s="238" t="s">
        <v>44</v>
      </c>
      <c r="T50" s="238" t="s">
        <v>49</v>
      </c>
      <c r="U50" s="238" t="s">
        <v>37</v>
      </c>
    </row>
    <row r="51" spans="1:33">
      <c r="A51" s="237" t="s">
        <v>293</v>
      </c>
      <c r="B51" s="237">
        <v>14</v>
      </c>
      <c r="C51" s="237" t="s">
        <v>294</v>
      </c>
      <c r="D51" s="237">
        <v>2001</v>
      </c>
      <c r="E51" s="237">
        <v>9</v>
      </c>
      <c r="F51" s="237">
        <v>0.33</v>
      </c>
      <c r="H51" s="237" t="s">
        <v>52</v>
      </c>
      <c r="I51" s="237">
        <v>5</v>
      </c>
      <c r="J51" s="237">
        <f t="shared" ref="J51:J73" si="19">D51+I51</f>
        <v>2006</v>
      </c>
      <c r="M51" s="237">
        <v>16221.35</v>
      </c>
      <c r="O51" s="238">
        <f t="shared" ref="O51:O73" si="20">M51-M51*F51</f>
        <v>10868.3045</v>
      </c>
      <c r="P51" s="238">
        <f t="shared" ref="P51:P73" si="21">O51/I51/12</f>
        <v>181.13840833333333</v>
      </c>
      <c r="Q51" s="238">
        <f t="shared" ref="Q51:Q72" si="22">IF(N51&gt;0,0,IF(OR(AC51&gt;AD51,AE51&lt;AF51),0,IF(AND(AE51&gt;=AF51,AE51&lt;=AD51),P51*((AE51-AF51)*12),IF(AND(AF51&lt;=AC51,AD51&gt;=AC51),((AD51-AC51)*12)*P51,IF(AE51&gt;AD51,12*P51,0)))))</f>
        <v>0</v>
      </c>
      <c r="R51" s="238">
        <f t="shared" ref="R51:R72" si="23">IF(N51=0,0,IF(AND(AG51&gt;=AF51,AG51&lt;=AE51),((AG51-AF51)*12)*P51,0))</f>
        <v>0</v>
      </c>
      <c r="S51" s="238">
        <f t="shared" ref="S51:S72" si="24">IF(R51&gt;0,R51,Q51)</f>
        <v>0</v>
      </c>
      <c r="T51" s="238">
        <v>1</v>
      </c>
      <c r="U51" s="238">
        <f t="shared" ref="U51:U72" si="25">T51*SUM(Q51:R51)</f>
        <v>0</v>
      </c>
      <c r="W51" s="238">
        <f t="shared" ref="W51:W72" si="26">IF(AC51&gt;AD51,0,IF(AE51&lt;AF51,O51,IF(AND(AE51&gt;=AF51,AE51&lt;=AD51),(O51-S51),IF(AND(AF51&lt;=AC51,AD51&gt;=AC51),0,IF(AE51&gt;AD51,((AF51-AC51)*12)*P51,0)))))</f>
        <v>10868.3045</v>
      </c>
      <c r="X51" s="238">
        <f t="shared" ref="X51:X72" si="27">W51*T51</f>
        <v>10868.3045</v>
      </c>
      <c r="Y51" s="238">
        <v>1</v>
      </c>
      <c r="Z51" s="238">
        <f t="shared" ref="Z51:Z72" si="28">X51*Y51</f>
        <v>10868.3045</v>
      </c>
      <c r="AA51" s="238">
        <f t="shared" ref="AA51:AA72" si="29">IF(N51&gt;0,0,Z51+U51*Y51)*Y51</f>
        <v>10868.3045</v>
      </c>
      <c r="AB51" s="238">
        <f t="shared" ref="AB51:AB72" si="30">IF(N51&gt;0,(M51-Z51)/2,IF(AC51&gt;=AF51,(((M51*T51)*Y51)-AA51)/2,((((M51*T51)*Y51)-Z51)+(((M51*T51)*Y51)-AA51))/2))</f>
        <v>5353.0455000000002</v>
      </c>
      <c r="AC51" s="238">
        <f t="shared" ref="AC51:AC76" si="31">$D51+(($E51-1)/12)</f>
        <v>2001.6666666666667</v>
      </c>
      <c r="AD51" s="238">
        <f t="shared" ref="AD51:AD76" si="32">($O$5+1)-($O$2/12)</f>
        <v>2017</v>
      </c>
      <c r="AE51" s="238">
        <f t="shared" ref="AE51:AE76" si="33">$J51+(($E51-1)/12)</f>
        <v>2006.6666666666667</v>
      </c>
      <c r="AF51" s="238">
        <f t="shared" ref="AF51:AF76" si="34">$O$4+($O$3/12)</f>
        <v>2016</v>
      </c>
      <c r="AG51" s="238">
        <f t="shared" ref="AG51:AG76" si="35">$K51+(($L51-1)/12)</f>
        <v>-8.3333333333333329E-2</v>
      </c>
    </row>
    <row r="52" spans="1:33">
      <c r="C52" s="237" t="s">
        <v>143</v>
      </c>
      <c r="D52" s="237">
        <v>2002</v>
      </c>
      <c r="E52" s="237">
        <v>11</v>
      </c>
      <c r="F52" s="237">
        <v>0</v>
      </c>
      <c r="H52" s="237" t="s">
        <v>52</v>
      </c>
      <c r="I52" s="237">
        <v>7</v>
      </c>
      <c r="J52" s="237">
        <f t="shared" si="19"/>
        <v>2009</v>
      </c>
      <c r="M52" s="237">
        <v>77235</v>
      </c>
      <c r="O52" s="238">
        <f t="shared" si="20"/>
        <v>77235</v>
      </c>
      <c r="P52" s="238">
        <f t="shared" si="21"/>
        <v>919.46428571428578</v>
      </c>
      <c r="Q52" s="238">
        <f t="shared" si="22"/>
        <v>0</v>
      </c>
      <c r="R52" s="238">
        <f t="shared" si="23"/>
        <v>0</v>
      </c>
      <c r="S52" s="238">
        <f t="shared" si="24"/>
        <v>0</v>
      </c>
      <c r="T52" s="238">
        <v>1</v>
      </c>
      <c r="U52" s="238">
        <f t="shared" si="25"/>
        <v>0</v>
      </c>
      <c r="W52" s="238">
        <f t="shared" si="26"/>
        <v>77235</v>
      </c>
      <c r="X52" s="238">
        <f t="shared" si="27"/>
        <v>77235</v>
      </c>
      <c r="Y52" s="238">
        <v>1</v>
      </c>
      <c r="Z52" s="238">
        <f t="shared" si="28"/>
        <v>77235</v>
      </c>
      <c r="AA52" s="238">
        <f t="shared" si="29"/>
        <v>77235</v>
      </c>
      <c r="AB52" s="238">
        <f t="shared" si="30"/>
        <v>0</v>
      </c>
      <c r="AC52" s="238">
        <f t="shared" si="31"/>
        <v>2002.8333333333333</v>
      </c>
      <c r="AD52" s="238">
        <f t="shared" si="32"/>
        <v>2017</v>
      </c>
      <c r="AE52" s="238">
        <f t="shared" si="33"/>
        <v>2009.8333333333333</v>
      </c>
      <c r="AF52" s="238">
        <f t="shared" si="34"/>
        <v>2016</v>
      </c>
      <c r="AG52" s="238">
        <f t="shared" si="35"/>
        <v>-8.3333333333333329E-2</v>
      </c>
    </row>
    <row r="53" spans="1:33">
      <c r="C53" s="237" t="s">
        <v>144</v>
      </c>
      <c r="D53" s="237">
        <v>2002</v>
      </c>
      <c r="E53" s="237">
        <v>11</v>
      </c>
      <c r="F53" s="237">
        <v>0</v>
      </c>
      <c r="H53" s="237" t="s">
        <v>52</v>
      </c>
      <c r="I53" s="237">
        <v>5</v>
      </c>
      <c r="J53" s="237">
        <f t="shared" si="19"/>
        <v>2007</v>
      </c>
      <c r="M53" s="237">
        <v>6348.86</v>
      </c>
      <c r="O53" s="238">
        <f t="shared" si="20"/>
        <v>6348.86</v>
      </c>
      <c r="P53" s="238">
        <f t="shared" si="21"/>
        <v>105.81433333333332</v>
      </c>
      <c r="Q53" s="238">
        <f t="shared" si="22"/>
        <v>0</v>
      </c>
      <c r="R53" s="238">
        <f t="shared" si="23"/>
        <v>0</v>
      </c>
      <c r="S53" s="238">
        <f t="shared" si="24"/>
        <v>0</v>
      </c>
      <c r="T53" s="238">
        <v>1</v>
      </c>
      <c r="U53" s="238">
        <f t="shared" si="25"/>
        <v>0</v>
      </c>
      <c r="W53" s="238">
        <f t="shared" si="26"/>
        <v>6348.86</v>
      </c>
      <c r="X53" s="238">
        <f t="shared" si="27"/>
        <v>6348.86</v>
      </c>
      <c r="Y53" s="238">
        <v>1</v>
      </c>
      <c r="Z53" s="238">
        <f t="shared" si="28"/>
        <v>6348.86</v>
      </c>
      <c r="AA53" s="238">
        <f t="shared" si="29"/>
        <v>6348.86</v>
      </c>
      <c r="AB53" s="238">
        <f t="shared" si="30"/>
        <v>0</v>
      </c>
      <c r="AC53" s="238">
        <f t="shared" si="31"/>
        <v>2002.8333333333333</v>
      </c>
      <c r="AD53" s="238">
        <f t="shared" si="32"/>
        <v>2017</v>
      </c>
      <c r="AE53" s="238">
        <f t="shared" si="33"/>
        <v>2007.8333333333333</v>
      </c>
      <c r="AF53" s="238">
        <f t="shared" si="34"/>
        <v>2016</v>
      </c>
      <c r="AG53" s="238">
        <f t="shared" si="35"/>
        <v>-8.3333333333333329E-2</v>
      </c>
    </row>
    <row r="54" spans="1:33">
      <c r="A54" s="237">
        <v>48345</v>
      </c>
      <c r="B54" s="237">
        <v>5</v>
      </c>
      <c r="C54" s="237" t="s">
        <v>155</v>
      </c>
      <c r="D54" s="237">
        <v>2006</v>
      </c>
      <c r="E54" s="237">
        <v>3</v>
      </c>
      <c r="F54" s="237">
        <v>0.2</v>
      </c>
      <c r="H54" s="237" t="s">
        <v>52</v>
      </c>
      <c r="I54" s="237">
        <v>7</v>
      </c>
      <c r="J54" s="237">
        <f t="shared" si="19"/>
        <v>2013</v>
      </c>
      <c r="M54" s="237">
        <f>19775.94</f>
        <v>19775.939999999999</v>
      </c>
      <c r="O54" s="238">
        <f t="shared" si="20"/>
        <v>15820.751999999999</v>
      </c>
      <c r="P54" s="238">
        <f t="shared" si="21"/>
        <v>188.34228571428571</v>
      </c>
      <c r="Q54" s="238">
        <f t="shared" si="22"/>
        <v>0</v>
      </c>
      <c r="R54" s="238">
        <f t="shared" si="23"/>
        <v>0</v>
      </c>
      <c r="S54" s="238">
        <f t="shared" si="24"/>
        <v>0</v>
      </c>
      <c r="T54" s="238">
        <v>1</v>
      </c>
      <c r="U54" s="238">
        <f t="shared" si="25"/>
        <v>0</v>
      </c>
      <c r="W54" s="238">
        <f t="shared" si="26"/>
        <v>15820.751999999999</v>
      </c>
      <c r="X54" s="238">
        <f t="shared" si="27"/>
        <v>15820.751999999999</v>
      </c>
      <c r="Y54" s="238">
        <v>1</v>
      </c>
      <c r="Z54" s="238">
        <f t="shared" si="28"/>
        <v>15820.751999999999</v>
      </c>
      <c r="AA54" s="238">
        <f t="shared" si="29"/>
        <v>15820.751999999999</v>
      </c>
      <c r="AB54" s="238">
        <f t="shared" si="30"/>
        <v>3955.1880000000001</v>
      </c>
      <c r="AC54" s="238">
        <f t="shared" si="31"/>
        <v>2006.1666666666667</v>
      </c>
      <c r="AD54" s="238">
        <f t="shared" si="32"/>
        <v>2017</v>
      </c>
      <c r="AE54" s="238">
        <f t="shared" si="33"/>
        <v>2013.1666666666667</v>
      </c>
      <c r="AF54" s="238">
        <f t="shared" si="34"/>
        <v>2016</v>
      </c>
      <c r="AG54" s="238">
        <f t="shared" si="35"/>
        <v>-8.3333333333333329E-2</v>
      </c>
    </row>
    <row r="55" spans="1:33">
      <c r="A55" s="237">
        <v>58549</v>
      </c>
      <c r="B55" s="237">
        <v>126</v>
      </c>
      <c r="C55" s="237" t="s">
        <v>175</v>
      </c>
      <c r="D55" s="237">
        <v>2008</v>
      </c>
      <c r="E55" s="237">
        <v>7</v>
      </c>
      <c r="F55" s="237">
        <v>0.2</v>
      </c>
      <c r="H55" s="237" t="s">
        <v>52</v>
      </c>
      <c r="I55" s="237">
        <v>7</v>
      </c>
      <c r="J55" s="237">
        <f t="shared" si="19"/>
        <v>2015</v>
      </c>
      <c r="M55" s="237">
        <f>(46818.35+2714.56)</f>
        <v>49532.909999999996</v>
      </c>
      <c r="O55" s="238">
        <f t="shared" si="20"/>
        <v>39626.327999999994</v>
      </c>
      <c r="P55" s="238">
        <f t="shared" si="21"/>
        <v>471.74199999999996</v>
      </c>
      <c r="Q55" s="238">
        <f t="shared" si="22"/>
        <v>0</v>
      </c>
      <c r="R55" s="238">
        <f t="shared" si="23"/>
        <v>0</v>
      </c>
      <c r="S55" s="238">
        <f t="shared" si="24"/>
        <v>0</v>
      </c>
      <c r="T55" s="238">
        <v>1</v>
      </c>
      <c r="U55" s="238">
        <f t="shared" si="25"/>
        <v>0</v>
      </c>
      <c r="W55" s="238">
        <f t="shared" si="26"/>
        <v>39626.327999999994</v>
      </c>
      <c r="X55" s="238">
        <f t="shared" si="27"/>
        <v>39626.327999999994</v>
      </c>
      <c r="Y55" s="238">
        <v>1</v>
      </c>
      <c r="Z55" s="238">
        <f t="shared" si="28"/>
        <v>39626.327999999994</v>
      </c>
      <c r="AA55" s="238">
        <f t="shared" si="29"/>
        <v>39626.327999999994</v>
      </c>
      <c r="AB55" s="238">
        <f t="shared" si="30"/>
        <v>9906.5820000000022</v>
      </c>
      <c r="AC55" s="238">
        <f t="shared" si="31"/>
        <v>2008.5</v>
      </c>
      <c r="AD55" s="238">
        <f t="shared" si="32"/>
        <v>2017</v>
      </c>
      <c r="AE55" s="238">
        <f t="shared" si="33"/>
        <v>2015.5</v>
      </c>
      <c r="AF55" s="238">
        <f t="shared" si="34"/>
        <v>2016</v>
      </c>
      <c r="AG55" s="238">
        <f t="shared" si="35"/>
        <v>-8.3333333333333329E-2</v>
      </c>
    </row>
    <row r="56" spans="1:33">
      <c r="B56" s="237">
        <v>1</v>
      </c>
      <c r="C56" s="237" t="s">
        <v>185</v>
      </c>
      <c r="D56" s="237">
        <v>2009</v>
      </c>
      <c r="E56" s="237">
        <v>6</v>
      </c>
      <c r="F56" s="237">
        <v>0</v>
      </c>
      <c r="H56" s="237" t="s">
        <v>52</v>
      </c>
      <c r="I56" s="237">
        <v>7</v>
      </c>
      <c r="J56" s="237">
        <f t="shared" si="19"/>
        <v>2016</v>
      </c>
      <c r="M56" s="237">
        <f>13737.83</f>
        <v>13737.83</v>
      </c>
      <c r="O56" s="238">
        <f t="shared" si="20"/>
        <v>13737.83</v>
      </c>
      <c r="P56" s="238">
        <f t="shared" si="21"/>
        <v>163.54559523809525</v>
      </c>
      <c r="Q56" s="238">
        <f t="shared" si="22"/>
        <v>817.72797619062499</v>
      </c>
      <c r="R56" s="238">
        <f t="shared" si="23"/>
        <v>0</v>
      </c>
      <c r="S56" s="238">
        <f t="shared" si="24"/>
        <v>817.72797619062499</v>
      </c>
      <c r="T56" s="238">
        <v>1</v>
      </c>
      <c r="U56" s="238">
        <f t="shared" si="25"/>
        <v>817.72797619062499</v>
      </c>
      <c r="W56" s="238">
        <f t="shared" si="26"/>
        <v>12920.102023809375</v>
      </c>
      <c r="X56" s="238">
        <f t="shared" si="27"/>
        <v>12920.102023809375</v>
      </c>
      <c r="Y56" s="238">
        <v>1</v>
      </c>
      <c r="Z56" s="238">
        <f t="shared" si="28"/>
        <v>12920.102023809375</v>
      </c>
      <c r="AA56" s="238">
        <f t="shared" si="29"/>
        <v>13737.83</v>
      </c>
      <c r="AB56" s="238">
        <f t="shared" si="30"/>
        <v>408.86398809531238</v>
      </c>
      <c r="AC56" s="238">
        <f t="shared" si="31"/>
        <v>2009.4166666666667</v>
      </c>
      <c r="AD56" s="238">
        <f t="shared" si="32"/>
        <v>2017</v>
      </c>
      <c r="AE56" s="238">
        <f t="shared" si="33"/>
        <v>2016.4166666666667</v>
      </c>
      <c r="AF56" s="238">
        <f t="shared" si="34"/>
        <v>2016</v>
      </c>
      <c r="AG56" s="238">
        <f t="shared" si="35"/>
        <v>-8.3333333333333329E-2</v>
      </c>
    </row>
    <row r="57" spans="1:33">
      <c r="C57" s="237" t="s">
        <v>197</v>
      </c>
      <c r="D57" s="237">
        <v>2010</v>
      </c>
      <c r="E57" s="237">
        <v>11</v>
      </c>
      <c r="F57" s="237">
        <v>0</v>
      </c>
      <c r="H57" s="237" t="s">
        <v>52</v>
      </c>
      <c r="I57" s="237">
        <v>5</v>
      </c>
      <c r="J57" s="237">
        <f t="shared" si="19"/>
        <v>2015</v>
      </c>
      <c r="M57" s="237">
        <f>7651</f>
        <v>7651</v>
      </c>
      <c r="O57" s="238">
        <f t="shared" si="20"/>
        <v>7651</v>
      </c>
      <c r="P57" s="238">
        <f t="shared" si="21"/>
        <v>127.51666666666667</v>
      </c>
      <c r="Q57" s="238">
        <f t="shared" si="22"/>
        <v>0</v>
      </c>
      <c r="R57" s="238">
        <f t="shared" si="23"/>
        <v>0</v>
      </c>
      <c r="S57" s="238">
        <f t="shared" si="24"/>
        <v>0</v>
      </c>
      <c r="T57" s="238">
        <v>1</v>
      </c>
      <c r="U57" s="238">
        <f t="shared" si="25"/>
        <v>0</v>
      </c>
      <c r="W57" s="238">
        <f t="shared" si="26"/>
        <v>7651</v>
      </c>
      <c r="X57" s="238">
        <f t="shared" si="27"/>
        <v>7651</v>
      </c>
      <c r="Y57" s="238">
        <v>1</v>
      </c>
      <c r="Z57" s="238">
        <f t="shared" si="28"/>
        <v>7651</v>
      </c>
      <c r="AA57" s="238">
        <f t="shared" si="29"/>
        <v>7651</v>
      </c>
      <c r="AB57" s="238">
        <f t="shared" si="30"/>
        <v>0</v>
      </c>
      <c r="AC57" s="238">
        <f t="shared" si="31"/>
        <v>2010.8333333333333</v>
      </c>
      <c r="AD57" s="238">
        <f t="shared" si="32"/>
        <v>2017</v>
      </c>
      <c r="AE57" s="238">
        <f t="shared" si="33"/>
        <v>2015.8333333333333</v>
      </c>
      <c r="AF57" s="238">
        <f t="shared" si="34"/>
        <v>2016</v>
      </c>
      <c r="AG57" s="238">
        <f t="shared" si="35"/>
        <v>-8.3333333333333329E-2</v>
      </c>
    </row>
    <row r="58" spans="1:33">
      <c r="C58" s="237" t="s">
        <v>198</v>
      </c>
      <c r="D58" s="237">
        <v>2010</v>
      </c>
      <c r="E58" s="237">
        <v>4</v>
      </c>
      <c r="F58" s="237">
        <v>0</v>
      </c>
      <c r="H58" s="237" t="s">
        <v>52</v>
      </c>
      <c r="I58" s="237">
        <v>5</v>
      </c>
      <c r="J58" s="237">
        <f t="shared" si="19"/>
        <v>2015</v>
      </c>
      <c r="M58" s="237">
        <f>5464.99</f>
        <v>5464.99</v>
      </c>
      <c r="O58" s="238">
        <f t="shared" si="20"/>
        <v>5464.99</v>
      </c>
      <c r="P58" s="238">
        <f t="shared" si="21"/>
        <v>91.083166666666671</v>
      </c>
      <c r="Q58" s="238">
        <f t="shared" si="22"/>
        <v>0</v>
      </c>
      <c r="R58" s="238">
        <f t="shared" si="23"/>
        <v>0</v>
      </c>
      <c r="S58" s="238">
        <f t="shared" si="24"/>
        <v>0</v>
      </c>
      <c r="T58" s="238">
        <v>1</v>
      </c>
      <c r="U58" s="238">
        <f t="shared" si="25"/>
        <v>0</v>
      </c>
      <c r="W58" s="238">
        <f t="shared" si="26"/>
        <v>5464.99</v>
      </c>
      <c r="X58" s="238">
        <f t="shared" si="27"/>
        <v>5464.99</v>
      </c>
      <c r="Y58" s="238">
        <v>1</v>
      </c>
      <c r="Z58" s="238">
        <f t="shared" si="28"/>
        <v>5464.99</v>
      </c>
      <c r="AA58" s="238">
        <f t="shared" si="29"/>
        <v>5464.99</v>
      </c>
      <c r="AB58" s="238">
        <f t="shared" si="30"/>
        <v>0</v>
      </c>
      <c r="AC58" s="238">
        <f t="shared" si="31"/>
        <v>2010.25</v>
      </c>
      <c r="AD58" s="238">
        <f t="shared" si="32"/>
        <v>2017</v>
      </c>
      <c r="AE58" s="238">
        <f t="shared" si="33"/>
        <v>2015.25</v>
      </c>
      <c r="AF58" s="238">
        <f t="shared" si="34"/>
        <v>2016</v>
      </c>
      <c r="AG58" s="238">
        <f t="shared" si="35"/>
        <v>-8.3333333333333329E-2</v>
      </c>
    </row>
    <row r="59" spans="1:33">
      <c r="A59" s="237">
        <v>89091</v>
      </c>
      <c r="B59" s="237">
        <v>1</v>
      </c>
      <c r="C59" s="237" t="s">
        <v>227</v>
      </c>
      <c r="D59" s="237">
        <v>2011</v>
      </c>
      <c r="E59" s="237">
        <v>12</v>
      </c>
      <c r="F59" s="237">
        <v>0</v>
      </c>
      <c r="H59" s="237" t="s">
        <v>52</v>
      </c>
      <c r="I59" s="237">
        <v>5</v>
      </c>
      <c r="J59" s="237">
        <f t="shared" si="19"/>
        <v>2016</v>
      </c>
      <c r="M59" s="237">
        <f>858</f>
        <v>858</v>
      </c>
      <c r="O59" s="238">
        <f t="shared" si="20"/>
        <v>858</v>
      </c>
      <c r="P59" s="238">
        <f t="shared" si="21"/>
        <v>14.299999999999999</v>
      </c>
      <c r="Q59" s="238">
        <f t="shared" si="22"/>
        <v>157.300000000013</v>
      </c>
      <c r="R59" s="238">
        <f t="shared" si="23"/>
        <v>0</v>
      </c>
      <c r="S59" s="238">
        <f t="shared" si="24"/>
        <v>157.300000000013</v>
      </c>
      <c r="T59" s="238">
        <v>1</v>
      </c>
      <c r="U59" s="238">
        <f t="shared" si="25"/>
        <v>157.300000000013</v>
      </c>
      <c r="W59" s="238">
        <f t="shared" si="26"/>
        <v>700.69999999998697</v>
      </c>
      <c r="X59" s="238">
        <f t="shared" si="27"/>
        <v>700.69999999998697</v>
      </c>
      <c r="Y59" s="238">
        <v>1</v>
      </c>
      <c r="Z59" s="238">
        <f t="shared" si="28"/>
        <v>700.69999999998697</v>
      </c>
      <c r="AA59" s="238">
        <f t="shared" si="29"/>
        <v>858</v>
      </c>
      <c r="AB59" s="238">
        <f t="shared" si="30"/>
        <v>78.650000000006514</v>
      </c>
      <c r="AC59" s="238">
        <f t="shared" si="31"/>
        <v>2011.9166666666667</v>
      </c>
      <c r="AD59" s="238">
        <f t="shared" si="32"/>
        <v>2017</v>
      </c>
      <c r="AE59" s="238">
        <f t="shared" si="33"/>
        <v>2016.9166666666667</v>
      </c>
      <c r="AF59" s="238">
        <f t="shared" si="34"/>
        <v>2016</v>
      </c>
      <c r="AG59" s="238">
        <f t="shared" si="35"/>
        <v>-8.3333333333333329E-2</v>
      </c>
    </row>
    <row r="60" spans="1:33">
      <c r="A60" s="237" t="s">
        <v>295</v>
      </c>
      <c r="C60" s="237" t="s">
        <v>296</v>
      </c>
      <c r="D60" s="237">
        <v>2011</v>
      </c>
      <c r="E60" s="237">
        <v>3</v>
      </c>
      <c r="F60" s="237">
        <v>0</v>
      </c>
      <c r="H60" s="237" t="s">
        <v>52</v>
      </c>
      <c r="I60" s="237">
        <v>5</v>
      </c>
      <c r="J60" s="237">
        <f t="shared" si="19"/>
        <v>2016</v>
      </c>
      <c r="M60" s="237">
        <v>9838.58</v>
      </c>
      <c r="O60" s="238">
        <f t="shared" si="20"/>
        <v>9838.58</v>
      </c>
      <c r="P60" s="238">
        <f t="shared" si="21"/>
        <v>163.97633333333332</v>
      </c>
      <c r="Q60" s="238">
        <f t="shared" si="22"/>
        <v>327.95266666681579</v>
      </c>
      <c r="R60" s="238">
        <f t="shared" si="23"/>
        <v>0</v>
      </c>
      <c r="S60" s="238">
        <f t="shared" si="24"/>
        <v>327.95266666681579</v>
      </c>
      <c r="T60" s="238">
        <v>1</v>
      </c>
      <c r="U60" s="238">
        <f t="shared" si="25"/>
        <v>327.95266666681579</v>
      </c>
      <c r="W60" s="238">
        <f t="shared" si="26"/>
        <v>9510.6273333331847</v>
      </c>
      <c r="X60" s="238">
        <f t="shared" si="27"/>
        <v>9510.6273333331847</v>
      </c>
      <c r="Y60" s="238">
        <v>1</v>
      </c>
      <c r="Z60" s="238">
        <f t="shared" si="28"/>
        <v>9510.6273333331847</v>
      </c>
      <c r="AA60" s="238">
        <f t="shared" si="29"/>
        <v>9838.58</v>
      </c>
      <c r="AB60" s="238">
        <f t="shared" si="30"/>
        <v>163.97633333340764</v>
      </c>
      <c r="AC60" s="238">
        <f t="shared" si="31"/>
        <v>2011.1666666666667</v>
      </c>
      <c r="AD60" s="238">
        <f t="shared" si="32"/>
        <v>2017</v>
      </c>
      <c r="AE60" s="238">
        <f t="shared" si="33"/>
        <v>2016.1666666666667</v>
      </c>
      <c r="AF60" s="238">
        <f t="shared" si="34"/>
        <v>2016</v>
      </c>
      <c r="AG60" s="238">
        <f t="shared" si="35"/>
        <v>-8.3333333333333329E-2</v>
      </c>
    </row>
    <row r="61" spans="1:33">
      <c r="A61" s="237">
        <v>95043</v>
      </c>
      <c r="C61" s="237" t="s">
        <v>245</v>
      </c>
      <c r="D61" s="237">
        <v>2012</v>
      </c>
      <c r="E61" s="237">
        <v>4</v>
      </c>
      <c r="F61" s="237">
        <v>0</v>
      </c>
      <c r="H61" s="237" t="s">
        <v>52</v>
      </c>
      <c r="I61" s="237">
        <v>5</v>
      </c>
      <c r="J61" s="237">
        <f t="shared" si="19"/>
        <v>2017</v>
      </c>
      <c r="M61" s="237">
        <f>1398.18</f>
        <v>1398.18</v>
      </c>
      <c r="O61" s="238">
        <f t="shared" si="20"/>
        <v>1398.18</v>
      </c>
      <c r="P61" s="238">
        <f t="shared" si="21"/>
        <v>23.303000000000001</v>
      </c>
      <c r="Q61" s="238">
        <f t="shared" si="22"/>
        <v>279.63600000000002</v>
      </c>
      <c r="R61" s="238">
        <f t="shared" si="23"/>
        <v>0</v>
      </c>
      <c r="S61" s="238">
        <f t="shared" si="24"/>
        <v>279.63600000000002</v>
      </c>
      <c r="T61" s="238">
        <v>1</v>
      </c>
      <c r="U61" s="238">
        <f t="shared" si="25"/>
        <v>279.63600000000002</v>
      </c>
      <c r="W61" s="238">
        <f t="shared" si="26"/>
        <v>1048.635</v>
      </c>
      <c r="X61" s="238">
        <f t="shared" si="27"/>
        <v>1048.635</v>
      </c>
      <c r="Y61" s="238">
        <v>1</v>
      </c>
      <c r="Z61" s="238">
        <f t="shared" si="28"/>
        <v>1048.635</v>
      </c>
      <c r="AA61" s="238">
        <f t="shared" si="29"/>
        <v>1328.271</v>
      </c>
      <c r="AB61" s="238">
        <f t="shared" si="30"/>
        <v>209.72700000000009</v>
      </c>
      <c r="AC61" s="238">
        <f t="shared" si="31"/>
        <v>2012.25</v>
      </c>
      <c r="AD61" s="238">
        <f t="shared" si="32"/>
        <v>2017</v>
      </c>
      <c r="AE61" s="238">
        <f t="shared" si="33"/>
        <v>2017.25</v>
      </c>
      <c r="AF61" s="238">
        <f t="shared" si="34"/>
        <v>2016</v>
      </c>
      <c r="AG61" s="238">
        <f t="shared" si="35"/>
        <v>-8.3333333333333329E-2</v>
      </c>
    </row>
    <row r="62" spans="1:33">
      <c r="A62" s="237">
        <v>107188</v>
      </c>
      <c r="C62" s="237" t="s">
        <v>286</v>
      </c>
      <c r="D62" s="237">
        <v>2012</v>
      </c>
      <c r="E62" s="237">
        <v>7</v>
      </c>
      <c r="F62" s="237">
        <v>0</v>
      </c>
      <c r="H62" s="237" t="s">
        <v>52</v>
      </c>
      <c r="I62" s="237">
        <v>5</v>
      </c>
      <c r="J62" s="237">
        <f t="shared" si="19"/>
        <v>2017</v>
      </c>
      <c r="M62" s="237">
        <v>649.16999999999996</v>
      </c>
      <c r="O62" s="238">
        <f t="shared" si="20"/>
        <v>649.16999999999996</v>
      </c>
      <c r="P62" s="238">
        <f t="shared" si="21"/>
        <v>10.8195</v>
      </c>
      <c r="Q62" s="238">
        <f t="shared" si="22"/>
        <v>129.834</v>
      </c>
      <c r="R62" s="238">
        <f t="shared" si="23"/>
        <v>0</v>
      </c>
      <c r="S62" s="238">
        <f t="shared" si="24"/>
        <v>129.834</v>
      </c>
      <c r="T62" s="238">
        <v>1</v>
      </c>
      <c r="U62" s="238">
        <f t="shared" si="25"/>
        <v>129.834</v>
      </c>
      <c r="W62" s="238">
        <f t="shared" si="26"/>
        <v>454.41899999999998</v>
      </c>
      <c r="X62" s="238">
        <f t="shared" si="27"/>
        <v>454.41899999999998</v>
      </c>
      <c r="Y62" s="238">
        <v>1</v>
      </c>
      <c r="Z62" s="238">
        <f t="shared" si="28"/>
        <v>454.41899999999998</v>
      </c>
      <c r="AA62" s="238">
        <f t="shared" si="29"/>
        <v>584.25299999999993</v>
      </c>
      <c r="AB62" s="238">
        <f t="shared" si="30"/>
        <v>129.834</v>
      </c>
      <c r="AC62" s="238">
        <f t="shared" si="31"/>
        <v>2012.5</v>
      </c>
      <c r="AD62" s="238">
        <f t="shared" si="32"/>
        <v>2017</v>
      </c>
      <c r="AE62" s="238">
        <f t="shared" si="33"/>
        <v>2017.5</v>
      </c>
      <c r="AF62" s="238">
        <f t="shared" si="34"/>
        <v>2016</v>
      </c>
      <c r="AG62" s="238">
        <f t="shared" si="35"/>
        <v>-8.3333333333333329E-2</v>
      </c>
    </row>
    <row r="63" spans="1:33">
      <c r="A63" s="237">
        <v>107187</v>
      </c>
      <c r="C63" s="237" t="s">
        <v>285</v>
      </c>
      <c r="D63" s="237">
        <v>2012</v>
      </c>
      <c r="E63" s="237">
        <v>1</v>
      </c>
      <c r="F63" s="237">
        <v>0</v>
      </c>
      <c r="H63" s="237" t="s">
        <v>52</v>
      </c>
      <c r="I63" s="237">
        <v>5</v>
      </c>
      <c r="J63" s="237">
        <f t="shared" si="19"/>
        <v>2017</v>
      </c>
      <c r="M63" s="237">
        <v>564.44000000000005</v>
      </c>
      <c r="O63" s="238">
        <f t="shared" si="20"/>
        <v>564.44000000000005</v>
      </c>
      <c r="P63" s="238">
        <f t="shared" si="21"/>
        <v>9.4073333333333338</v>
      </c>
      <c r="Q63" s="238">
        <f t="shared" si="22"/>
        <v>112.88800000000001</v>
      </c>
      <c r="R63" s="238">
        <f t="shared" si="23"/>
        <v>0</v>
      </c>
      <c r="S63" s="238">
        <f t="shared" si="24"/>
        <v>112.88800000000001</v>
      </c>
      <c r="T63" s="238">
        <v>1</v>
      </c>
      <c r="U63" s="238">
        <f t="shared" si="25"/>
        <v>112.88800000000001</v>
      </c>
      <c r="W63" s="238">
        <f t="shared" si="26"/>
        <v>451.55200000000002</v>
      </c>
      <c r="X63" s="238">
        <f t="shared" si="27"/>
        <v>451.55200000000002</v>
      </c>
      <c r="Y63" s="238">
        <v>1</v>
      </c>
      <c r="Z63" s="238">
        <f t="shared" si="28"/>
        <v>451.55200000000002</v>
      </c>
      <c r="AA63" s="238">
        <f t="shared" si="29"/>
        <v>564.44000000000005</v>
      </c>
      <c r="AB63" s="238">
        <f t="shared" si="30"/>
        <v>56.444000000000017</v>
      </c>
      <c r="AC63" s="238">
        <f t="shared" si="31"/>
        <v>2012</v>
      </c>
      <c r="AD63" s="238">
        <f t="shared" si="32"/>
        <v>2017</v>
      </c>
      <c r="AE63" s="238">
        <f t="shared" si="33"/>
        <v>2017</v>
      </c>
      <c r="AF63" s="238">
        <f t="shared" si="34"/>
        <v>2016</v>
      </c>
      <c r="AG63" s="238">
        <f t="shared" si="35"/>
        <v>-8.3333333333333329E-2</v>
      </c>
    </row>
    <row r="64" spans="1:33">
      <c r="A64" s="237">
        <v>110092</v>
      </c>
      <c r="C64" s="237" t="s">
        <v>287</v>
      </c>
      <c r="D64" s="237">
        <v>2013</v>
      </c>
      <c r="E64" s="237">
        <v>12</v>
      </c>
      <c r="F64" s="237">
        <v>0</v>
      </c>
      <c r="H64" s="237" t="s">
        <v>52</v>
      </c>
      <c r="I64" s="237">
        <v>5</v>
      </c>
      <c r="J64" s="237">
        <f t="shared" si="19"/>
        <v>2018</v>
      </c>
      <c r="M64" s="237">
        <v>2337.39</v>
      </c>
      <c r="O64" s="238">
        <f t="shared" si="20"/>
        <v>2337.39</v>
      </c>
      <c r="P64" s="238">
        <f t="shared" si="21"/>
        <v>38.956499999999998</v>
      </c>
      <c r="Q64" s="238">
        <f t="shared" si="22"/>
        <v>467.47799999999995</v>
      </c>
      <c r="R64" s="238">
        <f t="shared" si="23"/>
        <v>0</v>
      </c>
      <c r="S64" s="238">
        <f t="shared" si="24"/>
        <v>467.47799999999995</v>
      </c>
      <c r="T64" s="238">
        <v>1</v>
      </c>
      <c r="U64" s="238">
        <f t="shared" si="25"/>
        <v>467.47799999999995</v>
      </c>
      <c r="W64" s="238">
        <f t="shared" si="26"/>
        <v>973.91249999996455</v>
      </c>
      <c r="X64" s="238">
        <f t="shared" si="27"/>
        <v>973.91249999996455</v>
      </c>
      <c r="Y64" s="238">
        <v>1</v>
      </c>
      <c r="Z64" s="238">
        <f t="shared" si="28"/>
        <v>973.91249999996455</v>
      </c>
      <c r="AA64" s="238">
        <f t="shared" si="29"/>
        <v>1441.3904999999645</v>
      </c>
      <c r="AB64" s="238">
        <f t="shared" si="30"/>
        <v>1129.7385000000354</v>
      </c>
      <c r="AC64" s="238">
        <f t="shared" si="31"/>
        <v>2013.9166666666667</v>
      </c>
      <c r="AD64" s="238">
        <f t="shared" si="32"/>
        <v>2017</v>
      </c>
      <c r="AE64" s="238">
        <f t="shared" si="33"/>
        <v>2018.9166666666667</v>
      </c>
      <c r="AF64" s="238">
        <f t="shared" si="34"/>
        <v>2016</v>
      </c>
      <c r="AG64" s="238">
        <f t="shared" si="35"/>
        <v>-8.3333333333333329E-2</v>
      </c>
    </row>
    <row r="65" spans="1:33">
      <c r="A65" s="237">
        <v>110093</v>
      </c>
      <c r="C65" s="237" t="s">
        <v>288</v>
      </c>
      <c r="D65" s="237">
        <v>2013</v>
      </c>
      <c r="E65" s="237">
        <v>12</v>
      </c>
      <c r="F65" s="237">
        <v>0</v>
      </c>
      <c r="H65" s="237" t="s">
        <v>52</v>
      </c>
      <c r="I65" s="237">
        <v>5</v>
      </c>
      <c r="J65" s="237">
        <f t="shared" si="19"/>
        <v>2018</v>
      </c>
      <c r="M65" s="237">
        <v>5343.25</v>
      </c>
      <c r="O65" s="238">
        <f t="shared" si="20"/>
        <v>5343.25</v>
      </c>
      <c r="P65" s="238">
        <f t="shared" si="21"/>
        <v>89.054166666666674</v>
      </c>
      <c r="Q65" s="238">
        <f t="shared" si="22"/>
        <v>1068.6500000000001</v>
      </c>
      <c r="R65" s="238">
        <f t="shared" si="23"/>
        <v>0</v>
      </c>
      <c r="S65" s="238">
        <f t="shared" si="24"/>
        <v>1068.6500000000001</v>
      </c>
      <c r="T65" s="238">
        <v>1</v>
      </c>
      <c r="U65" s="238">
        <f t="shared" si="25"/>
        <v>1068.6500000000001</v>
      </c>
      <c r="W65" s="238">
        <f t="shared" si="26"/>
        <v>2226.354166666586</v>
      </c>
      <c r="X65" s="238">
        <f t="shared" si="27"/>
        <v>2226.354166666586</v>
      </c>
      <c r="Y65" s="238">
        <v>1</v>
      </c>
      <c r="Z65" s="238">
        <f t="shared" si="28"/>
        <v>2226.354166666586</v>
      </c>
      <c r="AA65" s="238">
        <f t="shared" si="29"/>
        <v>3295.0041666665861</v>
      </c>
      <c r="AB65" s="238">
        <f t="shared" si="30"/>
        <v>2582.5708333334142</v>
      </c>
      <c r="AC65" s="238">
        <f t="shared" si="31"/>
        <v>2013.9166666666667</v>
      </c>
      <c r="AD65" s="238">
        <f t="shared" si="32"/>
        <v>2017</v>
      </c>
      <c r="AE65" s="238">
        <f t="shared" si="33"/>
        <v>2018.9166666666667</v>
      </c>
      <c r="AF65" s="238">
        <f t="shared" si="34"/>
        <v>2016</v>
      </c>
      <c r="AG65" s="238">
        <f t="shared" si="35"/>
        <v>-8.3333333333333329E-2</v>
      </c>
    </row>
    <row r="66" spans="1:33">
      <c r="A66" s="237">
        <v>110094</v>
      </c>
      <c r="C66" s="237" t="s">
        <v>299</v>
      </c>
      <c r="D66" s="237">
        <v>2013</v>
      </c>
      <c r="E66" s="237">
        <v>12</v>
      </c>
      <c r="F66" s="237">
        <v>0</v>
      </c>
      <c r="H66" s="237" t="s">
        <v>52</v>
      </c>
      <c r="I66" s="237">
        <v>5</v>
      </c>
      <c r="J66" s="237">
        <f t="shared" si="19"/>
        <v>2018</v>
      </c>
      <c r="M66" s="237">
        <v>14544.51</v>
      </c>
      <c r="O66" s="238">
        <f t="shared" si="20"/>
        <v>14544.51</v>
      </c>
      <c r="P66" s="238">
        <f t="shared" si="21"/>
        <v>242.4085</v>
      </c>
      <c r="Q66" s="238">
        <f t="shared" si="22"/>
        <v>2908.902</v>
      </c>
      <c r="R66" s="238">
        <f t="shared" si="23"/>
        <v>0</v>
      </c>
      <c r="S66" s="238">
        <f t="shared" si="24"/>
        <v>2908.902</v>
      </c>
      <c r="T66" s="238">
        <v>1</v>
      </c>
      <c r="U66" s="238">
        <f t="shared" si="25"/>
        <v>2908.902</v>
      </c>
      <c r="W66" s="238">
        <f t="shared" si="26"/>
        <v>6060.2124999997795</v>
      </c>
      <c r="X66" s="238">
        <f t="shared" si="27"/>
        <v>6060.2124999997795</v>
      </c>
      <c r="Y66" s="238">
        <v>1</v>
      </c>
      <c r="Z66" s="238">
        <f t="shared" si="28"/>
        <v>6060.2124999997795</v>
      </c>
      <c r="AA66" s="238">
        <f t="shared" si="29"/>
        <v>8969.1144999997796</v>
      </c>
      <c r="AB66" s="238">
        <f t="shared" si="30"/>
        <v>7029.8465000002207</v>
      </c>
      <c r="AC66" s="238">
        <f t="shared" si="31"/>
        <v>2013.9166666666667</v>
      </c>
      <c r="AD66" s="238">
        <f t="shared" si="32"/>
        <v>2017</v>
      </c>
      <c r="AE66" s="238">
        <f t="shared" si="33"/>
        <v>2018.9166666666667</v>
      </c>
      <c r="AF66" s="238">
        <f t="shared" si="34"/>
        <v>2016</v>
      </c>
      <c r="AG66" s="238">
        <f t="shared" si="35"/>
        <v>-8.3333333333333329E-2</v>
      </c>
    </row>
    <row r="67" spans="1:33">
      <c r="A67" s="237">
        <v>110969</v>
      </c>
      <c r="B67" s="237">
        <v>127</v>
      </c>
      <c r="C67" s="237" t="s">
        <v>311</v>
      </c>
      <c r="D67" s="237">
        <v>2014</v>
      </c>
      <c r="E67" s="237">
        <v>2</v>
      </c>
      <c r="F67" s="237">
        <v>0.2</v>
      </c>
      <c r="H67" s="237" t="s">
        <v>52</v>
      </c>
      <c r="I67" s="237">
        <v>7</v>
      </c>
      <c r="J67" s="237">
        <f t="shared" si="19"/>
        <v>2021</v>
      </c>
      <c r="M67" s="237">
        <v>74932.75</v>
      </c>
      <c r="O67" s="238">
        <f t="shared" si="20"/>
        <v>59946.2</v>
      </c>
      <c r="P67" s="238">
        <f t="shared" si="21"/>
        <v>713.64523809523814</v>
      </c>
      <c r="Q67" s="238">
        <f t="shared" si="22"/>
        <v>8563.7428571428572</v>
      </c>
      <c r="R67" s="238">
        <f t="shared" si="23"/>
        <v>0</v>
      </c>
      <c r="S67" s="238">
        <f t="shared" si="24"/>
        <v>8563.7428571428572</v>
      </c>
      <c r="T67" s="238">
        <v>1</v>
      </c>
      <c r="U67" s="238">
        <f t="shared" si="25"/>
        <v>8563.7428571428572</v>
      </c>
      <c r="W67" s="238">
        <f t="shared" si="26"/>
        <v>16413.840476191126</v>
      </c>
      <c r="X67" s="238">
        <f t="shared" si="27"/>
        <v>16413.840476191126</v>
      </c>
      <c r="Y67" s="238">
        <v>1</v>
      </c>
      <c r="Z67" s="238">
        <f t="shared" si="28"/>
        <v>16413.840476191126</v>
      </c>
      <c r="AA67" s="238">
        <f t="shared" si="29"/>
        <v>24977.583333333983</v>
      </c>
      <c r="AB67" s="238">
        <f t="shared" si="30"/>
        <v>54237.038095237447</v>
      </c>
      <c r="AC67" s="238">
        <f t="shared" si="31"/>
        <v>2014.0833333333333</v>
      </c>
      <c r="AD67" s="238">
        <f t="shared" si="32"/>
        <v>2017</v>
      </c>
      <c r="AE67" s="238">
        <f t="shared" si="33"/>
        <v>2021.0833333333333</v>
      </c>
      <c r="AF67" s="238">
        <f t="shared" si="34"/>
        <v>2016</v>
      </c>
      <c r="AG67" s="238">
        <f t="shared" si="35"/>
        <v>-8.3333333333333329E-2</v>
      </c>
    </row>
    <row r="68" spans="1:33">
      <c r="A68" s="237">
        <v>113987</v>
      </c>
      <c r="C68" s="237" t="s">
        <v>310</v>
      </c>
      <c r="D68" s="237">
        <v>2014</v>
      </c>
      <c r="E68" s="237">
        <v>6</v>
      </c>
      <c r="F68" s="237">
        <v>0</v>
      </c>
      <c r="H68" s="237" t="s">
        <v>52</v>
      </c>
      <c r="I68" s="237">
        <v>5</v>
      </c>
      <c r="J68" s="237">
        <f t="shared" si="19"/>
        <v>2019</v>
      </c>
      <c r="M68" s="237">
        <v>10194.98</v>
      </c>
      <c r="O68" s="238">
        <f t="shared" si="20"/>
        <v>10194.98</v>
      </c>
      <c r="P68" s="238">
        <f t="shared" si="21"/>
        <v>169.91633333333331</v>
      </c>
      <c r="Q68" s="238">
        <f t="shared" si="22"/>
        <v>2038.9959999999996</v>
      </c>
      <c r="R68" s="238">
        <f t="shared" si="23"/>
        <v>0</v>
      </c>
      <c r="S68" s="238">
        <f t="shared" si="24"/>
        <v>2038.9959999999996</v>
      </c>
      <c r="T68" s="238">
        <v>1</v>
      </c>
      <c r="U68" s="238">
        <f t="shared" si="25"/>
        <v>2038.9959999999996</v>
      </c>
      <c r="W68" s="238">
        <f t="shared" si="26"/>
        <v>3228.4103333331782</v>
      </c>
      <c r="X68" s="238">
        <f t="shared" si="27"/>
        <v>3228.4103333331782</v>
      </c>
      <c r="Y68" s="238">
        <v>1</v>
      </c>
      <c r="Z68" s="238">
        <f t="shared" si="28"/>
        <v>3228.4103333331782</v>
      </c>
      <c r="AA68" s="238">
        <f t="shared" si="29"/>
        <v>5267.4063333331778</v>
      </c>
      <c r="AB68" s="238">
        <f t="shared" si="30"/>
        <v>5947.0716666668213</v>
      </c>
      <c r="AC68" s="238">
        <f t="shared" si="31"/>
        <v>2014.4166666666667</v>
      </c>
      <c r="AD68" s="238">
        <f t="shared" si="32"/>
        <v>2017</v>
      </c>
      <c r="AE68" s="238">
        <f t="shared" si="33"/>
        <v>2019.4166666666667</v>
      </c>
      <c r="AF68" s="238">
        <f t="shared" si="34"/>
        <v>2016</v>
      </c>
      <c r="AG68" s="238">
        <f t="shared" si="35"/>
        <v>-8.3333333333333329E-2</v>
      </c>
    </row>
    <row r="69" spans="1:33">
      <c r="A69" s="237">
        <v>118290</v>
      </c>
      <c r="C69" s="237" t="s">
        <v>319</v>
      </c>
      <c r="D69" s="237">
        <v>2014</v>
      </c>
      <c r="E69" s="237">
        <v>11</v>
      </c>
      <c r="F69" s="237">
        <v>0</v>
      </c>
      <c r="H69" s="237" t="s">
        <v>52</v>
      </c>
      <c r="I69" s="237">
        <v>5</v>
      </c>
      <c r="J69" s="237">
        <f t="shared" si="19"/>
        <v>2019</v>
      </c>
      <c r="M69" s="237">
        <v>46736.34</v>
      </c>
      <c r="O69" s="238">
        <f t="shared" si="20"/>
        <v>46736.34</v>
      </c>
      <c r="P69" s="238">
        <f t="shared" si="21"/>
        <v>778.93899999999996</v>
      </c>
      <c r="Q69" s="238">
        <f t="shared" si="22"/>
        <v>9347.268</v>
      </c>
      <c r="R69" s="238">
        <f t="shared" si="23"/>
        <v>0</v>
      </c>
      <c r="S69" s="238">
        <f t="shared" si="24"/>
        <v>9347.268</v>
      </c>
      <c r="T69" s="238">
        <v>1</v>
      </c>
      <c r="U69" s="238">
        <f t="shared" si="25"/>
        <v>9347.268</v>
      </c>
      <c r="W69" s="238">
        <f t="shared" si="26"/>
        <v>10905.146000000708</v>
      </c>
      <c r="X69" s="238">
        <f t="shared" si="27"/>
        <v>10905.146000000708</v>
      </c>
      <c r="Y69" s="238">
        <v>1</v>
      </c>
      <c r="Z69" s="238">
        <f t="shared" si="28"/>
        <v>10905.146000000708</v>
      </c>
      <c r="AA69" s="238">
        <f t="shared" si="29"/>
        <v>20252.41400000071</v>
      </c>
      <c r="AB69" s="238">
        <f t="shared" si="30"/>
        <v>31157.559999999288</v>
      </c>
      <c r="AC69" s="238">
        <f t="shared" si="31"/>
        <v>2014.8333333333333</v>
      </c>
      <c r="AD69" s="238">
        <f t="shared" si="32"/>
        <v>2017</v>
      </c>
      <c r="AE69" s="238">
        <f t="shared" si="33"/>
        <v>2019.8333333333333</v>
      </c>
      <c r="AF69" s="238">
        <f t="shared" si="34"/>
        <v>2016</v>
      </c>
      <c r="AG69" s="238">
        <f t="shared" si="35"/>
        <v>-8.3333333333333329E-2</v>
      </c>
    </row>
    <row r="70" spans="1:33">
      <c r="A70" s="237">
        <v>117607</v>
      </c>
      <c r="C70" s="237" t="s">
        <v>320</v>
      </c>
      <c r="D70" s="237">
        <v>2014</v>
      </c>
      <c r="E70" s="237">
        <v>11</v>
      </c>
      <c r="F70" s="237">
        <v>0.2</v>
      </c>
      <c r="H70" s="237" t="s">
        <v>52</v>
      </c>
      <c r="I70" s="237">
        <v>7</v>
      </c>
      <c r="J70" s="237">
        <f t="shared" si="19"/>
        <v>2021</v>
      </c>
      <c r="M70" s="237">
        <v>6499.27</v>
      </c>
      <c r="O70" s="238">
        <f t="shared" si="20"/>
        <v>5199.4160000000002</v>
      </c>
      <c r="P70" s="238">
        <f t="shared" si="21"/>
        <v>61.897809523809521</v>
      </c>
      <c r="Q70" s="238">
        <f t="shared" si="22"/>
        <v>742.77371428571428</v>
      </c>
      <c r="R70" s="238">
        <f t="shared" si="23"/>
        <v>0</v>
      </c>
      <c r="S70" s="238">
        <f t="shared" si="24"/>
        <v>742.77371428571428</v>
      </c>
      <c r="T70" s="238">
        <v>1</v>
      </c>
      <c r="U70" s="238">
        <f t="shared" si="25"/>
        <v>742.77371428571428</v>
      </c>
      <c r="W70" s="238">
        <f t="shared" si="26"/>
        <v>866.56933333338964</v>
      </c>
      <c r="X70" s="238">
        <f t="shared" si="27"/>
        <v>866.56933333338964</v>
      </c>
      <c r="Y70" s="238">
        <v>1</v>
      </c>
      <c r="Z70" s="238">
        <f t="shared" si="28"/>
        <v>866.56933333338964</v>
      </c>
      <c r="AA70" s="238">
        <f t="shared" si="29"/>
        <v>1609.3430476191038</v>
      </c>
      <c r="AB70" s="238">
        <f t="shared" si="30"/>
        <v>5261.3138095237537</v>
      </c>
      <c r="AC70" s="238">
        <f t="shared" si="31"/>
        <v>2014.8333333333333</v>
      </c>
      <c r="AD70" s="238">
        <f t="shared" si="32"/>
        <v>2017</v>
      </c>
      <c r="AE70" s="238">
        <f t="shared" si="33"/>
        <v>2021.8333333333333</v>
      </c>
      <c r="AF70" s="238">
        <f t="shared" si="34"/>
        <v>2016</v>
      </c>
      <c r="AG70" s="238">
        <f t="shared" si="35"/>
        <v>-8.3333333333333329E-2</v>
      </c>
    </row>
    <row r="71" spans="1:33">
      <c r="A71" s="237">
        <v>118482</v>
      </c>
      <c r="C71" s="237" t="s">
        <v>321</v>
      </c>
      <c r="D71" s="237">
        <v>2014</v>
      </c>
      <c r="E71" s="237">
        <v>12</v>
      </c>
      <c r="F71" s="237">
        <v>0</v>
      </c>
      <c r="H71" s="237" t="s">
        <v>52</v>
      </c>
      <c r="I71" s="237">
        <v>5</v>
      </c>
      <c r="J71" s="237">
        <f t="shared" si="19"/>
        <v>2019</v>
      </c>
      <c r="M71" s="237">
        <v>14933.1</v>
      </c>
      <c r="O71" s="238">
        <f t="shared" si="20"/>
        <v>14933.1</v>
      </c>
      <c r="P71" s="238">
        <f t="shared" si="21"/>
        <v>248.88499999999999</v>
      </c>
      <c r="Q71" s="238">
        <f t="shared" si="22"/>
        <v>2986.62</v>
      </c>
      <c r="R71" s="238">
        <f t="shared" si="23"/>
        <v>0</v>
      </c>
      <c r="S71" s="238">
        <f t="shared" si="24"/>
        <v>2986.62</v>
      </c>
      <c r="T71" s="238">
        <v>1</v>
      </c>
      <c r="U71" s="238">
        <f t="shared" si="25"/>
        <v>2986.62</v>
      </c>
      <c r="W71" s="238">
        <f t="shared" si="26"/>
        <v>3235.5049999997736</v>
      </c>
      <c r="X71" s="238">
        <f t="shared" si="27"/>
        <v>3235.5049999997736</v>
      </c>
      <c r="Y71" s="238">
        <v>1</v>
      </c>
      <c r="Z71" s="238">
        <f t="shared" si="28"/>
        <v>3235.5049999997736</v>
      </c>
      <c r="AA71" s="238">
        <f t="shared" si="29"/>
        <v>6222.1249999997735</v>
      </c>
      <c r="AB71" s="238">
        <f t="shared" si="30"/>
        <v>10204.285000000227</v>
      </c>
      <c r="AC71" s="238">
        <f t="shared" si="31"/>
        <v>2014.9166666666667</v>
      </c>
      <c r="AD71" s="238">
        <f t="shared" si="32"/>
        <v>2017</v>
      </c>
      <c r="AE71" s="238">
        <f t="shared" si="33"/>
        <v>2019.9166666666667</v>
      </c>
      <c r="AF71" s="238">
        <f t="shared" si="34"/>
        <v>2016</v>
      </c>
      <c r="AG71" s="238">
        <f t="shared" si="35"/>
        <v>-8.3333333333333329E-2</v>
      </c>
    </row>
    <row r="72" spans="1:33">
      <c r="A72" s="237">
        <v>128632</v>
      </c>
      <c r="C72" s="237" t="s">
        <v>336</v>
      </c>
      <c r="D72" s="237">
        <v>2015</v>
      </c>
      <c r="E72" s="237">
        <v>12</v>
      </c>
      <c r="F72" s="237">
        <v>0</v>
      </c>
      <c r="H72" s="237" t="s">
        <v>52</v>
      </c>
      <c r="I72" s="237">
        <v>5</v>
      </c>
      <c r="J72" s="237">
        <f t="shared" si="19"/>
        <v>2020</v>
      </c>
      <c r="M72" s="237">
        <v>9807.82</v>
      </c>
      <c r="O72" s="238">
        <f t="shared" si="20"/>
        <v>9807.82</v>
      </c>
      <c r="P72" s="238">
        <f t="shared" si="21"/>
        <v>163.46366666666665</v>
      </c>
      <c r="Q72" s="238">
        <f t="shared" si="22"/>
        <v>1961.5639999999999</v>
      </c>
      <c r="R72" s="238">
        <f t="shared" si="23"/>
        <v>0</v>
      </c>
      <c r="S72" s="238">
        <f t="shared" si="24"/>
        <v>1961.5639999999999</v>
      </c>
      <c r="T72" s="238">
        <v>1</v>
      </c>
      <c r="U72" s="238">
        <f t="shared" si="25"/>
        <v>1961.5639999999999</v>
      </c>
      <c r="W72" s="238">
        <f t="shared" si="26"/>
        <v>163.46366666651798</v>
      </c>
      <c r="X72" s="238">
        <f t="shared" si="27"/>
        <v>163.46366666651798</v>
      </c>
      <c r="Y72" s="238">
        <v>1</v>
      </c>
      <c r="Z72" s="238">
        <f t="shared" si="28"/>
        <v>163.46366666651798</v>
      </c>
      <c r="AA72" s="238">
        <f t="shared" si="29"/>
        <v>2125.0276666665177</v>
      </c>
      <c r="AB72" s="238">
        <f t="shared" si="30"/>
        <v>8663.5743333334831</v>
      </c>
      <c r="AC72" s="238">
        <f t="shared" si="31"/>
        <v>2015.9166666666667</v>
      </c>
      <c r="AD72" s="238">
        <f t="shared" si="32"/>
        <v>2017</v>
      </c>
      <c r="AE72" s="238">
        <f t="shared" si="33"/>
        <v>2020.9166666666667</v>
      </c>
      <c r="AF72" s="238">
        <f t="shared" si="34"/>
        <v>2016</v>
      </c>
      <c r="AG72" s="238">
        <f t="shared" si="35"/>
        <v>-8.3333333333333329E-2</v>
      </c>
    </row>
    <row r="73" spans="1:33">
      <c r="A73" s="237">
        <v>129739</v>
      </c>
      <c r="C73" s="237" t="s">
        <v>393</v>
      </c>
      <c r="D73" s="237">
        <v>2016</v>
      </c>
      <c r="E73" s="237">
        <v>1</v>
      </c>
      <c r="F73" s="237">
        <v>0</v>
      </c>
      <c r="H73" s="237" t="s">
        <v>52</v>
      </c>
      <c r="I73" s="237">
        <v>5</v>
      </c>
      <c r="J73" s="237">
        <f t="shared" si="19"/>
        <v>2021</v>
      </c>
      <c r="M73" s="237">
        <v>51034.44</v>
      </c>
      <c r="O73" s="238">
        <f t="shared" si="20"/>
        <v>51034.44</v>
      </c>
      <c r="P73" s="238">
        <f t="shared" si="21"/>
        <v>850.57400000000007</v>
      </c>
      <c r="Q73" s="238">
        <f>IF(N73&gt;0,0,IF(OR(AC73&gt;AD73,AE73&lt;AF73),0,IF(AND(AE73&gt;=AF73,AE73&lt;=AD73),P73*((AE73-AF73)*12),IF(AND(AF73&lt;=AC73,AD73&gt;=AC73),((AD73-AC73)*12)*P73,IF(AE73&gt;AD73,12*P73,0)))))</f>
        <v>10206.888000000001</v>
      </c>
      <c r="R73" s="238">
        <f>IF(N73=0,0,IF(AND(AG73&gt;=AF73,AG73&lt;=AE73),((AG73-AF73)*12)*P73,0))</f>
        <v>0</v>
      </c>
      <c r="S73" s="238">
        <f>IF(R73&gt;0,R73,Q73)</f>
        <v>10206.888000000001</v>
      </c>
      <c r="T73" s="238">
        <v>1</v>
      </c>
      <c r="U73" s="238">
        <f>T73*SUM(Q73:R73)</f>
        <v>10206.888000000001</v>
      </c>
      <c r="W73" s="238">
        <f>IF(AC73&gt;AD73,0,IF(AE73&lt;AF73,O73,IF(AND(AE73&gt;=AF73,AE73&lt;=AD73),(O73-S73),IF(AND(AF73&lt;=AC73,AD73&gt;=AC73),0,IF(AE73&gt;AD73,((AF73-AC73)*12)*P73,0)))))</f>
        <v>0</v>
      </c>
      <c r="X73" s="238">
        <f>W73*T73</f>
        <v>0</v>
      </c>
      <c r="Y73" s="238">
        <v>1</v>
      </c>
      <c r="Z73" s="238">
        <f>X73*Y73</f>
        <v>0</v>
      </c>
      <c r="AA73" s="238">
        <f>IF(N73&gt;0,0,Z73+U73*Y73)*Y73</f>
        <v>10206.888000000001</v>
      </c>
      <c r="AB73" s="238">
        <f>IF(N73&gt;0,(M73-Z73)/2,IF(AC73&gt;=AF73,(((M73*T73)*Y73)-AA73)/2,((((M73*T73)*Y73)-Z73)+(((M73*T73)*Y73)-AA73))/2))</f>
        <v>20413.776000000002</v>
      </c>
      <c r="AC73" s="238">
        <f t="shared" si="31"/>
        <v>2016</v>
      </c>
      <c r="AD73" s="238">
        <f t="shared" si="32"/>
        <v>2017</v>
      </c>
      <c r="AE73" s="238">
        <f t="shared" si="33"/>
        <v>2021</v>
      </c>
      <c r="AF73" s="238">
        <f t="shared" si="34"/>
        <v>2016</v>
      </c>
      <c r="AG73" s="238">
        <f t="shared" si="35"/>
        <v>-8.3333333333333329E-2</v>
      </c>
    </row>
    <row r="74" spans="1:33">
      <c r="A74" s="237">
        <v>165849</v>
      </c>
      <c r="C74" s="237" t="s">
        <v>404</v>
      </c>
      <c r="D74" s="237">
        <v>2016</v>
      </c>
      <c r="E74" s="237">
        <v>6</v>
      </c>
      <c r="F74" s="237">
        <v>0</v>
      </c>
      <c r="H74" s="237" t="s">
        <v>52</v>
      </c>
      <c r="I74" s="237">
        <v>5</v>
      </c>
      <c r="J74" s="237">
        <f>D74+I74</f>
        <v>2021</v>
      </c>
      <c r="M74" s="237">
        <v>7659.9</v>
      </c>
      <c r="O74" s="238">
        <f>M74-M74*F74</f>
        <v>7659.9</v>
      </c>
      <c r="P74" s="238">
        <f>O74/I74/12</f>
        <v>127.66500000000001</v>
      </c>
      <c r="Q74" s="238">
        <f>IF(N74&gt;0,0,IF(OR(AC74&gt;AD74,AE74&lt;AF74),0,IF(AND(AE74&gt;=AF74,AE74&lt;=AD74),P74*((AE74-AF74)*12),IF(AND(AF74&lt;=AC74,AD74&gt;=AC74),((AD74-AC74)*12)*P74,IF(AE74&gt;AD74,12*P74,0)))))</f>
        <v>893.6549999998839</v>
      </c>
      <c r="R74" s="238">
        <f>IF(N74=0,0,IF(AND(AG74&gt;=AF74,AG74&lt;=AE74),((AG74-AF74)*12)*P74,0))</f>
        <v>0</v>
      </c>
      <c r="S74" s="238">
        <f>IF(R74&gt;0,R74,Q74)</f>
        <v>893.6549999998839</v>
      </c>
      <c r="T74" s="238">
        <v>1</v>
      </c>
      <c r="U74" s="238">
        <f>T74*SUM(Q74:R74)</f>
        <v>893.6549999998839</v>
      </c>
      <c r="W74" s="238">
        <f>IF(AC74&gt;AD74,0,IF(AE74&lt;AF74,O74,IF(AND(AE74&gt;=AF74,AE74&lt;=AD74),(O74-S74),IF(AND(AF74&lt;=AC74,AD74&gt;=AC74),0,IF(AE74&gt;AD74,((AF74-AC74)*12)*P74,0)))))</f>
        <v>0</v>
      </c>
      <c r="X74" s="238">
        <f>W74*T74</f>
        <v>0</v>
      </c>
      <c r="Y74" s="238">
        <v>1</v>
      </c>
      <c r="Z74" s="238">
        <f>X74*Y74</f>
        <v>0</v>
      </c>
      <c r="AA74" s="238">
        <f>IF(N74&gt;0,0,Z74+U74*Y74)*Y74</f>
        <v>893.6549999998839</v>
      </c>
      <c r="AB74" s="238">
        <f>IF(N74&gt;0,(M74-Z74)/2,IF(AC74&gt;=AF74,(((M74*T74)*Y74)-AA74)/2,((((M74*T74)*Y74)-Z74)+(((M74*T74)*Y74)-AA74))/2))</f>
        <v>3383.1225000000577</v>
      </c>
      <c r="AC74" s="238">
        <f t="shared" si="31"/>
        <v>2016.4166666666667</v>
      </c>
      <c r="AD74" s="238">
        <f t="shared" si="32"/>
        <v>2017</v>
      </c>
      <c r="AE74" s="238">
        <f t="shared" si="33"/>
        <v>2021.4166666666667</v>
      </c>
      <c r="AF74" s="238">
        <f t="shared" si="34"/>
        <v>2016</v>
      </c>
      <c r="AG74" s="238">
        <f t="shared" si="35"/>
        <v>-8.3333333333333329E-2</v>
      </c>
    </row>
    <row r="75" spans="1:33">
      <c r="A75" s="237">
        <v>170429</v>
      </c>
      <c r="C75" s="237" t="s">
        <v>422</v>
      </c>
      <c r="D75" s="237">
        <v>2016</v>
      </c>
      <c r="E75" s="237">
        <v>11</v>
      </c>
      <c r="F75" s="237">
        <v>0</v>
      </c>
      <c r="H75" s="237" t="s">
        <v>52</v>
      </c>
      <c r="I75" s="237">
        <v>5</v>
      </c>
      <c r="J75" s="237">
        <f>D75+I75</f>
        <v>2021</v>
      </c>
      <c r="M75" s="237">
        <v>17748.240000000002</v>
      </c>
      <c r="O75" s="238">
        <f>M75-M75*F75</f>
        <v>17748.240000000002</v>
      </c>
      <c r="P75" s="238">
        <f>O75/I75/12</f>
        <v>295.80400000000003</v>
      </c>
      <c r="Q75" s="238">
        <f>IF(N75&gt;0,0,IF(OR(AC75&gt;AD75,AE75&lt;AF75),0,IF(AND(AE75&gt;=AF75,AE75&lt;=AD75),P75*((AE75-AF75)*12),IF(AND(AF75&lt;=AC75,AD75&gt;=AC75),((AD75-AC75)*12)*P75,IF(AE75&gt;AD75,12*P75,0)))))</f>
        <v>591.60800000026904</v>
      </c>
      <c r="R75" s="238">
        <f>IF(N75=0,0,IF(AND(AG75&gt;=AF75,AG75&lt;=AE75),((AG75-AF75)*12)*P75,0))</f>
        <v>0</v>
      </c>
      <c r="S75" s="238">
        <f>IF(R75&gt;0,R75,Q75)</f>
        <v>591.60800000026904</v>
      </c>
      <c r="T75" s="238">
        <v>1</v>
      </c>
      <c r="U75" s="238">
        <f>T75*SUM(Q75:R75)</f>
        <v>591.60800000026904</v>
      </c>
      <c r="W75" s="238">
        <f>IF(AC75&gt;AD75,0,IF(AE75&lt;AF75,O75,IF(AND(AE75&gt;=AF75,AE75&lt;=AD75),(O75-S75),IF(AND(AF75&lt;=AC75,AD75&gt;=AC75),0,IF(AE75&gt;AD75,((AF75-AC75)*12)*P75,0)))))</f>
        <v>0</v>
      </c>
      <c r="X75" s="238">
        <f>W75*T75</f>
        <v>0</v>
      </c>
      <c r="Y75" s="238">
        <v>1</v>
      </c>
      <c r="Z75" s="238">
        <f>X75*Y75</f>
        <v>0</v>
      </c>
      <c r="AA75" s="238">
        <f>IF(N75&gt;0,0,Z75+U75*Y75)*Y75</f>
        <v>591.60800000026904</v>
      </c>
      <c r="AB75" s="238">
        <f>IF(N75&gt;0,(M75-Z75)/2,IF(AC75&gt;=AF75,(((M75*T75)*Y75)-AA75)/2,((((M75*T75)*Y75)-Z75)+(((M75*T75)*Y75)-AA75))/2))</f>
        <v>8578.3159999998661</v>
      </c>
      <c r="AC75" s="238">
        <f t="shared" si="31"/>
        <v>2016.8333333333333</v>
      </c>
      <c r="AD75" s="238">
        <f t="shared" si="32"/>
        <v>2017</v>
      </c>
      <c r="AE75" s="238">
        <f t="shared" si="33"/>
        <v>2021.8333333333333</v>
      </c>
      <c r="AF75" s="238">
        <f t="shared" si="34"/>
        <v>2016</v>
      </c>
      <c r="AG75" s="238">
        <f t="shared" si="35"/>
        <v>-8.3333333333333329E-2</v>
      </c>
    </row>
    <row r="76" spans="1:33">
      <c r="A76" s="237">
        <v>171824</v>
      </c>
      <c r="C76" s="237" t="s">
        <v>423</v>
      </c>
      <c r="D76" s="237">
        <v>2016</v>
      </c>
      <c r="E76" s="237">
        <v>12</v>
      </c>
      <c r="F76" s="237">
        <v>0</v>
      </c>
      <c r="H76" s="237" t="s">
        <v>52</v>
      </c>
      <c r="I76" s="237">
        <v>2</v>
      </c>
      <c r="J76" s="237">
        <f>D76+I76</f>
        <v>2018</v>
      </c>
      <c r="M76" s="237">
        <v>1311.89</v>
      </c>
      <c r="O76" s="238">
        <f>M76-M76*F76</f>
        <v>1311.89</v>
      </c>
      <c r="P76" s="238">
        <f>O76/I76/12</f>
        <v>54.662083333333335</v>
      </c>
      <c r="Q76" s="238">
        <f>IF(N76&gt;0,0,IF(OR(AC76&gt;AD76,AE76&lt;AF76),0,IF(AND(AE76&gt;=AF76,AE76&lt;=AD76),P76*((AE76-AF76)*12),IF(AND(AF76&lt;=AC76,AD76&gt;=AC76),((AD76-AC76)*12)*P76,IF(AE76&gt;AD76,12*P76,0)))))</f>
        <v>54.662083333283618</v>
      </c>
      <c r="R76" s="238">
        <f>IF(N76=0,0,IF(AND(AG76&gt;=AF76,AG76&lt;=AE76),((AG76-AF76)*12)*P76,0))</f>
        <v>0</v>
      </c>
      <c r="S76" s="238">
        <f>IF(R76&gt;0,R76,Q76)</f>
        <v>54.662083333283618</v>
      </c>
      <c r="T76" s="238">
        <v>1</v>
      </c>
      <c r="U76" s="238">
        <f>T76*SUM(Q76:R76)</f>
        <v>54.662083333283618</v>
      </c>
      <c r="W76" s="238">
        <f>IF(AC76&gt;AD76,0,IF(AE76&lt;AF76,O76,IF(AND(AE76&gt;=AF76,AE76&lt;=AD76),(O76-S76),IF(AND(AF76&lt;=AC76,AD76&gt;=AC76),0,IF(AE76&gt;AD76,((AF76-AC76)*12)*P76,0)))))</f>
        <v>0</v>
      </c>
      <c r="X76" s="238">
        <f>W76*T76</f>
        <v>0</v>
      </c>
      <c r="Y76" s="238">
        <v>1</v>
      </c>
      <c r="Z76" s="238">
        <f>X76*Y76</f>
        <v>0</v>
      </c>
      <c r="AA76" s="238">
        <f>IF(N76&gt;0,0,Z76+U76*Y76)*Y76</f>
        <v>54.662083333283618</v>
      </c>
      <c r="AB76" s="238">
        <f>IF(N76&gt;0,(M76-Z76)/2,IF(AC76&gt;=AF76,(((M76*T76)*Y76)-AA76)/2,((((M76*T76)*Y76)-Z76)+(((M76*T76)*Y76)-AA76))/2))</f>
        <v>628.61395833335826</v>
      </c>
      <c r="AC76" s="238">
        <f t="shared" si="31"/>
        <v>2016.9166666666667</v>
      </c>
      <c r="AD76" s="238">
        <f t="shared" si="32"/>
        <v>2017</v>
      </c>
      <c r="AE76" s="238">
        <f t="shared" si="33"/>
        <v>2018.9166666666667</v>
      </c>
      <c r="AF76" s="238">
        <f t="shared" si="34"/>
        <v>2016</v>
      </c>
      <c r="AG76" s="238">
        <f t="shared" si="35"/>
        <v>-8.3333333333333329E-2</v>
      </c>
    </row>
    <row r="77" spans="1:33">
      <c r="C77" s="237" t="s">
        <v>57</v>
      </c>
    </row>
    <row r="78" spans="1:33" ht="13.5" thickBot="1">
      <c r="C78" s="237" t="s">
        <v>145</v>
      </c>
      <c r="M78" s="237">
        <f>SUM(M51:M77)</f>
        <v>472360.13</v>
      </c>
      <c r="O78" s="238">
        <f>SUM(O51:O77)</f>
        <v>436858.91049999994</v>
      </c>
      <c r="P78" s="238">
        <f>SUM(P51:P77)</f>
        <v>6306.3242059523818</v>
      </c>
      <c r="Q78" s="238">
        <f>SUM(Q51:Q77)</f>
        <v>43658.14629761946</v>
      </c>
      <c r="S78" s="238">
        <f>SUM(S51:S77)</f>
        <v>43658.14629761946</v>
      </c>
      <c r="U78" s="238">
        <f t="shared" ref="U78:AB78" si="36">SUM(U51:U77)</f>
        <v>43658.14629761946</v>
      </c>
      <c r="V78" s="238">
        <f t="shared" si="36"/>
        <v>0</v>
      </c>
      <c r="W78" s="238">
        <f t="shared" si="36"/>
        <v>232174.68383333358</v>
      </c>
      <c r="X78" s="238">
        <f t="shared" si="36"/>
        <v>232174.68383333358</v>
      </c>
      <c r="Y78" s="238">
        <f t="shared" si="36"/>
        <v>26</v>
      </c>
      <c r="Z78" s="238">
        <f t="shared" si="36"/>
        <v>232174.68383333358</v>
      </c>
      <c r="AA78" s="238">
        <f t="shared" si="36"/>
        <v>275832.83013095299</v>
      </c>
      <c r="AB78" s="238">
        <f t="shared" si="36"/>
        <v>179479.13801785672</v>
      </c>
    </row>
    <row r="80" spans="1:33">
      <c r="R80" s="238" t="s">
        <v>25</v>
      </c>
      <c r="U80" s="238" t="s">
        <v>17</v>
      </c>
      <c r="W80" s="238" t="s">
        <v>18</v>
      </c>
      <c r="X80" s="238" t="s">
        <v>118</v>
      </c>
      <c r="Z80" s="238" t="s">
        <v>19</v>
      </c>
      <c r="AA80" s="238" t="s">
        <v>19</v>
      </c>
    </row>
    <row r="81" spans="1:33">
      <c r="B81" s="237" t="s">
        <v>57</v>
      </c>
      <c r="D81" s="237" t="s">
        <v>59</v>
      </c>
      <c r="F81" s="237" t="s">
        <v>23</v>
      </c>
      <c r="H81" s="237" t="s">
        <v>57</v>
      </c>
      <c r="J81" s="237" t="s">
        <v>24</v>
      </c>
      <c r="K81" s="237" t="s">
        <v>57</v>
      </c>
      <c r="M81" s="237" t="s">
        <v>57</v>
      </c>
      <c r="N81" s="238" t="s">
        <v>31</v>
      </c>
      <c r="O81" s="238" t="s">
        <v>57</v>
      </c>
      <c r="Q81" s="238" t="s">
        <v>68</v>
      </c>
      <c r="R81" s="238" t="s">
        <v>24</v>
      </c>
      <c r="S81" s="238" t="s">
        <v>17</v>
      </c>
      <c r="T81" s="238" t="s">
        <v>34</v>
      </c>
      <c r="U81" s="238" t="s">
        <v>19</v>
      </c>
      <c r="W81" s="238" t="s">
        <v>117</v>
      </c>
      <c r="X81" s="238" t="s">
        <v>117</v>
      </c>
      <c r="Y81" s="238" t="s">
        <v>27</v>
      </c>
      <c r="Z81" s="238" t="s">
        <v>28</v>
      </c>
      <c r="AA81" s="238" t="s">
        <v>28</v>
      </c>
      <c r="AB81" s="238" t="s">
        <v>38</v>
      </c>
    </row>
    <row r="82" spans="1:33">
      <c r="C82" s="237" t="s">
        <v>212</v>
      </c>
      <c r="D82" s="237" t="s">
        <v>61</v>
      </c>
      <c r="F82" s="237" t="s">
        <v>29</v>
      </c>
      <c r="H82" s="237" t="s">
        <v>30</v>
      </c>
      <c r="I82" s="237" t="s">
        <v>64</v>
      </c>
      <c r="J82" s="237" t="s">
        <v>65</v>
      </c>
      <c r="K82" s="237" t="s">
        <v>31</v>
      </c>
      <c r="L82" s="237" t="s">
        <v>41</v>
      </c>
      <c r="M82" s="237" t="s">
        <v>31</v>
      </c>
      <c r="N82" s="238" t="s">
        <v>25</v>
      </c>
      <c r="O82" s="238" t="s">
        <v>67</v>
      </c>
      <c r="P82" s="238" t="s">
        <v>69</v>
      </c>
      <c r="Q82" s="238" t="s">
        <v>24</v>
      </c>
      <c r="R82" s="238" t="s">
        <v>43</v>
      </c>
      <c r="S82" s="238" t="s">
        <v>33</v>
      </c>
      <c r="T82" s="238" t="s">
        <v>36</v>
      </c>
      <c r="U82" s="238" t="s">
        <v>32</v>
      </c>
      <c r="W82" s="238" t="s">
        <v>67</v>
      </c>
      <c r="X82" s="238" t="s">
        <v>67</v>
      </c>
      <c r="Y82" s="238" t="s">
        <v>36</v>
      </c>
      <c r="Z82" s="238" t="s">
        <v>37</v>
      </c>
      <c r="AA82" s="238" t="s">
        <v>37</v>
      </c>
      <c r="AB82" s="238" t="s">
        <v>45</v>
      </c>
      <c r="AC82" s="238" t="s">
        <v>4</v>
      </c>
      <c r="AD82" s="238" t="s">
        <v>46</v>
      </c>
      <c r="AE82" s="238" t="s">
        <v>47</v>
      </c>
      <c r="AF82" s="238" t="s">
        <v>15</v>
      </c>
      <c r="AG82" s="238" t="s">
        <v>20</v>
      </c>
    </row>
    <row r="83" spans="1:33">
      <c r="B83" s="237" t="s">
        <v>62</v>
      </c>
      <c r="C83" s="237" t="s">
        <v>63</v>
      </c>
      <c r="D83" s="237" t="s">
        <v>24</v>
      </c>
      <c r="E83" s="237" t="s">
        <v>39</v>
      </c>
      <c r="F83" s="237" t="s">
        <v>34</v>
      </c>
      <c r="G83" s="237" t="s">
        <v>49</v>
      </c>
      <c r="H83" s="237" t="s">
        <v>40</v>
      </c>
      <c r="I83" s="237" t="s">
        <v>66</v>
      </c>
      <c r="J83" s="237" t="s">
        <v>67</v>
      </c>
      <c r="K83" s="237" t="s">
        <v>42</v>
      </c>
      <c r="L83" s="237" t="s">
        <v>49</v>
      </c>
      <c r="M83" s="237" t="s">
        <v>42</v>
      </c>
      <c r="N83" s="238" t="s">
        <v>49</v>
      </c>
      <c r="O83" s="238" t="s">
        <v>42</v>
      </c>
      <c r="P83" s="238" t="s">
        <v>67</v>
      </c>
      <c r="Q83" s="238" t="s">
        <v>67</v>
      </c>
      <c r="R83" s="238" t="s">
        <v>49</v>
      </c>
      <c r="S83" s="238" t="s">
        <v>44</v>
      </c>
      <c r="T83" s="238" t="s">
        <v>49</v>
      </c>
      <c r="U83" s="238" t="s">
        <v>37</v>
      </c>
    </row>
    <row r="84" spans="1:33">
      <c r="C84" s="237" t="s">
        <v>199</v>
      </c>
      <c r="D84" s="237">
        <v>2010</v>
      </c>
      <c r="E84" s="237">
        <v>4</v>
      </c>
      <c r="F84" s="237">
        <v>0</v>
      </c>
      <c r="H84" s="237" t="s">
        <v>52</v>
      </c>
      <c r="I84" s="237">
        <v>7</v>
      </c>
      <c r="J84" s="237">
        <f t="shared" ref="J84:J100" si="37">D84+I84</f>
        <v>2017</v>
      </c>
      <c r="M84" s="237">
        <f>5000+30050.55+18781.59+21294.24</f>
        <v>75126.38</v>
      </c>
      <c r="O84" s="238">
        <f t="shared" ref="O84:O100" si="38">M84-M84*F84</f>
        <v>75126.38</v>
      </c>
      <c r="P84" s="238">
        <f t="shared" ref="P84:P100" si="39">O84/I84/12</f>
        <v>894.36166666666668</v>
      </c>
      <c r="Q84" s="238">
        <f t="shared" ref="Q84:Q90" si="40">IF(N84&gt;0,0,IF(OR(AC84&gt;AD84,AE84&lt;AF84),0,IF(AND(AE84&gt;=AF84,AE84&lt;=AD84),P84*((AE84-AF84)*12),IF(AND(AF84&lt;=AC84,AD84&gt;=AC84),((AD84-AC84)*12)*P84,IF(AE84&gt;AD84,12*P84,0)))))</f>
        <v>10732.34</v>
      </c>
      <c r="R84" s="238">
        <f t="shared" ref="R84:R90" si="41">IF(N84=0,0,IF(AND(AG84&gt;=AF84,AG84&lt;=AE84),((AG84-AF84)*12)*P84,0))</f>
        <v>0</v>
      </c>
      <c r="S84" s="238">
        <f t="shared" ref="S84:S90" si="42">IF(R84&gt;0,R84,Q84)</f>
        <v>10732.34</v>
      </c>
      <c r="T84" s="238">
        <v>1</v>
      </c>
      <c r="U84" s="238">
        <f t="shared" ref="U84:U90" si="43">T84*SUM(Q84:R84)</f>
        <v>10732.34</v>
      </c>
      <c r="W84" s="238">
        <f t="shared" ref="W84:W90" si="44">IF(AC84&gt;AD84,0,IF(AE84&lt;AF84,O84,IF(AND(AE84&gt;=AF84,AE84&lt;=AD84),(O84-S84),IF(AND(AF84&lt;=AC84,AD84&gt;=AC84),0,IF(AE84&gt;AD84,((AF84-AC84)*12)*P84,0)))))</f>
        <v>61710.955000000002</v>
      </c>
      <c r="X84" s="238">
        <f t="shared" ref="X84:X90" si="45">W84*T84</f>
        <v>61710.955000000002</v>
      </c>
      <c r="Y84" s="238">
        <v>1</v>
      </c>
      <c r="Z84" s="238">
        <f t="shared" ref="Z84:Z90" si="46">X84*Y84</f>
        <v>61710.955000000002</v>
      </c>
      <c r="AA84" s="238">
        <f t="shared" ref="AA84:AA90" si="47">IF(N84&gt;0,0,Z84+U84*Y84)*Y84</f>
        <v>72443.294999999998</v>
      </c>
      <c r="AB84" s="238">
        <f t="shared" ref="AB84:AB90" si="48">IF(N84&gt;0,(M84-Z84)/2,IF(AC84&gt;=AF84,(((M84*T84)*Y84)-AA84)/2,((((M84*T84)*Y84)-Z84)+(((M84*T84)*Y84)-AA84))/2))</f>
        <v>8049.2550000000047</v>
      </c>
      <c r="AC84" s="238">
        <f t="shared" ref="AC84:AC105" si="49">$D84+(($E84-1)/12)</f>
        <v>2010.25</v>
      </c>
      <c r="AD84" s="238">
        <f t="shared" ref="AD84:AD105" si="50">($O$5+1)-($O$2/12)</f>
        <v>2017</v>
      </c>
      <c r="AE84" s="238">
        <f t="shared" ref="AE84:AE105" si="51">$J84+(($E84-1)/12)</f>
        <v>2017.25</v>
      </c>
      <c r="AF84" s="238">
        <f t="shared" ref="AF84:AF105" si="52">$O$4+($O$3/12)</f>
        <v>2016</v>
      </c>
      <c r="AG84" s="238">
        <f t="shared" ref="AG84:AG105" si="53">$K84+(($L84-1)/12)</f>
        <v>-8.3333333333333329E-2</v>
      </c>
    </row>
    <row r="85" spans="1:33">
      <c r="C85" s="237" t="s">
        <v>200</v>
      </c>
      <c r="D85" s="237">
        <v>2010</v>
      </c>
      <c r="E85" s="237">
        <v>5</v>
      </c>
      <c r="F85" s="237">
        <v>0</v>
      </c>
      <c r="H85" s="237" t="s">
        <v>52</v>
      </c>
      <c r="I85" s="237">
        <v>3</v>
      </c>
      <c r="J85" s="237">
        <f t="shared" si="37"/>
        <v>2013</v>
      </c>
      <c r="M85" s="237">
        <v>1573.39</v>
      </c>
      <c r="O85" s="238">
        <f t="shared" si="38"/>
        <v>1573.39</v>
      </c>
      <c r="P85" s="238">
        <f t="shared" si="39"/>
        <v>43.705277777777781</v>
      </c>
      <c r="Q85" s="238">
        <f t="shared" si="40"/>
        <v>0</v>
      </c>
      <c r="R85" s="238">
        <f t="shared" si="41"/>
        <v>0</v>
      </c>
      <c r="S85" s="238">
        <f t="shared" si="42"/>
        <v>0</v>
      </c>
      <c r="T85" s="238">
        <v>1</v>
      </c>
      <c r="U85" s="238">
        <f t="shared" si="43"/>
        <v>0</v>
      </c>
      <c r="W85" s="238">
        <f t="shared" si="44"/>
        <v>1573.39</v>
      </c>
      <c r="X85" s="238">
        <f t="shared" si="45"/>
        <v>1573.39</v>
      </c>
      <c r="Y85" s="238">
        <v>1</v>
      </c>
      <c r="Z85" s="238">
        <f t="shared" si="46"/>
        <v>1573.39</v>
      </c>
      <c r="AA85" s="238">
        <f t="shared" si="47"/>
        <v>1573.39</v>
      </c>
      <c r="AB85" s="238">
        <f t="shared" si="48"/>
        <v>0</v>
      </c>
      <c r="AC85" s="238">
        <f t="shared" si="49"/>
        <v>2010.3333333333333</v>
      </c>
      <c r="AD85" s="238">
        <f t="shared" si="50"/>
        <v>2017</v>
      </c>
      <c r="AE85" s="238">
        <f t="shared" si="51"/>
        <v>2013.3333333333333</v>
      </c>
      <c r="AF85" s="238">
        <f t="shared" si="52"/>
        <v>2016</v>
      </c>
      <c r="AG85" s="238">
        <f t="shared" si="53"/>
        <v>-8.3333333333333329E-2</v>
      </c>
    </row>
    <row r="86" spans="1:33">
      <c r="C86" s="237" t="s">
        <v>201</v>
      </c>
      <c r="D86" s="237">
        <v>2010</v>
      </c>
      <c r="E86" s="237">
        <v>8</v>
      </c>
      <c r="F86" s="237">
        <v>0</v>
      </c>
      <c r="H86" s="237" t="s">
        <v>52</v>
      </c>
      <c r="I86" s="237">
        <v>3</v>
      </c>
      <c r="J86" s="237">
        <f t="shared" si="37"/>
        <v>2013</v>
      </c>
      <c r="M86" s="237">
        <v>611.54999999999995</v>
      </c>
      <c r="O86" s="238">
        <f t="shared" si="38"/>
        <v>611.54999999999995</v>
      </c>
      <c r="P86" s="238">
        <f t="shared" si="39"/>
        <v>16.987500000000001</v>
      </c>
      <c r="Q86" s="238">
        <f t="shared" si="40"/>
        <v>0</v>
      </c>
      <c r="R86" s="238">
        <f t="shared" si="41"/>
        <v>0</v>
      </c>
      <c r="S86" s="238">
        <f t="shared" si="42"/>
        <v>0</v>
      </c>
      <c r="T86" s="238">
        <v>1</v>
      </c>
      <c r="U86" s="238">
        <f t="shared" si="43"/>
        <v>0</v>
      </c>
      <c r="W86" s="238">
        <f t="shared" si="44"/>
        <v>611.54999999999995</v>
      </c>
      <c r="X86" s="238">
        <f t="shared" si="45"/>
        <v>611.54999999999995</v>
      </c>
      <c r="Y86" s="238">
        <v>1</v>
      </c>
      <c r="Z86" s="238">
        <f t="shared" si="46"/>
        <v>611.54999999999995</v>
      </c>
      <c r="AA86" s="238">
        <f t="shared" si="47"/>
        <v>611.54999999999995</v>
      </c>
      <c r="AB86" s="238">
        <f t="shared" si="48"/>
        <v>0</v>
      </c>
      <c r="AC86" s="238">
        <f t="shared" si="49"/>
        <v>2010.5833333333333</v>
      </c>
      <c r="AD86" s="238">
        <f t="shared" si="50"/>
        <v>2017</v>
      </c>
      <c r="AE86" s="238">
        <f t="shared" si="51"/>
        <v>2013.5833333333333</v>
      </c>
      <c r="AF86" s="238">
        <f t="shared" si="52"/>
        <v>2016</v>
      </c>
      <c r="AG86" s="238">
        <f t="shared" si="53"/>
        <v>-8.3333333333333329E-2</v>
      </c>
    </row>
    <row r="87" spans="1:33">
      <c r="B87" s="237">
        <v>2</v>
      </c>
      <c r="C87" s="237" t="s">
        <v>188</v>
      </c>
      <c r="D87" s="237">
        <v>2011</v>
      </c>
      <c r="E87" s="237">
        <v>4</v>
      </c>
      <c r="F87" s="237">
        <v>0</v>
      </c>
      <c r="H87" s="237" t="s">
        <v>52</v>
      </c>
      <c r="I87" s="237">
        <v>3</v>
      </c>
      <c r="J87" s="237">
        <f t="shared" si="37"/>
        <v>2014</v>
      </c>
      <c r="M87" s="237">
        <f>1750+162.75</f>
        <v>1912.75</v>
      </c>
      <c r="O87" s="238">
        <f t="shared" si="38"/>
        <v>1912.75</v>
      </c>
      <c r="P87" s="238">
        <f t="shared" si="39"/>
        <v>53.13194444444445</v>
      </c>
      <c r="Q87" s="238">
        <f t="shared" si="40"/>
        <v>0</v>
      </c>
      <c r="R87" s="238">
        <f t="shared" si="41"/>
        <v>0</v>
      </c>
      <c r="S87" s="238">
        <f t="shared" si="42"/>
        <v>0</v>
      </c>
      <c r="T87" s="238">
        <v>1</v>
      </c>
      <c r="U87" s="238">
        <f t="shared" si="43"/>
        <v>0</v>
      </c>
      <c r="W87" s="238">
        <f t="shared" si="44"/>
        <v>1912.75</v>
      </c>
      <c r="X87" s="238">
        <f t="shared" si="45"/>
        <v>1912.75</v>
      </c>
      <c r="Y87" s="238">
        <v>1</v>
      </c>
      <c r="Z87" s="238">
        <f t="shared" si="46"/>
        <v>1912.75</v>
      </c>
      <c r="AA87" s="238">
        <f t="shared" si="47"/>
        <v>1912.75</v>
      </c>
      <c r="AB87" s="238">
        <f t="shared" si="48"/>
        <v>0</v>
      </c>
      <c r="AC87" s="238">
        <f t="shared" si="49"/>
        <v>2011.25</v>
      </c>
      <c r="AD87" s="238">
        <f t="shared" si="50"/>
        <v>2017</v>
      </c>
      <c r="AE87" s="238">
        <f t="shared" si="51"/>
        <v>2014.25</v>
      </c>
      <c r="AF87" s="238">
        <f t="shared" si="52"/>
        <v>2016</v>
      </c>
      <c r="AG87" s="238">
        <f t="shared" si="53"/>
        <v>-8.3333333333333329E-2</v>
      </c>
    </row>
    <row r="88" spans="1:33">
      <c r="A88" s="237" t="s">
        <v>314</v>
      </c>
      <c r="C88" s="237" t="s">
        <v>315</v>
      </c>
      <c r="D88" s="237">
        <v>2011</v>
      </c>
      <c r="E88" s="237">
        <v>7</v>
      </c>
      <c r="F88" s="237">
        <v>0</v>
      </c>
      <c r="H88" s="237" t="s">
        <v>52</v>
      </c>
      <c r="I88" s="237">
        <v>3</v>
      </c>
      <c r="J88" s="237">
        <f t="shared" si="37"/>
        <v>2014</v>
      </c>
      <c r="M88" s="237">
        <f>16910.03+2292.02</f>
        <v>19202.05</v>
      </c>
      <c r="O88" s="238">
        <f>M88-M88*F88</f>
        <v>19202.05</v>
      </c>
      <c r="P88" s="238">
        <f>O88/I88/12</f>
        <v>533.39027777777778</v>
      </c>
      <c r="Q88" s="238">
        <f>IF(N88&gt;0,0,IF(OR(AC88&gt;AD88,AE88&lt;AF88),0,IF(AND(AE88&gt;=AF88,AE88&lt;=AD88),P88*((AE88-AF88)*12),IF(AND(AF88&lt;=AC88,AD88&gt;=AC88),((AD88-AC88)*12)*P88,IF(AE88&gt;AD88,12*P88,0)))))</f>
        <v>0</v>
      </c>
      <c r="R88" s="238">
        <f>IF(N88=0,0,IF(AND(AG88&gt;=AF88,AG88&lt;=AE88),((AG88-AF88)*12)*P88,0))</f>
        <v>0</v>
      </c>
      <c r="S88" s="238">
        <f>IF(R88&gt;0,R88,Q88)</f>
        <v>0</v>
      </c>
      <c r="T88" s="238">
        <v>1</v>
      </c>
      <c r="U88" s="238">
        <f>T88*SUM(Q88:R88)</f>
        <v>0</v>
      </c>
      <c r="W88" s="238">
        <f>IF(AC88&gt;AD88,0,IF(AE88&lt;AF88,O88,IF(AND(AE88&gt;=AF88,AE88&lt;=AD88),(O88-S88),IF(AND(AF88&lt;=AC88,AD88&gt;=AC88),0,IF(AE88&gt;AD88,((AF88-AC88)*12)*P88,0)))))</f>
        <v>19202.05</v>
      </c>
      <c r="X88" s="238">
        <f>W88*T88</f>
        <v>19202.05</v>
      </c>
      <c r="Y88" s="238">
        <v>1</v>
      </c>
      <c r="Z88" s="238">
        <f>X88*Y88</f>
        <v>19202.05</v>
      </c>
      <c r="AA88" s="238">
        <f>IF(N88&gt;0,0,Z88+U88*Y88)*Y88</f>
        <v>19202.05</v>
      </c>
      <c r="AB88" s="238">
        <f>IF(N88&gt;0,(M88-Z88)/2,IF(AC88&gt;=AF88,(((M88*T88)*Y88)-AA88)/2,((((M88*T88)*Y88)-Z88)+(((M88*T88)*Y88)-AA88))/2))</f>
        <v>0</v>
      </c>
      <c r="AC88" s="238">
        <f t="shared" si="49"/>
        <v>2011.5</v>
      </c>
      <c r="AD88" s="238">
        <f t="shared" si="50"/>
        <v>2017</v>
      </c>
      <c r="AE88" s="238">
        <f t="shared" si="51"/>
        <v>2014.5</v>
      </c>
      <c r="AF88" s="238">
        <f t="shared" si="52"/>
        <v>2016</v>
      </c>
      <c r="AG88" s="238">
        <f t="shared" si="53"/>
        <v>-8.3333333333333329E-2</v>
      </c>
    </row>
    <row r="89" spans="1:33">
      <c r="A89" s="237" t="s">
        <v>300</v>
      </c>
      <c r="C89" s="237" t="s">
        <v>188</v>
      </c>
      <c r="D89" s="237">
        <v>2011</v>
      </c>
      <c r="E89" s="237">
        <v>8</v>
      </c>
      <c r="F89" s="237">
        <v>0</v>
      </c>
      <c r="H89" s="237" t="s">
        <v>52</v>
      </c>
      <c r="I89" s="237">
        <v>3</v>
      </c>
      <c r="J89" s="237">
        <f t="shared" si="37"/>
        <v>2014</v>
      </c>
      <c r="M89" s="237">
        <v>5492.32</v>
      </c>
      <c r="O89" s="238">
        <f>M89-M89*F89</f>
        <v>5492.32</v>
      </c>
      <c r="P89" s="238">
        <f>O89/I89/12</f>
        <v>152.56444444444443</v>
      </c>
      <c r="Q89" s="238">
        <f>IF(N89&gt;0,0,IF(OR(AC89&gt;AD89,AE89&lt;AF89),0,IF(AND(AE89&gt;=AF89,AE89&lt;=AD89),P89*((AE89-AF89)*12),IF(AND(AF89&lt;=AC89,AD89&gt;=AC89),((AD89-AC89)*12)*P89,IF(AE89&gt;AD89,12*P89,0)))))</f>
        <v>0</v>
      </c>
      <c r="R89" s="238">
        <f>IF(N89=0,0,IF(AND(AG89&gt;=AF89,AG89&lt;=AE89),((AG89-AF89)*12)*P89,0))</f>
        <v>0</v>
      </c>
      <c r="S89" s="238">
        <f>IF(R89&gt;0,R89,Q89)</f>
        <v>0</v>
      </c>
      <c r="T89" s="238">
        <v>1</v>
      </c>
      <c r="U89" s="238">
        <f>T89*SUM(Q89:R89)</f>
        <v>0</v>
      </c>
      <c r="W89" s="238">
        <f>IF(AC89&gt;AD89,0,IF(AE89&lt;AF89,O89,IF(AND(AE89&gt;=AF89,AE89&lt;=AD89),(O89-S89),IF(AND(AF89&lt;=AC89,AD89&gt;=AC89),0,IF(AE89&gt;AD89,((AF89-AC89)*12)*P89,0)))))</f>
        <v>5492.32</v>
      </c>
      <c r="X89" s="238">
        <f>W89*T89</f>
        <v>5492.32</v>
      </c>
      <c r="Y89" s="238">
        <v>1</v>
      </c>
      <c r="Z89" s="238">
        <f>X89*Y89</f>
        <v>5492.32</v>
      </c>
      <c r="AA89" s="238">
        <f>IF(N89&gt;0,0,Z89+U89*Y89)*Y89</f>
        <v>5492.32</v>
      </c>
      <c r="AB89" s="238">
        <f>IF(N89&gt;0,(M89-Z89)/2,IF(AC89&gt;=AF89,(((M89*T89)*Y89)-AA89)/2,((((M89*T89)*Y89)-Z89)+(((M89*T89)*Y89)-AA89))/2))</f>
        <v>0</v>
      </c>
      <c r="AC89" s="238">
        <f t="shared" si="49"/>
        <v>2011.5833333333333</v>
      </c>
      <c r="AD89" s="238">
        <f t="shared" si="50"/>
        <v>2017</v>
      </c>
      <c r="AE89" s="238">
        <f t="shared" si="51"/>
        <v>2014.5833333333333</v>
      </c>
      <c r="AF89" s="238">
        <f t="shared" si="52"/>
        <v>2016</v>
      </c>
      <c r="AG89" s="238">
        <f t="shared" si="53"/>
        <v>-8.3333333333333329E-2</v>
      </c>
    </row>
    <row r="90" spans="1:33">
      <c r="C90" s="237" t="s">
        <v>202</v>
      </c>
      <c r="D90" s="237">
        <v>2011</v>
      </c>
      <c r="E90" s="237">
        <v>9</v>
      </c>
      <c r="F90" s="237">
        <v>0</v>
      </c>
      <c r="H90" s="237" t="s">
        <v>52</v>
      </c>
      <c r="I90" s="237">
        <v>3</v>
      </c>
      <c r="J90" s="237">
        <f t="shared" si="37"/>
        <v>2014</v>
      </c>
      <c r="M90" s="237">
        <v>593.86</v>
      </c>
      <c r="O90" s="238">
        <f t="shared" si="38"/>
        <v>593.86</v>
      </c>
      <c r="P90" s="238">
        <f t="shared" si="39"/>
        <v>16.496111111111112</v>
      </c>
      <c r="Q90" s="238">
        <f t="shared" si="40"/>
        <v>0</v>
      </c>
      <c r="R90" s="238">
        <f t="shared" si="41"/>
        <v>0</v>
      </c>
      <c r="S90" s="238">
        <f t="shared" si="42"/>
        <v>0</v>
      </c>
      <c r="T90" s="238">
        <v>1</v>
      </c>
      <c r="U90" s="238">
        <f t="shared" si="43"/>
        <v>0</v>
      </c>
      <c r="W90" s="238">
        <f t="shared" si="44"/>
        <v>593.86</v>
      </c>
      <c r="X90" s="238">
        <f t="shared" si="45"/>
        <v>593.86</v>
      </c>
      <c r="Y90" s="238">
        <v>1</v>
      </c>
      <c r="Z90" s="238">
        <f t="shared" si="46"/>
        <v>593.86</v>
      </c>
      <c r="AA90" s="238">
        <f t="shared" si="47"/>
        <v>593.86</v>
      </c>
      <c r="AB90" s="238">
        <f t="shared" si="48"/>
        <v>0</v>
      </c>
      <c r="AC90" s="238">
        <f t="shared" si="49"/>
        <v>2011.6666666666667</v>
      </c>
      <c r="AD90" s="238">
        <f t="shared" si="50"/>
        <v>2017</v>
      </c>
      <c r="AE90" s="238">
        <f t="shared" si="51"/>
        <v>2014.6666666666667</v>
      </c>
      <c r="AF90" s="238">
        <f t="shared" si="52"/>
        <v>2016</v>
      </c>
      <c r="AG90" s="238">
        <f t="shared" si="53"/>
        <v>-8.3333333333333329E-2</v>
      </c>
    </row>
    <row r="91" spans="1:33">
      <c r="A91" s="237">
        <v>89091</v>
      </c>
      <c r="C91" s="237" t="s">
        <v>227</v>
      </c>
      <c r="D91" s="237">
        <v>2011</v>
      </c>
      <c r="E91" s="237">
        <v>12</v>
      </c>
      <c r="F91" s="237">
        <v>0</v>
      </c>
      <c r="H91" s="237" t="s">
        <v>52</v>
      </c>
      <c r="I91" s="237">
        <v>5</v>
      </c>
      <c r="J91" s="237">
        <f t="shared" si="37"/>
        <v>2016</v>
      </c>
      <c r="M91" s="237">
        <v>858</v>
      </c>
      <c r="O91" s="238">
        <f t="shared" si="38"/>
        <v>858</v>
      </c>
      <c r="P91" s="238">
        <f t="shared" si="39"/>
        <v>14.299999999999999</v>
      </c>
      <c r="Q91" s="238">
        <f>IF(N91&gt;0,0,IF(OR(AC91&gt;AD91,AE91&lt;AF91),0,IF(AND(AE91&gt;=AF91,AE91&lt;=AD91),P91*((AE91-AF91)*12),IF(AND(AF91&lt;=AC91,AD91&gt;=AC91),((AD91-AC91)*12)*P91,IF(AE91&gt;AD91,12*P91,0)))))</f>
        <v>157.300000000013</v>
      </c>
      <c r="R91" s="238">
        <f>IF(N91=0,0,IF(AND(AG91&gt;=AF91,AG91&lt;=AE91),((AG91-AF91)*12)*P91,0))</f>
        <v>0</v>
      </c>
      <c r="S91" s="238">
        <f>IF(R91&gt;0,R91,Q91)</f>
        <v>157.300000000013</v>
      </c>
      <c r="T91" s="238">
        <v>1</v>
      </c>
      <c r="U91" s="238">
        <f>T91*SUM(Q91:R91)</f>
        <v>157.300000000013</v>
      </c>
      <c r="W91" s="238">
        <f>IF(AC91&gt;AD91,0,IF(AE91&lt;AF91,O91,IF(AND(AE91&gt;=AF91,AE91&lt;=AD91),(O91-S91),IF(AND(AF91&lt;=AC91,AD91&gt;=AC91),0,IF(AE91&gt;AD91,((AF91-AC91)*12)*P91,0)))))</f>
        <v>700.69999999998697</v>
      </c>
      <c r="X91" s="238">
        <f>W91*T91</f>
        <v>700.69999999998697</v>
      </c>
      <c r="Y91" s="238">
        <v>1</v>
      </c>
      <c r="Z91" s="238">
        <f>X91*Y91</f>
        <v>700.69999999998697</v>
      </c>
      <c r="AA91" s="238">
        <f>IF(N91&gt;0,0,Z91+U91*Y91)*Y91</f>
        <v>858</v>
      </c>
      <c r="AB91" s="238">
        <f>IF(N91&gt;0,(M91-Z91)/2,IF(AC91&gt;=AF91,(((M91*T91)*Y91)-AA91)/2,((((M91*T91)*Y91)-Z91)+(((M91*T91)*Y91)-AA91))/2))</f>
        <v>78.650000000006514</v>
      </c>
      <c r="AC91" s="238">
        <f t="shared" si="49"/>
        <v>2011.9166666666667</v>
      </c>
      <c r="AD91" s="238">
        <f t="shared" si="50"/>
        <v>2017</v>
      </c>
      <c r="AE91" s="238">
        <f t="shared" si="51"/>
        <v>2016.9166666666667</v>
      </c>
      <c r="AF91" s="238">
        <f t="shared" si="52"/>
        <v>2016</v>
      </c>
      <c r="AG91" s="238">
        <f t="shared" si="53"/>
        <v>-8.3333333333333329E-2</v>
      </c>
    </row>
    <row r="92" spans="1:33">
      <c r="A92" s="237">
        <v>105140</v>
      </c>
      <c r="C92" s="237" t="s">
        <v>276</v>
      </c>
      <c r="D92" s="237">
        <v>2013</v>
      </c>
      <c r="E92" s="237">
        <v>6</v>
      </c>
      <c r="F92" s="237">
        <v>0</v>
      </c>
      <c r="H92" s="237" t="s">
        <v>52</v>
      </c>
      <c r="I92" s="237">
        <v>3</v>
      </c>
      <c r="J92" s="237">
        <f t="shared" si="37"/>
        <v>2016</v>
      </c>
      <c r="M92" s="237">
        <v>1020.44</v>
      </c>
      <c r="O92" s="238">
        <f t="shared" si="38"/>
        <v>1020.44</v>
      </c>
      <c r="P92" s="238">
        <f t="shared" si="39"/>
        <v>28.34555555555556</v>
      </c>
      <c r="Q92" s="238">
        <f t="shared" ref="Q92:Q105" si="54">IF(N92&gt;0,0,IF(OR(AC92&gt;AD92,AE92&lt;AF92),0,IF(AND(AE92&gt;=AF92,AE92&lt;=AD92),P92*((AE92-AF92)*12),IF(AND(AF92&lt;=AC92,AD92&gt;=AC92),((AD92-AC92)*12)*P92,IF(AE92&gt;AD92,12*P92,0)))))</f>
        <v>141.72777777780357</v>
      </c>
      <c r="R92" s="238">
        <f t="shared" ref="R92:R105" si="55">IF(N92=0,0,IF(AND(AG92&gt;=AF92,AG92&lt;=AE92),((AG92-AF92)*12)*P92,0))</f>
        <v>0</v>
      </c>
      <c r="S92" s="238">
        <f t="shared" ref="S92:S105" si="56">IF(R92&gt;0,R92,Q92)</f>
        <v>141.72777777780357</v>
      </c>
      <c r="T92" s="238">
        <v>1</v>
      </c>
      <c r="U92" s="238">
        <f t="shared" ref="U92:U105" si="57">T92*SUM(Q92:R92)</f>
        <v>141.72777777780357</v>
      </c>
      <c r="W92" s="238">
        <f t="shared" ref="W92:W105" si="58">IF(AC92&gt;AD92,0,IF(AE92&lt;AF92,O92,IF(AND(AE92&gt;=AF92,AE92&lt;=AD92),(O92-S92),IF(AND(AF92&lt;=AC92,AD92&gt;=AC92),0,IF(AE92&gt;AD92,((AF92-AC92)*12)*P92,0)))))</f>
        <v>878.71222222219649</v>
      </c>
      <c r="X92" s="238">
        <f t="shared" ref="X92:X105" si="59">W92*T92</f>
        <v>878.71222222219649</v>
      </c>
      <c r="Y92" s="238">
        <v>1</v>
      </c>
      <c r="Z92" s="238">
        <f t="shared" ref="Z92:Z105" si="60">X92*Y92</f>
        <v>878.71222222219649</v>
      </c>
      <c r="AA92" s="238">
        <f t="shared" ref="AA92:AA105" si="61">IF(N92&gt;0,0,Z92+U92*Y92)*Y92</f>
        <v>1020.44</v>
      </c>
      <c r="AB92" s="238">
        <f t="shared" ref="AB92:AB105" si="62">IF(N92&gt;0,(M92-Z92)/2,IF(AC92&gt;=AF92,(((M92*T92)*Y92)-AA92)/2,((((M92*T92)*Y92)-Z92)+(((M92*T92)*Y92)-AA92))/2))</f>
        <v>70.863888888901784</v>
      </c>
      <c r="AC92" s="238">
        <f t="shared" si="49"/>
        <v>2013.4166666666667</v>
      </c>
      <c r="AD92" s="238">
        <f t="shared" si="50"/>
        <v>2017</v>
      </c>
      <c r="AE92" s="238">
        <f t="shared" si="51"/>
        <v>2016.4166666666667</v>
      </c>
      <c r="AF92" s="238">
        <f t="shared" si="52"/>
        <v>2016</v>
      </c>
      <c r="AG92" s="238">
        <f t="shared" si="53"/>
        <v>-8.3333333333333329E-2</v>
      </c>
    </row>
    <row r="93" spans="1:33">
      <c r="A93" s="237">
        <v>113265</v>
      </c>
      <c r="B93" s="237">
        <v>8</v>
      </c>
      <c r="C93" s="237" t="s">
        <v>308</v>
      </c>
      <c r="D93" s="237">
        <v>2014</v>
      </c>
      <c r="E93" s="237">
        <v>4</v>
      </c>
      <c r="F93" s="237">
        <v>0</v>
      </c>
      <c r="H93" s="237" t="s">
        <v>52</v>
      </c>
      <c r="I93" s="237">
        <v>3</v>
      </c>
      <c r="J93" s="237">
        <f t="shared" si="37"/>
        <v>2017</v>
      </c>
      <c r="M93" s="237">
        <v>2780.14</v>
      </c>
      <c r="O93" s="238">
        <f t="shared" si="38"/>
        <v>2780.14</v>
      </c>
      <c r="P93" s="238">
        <f t="shared" si="39"/>
        <v>77.226111111111109</v>
      </c>
      <c r="Q93" s="238">
        <f t="shared" si="54"/>
        <v>926.71333333333337</v>
      </c>
      <c r="R93" s="238">
        <f t="shared" si="55"/>
        <v>0</v>
      </c>
      <c r="S93" s="238">
        <f t="shared" si="56"/>
        <v>926.71333333333337</v>
      </c>
      <c r="T93" s="238">
        <v>1</v>
      </c>
      <c r="U93" s="238">
        <f t="shared" si="57"/>
        <v>926.71333333333337</v>
      </c>
      <c r="W93" s="238">
        <f t="shared" si="58"/>
        <v>1621.7483333333332</v>
      </c>
      <c r="X93" s="238">
        <f t="shared" si="59"/>
        <v>1621.7483333333332</v>
      </c>
      <c r="Y93" s="238">
        <v>1</v>
      </c>
      <c r="Z93" s="238">
        <f t="shared" si="60"/>
        <v>1621.7483333333332</v>
      </c>
      <c r="AA93" s="238">
        <f t="shared" si="61"/>
        <v>2548.4616666666666</v>
      </c>
      <c r="AB93" s="238">
        <f t="shared" si="62"/>
        <v>695.03499999999997</v>
      </c>
      <c r="AC93" s="238">
        <f t="shared" si="49"/>
        <v>2014.25</v>
      </c>
      <c r="AD93" s="238">
        <f t="shared" si="50"/>
        <v>2017</v>
      </c>
      <c r="AE93" s="238">
        <f t="shared" si="51"/>
        <v>2017.25</v>
      </c>
      <c r="AF93" s="238">
        <f t="shared" si="52"/>
        <v>2016</v>
      </c>
      <c r="AG93" s="238">
        <f t="shared" si="53"/>
        <v>-8.3333333333333329E-2</v>
      </c>
    </row>
    <row r="94" spans="1:33">
      <c r="A94" s="237">
        <v>112769</v>
      </c>
      <c r="C94" s="237" t="s">
        <v>313</v>
      </c>
      <c r="D94" s="237">
        <v>2013</v>
      </c>
      <c r="E94" s="237">
        <v>2</v>
      </c>
      <c r="F94" s="237">
        <v>0</v>
      </c>
      <c r="H94" s="237" t="s">
        <v>52</v>
      </c>
      <c r="I94" s="237">
        <v>3</v>
      </c>
      <c r="J94" s="237">
        <f t="shared" si="37"/>
        <v>2016</v>
      </c>
      <c r="M94" s="237">
        <v>976.33</v>
      </c>
      <c r="O94" s="238">
        <f t="shared" si="38"/>
        <v>976.33</v>
      </c>
      <c r="P94" s="238">
        <f t="shared" si="39"/>
        <v>27.120277777777776</v>
      </c>
      <c r="Q94" s="238">
        <f t="shared" si="54"/>
        <v>27.12027777775311</v>
      </c>
      <c r="R94" s="238">
        <f t="shared" si="55"/>
        <v>0</v>
      </c>
      <c r="S94" s="238">
        <f t="shared" si="56"/>
        <v>27.12027777775311</v>
      </c>
      <c r="T94" s="238">
        <v>1</v>
      </c>
      <c r="U94" s="238">
        <f t="shared" si="57"/>
        <v>27.12027777775311</v>
      </c>
      <c r="W94" s="238">
        <f t="shared" si="58"/>
        <v>949.20972222224691</v>
      </c>
      <c r="X94" s="238">
        <f t="shared" si="59"/>
        <v>949.20972222224691</v>
      </c>
      <c r="Y94" s="238">
        <v>1</v>
      </c>
      <c r="Z94" s="238">
        <f t="shared" si="60"/>
        <v>949.20972222224691</v>
      </c>
      <c r="AA94" s="238">
        <f t="shared" si="61"/>
        <v>976.33</v>
      </c>
      <c r="AB94" s="238">
        <f t="shared" si="62"/>
        <v>13.560138888876565</v>
      </c>
      <c r="AC94" s="238">
        <f t="shared" si="49"/>
        <v>2013.0833333333333</v>
      </c>
      <c r="AD94" s="238">
        <f t="shared" si="50"/>
        <v>2017</v>
      </c>
      <c r="AE94" s="238">
        <f t="shared" si="51"/>
        <v>2016.0833333333333</v>
      </c>
      <c r="AF94" s="238">
        <f t="shared" si="52"/>
        <v>2016</v>
      </c>
      <c r="AG94" s="238">
        <f t="shared" si="53"/>
        <v>-8.3333333333333329E-2</v>
      </c>
    </row>
    <row r="95" spans="1:33">
      <c r="A95" s="237" t="s">
        <v>324</v>
      </c>
      <c r="B95" s="237">
        <f>26+8</f>
        <v>34</v>
      </c>
      <c r="C95" s="237" t="s">
        <v>325</v>
      </c>
      <c r="D95" s="237">
        <v>2015</v>
      </c>
      <c r="E95" s="237">
        <v>2</v>
      </c>
      <c r="F95" s="237">
        <v>0</v>
      </c>
      <c r="H95" s="237" t="s">
        <v>52</v>
      </c>
      <c r="I95" s="237">
        <v>3</v>
      </c>
      <c r="J95" s="237">
        <f t="shared" si="37"/>
        <v>2018</v>
      </c>
      <c r="M95" s="237">
        <f>2768.16+8597.08</f>
        <v>11365.24</v>
      </c>
      <c r="O95" s="238">
        <f t="shared" si="38"/>
        <v>11365.24</v>
      </c>
      <c r="P95" s="238">
        <f t="shared" si="39"/>
        <v>315.70111111111112</v>
      </c>
      <c r="Q95" s="238">
        <f t="shared" si="54"/>
        <v>3788.4133333333334</v>
      </c>
      <c r="R95" s="238">
        <f t="shared" si="55"/>
        <v>0</v>
      </c>
      <c r="S95" s="238">
        <f t="shared" si="56"/>
        <v>3788.4133333333334</v>
      </c>
      <c r="T95" s="238">
        <v>1</v>
      </c>
      <c r="U95" s="238">
        <f t="shared" si="57"/>
        <v>3788.4133333333334</v>
      </c>
      <c r="W95" s="238">
        <f t="shared" si="58"/>
        <v>3472.7122222225094</v>
      </c>
      <c r="X95" s="238">
        <f t="shared" si="59"/>
        <v>3472.7122222225094</v>
      </c>
      <c r="Y95" s="238">
        <v>1</v>
      </c>
      <c r="Z95" s="238">
        <f t="shared" si="60"/>
        <v>3472.7122222225094</v>
      </c>
      <c r="AA95" s="238">
        <f t="shared" si="61"/>
        <v>7261.1255555558428</v>
      </c>
      <c r="AB95" s="238">
        <f t="shared" si="62"/>
        <v>5998.321111110823</v>
      </c>
      <c r="AC95" s="238">
        <f t="shared" si="49"/>
        <v>2015.0833333333333</v>
      </c>
      <c r="AD95" s="238">
        <f t="shared" si="50"/>
        <v>2017</v>
      </c>
      <c r="AE95" s="238">
        <f t="shared" si="51"/>
        <v>2018.0833333333333</v>
      </c>
      <c r="AF95" s="238">
        <f t="shared" si="52"/>
        <v>2016</v>
      </c>
      <c r="AG95" s="238">
        <f t="shared" si="53"/>
        <v>-8.3333333333333329E-2</v>
      </c>
    </row>
    <row r="96" spans="1:33">
      <c r="A96" s="237">
        <v>120339</v>
      </c>
      <c r="B96" s="237">
        <v>1</v>
      </c>
      <c r="C96" s="237" t="s">
        <v>326</v>
      </c>
      <c r="D96" s="237">
        <v>2015</v>
      </c>
      <c r="E96" s="237">
        <v>2</v>
      </c>
      <c r="F96" s="237">
        <v>0</v>
      </c>
      <c r="H96" s="237" t="s">
        <v>52</v>
      </c>
      <c r="I96" s="237">
        <v>3</v>
      </c>
      <c r="J96" s="237">
        <f t="shared" si="37"/>
        <v>2018</v>
      </c>
      <c r="M96" s="237">
        <v>747.14</v>
      </c>
      <c r="O96" s="238">
        <f t="shared" si="38"/>
        <v>747.14</v>
      </c>
      <c r="P96" s="238">
        <f t="shared" si="39"/>
        <v>20.753888888888888</v>
      </c>
      <c r="Q96" s="238">
        <f t="shared" si="54"/>
        <v>249.04666666666665</v>
      </c>
      <c r="R96" s="238">
        <f t="shared" si="55"/>
        <v>0</v>
      </c>
      <c r="S96" s="238">
        <f t="shared" si="56"/>
        <v>249.04666666666665</v>
      </c>
      <c r="T96" s="238">
        <v>1</v>
      </c>
      <c r="U96" s="238">
        <f t="shared" si="57"/>
        <v>249.04666666666665</v>
      </c>
      <c r="W96" s="238">
        <f t="shared" si="58"/>
        <v>228.29277777779663</v>
      </c>
      <c r="X96" s="238">
        <f t="shared" si="59"/>
        <v>228.29277777779663</v>
      </c>
      <c r="Y96" s="238">
        <v>1</v>
      </c>
      <c r="Z96" s="238">
        <f t="shared" si="60"/>
        <v>228.29277777779663</v>
      </c>
      <c r="AA96" s="238">
        <f t="shared" si="61"/>
        <v>477.33944444446331</v>
      </c>
      <c r="AB96" s="238">
        <f t="shared" si="62"/>
        <v>394.32388888886999</v>
      </c>
      <c r="AC96" s="238">
        <f t="shared" si="49"/>
        <v>2015.0833333333333</v>
      </c>
      <c r="AD96" s="238">
        <f t="shared" si="50"/>
        <v>2017</v>
      </c>
      <c r="AE96" s="238">
        <f t="shared" si="51"/>
        <v>2018.0833333333333</v>
      </c>
      <c r="AF96" s="238">
        <f t="shared" si="52"/>
        <v>2016</v>
      </c>
      <c r="AG96" s="238">
        <f t="shared" si="53"/>
        <v>-8.3333333333333329E-2</v>
      </c>
    </row>
    <row r="97" spans="1:33">
      <c r="A97" s="237">
        <v>122827</v>
      </c>
      <c r="B97" s="237">
        <v>3</v>
      </c>
      <c r="C97" s="237" t="s">
        <v>327</v>
      </c>
      <c r="D97" s="237">
        <v>2015</v>
      </c>
      <c r="E97" s="237">
        <v>5</v>
      </c>
      <c r="F97" s="237">
        <v>0</v>
      </c>
      <c r="H97" s="237" t="s">
        <v>52</v>
      </c>
      <c r="I97" s="237">
        <v>3</v>
      </c>
      <c r="J97" s="237">
        <f t="shared" si="37"/>
        <v>2018</v>
      </c>
      <c r="M97" s="237">
        <v>3126.31</v>
      </c>
      <c r="O97" s="238">
        <f t="shared" si="38"/>
        <v>3126.31</v>
      </c>
      <c r="P97" s="238">
        <f t="shared" si="39"/>
        <v>86.841944444444437</v>
      </c>
      <c r="Q97" s="238">
        <f t="shared" si="54"/>
        <v>1042.1033333333332</v>
      </c>
      <c r="R97" s="238">
        <f t="shared" si="55"/>
        <v>0</v>
      </c>
      <c r="S97" s="238">
        <f t="shared" si="56"/>
        <v>1042.1033333333332</v>
      </c>
      <c r="T97" s="238">
        <v>1</v>
      </c>
      <c r="U97" s="238">
        <f t="shared" si="57"/>
        <v>1042.1033333333332</v>
      </c>
      <c r="W97" s="238">
        <f t="shared" si="58"/>
        <v>694.73555555563451</v>
      </c>
      <c r="X97" s="238">
        <f t="shared" si="59"/>
        <v>694.73555555563451</v>
      </c>
      <c r="Y97" s="238">
        <v>1</v>
      </c>
      <c r="Z97" s="238">
        <f t="shared" si="60"/>
        <v>694.73555555563451</v>
      </c>
      <c r="AA97" s="238">
        <f t="shared" si="61"/>
        <v>1736.8388888889676</v>
      </c>
      <c r="AB97" s="238">
        <f t="shared" si="62"/>
        <v>1910.5227777776988</v>
      </c>
      <c r="AC97" s="238">
        <f t="shared" si="49"/>
        <v>2015.3333333333333</v>
      </c>
      <c r="AD97" s="238">
        <f t="shared" si="50"/>
        <v>2017</v>
      </c>
      <c r="AE97" s="238">
        <f t="shared" si="51"/>
        <v>2018.3333333333333</v>
      </c>
      <c r="AF97" s="238">
        <f t="shared" si="52"/>
        <v>2016</v>
      </c>
      <c r="AG97" s="238">
        <f t="shared" si="53"/>
        <v>-8.3333333333333329E-2</v>
      </c>
    </row>
    <row r="98" spans="1:33">
      <c r="A98" s="237">
        <v>127696</v>
      </c>
      <c r="C98" s="237" t="s">
        <v>334</v>
      </c>
      <c r="D98" s="237">
        <v>2015</v>
      </c>
      <c r="E98" s="237">
        <v>11</v>
      </c>
      <c r="F98" s="237">
        <v>0</v>
      </c>
      <c r="H98" s="237" t="s">
        <v>52</v>
      </c>
      <c r="I98" s="237">
        <v>3</v>
      </c>
      <c r="J98" s="237">
        <f t="shared" si="37"/>
        <v>2018</v>
      </c>
      <c r="M98" s="237">
        <v>864.3</v>
      </c>
      <c r="O98" s="238">
        <f t="shared" si="38"/>
        <v>864.3</v>
      </c>
      <c r="P98" s="238">
        <f t="shared" si="39"/>
        <v>24.008333333333329</v>
      </c>
      <c r="Q98" s="238">
        <f t="shared" si="54"/>
        <v>288.09999999999997</v>
      </c>
      <c r="R98" s="238">
        <f t="shared" si="55"/>
        <v>0</v>
      </c>
      <c r="S98" s="238">
        <f t="shared" si="56"/>
        <v>288.09999999999997</v>
      </c>
      <c r="T98" s="238">
        <v>1</v>
      </c>
      <c r="U98" s="238">
        <f t="shared" si="57"/>
        <v>288.09999999999997</v>
      </c>
      <c r="W98" s="238">
        <f t="shared" si="58"/>
        <v>48.016666666688494</v>
      </c>
      <c r="X98" s="238">
        <f t="shared" si="59"/>
        <v>48.016666666688494</v>
      </c>
      <c r="Y98" s="238">
        <v>1</v>
      </c>
      <c r="Z98" s="238">
        <f t="shared" si="60"/>
        <v>48.016666666688494</v>
      </c>
      <c r="AA98" s="238">
        <f t="shared" si="61"/>
        <v>336.11666666668845</v>
      </c>
      <c r="AB98" s="238">
        <f t="shared" si="62"/>
        <v>672.23333333331152</v>
      </c>
      <c r="AC98" s="238">
        <f t="shared" si="49"/>
        <v>2015.8333333333333</v>
      </c>
      <c r="AD98" s="238">
        <f t="shared" si="50"/>
        <v>2017</v>
      </c>
      <c r="AE98" s="238">
        <f t="shared" si="51"/>
        <v>2018.8333333333333</v>
      </c>
      <c r="AF98" s="238">
        <f t="shared" si="52"/>
        <v>2016</v>
      </c>
      <c r="AG98" s="238">
        <f t="shared" si="53"/>
        <v>-8.3333333333333329E-2</v>
      </c>
    </row>
    <row r="99" spans="1:33">
      <c r="A99" s="237">
        <v>128907</v>
      </c>
      <c r="C99" s="237" t="s">
        <v>335</v>
      </c>
      <c r="D99" s="237">
        <v>2015</v>
      </c>
      <c r="E99" s="237">
        <v>12</v>
      </c>
      <c r="F99" s="237">
        <v>0</v>
      </c>
      <c r="H99" s="237" t="s">
        <v>52</v>
      </c>
      <c r="I99" s="237">
        <v>3</v>
      </c>
      <c r="J99" s="237">
        <f t="shared" si="37"/>
        <v>2018</v>
      </c>
      <c r="M99" s="237">
        <v>1141.1300000000001</v>
      </c>
      <c r="O99" s="238">
        <f t="shared" si="38"/>
        <v>1141.1300000000001</v>
      </c>
      <c r="P99" s="238">
        <f t="shared" si="39"/>
        <v>31.698055555555559</v>
      </c>
      <c r="Q99" s="238">
        <f t="shared" si="54"/>
        <v>380.37666666666672</v>
      </c>
      <c r="R99" s="238">
        <f t="shared" si="55"/>
        <v>0</v>
      </c>
      <c r="S99" s="238">
        <f t="shared" si="56"/>
        <v>380.37666666666672</v>
      </c>
      <c r="T99" s="238">
        <v>1</v>
      </c>
      <c r="U99" s="238">
        <f t="shared" si="57"/>
        <v>380.37666666666672</v>
      </c>
      <c r="W99" s="238">
        <f t="shared" si="58"/>
        <v>31.698055555526729</v>
      </c>
      <c r="X99" s="238">
        <f t="shared" si="59"/>
        <v>31.698055555526729</v>
      </c>
      <c r="Y99" s="238">
        <v>1</v>
      </c>
      <c r="Z99" s="238">
        <f t="shared" si="60"/>
        <v>31.698055555526729</v>
      </c>
      <c r="AA99" s="238">
        <f t="shared" si="61"/>
        <v>412.07472222219343</v>
      </c>
      <c r="AB99" s="238">
        <f t="shared" si="62"/>
        <v>919.24361111114001</v>
      </c>
      <c r="AC99" s="238">
        <f t="shared" si="49"/>
        <v>2015.9166666666667</v>
      </c>
      <c r="AD99" s="238">
        <f t="shared" si="50"/>
        <v>2017</v>
      </c>
      <c r="AE99" s="238">
        <f t="shared" si="51"/>
        <v>2018.9166666666667</v>
      </c>
      <c r="AF99" s="238">
        <f t="shared" si="52"/>
        <v>2016</v>
      </c>
      <c r="AG99" s="238">
        <f t="shared" si="53"/>
        <v>-8.3333333333333329E-2</v>
      </c>
    </row>
    <row r="100" spans="1:33">
      <c r="A100" s="237">
        <v>129801</v>
      </c>
      <c r="B100" s="237">
        <v>2</v>
      </c>
      <c r="C100" s="237" t="s">
        <v>401</v>
      </c>
      <c r="D100" s="237">
        <v>2016</v>
      </c>
      <c r="E100" s="237">
        <v>1</v>
      </c>
      <c r="F100" s="237">
        <v>0</v>
      </c>
      <c r="H100" s="237" t="s">
        <v>52</v>
      </c>
      <c r="I100" s="237">
        <v>3</v>
      </c>
      <c r="J100" s="237">
        <f t="shared" si="37"/>
        <v>2019</v>
      </c>
      <c r="M100" s="237">
        <v>780.68</v>
      </c>
      <c r="O100" s="238">
        <f t="shared" si="38"/>
        <v>780.68</v>
      </c>
      <c r="P100" s="238">
        <f t="shared" si="39"/>
        <v>21.685555555555553</v>
      </c>
      <c r="Q100" s="238">
        <f t="shared" si="54"/>
        <v>260.22666666666663</v>
      </c>
      <c r="R100" s="238">
        <f t="shared" si="55"/>
        <v>0</v>
      </c>
      <c r="S100" s="238">
        <f t="shared" si="56"/>
        <v>260.22666666666663</v>
      </c>
      <c r="T100" s="238">
        <v>1</v>
      </c>
      <c r="U100" s="238">
        <f t="shared" si="57"/>
        <v>260.22666666666663</v>
      </c>
      <c r="W100" s="238">
        <f t="shared" si="58"/>
        <v>0</v>
      </c>
      <c r="X100" s="238">
        <f t="shared" si="59"/>
        <v>0</v>
      </c>
      <c r="Y100" s="238">
        <v>1</v>
      </c>
      <c r="Z100" s="238">
        <f t="shared" si="60"/>
        <v>0</v>
      </c>
      <c r="AA100" s="238">
        <f t="shared" si="61"/>
        <v>260.22666666666663</v>
      </c>
      <c r="AB100" s="238">
        <f t="shared" si="62"/>
        <v>260.22666666666669</v>
      </c>
      <c r="AC100" s="238">
        <f t="shared" si="49"/>
        <v>2016</v>
      </c>
      <c r="AD100" s="238">
        <f t="shared" si="50"/>
        <v>2017</v>
      </c>
      <c r="AE100" s="238">
        <f t="shared" si="51"/>
        <v>2019</v>
      </c>
      <c r="AF100" s="238">
        <f t="shared" si="52"/>
        <v>2016</v>
      </c>
      <c r="AG100" s="238">
        <f t="shared" si="53"/>
        <v>-8.3333333333333329E-2</v>
      </c>
    </row>
    <row r="101" spans="1:33">
      <c r="A101" s="237">
        <v>133016</v>
      </c>
      <c r="B101" s="237">
        <v>20</v>
      </c>
      <c r="C101" s="237" t="s">
        <v>400</v>
      </c>
      <c r="D101" s="237">
        <v>2016</v>
      </c>
      <c r="E101" s="237">
        <v>5</v>
      </c>
      <c r="F101" s="237">
        <v>0</v>
      </c>
      <c r="H101" s="237" t="s">
        <v>52</v>
      </c>
      <c r="I101" s="237">
        <v>3</v>
      </c>
      <c r="J101" s="237">
        <f>D101+I101</f>
        <v>2019</v>
      </c>
      <c r="M101" s="237">
        <v>2417.6999999999998</v>
      </c>
      <c r="O101" s="238">
        <f>M101-M101*F101</f>
        <v>2417.6999999999998</v>
      </c>
      <c r="P101" s="238">
        <f>O101/I101/12</f>
        <v>67.158333333333331</v>
      </c>
      <c r="Q101" s="238">
        <f t="shared" si="54"/>
        <v>537.2666666667277</v>
      </c>
      <c r="R101" s="238">
        <f t="shared" si="55"/>
        <v>0</v>
      </c>
      <c r="S101" s="238">
        <f t="shared" si="56"/>
        <v>537.2666666667277</v>
      </c>
      <c r="T101" s="238">
        <v>1</v>
      </c>
      <c r="U101" s="238">
        <f t="shared" si="57"/>
        <v>537.2666666667277</v>
      </c>
      <c r="W101" s="238">
        <f t="shared" si="58"/>
        <v>0</v>
      </c>
      <c r="X101" s="238">
        <f t="shared" si="59"/>
        <v>0</v>
      </c>
      <c r="Y101" s="238">
        <v>1</v>
      </c>
      <c r="Z101" s="238">
        <f t="shared" si="60"/>
        <v>0</v>
      </c>
      <c r="AA101" s="238">
        <f t="shared" si="61"/>
        <v>537.2666666667277</v>
      </c>
      <c r="AB101" s="238">
        <f t="shared" si="62"/>
        <v>940.216666666636</v>
      </c>
      <c r="AC101" s="238">
        <f t="shared" si="49"/>
        <v>2016.3333333333333</v>
      </c>
      <c r="AD101" s="238">
        <f t="shared" si="50"/>
        <v>2017</v>
      </c>
      <c r="AE101" s="238">
        <f t="shared" si="51"/>
        <v>2019.3333333333333</v>
      </c>
      <c r="AF101" s="238">
        <f t="shared" si="52"/>
        <v>2016</v>
      </c>
      <c r="AG101" s="238">
        <f t="shared" si="53"/>
        <v>-8.3333333333333329E-2</v>
      </c>
    </row>
    <row r="102" spans="1:33">
      <c r="A102" s="237">
        <v>133017</v>
      </c>
      <c r="C102" s="237" t="s">
        <v>402</v>
      </c>
      <c r="D102" s="237">
        <v>2016</v>
      </c>
      <c r="E102" s="237">
        <v>5</v>
      </c>
      <c r="F102" s="237">
        <v>0</v>
      </c>
      <c r="H102" s="237" t="s">
        <v>52</v>
      </c>
      <c r="I102" s="237">
        <v>3</v>
      </c>
      <c r="J102" s="237">
        <f>D102+I102</f>
        <v>2019</v>
      </c>
      <c r="M102" s="237">
        <v>1121.76</v>
      </c>
      <c r="O102" s="238">
        <f>M102-M102*F102</f>
        <v>1121.76</v>
      </c>
      <c r="P102" s="238">
        <f>O102/I102/12</f>
        <v>31.16</v>
      </c>
      <c r="Q102" s="238">
        <f t="shared" si="54"/>
        <v>249.28000000002834</v>
      </c>
      <c r="R102" s="238">
        <f t="shared" si="55"/>
        <v>0</v>
      </c>
      <c r="S102" s="238">
        <f t="shared" si="56"/>
        <v>249.28000000002834</v>
      </c>
      <c r="T102" s="238">
        <v>1</v>
      </c>
      <c r="U102" s="238">
        <f t="shared" si="57"/>
        <v>249.28000000002834</v>
      </c>
      <c r="W102" s="238">
        <f t="shared" si="58"/>
        <v>0</v>
      </c>
      <c r="X102" s="238">
        <f t="shared" si="59"/>
        <v>0</v>
      </c>
      <c r="Y102" s="238">
        <v>1</v>
      </c>
      <c r="Z102" s="238">
        <f t="shared" si="60"/>
        <v>0</v>
      </c>
      <c r="AA102" s="238">
        <f t="shared" si="61"/>
        <v>249.28000000002834</v>
      </c>
      <c r="AB102" s="238">
        <f t="shared" si="62"/>
        <v>436.2399999999858</v>
      </c>
      <c r="AC102" s="238">
        <f t="shared" si="49"/>
        <v>2016.3333333333333</v>
      </c>
      <c r="AD102" s="238">
        <f t="shared" si="50"/>
        <v>2017</v>
      </c>
      <c r="AE102" s="238">
        <f t="shared" si="51"/>
        <v>2019.3333333333333</v>
      </c>
      <c r="AF102" s="238">
        <f t="shared" si="52"/>
        <v>2016</v>
      </c>
      <c r="AG102" s="238">
        <f t="shared" si="53"/>
        <v>-8.3333333333333329E-2</v>
      </c>
    </row>
    <row r="103" spans="1:33">
      <c r="A103" s="237">
        <v>165562</v>
      </c>
      <c r="C103" s="237" t="s">
        <v>335</v>
      </c>
      <c r="D103" s="237">
        <v>2016</v>
      </c>
      <c r="E103" s="237">
        <v>4</v>
      </c>
      <c r="F103" s="237">
        <v>0</v>
      </c>
      <c r="H103" s="237" t="s">
        <v>52</v>
      </c>
      <c r="I103" s="237">
        <v>3</v>
      </c>
      <c r="J103" s="237">
        <f>D103+I103</f>
        <v>2019</v>
      </c>
      <c r="M103" s="237">
        <v>1019.16</v>
      </c>
      <c r="O103" s="238">
        <f>M103-M103*F103</f>
        <v>1019.16</v>
      </c>
      <c r="P103" s="238">
        <f>O103/I103/12</f>
        <v>28.31</v>
      </c>
      <c r="Q103" s="238">
        <f t="shared" si="54"/>
        <v>254.79</v>
      </c>
      <c r="R103" s="238">
        <f t="shared" si="55"/>
        <v>0</v>
      </c>
      <c r="S103" s="238">
        <f t="shared" si="56"/>
        <v>254.79</v>
      </c>
      <c r="T103" s="238">
        <v>1</v>
      </c>
      <c r="U103" s="238">
        <f t="shared" si="57"/>
        <v>254.79</v>
      </c>
      <c r="W103" s="238">
        <f t="shared" si="58"/>
        <v>0</v>
      </c>
      <c r="X103" s="238">
        <f t="shared" si="59"/>
        <v>0</v>
      </c>
      <c r="Y103" s="238">
        <v>1</v>
      </c>
      <c r="Z103" s="238">
        <f t="shared" si="60"/>
        <v>0</v>
      </c>
      <c r="AA103" s="238">
        <f t="shared" si="61"/>
        <v>254.79</v>
      </c>
      <c r="AB103" s="238">
        <f t="shared" si="62"/>
        <v>382.185</v>
      </c>
      <c r="AC103" s="238">
        <f t="shared" si="49"/>
        <v>2016.25</v>
      </c>
      <c r="AD103" s="238">
        <f t="shared" si="50"/>
        <v>2017</v>
      </c>
      <c r="AE103" s="238">
        <f t="shared" si="51"/>
        <v>2019.25</v>
      </c>
      <c r="AF103" s="238">
        <f t="shared" si="52"/>
        <v>2016</v>
      </c>
      <c r="AG103" s="238">
        <f t="shared" si="53"/>
        <v>-8.3333333333333329E-2</v>
      </c>
    </row>
    <row r="104" spans="1:33">
      <c r="A104" s="237">
        <v>165855</v>
      </c>
      <c r="C104" s="237" t="s">
        <v>405</v>
      </c>
      <c r="D104" s="237">
        <v>2016</v>
      </c>
      <c r="E104" s="237">
        <v>7</v>
      </c>
      <c r="F104" s="237">
        <v>0</v>
      </c>
      <c r="H104" s="237" t="s">
        <v>52</v>
      </c>
      <c r="I104" s="237">
        <v>3</v>
      </c>
      <c r="J104" s="237">
        <f>D104+I104</f>
        <v>2019</v>
      </c>
      <c r="M104" s="237">
        <v>1237.49</v>
      </c>
      <c r="O104" s="238">
        <f>M104-M104*F104</f>
        <v>1237.49</v>
      </c>
      <c r="P104" s="238">
        <f>O104/I104/12</f>
        <v>34.374722222222225</v>
      </c>
      <c r="Q104" s="238">
        <f t="shared" si="54"/>
        <v>206.24833333333333</v>
      </c>
      <c r="R104" s="238">
        <f t="shared" si="55"/>
        <v>0</v>
      </c>
      <c r="S104" s="238">
        <f t="shared" si="56"/>
        <v>206.24833333333333</v>
      </c>
      <c r="T104" s="238">
        <v>1</v>
      </c>
      <c r="U104" s="238">
        <f t="shared" si="57"/>
        <v>206.24833333333333</v>
      </c>
      <c r="W104" s="238">
        <f t="shared" si="58"/>
        <v>0</v>
      </c>
      <c r="X104" s="238">
        <f t="shared" si="59"/>
        <v>0</v>
      </c>
      <c r="Y104" s="238">
        <v>1</v>
      </c>
      <c r="Z104" s="238">
        <f t="shared" si="60"/>
        <v>0</v>
      </c>
      <c r="AA104" s="238">
        <f t="shared" si="61"/>
        <v>206.24833333333333</v>
      </c>
      <c r="AB104" s="238">
        <f t="shared" si="62"/>
        <v>515.62083333333339</v>
      </c>
      <c r="AC104" s="238">
        <f t="shared" si="49"/>
        <v>2016.5</v>
      </c>
      <c r="AD104" s="238">
        <f t="shared" si="50"/>
        <v>2017</v>
      </c>
      <c r="AE104" s="238">
        <f t="shared" si="51"/>
        <v>2019.5</v>
      </c>
      <c r="AF104" s="238">
        <f t="shared" si="52"/>
        <v>2016</v>
      </c>
      <c r="AG104" s="238">
        <f t="shared" si="53"/>
        <v>-8.3333333333333329E-2</v>
      </c>
    </row>
    <row r="105" spans="1:33">
      <c r="A105" s="237">
        <v>168021</v>
      </c>
      <c r="B105" s="237">
        <v>8</v>
      </c>
      <c r="C105" s="237" t="s">
        <v>410</v>
      </c>
      <c r="D105" s="237">
        <v>2016</v>
      </c>
      <c r="E105" s="237">
        <v>9</v>
      </c>
      <c r="F105" s="237">
        <v>0</v>
      </c>
      <c r="H105" s="237" t="s">
        <v>52</v>
      </c>
      <c r="I105" s="237">
        <v>3</v>
      </c>
      <c r="J105" s="237">
        <f>D105+I105</f>
        <v>2019</v>
      </c>
      <c r="M105" s="237">
        <v>993.08</v>
      </c>
      <c r="O105" s="238">
        <f>M105-M105*F105</f>
        <v>993.08</v>
      </c>
      <c r="P105" s="238">
        <f>O105/I105/12</f>
        <v>27.585555555555558</v>
      </c>
      <c r="Q105" s="238">
        <f t="shared" si="54"/>
        <v>110.34222222219715</v>
      </c>
      <c r="R105" s="238">
        <f t="shared" si="55"/>
        <v>0</v>
      </c>
      <c r="S105" s="238">
        <f t="shared" si="56"/>
        <v>110.34222222219715</v>
      </c>
      <c r="T105" s="238">
        <v>1</v>
      </c>
      <c r="U105" s="238">
        <f t="shared" si="57"/>
        <v>110.34222222219715</v>
      </c>
      <c r="W105" s="238">
        <f t="shared" si="58"/>
        <v>0</v>
      </c>
      <c r="X105" s="238">
        <f t="shared" si="59"/>
        <v>0</v>
      </c>
      <c r="Y105" s="238">
        <v>1</v>
      </c>
      <c r="Z105" s="238">
        <f t="shared" si="60"/>
        <v>0</v>
      </c>
      <c r="AA105" s="238">
        <f t="shared" si="61"/>
        <v>110.34222222219715</v>
      </c>
      <c r="AB105" s="238">
        <f t="shared" si="62"/>
        <v>441.36888888890144</v>
      </c>
      <c r="AC105" s="238">
        <f t="shared" si="49"/>
        <v>2016.6666666666667</v>
      </c>
      <c r="AD105" s="238">
        <f t="shared" si="50"/>
        <v>2017</v>
      </c>
      <c r="AE105" s="238">
        <f t="shared" si="51"/>
        <v>2019.6666666666667</v>
      </c>
      <c r="AF105" s="238">
        <f t="shared" si="52"/>
        <v>2016</v>
      </c>
      <c r="AG105" s="238">
        <f t="shared" si="53"/>
        <v>-8.3333333333333329E-2</v>
      </c>
    </row>
    <row r="107" spans="1:33" ht="13.5" thickBot="1">
      <c r="B107" s="237" t="s">
        <v>57</v>
      </c>
      <c r="C107" s="237" t="s">
        <v>146</v>
      </c>
      <c r="M107" s="237">
        <f>SUM(M84:M106)</f>
        <v>134961.19999999998</v>
      </c>
      <c r="O107" s="238">
        <f>SUM(O84:O106)</f>
        <v>134961.19999999998</v>
      </c>
      <c r="P107" s="238">
        <f>SUM(P84:P106)</f>
        <v>2546.9066666666668</v>
      </c>
      <c r="Q107" s="238">
        <f>SUM(Q84:Q106)</f>
        <v>19351.395277777854</v>
      </c>
      <c r="S107" s="238">
        <f>SUM(S84:S106)</f>
        <v>19351.395277777854</v>
      </c>
      <c r="U107" s="238">
        <f>SUM(U84:U106)</f>
        <v>19351.395277777854</v>
      </c>
      <c r="V107" s="238">
        <f>SUM(V84:V106)</f>
        <v>0</v>
      </c>
      <c r="W107" s="238">
        <f>SUM(W84:W106)</f>
        <v>99722.70055555593</v>
      </c>
      <c r="X107" s="238">
        <f>SUM(X84:X106)</f>
        <v>99722.70055555593</v>
      </c>
      <c r="Z107" s="238">
        <f>SUM(Z84:Z106)</f>
        <v>99722.70055555593</v>
      </c>
      <c r="AA107" s="238">
        <f>SUM(AA84:AA106)</f>
        <v>119074.09583333378</v>
      </c>
      <c r="AB107" s="238">
        <f>SUM(AB84:AB106)</f>
        <v>21777.866805555157</v>
      </c>
    </row>
    <row r="109" spans="1:33" ht="13.5" thickBot="1">
      <c r="C109" s="237" t="s">
        <v>247</v>
      </c>
      <c r="M109" s="237">
        <f>SUM(M107,M78,M44,M34,M17)</f>
        <v>10418867.858571429</v>
      </c>
      <c r="O109" s="238">
        <f t="shared" ref="O109:Q109" si="63">SUM(O107,O78,O44,O34,O17)</f>
        <v>10363361.980071429</v>
      </c>
      <c r="P109" s="238">
        <f t="shared" si="63"/>
        <v>39711.35101765873</v>
      </c>
      <c r="Q109" s="238">
        <f t="shared" si="63"/>
        <v>423600.27113492123</v>
      </c>
      <c r="S109" s="238">
        <f>SUM(S107,S78,S44,S34,S17)</f>
        <v>423600.27113492123</v>
      </c>
      <c r="U109" s="238">
        <f t="shared" ref="U109:X109" si="64">SUM(U107,U78,U44,U34,U17)</f>
        <v>423600.27113492123</v>
      </c>
      <c r="V109" s="238">
        <f t="shared" si="64"/>
        <v>0</v>
      </c>
      <c r="W109" s="238">
        <f t="shared" si="64"/>
        <v>2027982.1731358976</v>
      </c>
      <c r="X109" s="238">
        <f t="shared" si="64"/>
        <v>2027982.1731358976</v>
      </c>
      <c r="Z109" s="238">
        <f t="shared" ref="Z109:AB109" si="65">SUM(Z107,Z78,Z44,Z34,Z17)</f>
        <v>2027982.1731358976</v>
      </c>
      <c r="AA109" s="238">
        <f t="shared" si="65"/>
        <v>2451582.444270819</v>
      </c>
      <c r="AB109" s="238">
        <f t="shared" si="65"/>
        <v>8127549.2598680705</v>
      </c>
    </row>
    <row r="110" spans="1:33" ht="13.5" thickTop="1"/>
  </sheetData>
  <pageMargins left="0.75" right="0.75" top="1" bottom="1" header="0.5" footer="0.5"/>
  <pageSetup scale="47" fitToHeight="4" orientation="landscape" horizontalDpi="300" verticalDpi="300"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pageSetUpPr fitToPage="1"/>
  </sheetPr>
  <dimension ref="A1:CB75"/>
  <sheetViews>
    <sheetView showGridLines="0" zoomScaleNormal="100" workbookViewId="0">
      <pane xSplit="3" ySplit="11" topLeftCell="D48" activePane="bottomRight" state="frozen"/>
      <selection activeCell="P18" sqref="P18"/>
      <selection pane="topRight" activeCell="P18" sqref="P18"/>
      <selection pane="bottomLeft" activeCell="P18" sqref="P18"/>
      <selection pane="bottomRight" activeCell="Q76" sqref="Q76"/>
    </sheetView>
  </sheetViews>
  <sheetFormatPr defaultColWidth="9.77734375" defaultRowHeight="12.75"/>
  <cols>
    <col min="1" max="1" width="5.44140625" style="237" customWidth="1"/>
    <col min="2" max="2" width="3.77734375" style="237" customWidth="1"/>
    <col min="3" max="3" width="5.33203125" style="237" customWidth="1"/>
    <col min="4" max="4" width="22.109375" style="237" customWidth="1"/>
    <col min="5" max="5" width="5.88671875" style="237" customWidth="1"/>
    <col min="6" max="6" width="2.6640625" style="237" customWidth="1"/>
    <col min="7" max="7" width="5.77734375" style="237" customWidth="1"/>
    <col min="8" max="8" width="1.77734375" style="237" customWidth="1"/>
    <col min="9" max="9" width="5.44140625" style="237" customWidth="1"/>
    <col min="10" max="10" width="4.44140625" style="237" customWidth="1"/>
    <col min="11" max="11" width="3.88671875" style="237" customWidth="1"/>
    <col min="12" max="12" width="4.44140625" style="237" customWidth="1"/>
    <col min="13" max="13" width="3.109375" style="237" customWidth="1"/>
    <col min="14" max="14" width="10" style="238" customWidth="1"/>
    <col min="15" max="15" width="5.21875" style="238" customWidth="1"/>
    <col min="16" max="17" width="8.77734375" style="238" customWidth="1"/>
    <col min="18" max="18" width="7.21875" style="238" customWidth="1"/>
    <col min="19" max="19" width="5.21875" style="238" customWidth="1"/>
    <col min="20" max="20" width="7.6640625" style="238" customWidth="1"/>
    <col min="21" max="21" width="3.44140625" style="238" customWidth="1"/>
    <col min="22" max="22" width="6.44140625" style="238" customWidth="1"/>
    <col min="23" max="23" width="1.77734375" style="238" customWidth="1"/>
    <col min="24" max="25" width="8.6640625" style="238" customWidth="1"/>
    <col min="26" max="26" width="5.109375" style="238" customWidth="1"/>
    <col min="27" max="28" width="7" style="238" customWidth="1"/>
    <col min="29" max="29" width="7.77734375" style="238" customWidth="1"/>
    <col min="30" max="30" width="6.109375" style="238" customWidth="1"/>
    <col min="31" max="31" width="6.5546875" style="238" customWidth="1"/>
    <col min="32" max="32" width="7.88671875" style="238" customWidth="1"/>
    <col min="33" max="33" width="6.109375" style="238" customWidth="1"/>
    <col min="34" max="34" width="3.88671875" style="238" customWidth="1"/>
    <col min="35" max="36" width="9.77734375" style="238"/>
    <col min="37" max="16384" width="9.77734375" style="237"/>
  </cols>
  <sheetData>
    <row r="1" spans="1:80">
      <c r="D1" s="237" t="s">
        <v>612</v>
      </c>
      <c r="N1" s="238" t="s">
        <v>256</v>
      </c>
      <c r="P1" s="238" t="s">
        <v>266</v>
      </c>
      <c r="AE1" s="238">
        <f>[6]Summary!F5</f>
        <v>42370</v>
      </c>
    </row>
    <row r="2" spans="1:80">
      <c r="D2" s="237" t="s">
        <v>0</v>
      </c>
      <c r="N2" s="238" t="s">
        <v>259</v>
      </c>
      <c r="P2" s="238">
        <v>12</v>
      </c>
      <c r="Q2" s="238" t="s">
        <v>1</v>
      </c>
      <c r="BX2" s="237" t="s">
        <v>2</v>
      </c>
    </row>
    <row r="3" spans="1:80">
      <c r="D3" s="240">
        <f>[6]Summary!H5</f>
        <v>42735</v>
      </c>
      <c r="N3" s="238" t="s">
        <v>254</v>
      </c>
      <c r="P3" s="238">
        <v>0</v>
      </c>
      <c r="Q3" s="238" t="s">
        <v>3</v>
      </c>
      <c r="AE3" s="238" t="s">
        <v>4</v>
      </c>
      <c r="AF3" s="238" t="s">
        <v>5</v>
      </c>
    </row>
    <row r="4" spans="1:80">
      <c r="N4" s="238" t="s">
        <v>255</v>
      </c>
      <c r="P4" s="238">
        <f>2016</f>
        <v>2016</v>
      </c>
      <c r="Q4" s="238" t="s">
        <v>6</v>
      </c>
      <c r="AE4" s="238" t="s">
        <v>7</v>
      </c>
      <c r="AF4" s="238" t="s">
        <v>8</v>
      </c>
      <c r="BW4" s="237">
        <v>1</v>
      </c>
      <c r="BX4" s="237" t="s">
        <v>9</v>
      </c>
      <c r="CA4" s="237">
        <v>12</v>
      </c>
      <c r="CB4" s="237" t="s">
        <v>10</v>
      </c>
    </row>
    <row r="5" spans="1:80">
      <c r="P5" s="238">
        <v>2017</v>
      </c>
      <c r="Q5" s="238" t="s">
        <v>11</v>
      </c>
      <c r="AE5" s="238" t="s">
        <v>12</v>
      </c>
      <c r="AF5" s="238" t="s">
        <v>13</v>
      </c>
      <c r="BX5" s="237">
        <v>1993</v>
      </c>
      <c r="CA5" s="237">
        <v>0</v>
      </c>
      <c r="CB5" s="237" t="s">
        <v>14</v>
      </c>
    </row>
    <row r="6" spans="1:80">
      <c r="AE6" s="238" t="s">
        <v>15</v>
      </c>
      <c r="AF6" s="238" t="s">
        <v>16</v>
      </c>
      <c r="CA6" s="237">
        <v>93</v>
      </c>
      <c r="CB6" s="237" t="s">
        <v>6</v>
      </c>
    </row>
    <row r="7" spans="1:80">
      <c r="AE7" s="238" t="s">
        <v>20</v>
      </c>
      <c r="AF7" s="238" t="s">
        <v>21</v>
      </c>
      <c r="CA7" s="237">
        <v>94</v>
      </c>
      <c r="CB7" s="237" t="s">
        <v>22</v>
      </c>
    </row>
    <row r="8" spans="1:80">
      <c r="S8" s="238" t="s">
        <v>25</v>
      </c>
      <c r="V8" s="238" t="s">
        <v>17</v>
      </c>
      <c r="X8" s="238" t="s">
        <v>18</v>
      </c>
      <c r="Y8" s="238" t="s">
        <v>19</v>
      </c>
      <c r="AA8" s="238" t="s">
        <v>19</v>
      </c>
      <c r="AB8" s="238" t="s">
        <v>19</v>
      </c>
    </row>
    <row r="9" spans="1:80">
      <c r="C9" s="237" t="s">
        <v>57</v>
      </c>
      <c r="D9" s="237" t="s">
        <v>58</v>
      </c>
      <c r="E9" s="237" t="s">
        <v>59</v>
      </c>
      <c r="G9" s="237" t="s">
        <v>23</v>
      </c>
      <c r="I9" s="237" t="s">
        <v>57</v>
      </c>
      <c r="K9" s="237" t="s">
        <v>24</v>
      </c>
      <c r="L9" s="237" t="s">
        <v>57</v>
      </c>
      <c r="N9" s="238" t="s">
        <v>57</v>
      </c>
      <c r="O9" s="238" t="s">
        <v>31</v>
      </c>
      <c r="P9" s="238" t="s">
        <v>57</v>
      </c>
      <c r="R9" s="238" t="s">
        <v>68</v>
      </c>
      <c r="S9" s="238" t="s">
        <v>24</v>
      </c>
      <c r="T9" s="238" t="s">
        <v>17</v>
      </c>
      <c r="U9" s="238" t="s">
        <v>34</v>
      </c>
      <c r="V9" s="238" t="s">
        <v>19</v>
      </c>
      <c r="X9" s="238" t="s">
        <v>26</v>
      </c>
      <c r="Y9" s="238" t="s">
        <v>26</v>
      </c>
      <c r="Z9" s="238" t="s">
        <v>27</v>
      </c>
      <c r="AA9" s="238" t="s">
        <v>28</v>
      </c>
      <c r="AB9" s="238" t="s">
        <v>28</v>
      </c>
      <c r="AC9" s="238" t="s">
        <v>38</v>
      </c>
    </row>
    <row r="10" spans="1:80">
      <c r="C10" s="237" t="s">
        <v>60</v>
      </c>
      <c r="E10" s="237" t="s">
        <v>61</v>
      </c>
      <c r="G10" s="237" t="s">
        <v>29</v>
      </c>
      <c r="I10" s="237" t="s">
        <v>30</v>
      </c>
      <c r="J10" s="237" t="s">
        <v>64</v>
      </c>
      <c r="K10" s="237" t="s">
        <v>65</v>
      </c>
      <c r="L10" s="237" t="s">
        <v>31</v>
      </c>
      <c r="M10" s="237" t="s">
        <v>41</v>
      </c>
      <c r="N10" s="238" t="s">
        <v>31</v>
      </c>
      <c r="O10" s="238" t="s">
        <v>25</v>
      </c>
      <c r="P10" s="238" t="s">
        <v>67</v>
      </c>
      <c r="Q10" s="238" t="s">
        <v>69</v>
      </c>
      <c r="R10" s="238" t="s">
        <v>24</v>
      </c>
      <c r="S10" s="238" t="s">
        <v>43</v>
      </c>
      <c r="T10" s="238" t="s">
        <v>33</v>
      </c>
      <c r="U10" s="238" t="s">
        <v>36</v>
      </c>
      <c r="V10" s="238" t="s">
        <v>32</v>
      </c>
      <c r="X10" s="238" t="s">
        <v>35</v>
      </c>
      <c r="Y10" s="238" t="s">
        <v>35</v>
      </c>
      <c r="Z10" s="238" t="s">
        <v>36</v>
      </c>
      <c r="AA10" s="238" t="s">
        <v>37</v>
      </c>
      <c r="AB10" s="238" t="s">
        <v>37</v>
      </c>
      <c r="AC10" s="238" t="s">
        <v>45</v>
      </c>
      <c r="AD10" s="238" t="s">
        <v>4</v>
      </c>
      <c r="AE10" s="238" t="s">
        <v>46</v>
      </c>
      <c r="AF10" s="238" t="s">
        <v>47</v>
      </c>
      <c r="AG10" s="238" t="s">
        <v>15</v>
      </c>
      <c r="AH10" s="238" t="s">
        <v>20</v>
      </c>
      <c r="BW10" s="237">
        <v>2</v>
      </c>
      <c r="BX10" s="237" t="s">
        <v>48</v>
      </c>
    </row>
    <row r="11" spans="1:80">
      <c r="A11" s="237" t="s">
        <v>226</v>
      </c>
      <c r="B11" s="237" t="s">
        <v>53</v>
      </c>
      <c r="C11" s="237" t="s">
        <v>62</v>
      </c>
      <c r="D11" s="237" t="s">
        <v>63</v>
      </c>
      <c r="E11" s="237" t="s">
        <v>24</v>
      </c>
      <c r="F11" s="237" t="s">
        <v>39</v>
      </c>
      <c r="G11" s="237" t="s">
        <v>34</v>
      </c>
      <c r="H11" s="237" t="s">
        <v>49</v>
      </c>
      <c r="I11" s="237" t="s">
        <v>40</v>
      </c>
      <c r="J11" s="237" t="s">
        <v>66</v>
      </c>
      <c r="K11" s="237" t="s">
        <v>67</v>
      </c>
      <c r="L11" s="237" t="s">
        <v>42</v>
      </c>
      <c r="M11" s="237" t="s">
        <v>49</v>
      </c>
      <c r="N11" s="238" t="s">
        <v>42</v>
      </c>
      <c r="O11" s="238" t="s">
        <v>49</v>
      </c>
      <c r="P11" s="238" t="s">
        <v>42</v>
      </c>
      <c r="Q11" s="238" t="s">
        <v>67</v>
      </c>
      <c r="R11" s="238" t="s">
        <v>67</v>
      </c>
      <c r="S11" s="238" t="s">
        <v>49</v>
      </c>
      <c r="T11" s="238" t="s">
        <v>44</v>
      </c>
      <c r="U11" s="238" t="s">
        <v>49</v>
      </c>
      <c r="V11" s="238" t="s">
        <v>37</v>
      </c>
      <c r="X11" s="239">
        <f>AE1</f>
        <v>42370</v>
      </c>
      <c r="Y11" s="239">
        <f>+D3</f>
        <v>42735</v>
      </c>
      <c r="Z11" s="239" t="s">
        <v>34</v>
      </c>
      <c r="AA11" s="239">
        <f>+X11</f>
        <v>42370</v>
      </c>
      <c r="AB11" s="239">
        <f>+D3</f>
        <v>42735</v>
      </c>
      <c r="AC11" s="239">
        <f>AB11</f>
        <v>42735</v>
      </c>
    </row>
    <row r="12" spans="1:80">
      <c r="A12" s="237">
        <v>6956</v>
      </c>
      <c r="B12" s="237" t="s">
        <v>157</v>
      </c>
      <c r="C12" s="237">
        <v>152</v>
      </c>
      <c r="D12" s="237" t="s">
        <v>431</v>
      </c>
      <c r="E12" s="237">
        <v>97</v>
      </c>
      <c r="F12" s="237">
        <v>8</v>
      </c>
      <c r="G12" s="237">
        <v>0.2</v>
      </c>
      <c r="I12" s="237" t="s">
        <v>52</v>
      </c>
      <c r="J12" s="237">
        <v>7</v>
      </c>
      <c r="K12" s="237">
        <f t="shared" ref="K12:K30" si="0">E12+J12</f>
        <v>104</v>
      </c>
      <c r="N12" s="238">
        <v>119807.54</v>
      </c>
      <c r="P12" s="238">
        <f t="shared" ref="P12:P30" si="1">N12-N12*G12</f>
        <v>95846.031999999992</v>
      </c>
      <c r="Q12" s="238">
        <f t="shared" ref="Q12:Q30" si="2">P12/J12/12</f>
        <v>1141.0241904761904</v>
      </c>
      <c r="R12" s="238">
        <f t="shared" ref="R12:R26" si="3">IF(O12&gt;0,0,IF(OR(AD12&gt;AE12,AF12&lt;AG12),0,IF(AND(AF12&gt;=AG12,AF12&lt;=AE12),Q12*((AF12-AG12)*12),IF(AND(AG12&lt;=AD12,AE12&gt;=AD12),((AE12-AD12)*12)*Q12,IF(AF12&gt;AE12,12*Q12,0)))))</f>
        <v>0</v>
      </c>
      <c r="S12" s="238">
        <f t="shared" ref="S12:S26" si="4">IF(O12=0,0,IF(AND(AH12&gt;=AG12,AH12&lt;=AF12),((AH12-AG12)*12)*Q12,0))</f>
        <v>0</v>
      </c>
      <c r="T12" s="238">
        <f t="shared" ref="T12:T26" si="5">IF(S12&gt;0,S12,R12)</f>
        <v>0</v>
      </c>
      <c r="U12" s="238">
        <v>1</v>
      </c>
      <c r="V12" s="238">
        <f t="shared" ref="V12:V26" si="6">U12*SUM(R12:S12)</f>
        <v>0</v>
      </c>
      <c r="X12" s="238">
        <f t="shared" ref="X12:X26" si="7">IF(AD12&gt;AE12,0,IF(AF12&lt;AG12,P12,IF(AND(AF12&gt;=AG12,AF12&lt;=AE12),(P12-T12),IF(AND(AG12&lt;=AD12,AE12&gt;=AD12),0,IF(AF12&gt;AE12,((AG12-AD12)*12)*Q12,0)))))</f>
        <v>95846.031999999992</v>
      </c>
      <c r="Y12" s="238">
        <f t="shared" ref="Y12:Y26" si="8">X12*U12</f>
        <v>95846.031999999992</v>
      </c>
      <c r="Z12" s="238">
        <v>1</v>
      </c>
      <c r="AA12" s="238">
        <f t="shared" ref="AA12:AA26" si="9">Y12*Z12</f>
        <v>95846.031999999992</v>
      </c>
      <c r="AB12" s="238">
        <f t="shared" ref="AB12:AB26" si="10">IF(O12&gt;0,0,AA12+V12*Z12)*Z12</f>
        <v>95846.031999999992</v>
      </c>
      <c r="AC12" s="238">
        <f t="shared" ref="AC12:AC26" si="11">IF(O12&gt;0,(N12-AA12)/2,IF(AD12&gt;=AG12,(((N12*U12)*Z12)-AB12)/2,((((N12*U12)*Z12)-AA12)+(((N12*U12)*Z12)-AB12))/2))</f>
        <v>23961.508000000002</v>
      </c>
      <c r="AD12" s="238">
        <f t="shared" ref="AD12:AD31" si="12">$E12+(($F12-1)/12)</f>
        <v>97.583333333333329</v>
      </c>
      <c r="AE12" s="238">
        <f t="shared" ref="AE12:AE31" si="13">($P$5+1)-($P$2/12)</f>
        <v>2017</v>
      </c>
      <c r="AF12" s="238">
        <f t="shared" ref="AF12:AF31" si="14">$K12+(($F12-1)/12)</f>
        <v>104.58333333333333</v>
      </c>
      <c r="AG12" s="238">
        <f t="shared" ref="AG12:AG31" si="15">$P$4+($P$3/12)</f>
        <v>2016</v>
      </c>
      <c r="AH12" s="238">
        <f t="shared" ref="AH12:AH31" si="16">$L12+(($M12-1)/12)</f>
        <v>-8.3333333333333329E-2</v>
      </c>
    </row>
    <row r="13" spans="1:80">
      <c r="A13" s="237">
        <v>6957</v>
      </c>
      <c r="B13" s="237" t="s">
        <v>54</v>
      </c>
      <c r="C13" s="237">
        <v>153</v>
      </c>
      <c r="D13" s="237" t="s">
        <v>432</v>
      </c>
      <c r="E13" s="237">
        <v>97</v>
      </c>
      <c r="F13" s="237">
        <v>7</v>
      </c>
      <c r="G13" s="237">
        <v>0.2</v>
      </c>
      <c r="I13" s="237" t="s">
        <v>52</v>
      </c>
      <c r="J13" s="237">
        <v>7</v>
      </c>
      <c r="K13" s="237">
        <f t="shared" si="0"/>
        <v>104</v>
      </c>
      <c r="N13" s="238">
        <v>119807.54</v>
      </c>
      <c r="P13" s="238">
        <f t="shared" si="1"/>
        <v>95846.031999999992</v>
      </c>
      <c r="Q13" s="238">
        <f t="shared" si="2"/>
        <v>1141.0241904761904</v>
      </c>
      <c r="R13" s="238">
        <f t="shared" si="3"/>
        <v>0</v>
      </c>
      <c r="S13" s="238">
        <f t="shared" si="4"/>
        <v>0</v>
      </c>
      <c r="T13" s="238">
        <f t="shared" si="5"/>
        <v>0</v>
      </c>
      <c r="U13" s="238">
        <v>1</v>
      </c>
      <c r="V13" s="238">
        <f t="shared" si="6"/>
        <v>0</v>
      </c>
      <c r="X13" s="238">
        <f t="shared" si="7"/>
        <v>95846.031999999992</v>
      </c>
      <c r="Y13" s="238">
        <f t="shared" si="8"/>
        <v>95846.031999999992</v>
      </c>
      <c r="Z13" s="238">
        <v>1</v>
      </c>
      <c r="AA13" s="238">
        <f t="shared" si="9"/>
        <v>95846.031999999992</v>
      </c>
      <c r="AB13" s="238">
        <f t="shared" si="10"/>
        <v>95846.031999999992</v>
      </c>
      <c r="AC13" s="238">
        <f t="shared" si="11"/>
        <v>23961.508000000002</v>
      </c>
      <c r="AD13" s="238">
        <f t="shared" si="12"/>
        <v>97.5</v>
      </c>
      <c r="AE13" s="238">
        <f t="shared" si="13"/>
        <v>2017</v>
      </c>
      <c r="AF13" s="238">
        <f t="shared" si="14"/>
        <v>104.5</v>
      </c>
      <c r="AG13" s="238">
        <f t="shared" si="15"/>
        <v>2016</v>
      </c>
      <c r="AH13" s="238">
        <f t="shared" si="16"/>
        <v>-8.3333333333333329E-2</v>
      </c>
    </row>
    <row r="14" spans="1:80">
      <c r="A14" s="237">
        <v>22369</v>
      </c>
      <c r="B14" s="237" t="s">
        <v>54</v>
      </c>
      <c r="C14" s="237">
        <v>318</v>
      </c>
      <c r="D14" s="237" t="s">
        <v>433</v>
      </c>
      <c r="E14" s="237">
        <v>2001</v>
      </c>
      <c r="F14" s="237">
        <v>8</v>
      </c>
      <c r="G14" s="237">
        <v>0.2</v>
      </c>
      <c r="I14" s="237" t="s">
        <v>52</v>
      </c>
      <c r="J14" s="237">
        <v>7</v>
      </c>
      <c r="K14" s="237">
        <f t="shared" si="0"/>
        <v>2008</v>
      </c>
      <c r="N14" s="238">
        <v>133281.46</v>
      </c>
      <c r="P14" s="238">
        <f t="shared" si="1"/>
        <v>106625.16799999999</v>
      </c>
      <c r="Q14" s="238">
        <f t="shared" si="2"/>
        <v>1269.347238095238</v>
      </c>
      <c r="R14" s="238">
        <f t="shared" si="3"/>
        <v>0</v>
      </c>
      <c r="S14" s="238">
        <f t="shared" si="4"/>
        <v>0</v>
      </c>
      <c r="T14" s="238">
        <f t="shared" si="5"/>
        <v>0</v>
      </c>
      <c r="U14" s="238">
        <v>1</v>
      </c>
      <c r="V14" s="238">
        <f t="shared" si="6"/>
        <v>0</v>
      </c>
      <c r="X14" s="238">
        <f t="shared" si="7"/>
        <v>106625.16799999999</v>
      </c>
      <c r="Y14" s="238">
        <f t="shared" si="8"/>
        <v>106625.16799999999</v>
      </c>
      <c r="Z14" s="238">
        <v>1</v>
      </c>
      <c r="AA14" s="238">
        <f t="shared" si="9"/>
        <v>106625.16799999999</v>
      </c>
      <c r="AB14" s="238">
        <f t="shared" si="10"/>
        <v>106625.16799999999</v>
      </c>
      <c r="AC14" s="238">
        <f t="shared" si="11"/>
        <v>26656.292000000001</v>
      </c>
      <c r="AD14" s="238">
        <f t="shared" si="12"/>
        <v>2001.5833333333333</v>
      </c>
      <c r="AE14" s="238">
        <f t="shared" si="13"/>
        <v>2017</v>
      </c>
      <c r="AF14" s="238">
        <f t="shared" si="14"/>
        <v>2008.5833333333333</v>
      </c>
      <c r="AG14" s="238">
        <f t="shared" si="15"/>
        <v>2016</v>
      </c>
      <c r="AH14" s="238">
        <f t="shared" si="16"/>
        <v>-8.3333333333333329E-2</v>
      </c>
    </row>
    <row r="15" spans="1:80">
      <c r="D15" s="237" t="s">
        <v>434</v>
      </c>
      <c r="E15" s="237">
        <v>2001</v>
      </c>
      <c r="F15" s="237">
        <v>11</v>
      </c>
      <c r="G15" s="237">
        <v>0</v>
      </c>
      <c r="I15" s="237" t="s">
        <v>52</v>
      </c>
      <c r="J15" s="237">
        <v>5</v>
      </c>
      <c r="K15" s="237">
        <f t="shared" si="0"/>
        <v>2006</v>
      </c>
      <c r="N15" s="238">
        <v>18734.91</v>
      </c>
      <c r="P15" s="238">
        <f t="shared" si="1"/>
        <v>18734.91</v>
      </c>
      <c r="Q15" s="238">
        <f t="shared" si="2"/>
        <v>312.24849999999998</v>
      </c>
      <c r="R15" s="238">
        <f t="shared" si="3"/>
        <v>0</v>
      </c>
      <c r="S15" s="238">
        <f t="shared" si="4"/>
        <v>0</v>
      </c>
      <c r="T15" s="238">
        <f t="shared" si="5"/>
        <v>0</v>
      </c>
      <c r="U15" s="238">
        <v>1</v>
      </c>
      <c r="V15" s="238">
        <f t="shared" si="6"/>
        <v>0</v>
      </c>
      <c r="X15" s="238">
        <f t="shared" si="7"/>
        <v>18734.91</v>
      </c>
      <c r="Y15" s="238">
        <f t="shared" si="8"/>
        <v>18734.91</v>
      </c>
      <c r="Z15" s="238">
        <v>1</v>
      </c>
      <c r="AA15" s="238">
        <f t="shared" si="9"/>
        <v>18734.91</v>
      </c>
      <c r="AB15" s="238">
        <f t="shared" si="10"/>
        <v>18734.91</v>
      </c>
      <c r="AC15" s="238">
        <f t="shared" si="11"/>
        <v>0</v>
      </c>
      <c r="AD15" s="238">
        <f t="shared" si="12"/>
        <v>2001.8333333333333</v>
      </c>
      <c r="AE15" s="238">
        <f t="shared" si="13"/>
        <v>2017</v>
      </c>
      <c r="AF15" s="238">
        <f t="shared" si="14"/>
        <v>2006.8333333333333</v>
      </c>
      <c r="AG15" s="238">
        <f t="shared" si="15"/>
        <v>2016</v>
      </c>
      <c r="AH15" s="238">
        <f t="shared" si="16"/>
        <v>-8.3333333333333329E-2</v>
      </c>
    </row>
    <row r="16" spans="1:80">
      <c r="B16" s="237" t="s">
        <v>54</v>
      </c>
      <c r="C16" s="237">
        <v>318</v>
      </c>
      <c r="D16" s="237" t="s">
        <v>435</v>
      </c>
      <c r="E16" s="237">
        <v>2001</v>
      </c>
      <c r="F16" s="237">
        <v>11</v>
      </c>
      <c r="G16" s="237">
        <v>0.2</v>
      </c>
      <c r="I16" s="237" t="s">
        <v>52</v>
      </c>
      <c r="J16" s="237">
        <v>7</v>
      </c>
      <c r="K16" s="237">
        <f t="shared" si="0"/>
        <v>2008</v>
      </c>
      <c r="N16" s="238">
        <v>1229.23</v>
      </c>
      <c r="P16" s="238">
        <f t="shared" si="1"/>
        <v>983.38400000000001</v>
      </c>
      <c r="Q16" s="238">
        <f t="shared" si="2"/>
        <v>11.70695238095238</v>
      </c>
      <c r="R16" s="238">
        <f t="shared" si="3"/>
        <v>0</v>
      </c>
      <c r="S16" s="238">
        <f t="shared" si="4"/>
        <v>0</v>
      </c>
      <c r="T16" s="238">
        <f t="shared" si="5"/>
        <v>0</v>
      </c>
      <c r="U16" s="238">
        <v>1</v>
      </c>
      <c r="V16" s="238">
        <f t="shared" si="6"/>
        <v>0</v>
      </c>
      <c r="X16" s="238">
        <f t="shared" si="7"/>
        <v>983.38400000000001</v>
      </c>
      <c r="Y16" s="238">
        <f t="shared" si="8"/>
        <v>983.38400000000001</v>
      </c>
      <c r="Z16" s="238">
        <v>1</v>
      </c>
      <c r="AA16" s="238">
        <f t="shared" si="9"/>
        <v>983.38400000000001</v>
      </c>
      <c r="AB16" s="238">
        <f t="shared" si="10"/>
        <v>983.38400000000001</v>
      </c>
      <c r="AC16" s="238">
        <f t="shared" si="11"/>
        <v>245.846</v>
      </c>
      <c r="AD16" s="238">
        <f t="shared" si="12"/>
        <v>2001.8333333333333</v>
      </c>
      <c r="AE16" s="238">
        <f t="shared" si="13"/>
        <v>2017</v>
      </c>
      <c r="AF16" s="238">
        <f t="shared" si="14"/>
        <v>2008.8333333333333</v>
      </c>
      <c r="AG16" s="238">
        <f t="shared" si="15"/>
        <v>2016</v>
      </c>
      <c r="AH16" s="238">
        <f t="shared" si="16"/>
        <v>-8.3333333333333329E-2</v>
      </c>
    </row>
    <row r="17" spans="1:34">
      <c r="D17" s="237" t="s">
        <v>436</v>
      </c>
      <c r="E17" s="237">
        <v>2002</v>
      </c>
      <c r="F17" s="237">
        <v>12</v>
      </c>
      <c r="G17" s="237">
        <v>0</v>
      </c>
      <c r="I17" s="237" t="s">
        <v>52</v>
      </c>
      <c r="J17" s="237">
        <v>3</v>
      </c>
      <c r="K17" s="237">
        <f t="shared" si="0"/>
        <v>2005</v>
      </c>
      <c r="N17" s="238">
        <v>6004.28</v>
      </c>
      <c r="P17" s="238">
        <f t="shared" si="1"/>
        <v>6004.28</v>
      </c>
      <c r="Q17" s="238">
        <f t="shared" si="2"/>
        <v>166.78555555555553</v>
      </c>
      <c r="R17" s="238">
        <f t="shared" si="3"/>
        <v>0</v>
      </c>
      <c r="S17" s="238">
        <f t="shared" si="4"/>
        <v>0</v>
      </c>
      <c r="T17" s="238">
        <f t="shared" si="5"/>
        <v>0</v>
      </c>
      <c r="U17" s="238">
        <v>1</v>
      </c>
      <c r="V17" s="238">
        <f t="shared" si="6"/>
        <v>0</v>
      </c>
      <c r="X17" s="238">
        <f t="shared" si="7"/>
        <v>6004.28</v>
      </c>
      <c r="Y17" s="238">
        <f t="shared" si="8"/>
        <v>6004.28</v>
      </c>
      <c r="Z17" s="238">
        <v>1</v>
      </c>
      <c r="AA17" s="238">
        <f t="shared" si="9"/>
        <v>6004.28</v>
      </c>
      <c r="AB17" s="238">
        <f t="shared" si="10"/>
        <v>6004.28</v>
      </c>
      <c r="AC17" s="238">
        <f t="shared" si="11"/>
        <v>0</v>
      </c>
      <c r="AD17" s="238">
        <f t="shared" si="12"/>
        <v>2002.9166666666667</v>
      </c>
      <c r="AE17" s="238">
        <f t="shared" si="13"/>
        <v>2017</v>
      </c>
      <c r="AF17" s="238">
        <f t="shared" si="14"/>
        <v>2005.9166666666667</v>
      </c>
      <c r="AG17" s="238">
        <f t="shared" si="15"/>
        <v>2016</v>
      </c>
      <c r="AH17" s="238">
        <f t="shared" si="16"/>
        <v>-8.3333333333333329E-2</v>
      </c>
    </row>
    <row r="18" spans="1:34">
      <c r="A18" s="237">
        <v>19650</v>
      </c>
      <c r="B18" s="237" t="s">
        <v>54</v>
      </c>
      <c r="C18" s="237">
        <v>609</v>
      </c>
      <c r="D18" s="237" t="s">
        <v>437</v>
      </c>
      <c r="E18" s="237">
        <v>2003</v>
      </c>
      <c r="F18" s="237">
        <v>1</v>
      </c>
      <c r="G18" s="237">
        <v>0.2</v>
      </c>
      <c r="I18" s="237" t="s">
        <v>52</v>
      </c>
      <c r="J18" s="237">
        <v>7</v>
      </c>
      <c r="K18" s="237">
        <f t="shared" si="0"/>
        <v>2010</v>
      </c>
      <c r="N18" s="238">
        <v>123452.02</v>
      </c>
      <c r="P18" s="238">
        <f t="shared" si="1"/>
        <v>98761.616000000009</v>
      </c>
      <c r="Q18" s="238">
        <f t="shared" si="2"/>
        <v>1175.7335238095241</v>
      </c>
      <c r="R18" s="238">
        <f t="shared" si="3"/>
        <v>0</v>
      </c>
      <c r="S18" s="238">
        <f t="shared" si="4"/>
        <v>0</v>
      </c>
      <c r="T18" s="238">
        <f t="shared" si="5"/>
        <v>0</v>
      </c>
      <c r="U18" s="238">
        <v>1</v>
      </c>
      <c r="V18" s="238">
        <f t="shared" si="6"/>
        <v>0</v>
      </c>
      <c r="X18" s="238">
        <f t="shared" si="7"/>
        <v>98761.616000000009</v>
      </c>
      <c r="Y18" s="238">
        <f t="shared" si="8"/>
        <v>98761.616000000009</v>
      </c>
      <c r="Z18" s="238">
        <v>1</v>
      </c>
      <c r="AA18" s="238">
        <f t="shared" si="9"/>
        <v>98761.616000000009</v>
      </c>
      <c r="AB18" s="238">
        <f t="shared" si="10"/>
        <v>98761.616000000009</v>
      </c>
      <c r="AC18" s="238">
        <f t="shared" si="11"/>
        <v>24690.403999999995</v>
      </c>
      <c r="AD18" s="238">
        <f t="shared" si="12"/>
        <v>2003</v>
      </c>
      <c r="AE18" s="238">
        <f t="shared" si="13"/>
        <v>2017</v>
      </c>
      <c r="AF18" s="238">
        <f t="shared" si="14"/>
        <v>2010</v>
      </c>
      <c r="AG18" s="238">
        <f t="shared" si="15"/>
        <v>2016</v>
      </c>
      <c r="AH18" s="238">
        <f t="shared" si="16"/>
        <v>-8.3333333333333329E-2</v>
      </c>
    </row>
    <row r="19" spans="1:34">
      <c r="D19" s="237" t="s">
        <v>438</v>
      </c>
      <c r="E19" s="237">
        <v>2005</v>
      </c>
      <c r="F19" s="237">
        <v>8</v>
      </c>
      <c r="I19" s="237" t="s">
        <v>52</v>
      </c>
      <c r="J19" s="237">
        <v>7</v>
      </c>
      <c r="K19" s="237">
        <f t="shared" si="0"/>
        <v>2012</v>
      </c>
      <c r="N19" s="238">
        <v>9411.5499999999993</v>
      </c>
      <c r="P19" s="238">
        <f t="shared" si="1"/>
        <v>9411.5499999999993</v>
      </c>
      <c r="Q19" s="238">
        <f t="shared" si="2"/>
        <v>112.0422619047619</v>
      </c>
      <c r="R19" s="238">
        <f t="shared" si="3"/>
        <v>0</v>
      </c>
      <c r="S19" s="238">
        <f t="shared" si="4"/>
        <v>0</v>
      </c>
      <c r="T19" s="238">
        <f t="shared" si="5"/>
        <v>0</v>
      </c>
      <c r="U19" s="238">
        <v>1</v>
      </c>
      <c r="V19" s="238">
        <f t="shared" si="6"/>
        <v>0</v>
      </c>
      <c r="X19" s="238">
        <f t="shared" si="7"/>
        <v>9411.5499999999993</v>
      </c>
      <c r="Y19" s="238">
        <f t="shared" si="8"/>
        <v>9411.5499999999993</v>
      </c>
      <c r="Z19" s="238">
        <v>1</v>
      </c>
      <c r="AA19" s="238">
        <f t="shared" si="9"/>
        <v>9411.5499999999993</v>
      </c>
      <c r="AB19" s="238">
        <f t="shared" si="10"/>
        <v>9411.5499999999993</v>
      </c>
      <c r="AC19" s="238">
        <f t="shared" si="11"/>
        <v>0</v>
      </c>
      <c r="AD19" s="238">
        <f t="shared" si="12"/>
        <v>2005.5833333333333</v>
      </c>
      <c r="AE19" s="238">
        <f t="shared" si="13"/>
        <v>2017</v>
      </c>
      <c r="AF19" s="238">
        <f t="shared" si="14"/>
        <v>2012.5833333333333</v>
      </c>
      <c r="AG19" s="238">
        <f t="shared" si="15"/>
        <v>2016</v>
      </c>
      <c r="AH19" s="238">
        <f t="shared" si="16"/>
        <v>-8.3333333333333329E-2</v>
      </c>
    </row>
    <row r="20" spans="1:34">
      <c r="A20" s="237">
        <v>43740</v>
      </c>
      <c r="B20" s="237" t="s">
        <v>54</v>
      </c>
      <c r="C20" s="237">
        <v>612</v>
      </c>
      <c r="D20" s="237" t="s">
        <v>439</v>
      </c>
      <c r="E20" s="237">
        <v>2006</v>
      </c>
      <c r="F20" s="237">
        <v>10</v>
      </c>
      <c r="G20" s="237">
        <v>0.2</v>
      </c>
      <c r="I20" s="237" t="s">
        <v>52</v>
      </c>
      <c r="J20" s="237">
        <v>7</v>
      </c>
      <c r="K20" s="237">
        <f t="shared" si="0"/>
        <v>2013</v>
      </c>
      <c r="N20" s="238">
        <f>120222.34+65281.09</f>
        <v>185503.43</v>
      </c>
      <c r="P20" s="238">
        <f t="shared" si="1"/>
        <v>148402.74400000001</v>
      </c>
      <c r="Q20" s="238">
        <f t="shared" si="2"/>
        <v>1766.6993333333332</v>
      </c>
      <c r="R20" s="238">
        <f t="shared" si="3"/>
        <v>0</v>
      </c>
      <c r="S20" s="238">
        <f t="shared" si="4"/>
        <v>0</v>
      </c>
      <c r="T20" s="238">
        <f t="shared" si="5"/>
        <v>0</v>
      </c>
      <c r="U20" s="238">
        <v>1</v>
      </c>
      <c r="V20" s="238">
        <f t="shared" si="6"/>
        <v>0</v>
      </c>
      <c r="X20" s="238">
        <f t="shared" si="7"/>
        <v>148402.74400000001</v>
      </c>
      <c r="Y20" s="238">
        <f t="shared" si="8"/>
        <v>148402.74400000001</v>
      </c>
      <c r="Z20" s="238">
        <v>1</v>
      </c>
      <c r="AA20" s="238">
        <f t="shared" si="9"/>
        <v>148402.74400000001</v>
      </c>
      <c r="AB20" s="238">
        <f t="shared" si="10"/>
        <v>148402.74400000001</v>
      </c>
      <c r="AC20" s="238">
        <f t="shared" si="11"/>
        <v>37100.685999999987</v>
      </c>
      <c r="AD20" s="238">
        <f t="shared" si="12"/>
        <v>2006.75</v>
      </c>
      <c r="AE20" s="238">
        <f t="shared" si="13"/>
        <v>2017</v>
      </c>
      <c r="AF20" s="238">
        <f t="shared" si="14"/>
        <v>2013.75</v>
      </c>
      <c r="AG20" s="238">
        <f t="shared" si="15"/>
        <v>2016</v>
      </c>
      <c r="AH20" s="238">
        <f t="shared" si="16"/>
        <v>-8.3333333333333329E-2</v>
      </c>
    </row>
    <row r="21" spans="1:34">
      <c r="A21" s="237">
        <v>53799</v>
      </c>
      <c r="B21" s="237" t="s">
        <v>54</v>
      </c>
      <c r="C21" s="237">
        <v>616</v>
      </c>
      <c r="D21" s="237" t="s">
        <v>440</v>
      </c>
      <c r="E21" s="237">
        <v>2007</v>
      </c>
      <c r="F21" s="237">
        <v>12</v>
      </c>
      <c r="G21" s="237">
        <v>0.2</v>
      </c>
      <c r="I21" s="237" t="s">
        <v>52</v>
      </c>
      <c r="J21" s="237">
        <v>7</v>
      </c>
      <c r="K21" s="237">
        <f t="shared" si="0"/>
        <v>2014</v>
      </c>
      <c r="N21" s="238">
        <v>138814.73000000001</v>
      </c>
      <c r="P21" s="238">
        <f t="shared" si="1"/>
        <v>111051.78400000001</v>
      </c>
      <c r="Q21" s="238">
        <f t="shared" si="2"/>
        <v>1322.0450476190479</v>
      </c>
      <c r="R21" s="238">
        <f t="shared" si="3"/>
        <v>0</v>
      </c>
      <c r="S21" s="238">
        <f t="shared" si="4"/>
        <v>0</v>
      </c>
      <c r="T21" s="238">
        <f t="shared" si="5"/>
        <v>0</v>
      </c>
      <c r="U21" s="238">
        <v>1</v>
      </c>
      <c r="V21" s="238">
        <f t="shared" si="6"/>
        <v>0</v>
      </c>
      <c r="X21" s="238">
        <f t="shared" si="7"/>
        <v>111051.78400000001</v>
      </c>
      <c r="Y21" s="238">
        <f t="shared" si="8"/>
        <v>111051.78400000001</v>
      </c>
      <c r="Z21" s="238">
        <v>1</v>
      </c>
      <c r="AA21" s="238">
        <f t="shared" si="9"/>
        <v>111051.78400000001</v>
      </c>
      <c r="AB21" s="238">
        <f t="shared" si="10"/>
        <v>111051.78400000001</v>
      </c>
      <c r="AC21" s="238">
        <f t="shared" si="11"/>
        <v>27762.945999999996</v>
      </c>
      <c r="AD21" s="238">
        <f t="shared" si="12"/>
        <v>2007.9166666666667</v>
      </c>
      <c r="AE21" s="238">
        <f t="shared" si="13"/>
        <v>2017</v>
      </c>
      <c r="AF21" s="238">
        <f t="shared" si="14"/>
        <v>2014.9166666666667</v>
      </c>
      <c r="AG21" s="238">
        <f t="shared" si="15"/>
        <v>2016</v>
      </c>
      <c r="AH21" s="238">
        <f t="shared" si="16"/>
        <v>-8.3333333333333329E-2</v>
      </c>
    </row>
    <row r="22" spans="1:34">
      <c r="B22" s="237" t="s">
        <v>57</v>
      </c>
      <c r="D22" s="237" t="s">
        <v>441</v>
      </c>
      <c r="E22" s="237">
        <v>2008</v>
      </c>
      <c r="F22" s="237">
        <v>4</v>
      </c>
      <c r="G22" s="237">
        <v>0.2</v>
      </c>
      <c r="I22" s="237" t="s">
        <v>52</v>
      </c>
      <c r="J22" s="237">
        <v>5</v>
      </c>
      <c r="K22" s="237">
        <f t="shared" si="0"/>
        <v>2013</v>
      </c>
      <c r="N22" s="238">
        <f>545.43*14</f>
        <v>7636.0199999999995</v>
      </c>
      <c r="P22" s="238">
        <f t="shared" si="1"/>
        <v>6108.8159999999998</v>
      </c>
      <c r="Q22" s="238">
        <f t="shared" si="2"/>
        <v>101.81359999999999</v>
      </c>
      <c r="R22" s="238">
        <f t="shared" si="3"/>
        <v>0</v>
      </c>
      <c r="S22" s="238">
        <f t="shared" si="4"/>
        <v>0</v>
      </c>
      <c r="T22" s="238">
        <f t="shared" si="5"/>
        <v>0</v>
      </c>
      <c r="U22" s="238">
        <v>1</v>
      </c>
      <c r="V22" s="238">
        <f t="shared" si="6"/>
        <v>0</v>
      </c>
      <c r="X22" s="238">
        <f t="shared" si="7"/>
        <v>6108.8159999999998</v>
      </c>
      <c r="Y22" s="238">
        <f t="shared" si="8"/>
        <v>6108.8159999999998</v>
      </c>
      <c r="Z22" s="238">
        <v>1</v>
      </c>
      <c r="AA22" s="238">
        <f t="shared" si="9"/>
        <v>6108.8159999999998</v>
      </c>
      <c r="AB22" s="238">
        <f t="shared" si="10"/>
        <v>6108.8159999999998</v>
      </c>
      <c r="AC22" s="238">
        <f t="shared" si="11"/>
        <v>1527.2039999999997</v>
      </c>
      <c r="AD22" s="238">
        <f>$E22+(($F22-1)/12)</f>
        <v>2008.25</v>
      </c>
      <c r="AE22" s="238">
        <f t="shared" si="13"/>
        <v>2017</v>
      </c>
      <c r="AF22" s="238">
        <f>$K22+(($F22-1)/12)</f>
        <v>2013.25</v>
      </c>
      <c r="AG22" s="238">
        <f t="shared" si="15"/>
        <v>2016</v>
      </c>
      <c r="AH22" s="238">
        <f>$L22+(($M22-1)/12)</f>
        <v>-8.3333333333333329E-2</v>
      </c>
    </row>
    <row r="23" spans="1:34">
      <c r="A23" s="237">
        <v>59664</v>
      </c>
      <c r="B23" s="237" t="s">
        <v>55</v>
      </c>
      <c r="C23" s="237">
        <v>906</v>
      </c>
      <c r="D23" s="237" t="s">
        <v>442</v>
      </c>
      <c r="E23" s="237">
        <v>2008</v>
      </c>
      <c r="F23" s="237">
        <v>10</v>
      </c>
      <c r="G23" s="237">
        <v>0.2</v>
      </c>
      <c r="I23" s="237" t="s">
        <v>52</v>
      </c>
      <c r="J23" s="237">
        <v>7</v>
      </c>
      <c r="K23" s="237">
        <f t="shared" si="0"/>
        <v>2015</v>
      </c>
      <c r="N23" s="238">
        <f>113448.07+132585.75+3070.3+191.1</f>
        <v>249295.22</v>
      </c>
      <c r="P23" s="238">
        <f t="shared" si="1"/>
        <v>199436.17600000001</v>
      </c>
      <c r="Q23" s="238">
        <f t="shared" si="2"/>
        <v>2374.2401904761905</v>
      </c>
      <c r="R23" s="238">
        <f t="shared" si="3"/>
        <v>0</v>
      </c>
      <c r="S23" s="238">
        <f t="shared" si="4"/>
        <v>0</v>
      </c>
      <c r="T23" s="238">
        <f t="shared" si="5"/>
        <v>0</v>
      </c>
      <c r="U23" s="238">
        <v>1</v>
      </c>
      <c r="V23" s="238">
        <f t="shared" si="6"/>
        <v>0</v>
      </c>
      <c r="X23" s="238">
        <f t="shared" si="7"/>
        <v>199436.17600000001</v>
      </c>
      <c r="Y23" s="238">
        <f t="shared" si="8"/>
        <v>199436.17600000001</v>
      </c>
      <c r="Z23" s="238">
        <v>1</v>
      </c>
      <c r="AA23" s="238">
        <f t="shared" si="9"/>
        <v>199436.17600000001</v>
      </c>
      <c r="AB23" s="238">
        <f t="shared" si="10"/>
        <v>199436.17600000001</v>
      </c>
      <c r="AC23" s="238">
        <f t="shared" si="11"/>
        <v>49859.043999999994</v>
      </c>
      <c r="AD23" s="238">
        <f t="shared" si="12"/>
        <v>2008.75</v>
      </c>
      <c r="AE23" s="238">
        <f t="shared" si="13"/>
        <v>2017</v>
      </c>
      <c r="AF23" s="238">
        <f t="shared" si="14"/>
        <v>2015.75</v>
      </c>
      <c r="AG23" s="238">
        <f t="shared" si="15"/>
        <v>2016</v>
      </c>
      <c r="AH23" s="238">
        <f t="shared" si="16"/>
        <v>-8.3333333333333329E-2</v>
      </c>
    </row>
    <row r="24" spans="1:34">
      <c r="A24" s="237">
        <v>65003</v>
      </c>
      <c r="B24" s="237" t="s">
        <v>54</v>
      </c>
      <c r="C24" s="237">
        <v>623</v>
      </c>
      <c r="D24" s="237" t="s">
        <v>443</v>
      </c>
      <c r="E24" s="237">
        <v>2009</v>
      </c>
      <c r="F24" s="237">
        <v>6</v>
      </c>
      <c r="G24" s="237">
        <v>0.2</v>
      </c>
      <c r="I24" s="237" t="s">
        <v>52</v>
      </c>
      <c r="J24" s="237">
        <v>7</v>
      </c>
      <c r="K24" s="237">
        <f t="shared" si="0"/>
        <v>2016</v>
      </c>
      <c r="N24" s="238">
        <v>192679.89</v>
      </c>
      <c r="P24" s="238">
        <f t="shared" si="1"/>
        <v>154143.91200000001</v>
      </c>
      <c r="Q24" s="238">
        <f t="shared" si="2"/>
        <v>1835.0465714285717</v>
      </c>
      <c r="R24" s="238">
        <f t="shared" si="3"/>
        <v>9175.2328571445269</v>
      </c>
      <c r="S24" s="238">
        <f t="shared" si="4"/>
        <v>0</v>
      </c>
      <c r="T24" s="238">
        <f t="shared" si="5"/>
        <v>9175.2328571445269</v>
      </c>
      <c r="U24" s="238">
        <v>1</v>
      </c>
      <c r="V24" s="238">
        <f t="shared" si="6"/>
        <v>9175.2328571445269</v>
      </c>
      <c r="X24" s="238">
        <f t="shared" si="7"/>
        <v>144968.67914285549</v>
      </c>
      <c r="Y24" s="238">
        <f t="shared" si="8"/>
        <v>144968.67914285549</v>
      </c>
      <c r="Z24" s="238">
        <v>1</v>
      </c>
      <c r="AA24" s="238">
        <f t="shared" si="9"/>
        <v>144968.67914285549</v>
      </c>
      <c r="AB24" s="238">
        <f t="shared" si="10"/>
        <v>154143.91200000001</v>
      </c>
      <c r="AC24" s="238">
        <f t="shared" si="11"/>
        <v>43123.594428572265</v>
      </c>
      <c r="AD24" s="238">
        <f t="shared" si="12"/>
        <v>2009.4166666666667</v>
      </c>
      <c r="AE24" s="238">
        <f t="shared" si="13"/>
        <v>2017</v>
      </c>
      <c r="AF24" s="238">
        <f t="shared" si="14"/>
        <v>2016.4166666666667</v>
      </c>
      <c r="AG24" s="238">
        <f t="shared" si="15"/>
        <v>2016</v>
      </c>
      <c r="AH24" s="238">
        <f t="shared" si="16"/>
        <v>-8.3333333333333329E-2</v>
      </c>
    </row>
    <row r="25" spans="1:34">
      <c r="A25" s="237">
        <v>98299</v>
      </c>
      <c r="B25" s="237" t="s">
        <v>54</v>
      </c>
      <c r="C25" s="237">
        <v>628</v>
      </c>
      <c r="D25" s="237" t="s">
        <v>444</v>
      </c>
      <c r="E25" s="237">
        <v>2012</v>
      </c>
      <c r="F25" s="237">
        <v>9</v>
      </c>
      <c r="G25" s="237">
        <v>0.2</v>
      </c>
      <c r="I25" s="237" t="s">
        <v>52</v>
      </c>
      <c r="J25" s="237">
        <v>7</v>
      </c>
      <c r="K25" s="237">
        <f t="shared" si="0"/>
        <v>2019</v>
      </c>
      <c r="N25" s="238">
        <v>249752</v>
      </c>
      <c r="P25" s="238">
        <f t="shared" si="1"/>
        <v>199801.60000000001</v>
      </c>
      <c r="Q25" s="238">
        <f t="shared" si="2"/>
        <v>2378.5904761904762</v>
      </c>
      <c r="R25" s="238">
        <f t="shared" si="3"/>
        <v>28543.085714285713</v>
      </c>
      <c r="S25" s="238">
        <f t="shared" si="4"/>
        <v>0</v>
      </c>
      <c r="T25" s="238">
        <f t="shared" si="5"/>
        <v>28543.085714285713</v>
      </c>
      <c r="U25" s="238">
        <v>1</v>
      </c>
      <c r="V25" s="238">
        <f t="shared" si="6"/>
        <v>28543.085714285713</v>
      </c>
      <c r="X25" s="238">
        <f t="shared" si="7"/>
        <v>95143.619047616885</v>
      </c>
      <c r="Y25" s="238">
        <f t="shared" si="8"/>
        <v>95143.619047616885</v>
      </c>
      <c r="Z25" s="238">
        <v>1</v>
      </c>
      <c r="AA25" s="238">
        <f t="shared" si="9"/>
        <v>95143.619047616885</v>
      </c>
      <c r="AB25" s="238">
        <f t="shared" si="10"/>
        <v>123686.7047619026</v>
      </c>
      <c r="AC25" s="238">
        <f t="shared" si="11"/>
        <v>140336.83809524024</v>
      </c>
      <c r="AD25" s="238">
        <f t="shared" si="12"/>
        <v>2012.6666666666667</v>
      </c>
      <c r="AE25" s="238">
        <f t="shared" si="13"/>
        <v>2017</v>
      </c>
      <c r="AF25" s="238">
        <f t="shared" si="14"/>
        <v>2019.6666666666667</v>
      </c>
      <c r="AG25" s="238">
        <f t="shared" si="15"/>
        <v>2016</v>
      </c>
      <c r="AH25" s="238">
        <f t="shared" si="16"/>
        <v>-8.3333333333333329E-2</v>
      </c>
    </row>
    <row r="26" spans="1:34">
      <c r="A26" s="237">
        <v>102219</v>
      </c>
      <c r="B26" s="237" t="s">
        <v>54</v>
      </c>
      <c r="C26" s="237">
        <v>629</v>
      </c>
      <c r="D26" s="237" t="s">
        <v>444</v>
      </c>
      <c r="E26" s="237">
        <v>2012</v>
      </c>
      <c r="F26" s="237">
        <v>12</v>
      </c>
      <c r="G26" s="237">
        <v>0.2</v>
      </c>
      <c r="I26" s="237" t="s">
        <v>52</v>
      </c>
      <c r="J26" s="237">
        <v>7</v>
      </c>
      <c r="K26" s="237">
        <f t="shared" si="0"/>
        <v>2019</v>
      </c>
      <c r="N26" s="238">
        <v>249953</v>
      </c>
      <c r="P26" s="238">
        <f t="shared" si="1"/>
        <v>199962.4</v>
      </c>
      <c r="Q26" s="238">
        <f t="shared" si="2"/>
        <v>2380.5047619047618</v>
      </c>
      <c r="R26" s="238">
        <f t="shared" si="3"/>
        <v>28566.057142857142</v>
      </c>
      <c r="S26" s="238">
        <f t="shared" si="4"/>
        <v>0</v>
      </c>
      <c r="T26" s="238">
        <f t="shared" si="5"/>
        <v>28566.057142857142</v>
      </c>
      <c r="U26" s="238">
        <v>1</v>
      </c>
      <c r="V26" s="238">
        <f t="shared" si="6"/>
        <v>28566.057142857142</v>
      </c>
      <c r="X26" s="238">
        <f t="shared" si="7"/>
        <v>88078.676190474027</v>
      </c>
      <c r="Y26" s="238">
        <f t="shared" si="8"/>
        <v>88078.676190474027</v>
      </c>
      <c r="Z26" s="238">
        <v>1</v>
      </c>
      <c r="AA26" s="238">
        <f t="shared" si="9"/>
        <v>88078.676190474027</v>
      </c>
      <c r="AB26" s="238">
        <f t="shared" si="10"/>
        <v>116644.73333333117</v>
      </c>
      <c r="AC26" s="238">
        <f t="shared" si="11"/>
        <v>147591.2952380974</v>
      </c>
      <c r="AD26" s="238">
        <f t="shared" si="12"/>
        <v>2012.9166666666667</v>
      </c>
      <c r="AE26" s="238">
        <f t="shared" si="13"/>
        <v>2017</v>
      </c>
      <c r="AF26" s="238">
        <f t="shared" si="14"/>
        <v>2019.9166666666667</v>
      </c>
      <c r="AG26" s="238">
        <f t="shared" si="15"/>
        <v>2016</v>
      </c>
      <c r="AH26" s="238">
        <f t="shared" si="16"/>
        <v>-8.3333333333333329E-2</v>
      </c>
    </row>
    <row r="27" spans="1:34">
      <c r="A27" s="237">
        <v>109512</v>
      </c>
      <c r="B27" s="237" t="s">
        <v>55</v>
      </c>
      <c r="C27" s="237">
        <v>909</v>
      </c>
      <c r="D27" s="237" t="s">
        <v>445</v>
      </c>
      <c r="E27" s="237">
        <v>2013</v>
      </c>
      <c r="F27" s="237">
        <v>12</v>
      </c>
      <c r="G27" s="237">
        <v>0.2</v>
      </c>
      <c r="I27" s="237" t="s">
        <v>52</v>
      </c>
      <c r="J27" s="237">
        <v>7</v>
      </c>
      <c r="K27" s="237">
        <f t="shared" si="0"/>
        <v>2020</v>
      </c>
      <c r="N27" s="238">
        <v>296076.26</v>
      </c>
      <c r="P27" s="238">
        <f t="shared" si="1"/>
        <v>236861.008</v>
      </c>
      <c r="Q27" s="238">
        <f t="shared" si="2"/>
        <v>2819.7739047619048</v>
      </c>
      <c r="R27" s="238">
        <f>IF(O27&gt;0,0,IF(OR(AD27&gt;AE27,AF27&lt;AG27),0,IF(AND(AF27&gt;=AG27,AF27&lt;=AE27),Q27*((AF27-AG27)*12),IF(AND(AG27&lt;=AD27,AE27&gt;=AD27),((AE27-AD27)*12)*Q27,IF(AF27&gt;AE27,12*Q27,0)))))</f>
        <v>33837.286857142855</v>
      </c>
      <c r="S27" s="238">
        <f>IF(O27=0,0,IF(AND(AH27&gt;=AG27,AH27&lt;=AF27),((AH27-AG27)*12)*Q27,0))</f>
        <v>0</v>
      </c>
      <c r="T27" s="238">
        <f>IF(S27&gt;0,S27,R27)</f>
        <v>33837.286857142855</v>
      </c>
      <c r="U27" s="238">
        <v>1</v>
      </c>
      <c r="V27" s="238">
        <f>U27*SUM(R27:S27)</f>
        <v>33837.286857142855</v>
      </c>
      <c r="X27" s="238">
        <f>IF(AD27&gt;AE27,0,IF(AF27&lt;AG27,P27,IF(AND(AF27&gt;=AG27,AF27&lt;=AE27),(P27-T27),IF(AND(AG27&lt;=AD27,AE27&gt;=AD27),0,IF(AF27&gt;AE27,((AG27-AD27)*12)*Q27,0)))))</f>
        <v>70494.34761904506</v>
      </c>
      <c r="Y27" s="238">
        <f>X27*U27</f>
        <v>70494.34761904506</v>
      </c>
      <c r="Z27" s="238">
        <v>1</v>
      </c>
      <c r="AA27" s="238">
        <f>Y27*Z27</f>
        <v>70494.34761904506</v>
      </c>
      <c r="AB27" s="238">
        <f>IF(O27&gt;0,0,AA27+V27*Z27)*Z27</f>
        <v>104331.63447618792</v>
      </c>
      <c r="AC27" s="238">
        <f>IF(O27&gt;0,(N27-AA27)/2,IF(AD27&gt;=AG27,(((N27*U27)*Z27)-AB27)/2,((((N27*U27)*Z27)-AA27)+(((N27*U27)*Z27)-AB27))/2))</f>
        <v>208663.26895238351</v>
      </c>
      <c r="AD27" s="238">
        <f t="shared" si="12"/>
        <v>2013.9166666666667</v>
      </c>
      <c r="AE27" s="238">
        <f t="shared" si="13"/>
        <v>2017</v>
      </c>
      <c r="AF27" s="238">
        <f t="shared" si="14"/>
        <v>2020.9166666666667</v>
      </c>
      <c r="AG27" s="238">
        <f t="shared" si="15"/>
        <v>2016</v>
      </c>
      <c r="AH27" s="238">
        <f t="shared" si="16"/>
        <v>-8.3333333333333329E-2</v>
      </c>
    </row>
    <row r="28" spans="1:34">
      <c r="A28" s="237">
        <v>115354</v>
      </c>
      <c r="C28" s="237">
        <v>609</v>
      </c>
      <c r="D28" s="237" t="s">
        <v>446</v>
      </c>
      <c r="E28" s="237">
        <v>2014</v>
      </c>
      <c r="F28" s="237">
        <v>8</v>
      </c>
      <c r="G28" s="237">
        <v>0</v>
      </c>
      <c r="I28" s="237" t="s">
        <v>52</v>
      </c>
      <c r="J28" s="237">
        <v>3</v>
      </c>
      <c r="K28" s="237">
        <f t="shared" si="0"/>
        <v>2017</v>
      </c>
      <c r="N28" s="238">
        <v>5046.9399999999996</v>
      </c>
      <c r="P28" s="238">
        <f t="shared" si="1"/>
        <v>5046.9399999999996</v>
      </c>
      <c r="Q28" s="238">
        <f t="shared" si="2"/>
        <v>140.19277777777776</v>
      </c>
      <c r="R28" s="238">
        <f>IF(O28&gt;0,0,IF(OR(AD28&gt;AE28,AF28&lt;AG28),0,IF(AND(AF28&gt;=AG28,AF28&lt;=AE28),Q28*((AF28-AG28)*12),IF(AND(AG28&lt;=AD28,AE28&gt;=AD28),((AE28-AD28)*12)*Q28,IF(AF28&gt;AE28,12*Q28,0)))))</f>
        <v>1682.313333333333</v>
      </c>
      <c r="S28" s="238">
        <f>IF(O28=0,0,IF(AND(AH28&gt;=AG28,AH28&lt;=AF28),((AH28-AG28)*12)*Q28,0))</f>
        <v>0</v>
      </c>
      <c r="T28" s="238">
        <f>IF(S28&gt;0,S28,R28)</f>
        <v>1682.313333333333</v>
      </c>
      <c r="U28" s="238">
        <v>1</v>
      </c>
      <c r="V28" s="238">
        <f>U28*SUM(R28:S28)</f>
        <v>1682.313333333333</v>
      </c>
      <c r="X28" s="238">
        <f>IF(AD28&gt;AE28,0,IF(AF28&lt;AG28,P28,IF(AND(AF28&gt;=AG28,AF28&lt;=AE28),(P28-T28),IF(AND(AG28&lt;=AD28,AE28&gt;=AD28),0,IF(AF28&gt;AE28,((AG28-AD28)*12)*Q28,0)))))</f>
        <v>2383.2772222223493</v>
      </c>
      <c r="Y28" s="238">
        <f>X28*U28</f>
        <v>2383.2772222223493</v>
      </c>
      <c r="Z28" s="238">
        <v>1</v>
      </c>
      <c r="AA28" s="238">
        <f>Y28*Z28</f>
        <v>2383.2772222223493</v>
      </c>
      <c r="AB28" s="238">
        <f>IF(O28&gt;0,0,AA28+V28*Z28)*Z28</f>
        <v>4065.5905555556824</v>
      </c>
      <c r="AC28" s="238">
        <f>IF(O28&gt;0,(N28-AA28)/2,IF(AD28&gt;=AG28,(((N28*U28)*Z28)-AB28)/2,((((N28*U28)*Z28)-AA28)+(((N28*U28)*Z28)-AB28))/2))</f>
        <v>1822.5061111109837</v>
      </c>
      <c r="AD28" s="238">
        <f t="shared" si="12"/>
        <v>2014.5833333333333</v>
      </c>
      <c r="AE28" s="238">
        <f t="shared" si="13"/>
        <v>2017</v>
      </c>
      <c r="AF28" s="238">
        <f t="shared" si="14"/>
        <v>2017.5833333333333</v>
      </c>
      <c r="AG28" s="238">
        <f t="shared" si="15"/>
        <v>2016</v>
      </c>
      <c r="AH28" s="238">
        <f t="shared" si="16"/>
        <v>-8.3333333333333329E-2</v>
      </c>
    </row>
    <row r="29" spans="1:34">
      <c r="A29" s="237">
        <v>115353</v>
      </c>
      <c r="C29" s="237">
        <v>612</v>
      </c>
      <c r="D29" s="237" t="s">
        <v>447</v>
      </c>
      <c r="E29" s="237">
        <v>2014</v>
      </c>
      <c r="F29" s="237">
        <v>7</v>
      </c>
      <c r="G29" s="237">
        <v>0</v>
      </c>
      <c r="I29" s="237" t="s">
        <v>52</v>
      </c>
      <c r="J29" s="237">
        <v>3</v>
      </c>
      <c r="K29" s="237">
        <f t="shared" si="0"/>
        <v>2017</v>
      </c>
      <c r="N29" s="238">
        <v>18555.36</v>
      </c>
      <c r="P29" s="238">
        <f t="shared" si="1"/>
        <v>18555.36</v>
      </c>
      <c r="Q29" s="238">
        <f t="shared" si="2"/>
        <v>515.42666666666662</v>
      </c>
      <c r="R29" s="238">
        <f>IF(O29&gt;0,0,IF(OR(AD29&gt;AE29,AF29&lt;AG29),0,IF(AND(AF29&gt;=AG29,AF29&lt;=AE29),Q29*((AF29-AG29)*12),IF(AND(AG29&lt;=AD29,AE29&gt;=AD29),((AE29-AD29)*12)*Q29,IF(AF29&gt;AE29,12*Q29,0)))))</f>
        <v>6185.119999999999</v>
      </c>
      <c r="S29" s="238">
        <f>IF(O29=0,0,IF(AND(AH29&gt;=AG29,AH29&lt;=AF29),((AH29-AG29)*12)*Q29,0))</f>
        <v>0</v>
      </c>
      <c r="T29" s="238">
        <f>IF(S29&gt;0,S29,R29)</f>
        <v>6185.119999999999</v>
      </c>
      <c r="U29" s="238">
        <v>1</v>
      </c>
      <c r="V29" s="238">
        <f>U29*SUM(R29:S29)</f>
        <v>6185.119999999999</v>
      </c>
      <c r="X29" s="238">
        <f>IF(AD29&gt;AE29,0,IF(AF29&lt;AG29,P29,IF(AND(AF29&gt;=AG29,AF29&lt;=AE29),(P29-T29),IF(AND(AG29&lt;=AD29,AE29&gt;=AD29),0,IF(AF29&gt;AE29,((AG29-AD29)*12)*Q29,0)))))</f>
        <v>9277.6799999999985</v>
      </c>
      <c r="Y29" s="238">
        <f>X29*U29</f>
        <v>9277.6799999999985</v>
      </c>
      <c r="Z29" s="238">
        <v>1</v>
      </c>
      <c r="AA29" s="238">
        <f>Y29*Z29</f>
        <v>9277.6799999999985</v>
      </c>
      <c r="AB29" s="238">
        <f>IF(O29&gt;0,0,AA29+V29*Z29)*Z29</f>
        <v>15462.799999999997</v>
      </c>
      <c r="AC29" s="238">
        <f>IF(O29&gt;0,(N29-AA29)/2,IF(AD29&gt;=AG29,(((N29*U29)*Z29)-AB29)/2,((((N29*U29)*Z29)-AA29)+(((N29*U29)*Z29)-AB29))/2))</f>
        <v>6185.1200000000026</v>
      </c>
      <c r="AD29" s="238">
        <f t="shared" si="12"/>
        <v>2014.5</v>
      </c>
      <c r="AE29" s="238">
        <f t="shared" si="13"/>
        <v>2017</v>
      </c>
      <c r="AF29" s="238">
        <f t="shared" si="14"/>
        <v>2017.5</v>
      </c>
      <c r="AG29" s="238">
        <f t="shared" si="15"/>
        <v>2016</v>
      </c>
      <c r="AH29" s="238">
        <f t="shared" si="16"/>
        <v>-8.3333333333333329E-2</v>
      </c>
    </row>
    <row r="30" spans="1:34">
      <c r="A30" s="237">
        <v>127288</v>
      </c>
      <c r="C30" s="237">
        <v>153</v>
      </c>
      <c r="D30" s="237" t="s">
        <v>448</v>
      </c>
      <c r="E30" s="237">
        <v>2015</v>
      </c>
      <c r="F30" s="237">
        <v>10</v>
      </c>
      <c r="G30" s="237">
        <v>0</v>
      </c>
      <c r="I30" s="237" t="s">
        <v>52</v>
      </c>
      <c r="J30" s="237">
        <v>3</v>
      </c>
      <c r="K30" s="237">
        <f t="shared" si="0"/>
        <v>2018</v>
      </c>
      <c r="N30" s="238">
        <v>7490.62</v>
      </c>
      <c r="P30" s="238">
        <f t="shared" si="1"/>
        <v>7490.62</v>
      </c>
      <c r="Q30" s="238">
        <f t="shared" si="2"/>
        <v>208.07277777777779</v>
      </c>
      <c r="R30" s="238">
        <f>IF(O30&gt;0,0,IF(OR(AD30&gt;AE30,AF30&lt;AG30),0,IF(AND(AF30&gt;=AG30,AF30&lt;=AE30),Q30*((AF30-AG30)*12),IF(AND(AG30&lt;=AD30,AE30&gt;=AD30),((AE30-AD30)*12)*Q30,IF(AF30&gt;AE30,12*Q30,0)))))</f>
        <v>2496.8733333333334</v>
      </c>
      <c r="S30" s="238">
        <f>IF(O30=0,0,IF(AND(AH30&gt;=AG30,AH30&lt;=AF30),((AH30-AG30)*12)*Q30,0))</f>
        <v>0</v>
      </c>
      <c r="T30" s="238">
        <f>IF(S30&gt;0,S30,R30)</f>
        <v>2496.8733333333334</v>
      </c>
      <c r="U30" s="238">
        <v>1</v>
      </c>
      <c r="V30" s="238">
        <f>U30*SUM(R30:S30)</f>
        <v>2496.8733333333334</v>
      </c>
      <c r="X30" s="238">
        <f>IF(AD30&gt;AE30,0,IF(AF30&lt;AG30,P30,IF(AND(AF30&gt;=AG30,AF30&lt;=AE30),(P30-T30),IF(AND(AG30&lt;=AD30,AE30&gt;=AD30),0,IF(AF30&gt;AE30,((AG30-AD30)*12)*Q30,0)))))</f>
        <v>624.21833333333336</v>
      </c>
      <c r="Y30" s="238">
        <f>X30*U30</f>
        <v>624.21833333333336</v>
      </c>
      <c r="Z30" s="238">
        <v>1</v>
      </c>
      <c r="AA30" s="238">
        <f>Y30*Z30</f>
        <v>624.21833333333336</v>
      </c>
      <c r="AB30" s="238">
        <f>IF(O30&gt;0,0,AA30+V30*Z30)*Z30</f>
        <v>3121.0916666666667</v>
      </c>
      <c r="AC30" s="238">
        <f>IF(O30&gt;0,(N30-AA30)/2,IF(AD30&gt;=AG30,(((N30*U30)*Z30)-AB30)/2,((((N30*U30)*Z30)-AA30)+(((N30*U30)*Z30)-AB30))/2))</f>
        <v>5617.9650000000001</v>
      </c>
      <c r="AD30" s="238">
        <f t="shared" si="12"/>
        <v>2015.75</v>
      </c>
      <c r="AE30" s="238">
        <f t="shared" si="13"/>
        <v>2017</v>
      </c>
      <c r="AF30" s="238">
        <f t="shared" si="14"/>
        <v>2018.75</v>
      </c>
      <c r="AG30" s="238">
        <f t="shared" si="15"/>
        <v>2016</v>
      </c>
      <c r="AH30" s="238">
        <f t="shared" si="16"/>
        <v>-8.3333333333333329E-2</v>
      </c>
    </row>
    <row r="31" spans="1:34">
      <c r="A31" s="237">
        <v>165835</v>
      </c>
      <c r="C31" s="237">
        <v>318</v>
      </c>
      <c r="D31" s="237" t="s">
        <v>449</v>
      </c>
      <c r="E31" s="237">
        <v>2016</v>
      </c>
      <c r="F31" s="237">
        <v>6</v>
      </c>
      <c r="G31" s="237">
        <v>0</v>
      </c>
      <c r="I31" s="237" t="s">
        <v>52</v>
      </c>
      <c r="J31" s="237">
        <v>3</v>
      </c>
      <c r="K31" s="237">
        <f>E31+J31</f>
        <v>2019</v>
      </c>
      <c r="N31" s="238">
        <v>20959</v>
      </c>
      <c r="P31" s="238">
        <f>N31-N31*G31</f>
        <v>20959</v>
      </c>
      <c r="Q31" s="238">
        <f>P31/J31/12</f>
        <v>582.19444444444446</v>
      </c>
      <c r="R31" s="238">
        <f>IF(O31&gt;0,0,IF(OR(AD31&gt;AE31,AF31&lt;AG31),0,IF(AND(AF31&gt;=AG31,AF31&lt;=AE31),Q31*((AF31-AG31)*12),IF(AND(AG31&lt;=AD31,AE31&gt;=AD31),((AE31-AD31)*12)*Q31,IF(AF31&gt;AE31,12*Q31,0)))))</f>
        <v>4075.3611111105815</v>
      </c>
      <c r="S31" s="238">
        <f>IF(O31=0,0,IF(AND(AH31&gt;=AG31,AH31&lt;=AF31),((AH31-AG31)*12)*Q31,0))</f>
        <v>0</v>
      </c>
      <c r="T31" s="238">
        <f>IF(S31&gt;0,S31,R31)</f>
        <v>4075.3611111105815</v>
      </c>
      <c r="U31" s="238">
        <v>1</v>
      </c>
      <c r="V31" s="238">
        <f>U31*SUM(R31:S31)</f>
        <v>4075.3611111105815</v>
      </c>
      <c r="X31" s="238">
        <f>IF(AD31&gt;AE31,0,IF(AF31&lt;AG31,P31,IF(AND(AF31&gt;=AG31,AF31&lt;=AE31),(P31-T31),IF(AND(AG31&lt;=AD31,AE31&gt;=AD31),0,IF(AF31&gt;AE31,((AG31-AD31)*12)*Q31,0)))))</f>
        <v>0</v>
      </c>
      <c r="Y31" s="238">
        <f>X31*U31</f>
        <v>0</v>
      </c>
      <c r="Z31" s="238">
        <v>1</v>
      </c>
      <c r="AA31" s="238">
        <f>Y31*Z31</f>
        <v>0</v>
      </c>
      <c r="AB31" s="238">
        <f>IF(O31&gt;0,0,AA31+V31*Z31)*Z31</f>
        <v>4075.3611111105815</v>
      </c>
      <c r="AC31" s="238">
        <f>IF(O31&gt;0,(N31-AA31)/2,IF(AD31&gt;=AG31,(((N31*U31)*Z31)-AB31)/2,((((N31*U31)*Z31)-AA31)+(((N31*U31)*Z31)-AB31))/2))</f>
        <v>8441.819444444709</v>
      </c>
      <c r="AD31" s="238">
        <f t="shared" si="12"/>
        <v>2016.4166666666667</v>
      </c>
      <c r="AE31" s="238">
        <f t="shared" si="13"/>
        <v>2017</v>
      </c>
      <c r="AF31" s="238">
        <f t="shared" si="14"/>
        <v>2019.4166666666667</v>
      </c>
      <c r="AG31" s="238">
        <f t="shared" si="15"/>
        <v>2016</v>
      </c>
      <c r="AH31" s="238">
        <f t="shared" si="16"/>
        <v>-8.3333333333333329E-2</v>
      </c>
    </row>
    <row r="33" spans="1:34" ht="13.5" thickBot="1">
      <c r="D33" s="237" t="s">
        <v>50</v>
      </c>
      <c r="N33" s="238">
        <f>SUM(N12:N32)</f>
        <v>2153491</v>
      </c>
      <c r="P33" s="238">
        <f>SUM(P12:P32)</f>
        <v>1740033.3320000002</v>
      </c>
      <c r="Q33" s="238">
        <f>SUM(Q12:Q32)</f>
        <v>21754.512965079364</v>
      </c>
      <c r="R33" s="238">
        <f>SUM(R12:R32)</f>
        <v>114561.33034920749</v>
      </c>
      <c r="T33" s="238">
        <f>IF(S33&gt;0,S33,R33)</f>
        <v>114561.33034920749</v>
      </c>
      <c r="V33" s="238">
        <f>U33*SUM(R33:S33)</f>
        <v>0</v>
      </c>
      <c r="X33" s="238">
        <f>IF(AD33&gt;AE33,0,IF(AF33&lt;AG33,P33,IF(AND(AF33&gt;=AG33,AF33&lt;=AE33),(P33-T33),IF(AND(AG33&lt;=AD33,AE33&gt;=AD33),0,IF(AF33&gt;AE33,((AG33-AD33)*12)*Q33,0)))))</f>
        <v>1625472.0016507928</v>
      </c>
      <c r="Y33" s="238">
        <f>X33*U33</f>
        <v>0</v>
      </c>
      <c r="AA33" s="238">
        <f>SUM(AA12:AA32)</f>
        <v>1308182.989555547</v>
      </c>
      <c r="AB33" s="238">
        <f>SUM(AB12:AB32)</f>
        <v>1422744.3199047544</v>
      </c>
      <c r="AC33" s="238">
        <f>SUM(AC12:AC32)</f>
        <v>777547.84526984917</v>
      </c>
    </row>
    <row r="35" spans="1:34">
      <c r="D35" s="237" t="s">
        <v>82</v>
      </c>
    </row>
    <row r="36" spans="1:34">
      <c r="A36" s="237">
        <v>102100</v>
      </c>
      <c r="B36" s="237" t="s">
        <v>56</v>
      </c>
      <c r="C36" s="237">
        <v>409</v>
      </c>
      <c r="D36" s="237" t="s">
        <v>450</v>
      </c>
      <c r="E36" s="237">
        <v>2004</v>
      </c>
      <c r="F36" s="237">
        <v>4</v>
      </c>
      <c r="G36" s="237">
        <v>0.2</v>
      </c>
      <c r="I36" s="237" t="s">
        <v>52</v>
      </c>
      <c r="J36" s="237">
        <v>7</v>
      </c>
      <c r="K36" s="237">
        <f>E36+J36</f>
        <v>2011</v>
      </c>
      <c r="N36" s="238">
        <v>86998.71</v>
      </c>
      <c r="P36" s="238">
        <f>N36-N36*G36</f>
        <v>69598.968000000008</v>
      </c>
      <c r="Q36" s="238">
        <f>P36/J36/12</f>
        <v>828.55914285714289</v>
      </c>
      <c r="R36" s="238">
        <f>IF(O36&gt;0,0,IF(OR(AD36&gt;AE36,AF36&lt;AG36),0,IF(AND(AF36&gt;=AG36,AF36&lt;=AE36),Q36*((AF36-AG36)*12),IF(AND(AG36&lt;=AD36,AE36&gt;=AD36),((AE36-AD36)*12)*Q36,IF(AF36&gt;AE36,12*Q36,0)))))</f>
        <v>0</v>
      </c>
      <c r="S36" s="238">
        <f>IF(O36=0,0,IF(AND(AH36&gt;=AG36,AH36&lt;=AF36),((AH36-AG36)*12)*Q36,0))</f>
        <v>0</v>
      </c>
      <c r="T36" s="238">
        <f>IF(S36&gt;0,S36,R36)</f>
        <v>0</v>
      </c>
      <c r="U36" s="238">
        <v>1</v>
      </c>
      <c r="V36" s="238">
        <f>U36*SUM(R36:S36)</f>
        <v>0</v>
      </c>
      <c r="X36" s="238">
        <f>IF(AD36&gt;AE36,0,IF(AF36&lt;AG36,P36,IF(AND(AF36&gt;=AG36,AF36&lt;=AE36),(P36-T36),IF(AND(AG36&lt;=AD36,AE36&gt;=AD36),0,IF(AF36&gt;AE36,((AG36-AD36)*12)*Q36,0)))))</f>
        <v>69598.968000000008</v>
      </c>
      <c r="Y36" s="238">
        <f>X36*U36</f>
        <v>69598.968000000008</v>
      </c>
      <c r="Z36" s="238">
        <v>1</v>
      </c>
      <c r="AA36" s="238">
        <f>Y36*Z36</f>
        <v>69598.968000000008</v>
      </c>
      <c r="AB36" s="238">
        <f>IF(O36&gt;0,0,AA36+V36*Z36)*Z36</f>
        <v>69598.968000000008</v>
      </c>
      <c r="AC36" s="238">
        <f>IF(O36&gt;0,(N36-AA36)/2,IF(AD36&gt;=AG36,(((N36*U36)*Z36)-AB36)/2,((((N36*U36)*Z36)-AA36)+(((N36*U36)*Z36)-AB36))/2))</f>
        <v>17399.741999999998</v>
      </c>
      <c r="AD36" s="238">
        <f>$E36+(($F36-1)/12)</f>
        <v>2004.25</v>
      </c>
      <c r="AE36" s="238">
        <f>($P$5+1)-($P$2/12)</f>
        <v>2017</v>
      </c>
      <c r="AF36" s="238">
        <f>$K36+(($F36-1)/12)</f>
        <v>2011.25</v>
      </c>
      <c r="AG36" s="238">
        <f>$P$4+($P$3/12)</f>
        <v>2016</v>
      </c>
      <c r="AH36" s="238">
        <f>$L36+(($M36-1)/12)</f>
        <v>-8.3333333333333329E-2</v>
      </c>
    </row>
    <row r="37" spans="1:34">
      <c r="A37" s="237">
        <v>102101</v>
      </c>
      <c r="B37" s="237" t="s">
        <v>56</v>
      </c>
      <c r="C37" s="237">
        <v>409</v>
      </c>
      <c r="D37" s="237" t="s">
        <v>451</v>
      </c>
      <c r="E37" s="237">
        <v>2004</v>
      </c>
      <c r="F37" s="237">
        <v>4</v>
      </c>
      <c r="G37" s="237">
        <v>0.2</v>
      </c>
      <c r="I37" s="237" t="s">
        <v>52</v>
      </c>
      <c r="J37" s="237">
        <v>7</v>
      </c>
      <c r="K37" s="237">
        <f>E37+J37</f>
        <v>2011</v>
      </c>
      <c r="N37" s="238">
        <v>32990.49</v>
      </c>
      <c r="P37" s="238">
        <f>N37-N37*G37</f>
        <v>26392.392</v>
      </c>
      <c r="Q37" s="238">
        <f>P37/J37/12</f>
        <v>314.19514285714286</v>
      </c>
      <c r="R37" s="238">
        <f>IF(O37&gt;0,0,IF(OR(AD37&gt;AE37,AF37&lt;AG37),0,IF(AND(AF37&gt;=AG37,AF37&lt;=AE37),Q37*((AF37-AG37)*12),IF(AND(AG37&lt;=AD37,AE37&gt;=AD37),((AE37-AD37)*12)*Q37,IF(AF37&gt;AE37,12*Q37,0)))))</f>
        <v>0</v>
      </c>
      <c r="S37" s="238">
        <f>IF(O37=0,0,IF(AND(AH37&gt;=AG37,AH37&lt;=AF37),((AH37-AG37)*12)*Q37,0))</f>
        <v>0</v>
      </c>
      <c r="T37" s="238">
        <f>IF(S37&gt;0,S37,R37)</f>
        <v>0</v>
      </c>
      <c r="U37" s="238">
        <v>1</v>
      </c>
      <c r="V37" s="238">
        <f>U37*SUM(R37:S37)</f>
        <v>0</v>
      </c>
      <c r="X37" s="238">
        <f>IF(AD37&gt;AE37,0,IF(AF37&lt;AG37,P37,IF(AND(AF37&gt;=AG37,AF37&lt;=AE37),(P37-T37),IF(AND(AG37&lt;=AD37,AE37&gt;=AD37),0,IF(AF37&gt;AE37,((AG37-AD37)*12)*Q37,0)))))</f>
        <v>26392.392</v>
      </c>
      <c r="Y37" s="238">
        <f>X37*U37</f>
        <v>26392.392</v>
      </c>
      <c r="Z37" s="238">
        <v>1</v>
      </c>
      <c r="AA37" s="238">
        <f>Y37*Z37</f>
        <v>26392.392</v>
      </c>
      <c r="AB37" s="238">
        <f>IF(O37&gt;0,0,AA37+V37*Z37)*Z37</f>
        <v>26392.392</v>
      </c>
      <c r="AC37" s="238">
        <f>IF(O37&gt;0,(N37-AA37)/2,IF(AD37&gt;=AG37,(((N37*U37)*Z37)-AB37)/2,((((N37*U37)*Z37)-AA37)+(((N37*U37)*Z37)-AB37))/2))</f>
        <v>6598.0979999999981</v>
      </c>
      <c r="AD37" s="238">
        <f>$E37+(($F37-1)/12)</f>
        <v>2004.25</v>
      </c>
      <c r="AE37" s="238">
        <f>($P$5+1)-($P$2/12)</f>
        <v>2017</v>
      </c>
      <c r="AF37" s="238">
        <f>$K37+(($F37-1)/12)</f>
        <v>2011.25</v>
      </c>
      <c r="AG37" s="238">
        <f>$P$4+($P$3/12)</f>
        <v>2016</v>
      </c>
      <c r="AH37" s="238">
        <f>$L37+(($M37-1)/12)</f>
        <v>-8.3333333333333329E-2</v>
      </c>
    </row>
    <row r="38" spans="1:34">
      <c r="B38" s="237" t="s">
        <v>56</v>
      </c>
      <c r="D38" s="237" t="s">
        <v>452</v>
      </c>
      <c r="E38" s="237">
        <v>2008</v>
      </c>
      <c r="F38" s="237">
        <v>4</v>
      </c>
      <c r="G38" s="237">
        <v>0.2</v>
      </c>
      <c r="I38" s="237" t="s">
        <v>52</v>
      </c>
      <c r="J38" s="237">
        <v>7</v>
      </c>
      <c r="K38" s="237">
        <f>E38+J38</f>
        <v>2015</v>
      </c>
      <c r="N38" s="238">
        <v>545.42999999999995</v>
      </c>
      <c r="P38" s="238">
        <f>N38-N38*G38</f>
        <v>436.34399999999994</v>
      </c>
      <c r="Q38" s="238">
        <f>P38/J38/12</f>
        <v>5.194571428571428</v>
      </c>
      <c r="R38" s="238">
        <f>IF(O38&gt;0,0,IF(OR(AD38&gt;AE38,AF38&lt;AG38),0,IF(AND(AF38&gt;=AG38,AF38&lt;=AE38),Q38*((AF38-AG38)*12),IF(AND(AG38&lt;=AD38,AE38&gt;=AD38),((AE38-AD38)*12)*Q38,IF(AF38&gt;AE38,12*Q38,0)))))</f>
        <v>0</v>
      </c>
      <c r="S38" s="238">
        <f>IF(O38=0,0,IF(AND(AH38&gt;=AG38,AH38&lt;=AF38),((AH38-AG38)*12)*Q38,0))</f>
        <v>0</v>
      </c>
      <c r="T38" s="238">
        <f>IF(S38&gt;0,S38,R38)</f>
        <v>0</v>
      </c>
      <c r="U38" s="238">
        <v>1</v>
      </c>
      <c r="V38" s="238">
        <f>U38*SUM(R38:S38)</f>
        <v>0</v>
      </c>
      <c r="X38" s="238">
        <f>IF(AD38&gt;AE38,0,IF(AF38&lt;AG38,P38,IF(AND(AF38&gt;=AG38,AF38&lt;=AE38),(P38-T38),IF(AND(AG38&lt;=AD38,AE38&gt;=AD38),0,IF(AF38&gt;AE38,((AG38-AD38)*12)*Q38,0)))))</f>
        <v>436.34399999999994</v>
      </c>
      <c r="Y38" s="238">
        <f>X38*U38</f>
        <v>436.34399999999994</v>
      </c>
      <c r="Z38" s="238">
        <v>1</v>
      </c>
      <c r="AA38" s="238">
        <f>Y38*Z38</f>
        <v>436.34399999999994</v>
      </c>
      <c r="AB38" s="238">
        <f>IF(O38&gt;0,0,AA38+V38*Z38)*Z38</f>
        <v>436.34399999999994</v>
      </c>
      <c r="AC38" s="238">
        <f>IF(O38&gt;0,(N38-AA38)/2,IF(AD38&gt;=AG38,(((N38*U38)*Z38)-AB38)/2,((((N38*U38)*Z38)-AA38)+(((N38*U38)*Z38)-AB38))/2))</f>
        <v>109.08600000000001</v>
      </c>
      <c r="AD38" s="238">
        <f>$E38+(($F38-1)/12)</f>
        <v>2008.25</v>
      </c>
      <c r="AE38" s="238">
        <f>($P$5+1)-($P$2/12)</f>
        <v>2017</v>
      </c>
      <c r="AF38" s="238">
        <f>$K38+(($F38-1)/12)</f>
        <v>2015.25</v>
      </c>
      <c r="AG38" s="238">
        <f>$P$4+($P$3/12)</f>
        <v>2016</v>
      </c>
      <c r="AH38" s="238">
        <f>$L38+(($M38-1)/12)</f>
        <v>-8.3333333333333329E-2</v>
      </c>
    </row>
    <row r="39" spans="1:34">
      <c r="A39" s="237">
        <v>102102</v>
      </c>
      <c r="B39" s="237" t="s">
        <v>56</v>
      </c>
      <c r="C39" s="237">
        <v>409</v>
      </c>
      <c r="D39" s="237" t="s">
        <v>182</v>
      </c>
      <c r="E39" s="237">
        <v>2009</v>
      </c>
      <c r="F39" s="237">
        <v>1</v>
      </c>
      <c r="G39" s="237">
        <v>0.2</v>
      </c>
      <c r="I39" s="237" t="s">
        <v>52</v>
      </c>
      <c r="J39" s="237">
        <v>7</v>
      </c>
      <c r="K39" s="237">
        <f>E39+J39</f>
        <v>2016</v>
      </c>
      <c r="N39" s="238">
        <v>6818.83</v>
      </c>
      <c r="P39" s="238">
        <f>N39-N39*G39</f>
        <v>5455.0640000000003</v>
      </c>
      <c r="Q39" s="238">
        <f>P39/J39/12</f>
        <v>64.941238095238091</v>
      </c>
      <c r="R39" s="238">
        <f>IF(O39&gt;0,0,IF(OR(AD39&gt;AE39,AF39&lt;AG39),0,IF(AND(AF39&gt;=AG39,AF39&lt;=AE39),Q39*((AF39-AG39)*12),IF(AND(AG39&lt;=AD39,AE39&gt;=AD39),((AE39-AD39)*12)*Q39,IF(AF39&gt;AE39,12*Q39,0)))))</f>
        <v>0</v>
      </c>
      <c r="S39" s="238">
        <f>IF(O39=0,0,IF(AND(AH39&gt;=AG39,AH39&lt;=AF39),((AH39-AG39)*12)*Q39,0))</f>
        <v>0</v>
      </c>
      <c r="T39" s="238">
        <f>IF(S39&gt;0,S39,R39)</f>
        <v>0</v>
      </c>
      <c r="U39" s="238">
        <v>1</v>
      </c>
      <c r="V39" s="238">
        <f>U39*SUM(R39:S39)</f>
        <v>0</v>
      </c>
      <c r="X39" s="238">
        <f>IF(AD39&gt;AE39,0,IF(AF39&lt;AG39,P39,IF(AND(AF39&gt;=AG39,AF39&lt;=AE39),(P39-T39),IF(AND(AG39&lt;=AD39,AE39&gt;=AD39),0,IF(AF39&gt;AE39,((AG39-AD39)*12)*Q39,0)))))</f>
        <v>5455.0640000000003</v>
      </c>
      <c r="Y39" s="238">
        <f>X39*U39</f>
        <v>5455.0640000000003</v>
      </c>
      <c r="Z39" s="238">
        <v>1</v>
      </c>
      <c r="AA39" s="238">
        <f>Y39*Z39</f>
        <v>5455.0640000000003</v>
      </c>
      <c r="AB39" s="238">
        <f>IF(O39&gt;0,0,AA39+V39*Z39)*Z39</f>
        <v>5455.0640000000003</v>
      </c>
      <c r="AC39" s="238">
        <f>IF(O39&gt;0,(N39-AA39)/2,IF(AD39&gt;=AG39,(((N39*U39)*Z39)-AB39)/2,((((N39*U39)*Z39)-AA39)+(((N39*U39)*Z39)-AB39))/2))</f>
        <v>1363.7659999999996</v>
      </c>
      <c r="AD39" s="238">
        <f>$E39+(($F39-1)/12)</f>
        <v>2009</v>
      </c>
      <c r="AE39" s="238">
        <f>($P$5+1)-($P$2/12)</f>
        <v>2017</v>
      </c>
      <c r="AF39" s="238">
        <f>$K39+(($F39-1)/12)</f>
        <v>2016</v>
      </c>
      <c r="AG39" s="238">
        <f>$P$4+($P$3/12)</f>
        <v>2016</v>
      </c>
      <c r="AH39" s="238">
        <f>$L39+(($M39-1)/12)</f>
        <v>-8.3333333333333329E-2</v>
      </c>
    </row>
    <row r="40" spans="1:34">
      <c r="A40" s="237">
        <v>166339</v>
      </c>
      <c r="B40" s="237" t="s">
        <v>56</v>
      </c>
      <c r="C40" s="237">
        <v>426</v>
      </c>
      <c r="D40" s="237" t="s">
        <v>453</v>
      </c>
      <c r="E40" s="237">
        <v>2016</v>
      </c>
      <c r="F40" s="237">
        <v>8</v>
      </c>
      <c r="G40" s="237">
        <v>0</v>
      </c>
      <c r="I40" s="237" t="s">
        <v>52</v>
      </c>
      <c r="J40" s="237">
        <v>10</v>
      </c>
      <c r="K40" s="237">
        <f>E40+J40</f>
        <v>2026</v>
      </c>
      <c r="N40" s="238">
        <v>222553.29</v>
      </c>
      <c r="P40" s="238">
        <f>N40-N40*G40</f>
        <v>222553.29</v>
      </c>
      <c r="Q40" s="238">
        <f>P40/J40/12</f>
        <v>1854.6107500000001</v>
      </c>
      <c r="R40" s="238">
        <f>IF(O40&gt;0,0,IF(OR(AD40&gt;AE40,AF40&lt;AG40),0,IF(AND(AF40&gt;=AG40,AF40&lt;=AE40),Q40*((AF40-AG40)*12),IF(AND(AG40&lt;=AD40,AE40&gt;=AD40),((AE40-AD40)*12)*Q40,IF(AF40&gt;AE40,12*Q40,0)))))</f>
        <v>9273.0537500016871</v>
      </c>
      <c r="S40" s="238">
        <f>IF(O40=0,0,IF(AND(AH40&gt;=AG40,AH40&lt;=AF40),((AH40-AG40)*12)*Q40,0))</f>
        <v>0</v>
      </c>
      <c r="T40" s="238">
        <f>IF(S40&gt;0,S40,R40)</f>
        <v>9273.0537500016871</v>
      </c>
      <c r="U40" s="238">
        <v>1</v>
      </c>
      <c r="V40" s="238">
        <f>U40*SUM(R40:S40)</f>
        <v>9273.0537500016871</v>
      </c>
      <c r="X40" s="238">
        <f>IF(AD40&gt;AE40,0,IF(AF40&lt;AG40,P40,IF(AND(AF40&gt;=AG40,AF40&lt;=AE40),(P40-T40),IF(AND(AG40&lt;=AD40,AE40&gt;=AD40),0,IF(AF40&gt;AE40,((AG40-AD40)*12)*Q40,0)))))</f>
        <v>0</v>
      </c>
      <c r="Y40" s="238">
        <f>X40*U40</f>
        <v>0</v>
      </c>
      <c r="Z40" s="238">
        <v>1</v>
      </c>
      <c r="AA40" s="238">
        <f>Y40*Z40</f>
        <v>0</v>
      </c>
      <c r="AB40" s="238">
        <f>IF(O40&gt;0,0,AA40+V40*Z40)*Z40</f>
        <v>9273.0537500016871</v>
      </c>
      <c r="AC40" s="238">
        <f>IF(O40&gt;0,(N40-AA40)/2,IF(AD40&gt;=AG40,(((N40*U40)*Z40)-AB40)/2,((((N40*U40)*Z40)-AA40)+(((N40*U40)*Z40)-AB40))/2))</f>
        <v>106640.11812499916</v>
      </c>
      <c r="AD40" s="238">
        <f>$E40+(($F40-1)/12)</f>
        <v>2016.5833333333333</v>
      </c>
      <c r="AE40" s="238">
        <f>($P$5+1)-($P$2/12)</f>
        <v>2017</v>
      </c>
      <c r="AF40" s="238">
        <f>$K40+(($F40-1)/12)</f>
        <v>2026.5833333333333</v>
      </c>
      <c r="AG40" s="238">
        <f>$P$4+($P$3/12)</f>
        <v>2016</v>
      </c>
      <c r="AH40" s="238">
        <f>$L40+(($M40-1)/12)</f>
        <v>-8.3333333333333329E-2</v>
      </c>
    </row>
    <row r="42" spans="1:34" ht="13.5" thickBot="1">
      <c r="D42" s="237" t="s">
        <v>51</v>
      </c>
      <c r="N42" s="238">
        <f>SUM(N36:N41)</f>
        <v>349906.75</v>
      </c>
      <c r="P42" s="238">
        <f>SUM(P36:P41)</f>
        <v>324436.05800000002</v>
      </c>
      <c r="Q42" s="238">
        <f>SUM(Q36:Q41)</f>
        <v>3067.5008452380953</v>
      </c>
      <c r="R42" s="238">
        <f>SUM(R36:R41)</f>
        <v>9273.0537500016871</v>
      </c>
      <c r="T42" s="238">
        <f>SUM(T36:T41)</f>
        <v>9273.0537500016871</v>
      </c>
      <c r="V42" s="238">
        <f>SUM(V36:V41)</f>
        <v>9273.0537500016871</v>
      </c>
      <c r="X42" s="238">
        <f>SUM(X36:X41)</f>
        <v>101882.76800000001</v>
      </c>
      <c r="Y42" s="238">
        <f>SUM(Y36:Y41)</f>
        <v>101882.76800000001</v>
      </c>
      <c r="AA42" s="238">
        <f>SUM(AA36:AA41)</f>
        <v>101882.76800000001</v>
      </c>
      <c r="AB42" s="238">
        <f>SUM(AB36:AB41)</f>
        <v>111155.82175000169</v>
      </c>
      <c r="AC42" s="238">
        <f>SUM(AC36:AC41)</f>
        <v>132110.81012499915</v>
      </c>
    </row>
    <row r="44" spans="1:34" ht="13.5" thickBot="1">
      <c r="D44" s="237" t="s">
        <v>613</v>
      </c>
      <c r="N44" s="238">
        <f>N33+N42</f>
        <v>2503397.75</v>
      </c>
      <c r="P44" s="238">
        <f>P33+P42</f>
        <v>2064469.3900000001</v>
      </c>
      <c r="Q44" s="238">
        <f>Q33+Q42</f>
        <v>24822.013810317461</v>
      </c>
      <c r="R44" s="238">
        <f>R33+R42</f>
        <v>123834.38409920919</v>
      </c>
      <c r="V44" s="238">
        <f>V33+V42</f>
        <v>9273.0537500016871</v>
      </c>
      <c r="AA44" s="238">
        <f>AA33+AA42</f>
        <v>1410065.7575555469</v>
      </c>
      <c r="AB44" s="238">
        <f>AB33+AB42</f>
        <v>1533900.1416547562</v>
      </c>
      <c r="AC44" s="238">
        <f>AC33+AC42</f>
        <v>909658.65539484832</v>
      </c>
    </row>
    <row r="45" spans="1:34" ht="13.5" thickTop="1"/>
    <row r="46" spans="1:34">
      <c r="D46" s="237" t="s">
        <v>614</v>
      </c>
    </row>
    <row r="48" spans="1:34">
      <c r="D48" s="237" t="s">
        <v>615</v>
      </c>
      <c r="N48" s="238">
        <f>SUM(N47:N47)</f>
        <v>0</v>
      </c>
      <c r="P48" s="238">
        <f>SUM(P47:P47)</f>
        <v>0</v>
      </c>
      <c r="Q48" s="238">
        <f>SUM(Q47:Q47)</f>
        <v>0</v>
      </c>
      <c r="R48" s="238">
        <f>SUM(R47:R47)</f>
        <v>0</v>
      </c>
      <c r="V48" s="238">
        <f>SUM(V47:V47)</f>
        <v>0</v>
      </c>
      <c r="AA48" s="238">
        <f>SUM(AA47:AA47)</f>
        <v>0</v>
      </c>
      <c r="AB48" s="238">
        <f>SUM(AB47:AB47)</f>
        <v>0</v>
      </c>
      <c r="AC48" s="238">
        <f>SUM(AC47:AC47)</f>
        <v>0</v>
      </c>
    </row>
    <row r="51" spans="1:34">
      <c r="D51" s="237" t="s">
        <v>91</v>
      </c>
    </row>
    <row r="52" spans="1:34">
      <c r="A52" s="237">
        <v>39506</v>
      </c>
      <c r="B52" s="237" t="s">
        <v>92</v>
      </c>
      <c r="C52" s="237">
        <v>800</v>
      </c>
      <c r="D52" s="237" t="s">
        <v>454</v>
      </c>
      <c r="E52" s="237">
        <v>2004</v>
      </c>
      <c r="F52" s="237">
        <v>6</v>
      </c>
      <c r="G52" s="237">
        <v>0.2</v>
      </c>
      <c r="I52" s="237" t="s">
        <v>52</v>
      </c>
      <c r="J52" s="237">
        <v>7</v>
      </c>
      <c r="K52" s="237">
        <f t="shared" ref="K52:K60" si="17">E52+J52</f>
        <v>2011</v>
      </c>
      <c r="N52" s="238">
        <v>109002.31</v>
      </c>
      <c r="P52" s="238">
        <f t="shared" ref="P52:P58" si="18">N52-N52*G52</f>
        <v>87201.847999999998</v>
      </c>
      <c r="Q52" s="238">
        <f t="shared" ref="Q52:Q58" si="19">P52/J52/12</f>
        <v>1038.117238095238</v>
      </c>
      <c r="R52" s="238">
        <f t="shared" ref="R52:R58" si="20">IF(O52&gt;0,0,IF(OR(AD52&gt;AE52,AF52&lt;AG52),0,IF(AND(AF52&gt;=AG52,AF52&lt;=AE52),Q52*((AF52-AG52)*12),IF(AND(AG52&lt;=AD52,AE52&gt;=AD52),((AE52-AD52)*12)*Q52,IF(AF52&gt;AE52,12*Q52,0)))))</f>
        <v>0</v>
      </c>
      <c r="S52" s="238">
        <f t="shared" ref="S52:S58" si="21">IF(O52=0,0,IF(AND(AH52&gt;=AG52,AH52&lt;=AF52),((AH52-AG52)*12)*Q52,0))</f>
        <v>0</v>
      </c>
      <c r="T52" s="238">
        <f t="shared" ref="T52:T58" si="22">IF(S52&gt;0,S52,R52)</f>
        <v>0</v>
      </c>
      <c r="U52" s="238">
        <v>1</v>
      </c>
      <c r="V52" s="238">
        <f t="shared" ref="V52:V58" si="23">U52*SUM(R52:S52)</f>
        <v>0</v>
      </c>
      <c r="X52" s="238">
        <f t="shared" ref="X52:X58" si="24">IF(AD52&gt;AE52,0,IF(AF52&lt;AG52,P52,IF(AND(AF52&gt;=AG52,AF52&lt;=AE52),(P52-T52),IF(AND(AG52&lt;=AD52,AE52&gt;=AD52),0,IF(AF52&gt;AE52,((AG52-AD52)*12)*Q52,0)))))</f>
        <v>87201.847999999998</v>
      </c>
      <c r="Y52" s="238">
        <f t="shared" ref="Y52:Y58" si="25">X52*U52</f>
        <v>87201.847999999998</v>
      </c>
      <c r="Z52" s="238">
        <v>1</v>
      </c>
      <c r="AA52" s="238">
        <f t="shared" ref="AA52:AA58" si="26">Y52*Z52</f>
        <v>87201.847999999998</v>
      </c>
      <c r="AB52" s="238">
        <f t="shared" ref="AB52:AB58" si="27">IF(O52&gt;0,0,AA52+V52*Z52)*Z52</f>
        <v>87201.847999999998</v>
      </c>
      <c r="AC52" s="238">
        <f t="shared" ref="AC52:AC58" si="28">IF(O52&gt;0,(N52-AA52)/2,IF(AD52&gt;=AG52,(((N52*U52)*Z52)-AB52)/2,((((N52*U52)*Z52)-AA52)+(((N52*U52)*Z52)-AB52))/2))</f>
        <v>21800.462</v>
      </c>
      <c r="AD52" s="238">
        <f t="shared" ref="AD52:AD59" si="29">$E52+(($F52-1)/12)</f>
        <v>2004.4166666666667</v>
      </c>
      <c r="AE52" s="238">
        <f t="shared" ref="AE52:AE68" si="30">($P$5+1)-($P$2/12)</f>
        <v>2017</v>
      </c>
      <c r="AF52" s="238">
        <f t="shared" ref="AF52:AF59" si="31">$K52+(($F52-1)/12)</f>
        <v>2011.4166666666667</v>
      </c>
      <c r="AG52" s="238">
        <f t="shared" ref="AG52:AG68" si="32">$P$4+($P$3/12)</f>
        <v>2016</v>
      </c>
      <c r="AH52" s="238">
        <f t="shared" ref="AH52:AH59" si="33">$L52+(($M52-1)/12)</f>
        <v>-8.3333333333333329E-2</v>
      </c>
    </row>
    <row r="53" spans="1:34">
      <c r="B53" s="237" t="s">
        <v>92</v>
      </c>
      <c r="C53" s="237">
        <v>800</v>
      </c>
      <c r="D53" s="237" t="s">
        <v>455</v>
      </c>
      <c r="E53" s="237">
        <v>2004</v>
      </c>
      <c r="F53" s="237">
        <v>6</v>
      </c>
      <c r="G53" s="237">
        <v>0.2</v>
      </c>
      <c r="I53" s="237" t="s">
        <v>52</v>
      </c>
      <c r="J53" s="237">
        <v>7</v>
      </c>
      <c r="K53" s="237">
        <f t="shared" si="17"/>
        <v>2011</v>
      </c>
      <c r="N53" s="238">
        <v>77974.23</v>
      </c>
      <c r="P53" s="238">
        <f t="shared" si="18"/>
        <v>62379.383999999998</v>
      </c>
      <c r="Q53" s="238">
        <f t="shared" si="19"/>
        <v>742.61171428571424</v>
      </c>
      <c r="R53" s="238">
        <f t="shared" si="20"/>
        <v>0</v>
      </c>
      <c r="S53" s="238">
        <f t="shared" si="21"/>
        <v>0</v>
      </c>
      <c r="T53" s="238">
        <f t="shared" si="22"/>
        <v>0</v>
      </c>
      <c r="U53" s="238">
        <v>1</v>
      </c>
      <c r="V53" s="238">
        <f t="shared" si="23"/>
        <v>0</v>
      </c>
      <c r="X53" s="238">
        <f t="shared" si="24"/>
        <v>62379.383999999998</v>
      </c>
      <c r="Y53" s="238">
        <f t="shared" si="25"/>
        <v>62379.383999999998</v>
      </c>
      <c r="Z53" s="238">
        <v>1</v>
      </c>
      <c r="AA53" s="238">
        <f t="shared" si="26"/>
        <v>62379.383999999998</v>
      </c>
      <c r="AB53" s="238">
        <f t="shared" si="27"/>
        <v>62379.383999999998</v>
      </c>
      <c r="AC53" s="238">
        <f t="shared" si="28"/>
        <v>15594.845999999998</v>
      </c>
      <c r="AD53" s="238">
        <f t="shared" si="29"/>
        <v>2004.4166666666667</v>
      </c>
      <c r="AE53" s="238">
        <f t="shared" si="30"/>
        <v>2017</v>
      </c>
      <c r="AF53" s="238">
        <f t="shared" si="31"/>
        <v>2011.4166666666667</v>
      </c>
      <c r="AG53" s="238">
        <f t="shared" si="32"/>
        <v>2016</v>
      </c>
      <c r="AH53" s="238">
        <f t="shared" si="33"/>
        <v>-8.3333333333333329E-2</v>
      </c>
    </row>
    <row r="54" spans="1:34">
      <c r="A54" s="237">
        <v>31408</v>
      </c>
      <c r="B54" s="237" t="s">
        <v>92</v>
      </c>
      <c r="C54" s="237">
        <v>801</v>
      </c>
      <c r="D54" s="237" t="s">
        <v>456</v>
      </c>
      <c r="E54" s="237">
        <v>2005</v>
      </c>
      <c r="F54" s="237">
        <v>3</v>
      </c>
      <c r="G54" s="237">
        <v>0.2</v>
      </c>
      <c r="I54" s="237" t="s">
        <v>52</v>
      </c>
      <c r="J54" s="237">
        <v>7</v>
      </c>
      <c r="K54" s="237">
        <f t="shared" si="17"/>
        <v>2012</v>
      </c>
      <c r="N54" s="238">
        <f>100692.45+97960.58+3602.39</f>
        <v>202255.42</v>
      </c>
      <c r="P54" s="238">
        <f t="shared" si="18"/>
        <v>161804.33600000001</v>
      </c>
      <c r="Q54" s="238">
        <f t="shared" si="19"/>
        <v>1926.2420952380953</v>
      </c>
      <c r="R54" s="238">
        <f t="shared" si="20"/>
        <v>0</v>
      </c>
      <c r="S54" s="238">
        <f t="shared" si="21"/>
        <v>0</v>
      </c>
      <c r="T54" s="238">
        <f t="shared" si="22"/>
        <v>0</v>
      </c>
      <c r="U54" s="238">
        <v>1</v>
      </c>
      <c r="V54" s="238">
        <f t="shared" si="23"/>
        <v>0</v>
      </c>
      <c r="X54" s="238">
        <f t="shared" si="24"/>
        <v>161804.33600000001</v>
      </c>
      <c r="Y54" s="238">
        <f t="shared" si="25"/>
        <v>161804.33600000001</v>
      </c>
      <c r="Z54" s="238">
        <v>1</v>
      </c>
      <c r="AA54" s="238">
        <f t="shared" si="26"/>
        <v>161804.33600000001</v>
      </c>
      <c r="AB54" s="238">
        <f t="shared" si="27"/>
        <v>161804.33600000001</v>
      </c>
      <c r="AC54" s="238">
        <f t="shared" si="28"/>
        <v>40451.084000000003</v>
      </c>
      <c r="AD54" s="238">
        <f t="shared" si="29"/>
        <v>2005.1666666666667</v>
      </c>
      <c r="AE54" s="238">
        <f t="shared" si="30"/>
        <v>2017</v>
      </c>
      <c r="AF54" s="238">
        <f t="shared" si="31"/>
        <v>2012.1666666666667</v>
      </c>
      <c r="AG54" s="238">
        <f t="shared" si="32"/>
        <v>2016</v>
      </c>
      <c r="AH54" s="238">
        <f t="shared" si="33"/>
        <v>-8.3333333333333329E-2</v>
      </c>
    </row>
    <row r="55" spans="1:34">
      <c r="A55" s="237">
        <v>31409</v>
      </c>
      <c r="B55" s="237" t="s">
        <v>92</v>
      </c>
      <c r="C55" s="237">
        <v>802</v>
      </c>
      <c r="D55" s="237" t="s">
        <v>456</v>
      </c>
      <c r="E55" s="237">
        <v>2005</v>
      </c>
      <c r="F55" s="237">
        <v>3</v>
      </c>
      <c r="G55" s="237">
        <v>0.2</v>
      </c>
      <c r="I55" s="237" t="s">
        <v>52</v>
      </c>
      <c r="J55" s="237">
        <v>7</v>
      </c>
      <c r="K55" s="237">
        <f t="shared" si="17"/>
        <v>2012</v>
      </c>
      <c r="N55" s="238">
        <f>100692.45+97960.58+3602.39</f>
        <v>202255.42</v>
      </c>
      <c r="P55" s="238">
        <f t="shared" si="18"/>
        <v>161804.33600000001</v>
      </c>
      <c r="Q55" s="238">
        <f t="shared" si="19"/>
        <v>1926.2420952380953</v>
      </c>
      <c r="R55" s="238">
        <f t="shared" si="20"/>
        <v>0</v>
      </c>
      <c r="S55" s="238">
        <f t="shared" si="21"/>
        <v>0</v>
      </c>
      <c r="T55" s="238">
        <f t="shared" si="22"/>
        <v>0</v>
      </c>
      <c r="U55" s="238">
        <v>1</v>
      </c>
      <c r="V55" s="238">
        <f t="shared" si="23"/>
        <v>0</v>
      </c>
      <c r="X55" s="238">
        <f t="shared" si="24"/>
        <v>161804.33600000001</v>
      </c>
      <c r="Y55" s="238">
        <f t="shared" si="25"/>
        <v>161804.33600000001</v>
      </c>
      <c r="Z55" s="238">
        <v>1</v>
      </c>
      <c r="AA55" s="238">
        <f t="shared" si="26"/>
        <v>161804.33600000001</v>
      </c>
      <c r="AB55" s="238">
        <f t="shared" si="27"/>
        <v>161804.33600000001</v>
      </c>
      <c r="AC55" s="238">
        <f t="shared" si="28"/>
        <v>40451.084000000003</v>
      </c>
      <c r="AD55" s="238">
        <f t="shared" si="29"/>
        <v>2005.1666666666667</v>
      </c>
      <c r="AE55" s="238">
        <f t="shared" si="30"/>
        <v>2017</v>
      </c>
      <c r="AF55" s="238">
        <f t="shared" si="31"/>
        <v>2012.1666666666667</v>
      </c>
      <c r="AG55" s="238">
        <f t="shared" si="32"/>
        <v>2016</v>
      </c>
      <c r="AH55" s="238">
        <f t="shared" si="33"/>
        <v>-8.3333333333333329E-2</v>
      </c>
    </row>
    <row r="56" spans="1:34">
      <c r="B56" s="237" t="s">
        <v>92</v>
      </c>
      <c r="D56" s="237" t="s">
        <v>457</v>
      </c>
      <c r="E56" s="237">
        <v>2008</v>
      </c>
      <c r="F56" s="237">
        <v>4</v>
      </c>
      <c r="G56" s="237">
        <v>0.2</v>
      </c>
      <c r="I56" s="237" t="s">
        <v>52</v>
      </c>
      <c r="J56" s="237">
        <v>7</v>
      </c>
      <c r="K56" s="237">
        <f t="shared" si="17"/>
        <v>2015</v>
      </c>
      <c r="N56" s="238">
        <f>545.43+545.43</f>
        <v>1090.8599999999999</v>
      </c>
      <c r="P56" s="238">
        <f t="shared" si="18"/>
        <v>872.68799999999987</v>
      </c>
      <c r="Q56" s="238">
        <f t="shared" si="19"/>
        <v>10.389142857142856</v>
      </c>
      <c r="R56" s="238">
        <f t="shared" si="20"/>
        <v>0</v>
      </c>
      <c r="S56" s="238">
        <f t="shared" si="21"/>
        <v>0</v>
      </c>
      <c r="T56" s="238">
        <f t="shared" si="22"/>
        <v>0</v>
      </c>
      <c r="U56" s="238">
        <v>1</v>
      </c>
      <c r="V56" s="238">
        <f t="shared" si="23"/>
        <v>0</v>
      </c>
      <c r="X56" s="238">
        <f t="shared" si="24"/>
        <v>872.68799999999987</v>
      </c>
      <c r="Y56" s="238">
        <f t="shared" si="25"/>
        <v>872.68799999999987</v>
      </c>
      <c r="Z56" s="238">
        <v>1</v>
      </c>
      <c r="AA56" s="238">
        <f t="shared" si="26"/>
        <v>872.68799999999987</v>
      </c>
      <c r="AB56" s="238">
        <f t="shared" si="27"/>
        <v>872.68799999999987</v>
      </c>
      <c r="AC56" s="238">
        <f t="shared" si="28"/>
        <v>218.17200000000003</v>
      </c>
      <c r="AD56" s="238">
        <f t="shared" si="29"/>
        <v>2008.25</v>
      </c>
      <c r="AE56" s="238">
        <f t="shared" si="30"/>
        <v>2017</v>
      </c>
      <c r="AF56" s="238">
        <f t="shared" si="31"/>
        <v>2015.25</v>
      </c>
      <c r="AG56" s="238">
        <f t="shared" si="32"/>
        <v>2016</v>
      </c>
      <c r="AH56" s="238">
        <f t="shared" si="33"/>
        <v>-8.3333333333333329E-2</v>
      </c>
    </row>
    <row r="57" spans="1:34">
      <c r="A57" s="237">
        <v>88705</v>
      </c>
      <c r="B57" s="237" t="s">
        <v>54</v>
      </c>
      <c r="C57" s="237">
        <v>139</v>
      </c>
      <c r="D57" s="237" t="s">
        <v>458</v>
      </c>
      <c r="E57" s="237">
        <v>2011</v>
      </c>
      <c r="F57" s="237">
        <v>12</v>
      </c>
      <c r="G57" s="237">
        <v>0.2</v>
      </c>
      <c r="I57" s="237" t="s">
        <v>52</v>
      </c>
      <c r="J57" s="237">
        <v>7</v>
      </c>
      <c r="K57" s="237">
        <f t="shared" si="17"/>
        <v>2018</v>
      </c>
      <c r="N57" s="238">
        <v>105733.19</v>
      </c>
      <c r="P57" s="238">
        <f t="shared" si="18"/>
        <v>84586.551999999996</v>
      </c>
      <c r="Q57" s="238">
        <f t="shared" si="19"/>
        <v>1006.9827619047619</v>
      </c>
      <c r="R57" s="238">
        <f t="shared" si="20"/>
        <v>12083.793142857143</v>
      </c>
      <c r="S57" s="238">
        <f t="shared" si="21"/>
        <v>0</v>
      </c>
      <c r="T57" s="238">
        <f t="shared" si="22"/>
        <v>12083.793142857143</v>
      </c>
      <c r="U57" s="238">
        <v>1</v>
      </c>
      <c r="V57" s="238">
        <f t="shared" si="23"/>
        <v>12083.793142857143</v>
      </c>
      <c r="X57" s="238">
        <f t="shared" si="24"/>
        <v>49342.155333332419</v>
      </c>
      <c r="Y57" s="238">
        <f t="shared" si="25"/>
        <v>49342.155333332419</v>
      </c>
      <c r="Z57" s="238">
        <v>1</v>
      </c>
      <c r="AA57" s="238">
        <f t="shared" si="26"/>
        <v>49342.155333332419</v>
      </c>
      <c r="AB57" s="238">
        <f t="shared" si="27"/>
        <v>61425.948476189558</v>
      </c>
      <c r="AC57" s="238">
        <f t="shared" si="28"/>
        <v>50349.138095239017</v>
      </c>
      <c r="AD57" s="238">
        <f t="shared" si="29"/>
        <v>2011.9166666666667</v>
      </c>
      <c r="AE57" s="238">
        <f t="shared" si="30"/>
        <v>2017</v>
      </c>
      <c r="AF57" s="238">
        <f t="shared" si="31"/>
        <v>2018.9166666666667</v>
      </c>
      <c r="AG57" s="238">
        <f t="shared" si="32"/>
        <v>2016</v>
      </c>
      <c r="AH57" s="238">
        <f t="shared" si="33"/>
        <v>-8.3333333333333329E-2</v>
      </c>
    </row>
    <row r="58" spans="1:34">
      <c r="C58" s="237">
        <v>139</v>
      </c>
      <c r="D58" s="237" t="s">
        <v>459</v>
      </c>
      <c r="E58" s="237">
        <v>2011</v>
      </c>
      <c r="F58" s="237">
        <v>12</v>
      </c>
      <c r="G58" s="237">
        <v>0.2</v>
      </c>
      <c r="I58" s="237" t="s">
        <v>52</v>
      </c>
      <c r="J58" s="237">
        <v>7</v>
      </c>
      <c r="K58" s="237">
        <f t="shared" si="17"/>
        <v>2018</v>
      </c>
      <c r="N58" s="238">
        <f>642*2</f>
        <v>1284</v>
      </c>
      <c r="P58" s="238">
        <f t="shared" si="18"/>
        <v>1027.2</v>
      </c>
      <c r="Q58" s="238">
        <f t="shared" si="19"/>
        <v>12.22857142857143</v>
      </c>
      <c r="R58" s="238">
        <f t="shared" si="20"/>
        <v>146.74285714285716</v>
      </c>
      <c r="S58" s="238">
        <f t="shared" si="21"/>
        <v>0</v>
      </c>
      <c r="T58" s="238">
        <f t="shared" si="22"/>
        <v>146.74285714285716</v>
      </c>
      <c r="U58" s="238">
        <v>1</v>
      </c>
      <c r="V58" s="238">
        <f t="shared" si="23"/>
        <v>146.74285714285716</v>
      </c>
      <c r="X58" s="238">
        <f t="shared" si="24"/>
        <v>599.1999999999889</v>
      </c>
      <c r="Y58" s="238">
        <f t="shared" si="25"/>
        <v>599.1999999999889</v>
      </c>
      <c r="Z58" s="238">
        <v>1</v>
      </c>
      <c r="AA58" s="238">
        <f t="shared" si="26"/>
        <v>599.1999999999889</v>
      </c>
      <c r="AB58" s="238">
        <f t="shared" si="27"/>
        <v>745.94285714284604</v>
      </c>
      <c r="AC58" s="238">
        <f t="shared" si="28"/>
        <v>611.42857142858247</v>
      </c>
      <c r="AD58" s="238">
        <f t="shared" si="29"/>
        <v>2011.9166666666667</v>
      </c>
      <c r="AE58" s="238">
        <f t="shared" si="30"/>
        <v>2017</v>
      </c>
      <c r="AF58" s="238">
        <f t="shared" si="31"/>
        <v>2018.9166666666667</v>
      </c>
      <c r="AG58" s="238">
        <f t="shared" si="32"/>
        <v>2016</v>
      </c>
      <c r="AH58" s="238">
        <f t="shared" si="33"/>
        <v>-8.3333333333333329E-2</v>
      </c>
    </row>
    <row r="59" spans="1:34">
      <c r="A59" s="237">
        <v>116567</v>
      </c>
      <c r="C59" s="237">
        <v>829</v>
      </c>
      <c r="D59" s="237" t="s">
        <v>318</v>
      </c>
      <c r="E59" s="237">
        <v>2014</v>
      </c>
      <c r="F59" s="237">
        <v>10</v>
      </c>
      <c r="G59" s="237">
        <v>0.2</v>
      </c>
      <c r="I59" s="237" t="s">
        <v>52</v>
      </c>
      <c r="J59" s="237">
        <v>7</v>
      </c>
      <c r="K59" s="237">
        <f t="shared" si="17"/>
        <v>2021</v>
      </c>
      <c r="N59" s="238">
        <v>324730.3</v>
      </c>
      <c r="P59" s="238">
        <f>N59-N59*G59</f>
        <v>259784.24</v>
      </c>
      <c r="Q59" s="238">
        <f>P59/J59/12</f>
        <v>3092.6695238095235</v>
      </c>
      <c r="R59" s="238">
        <f>IF(O59&gt;0,0,IF(OR(AD59&gt;AE59,AF59&lt;AG59),0,IF(AND(AF59&gt;=AG59,AF59&lt;=AE59),Q59*((AF59-AG59)*12),IF(AND(AG59&lt;=AD59,AE59&gt;=AD59),((AE59-AD59)*12)*Q59,IF(AF59&gt;AE59,12*Q59,0)))))</f>
        <v>37112.034285714282</v>
      </c>
      <c r="S59" s="238">
        <f>IF(O59=0,0,IF(AND(AH59&gt;=AG59,AH59&lt;=AF59),((AH59-AG59)*12)*Q59,0))</f>
        <v>0</v>
      </c>
      <c r="T59" s="238">
        <f>IF(S59&gt;0,S59,R59)</f>
        <v>37112.034285714282</v>
      </c>
      <c r="U59" s="238">
        <v>1</v>
      </c>
      <c r="V59" s="238">
        <f>U59*SUM(R59:S59)</f>
        <v>37112.034285714282</v>
      </c>
      <c r="X59" s="238">
        <f>IF(AD59&gt;AE59,0,IF(AF59&lt;AG59,P59,IF(AND(AF59&gt;=AG59,AF59&lt;=AE59),(P59-T59),IF(AND(AG59&lt;=AD59,AE59&gt;=AD59),0,IF(AF59&gt;AE59,((AG59-AD59)*12)*Q59,0)))))</f>
        <v>46390.042857142849</v>
      </c>
      <c r="Y59" s="238">
        <f>X59*U59</f>
        <v>46390.042857142849</v>
      </c>
      <c r="Z59" s="238">
        <v>1</v>
      </c>
      <c r="AA59" s="238">
        <f>Y59*Z59</f>
        <v>46390.042857142849</v>
      </c>
      <c r="AB59" s="238">
        <f>IF(O59&gt;0,0,AA59+V59*Z59)*Z59</f>
        <v>83502.077142857132</v>
      </c>
      <c r="AC59" s="238">
        <f>IF(O59&gt;0,(N59-AA59)/2,IF(AD59&gt;=AG59,(((N59*U59)*Z59)-AB59)/2,((((N59*U59)*Z59)-AA59)+(((N59*U59)*Z59)-AB59))/2))</f>
        <v>259784.24</v>
      </c>
      <c r="AD59" s="238">
        <f t="shared" si="29"/>
        <v>2014.75</v>
      </c>
      <c r="AE59" s="238">
        <f t="shared" si="30"/>
        <v>2017</v>
      </c>
      <c r="AF59" s="238">
        <f t="shared" si="31"/>
        <v>2021.75</v>
      </c>
      <c r="AG59" s="238">
        <f t="shared" si="32"/>
        <v>2016</v>
      </c>
      <c r="AH59" s="238">
        <f t="shared" si="33"/>
        <v>-8.3333333333333329E-2</v>
      </c>
    </row>
    <row r="60" spans="1:34">
      <c r="A60" s="237">
        <v>132076</v>
      </c>
      <c r="C60" s="237">
        <v>836</v>
      </c>
      <c r="D60" s="237" t="s">
        <v>460</v>
      </c>
      <c r="E60" s="237">
        <v>2016</v>
      </c>
      <c r="F60" s="237">
        <v>3</v>
      </c>
      <c r="G60" s="237">
        <v>0</v>
      </c>
      <c r="I60" s="237" t="s">
        <v>52</v>
      </c>
      <c r="J60" s="237">
        <v>10</v>
      </c>
      <c r="K60" s="237">
        <f t="shared" si="17"/>
        <v>2026</v>
      </c>
      <c r="N60" s="238">
        <v>326844.58</v>
      </c>
      <c r="P60" s="238">
        <f>N60-N60*G60</f>
        <v>326844.58</v>
      </c>
      <c r="Q60" s="238">
        <f>P60/J60/12</f>
        <v>2723.7048333333337</v>
      </c>
      <c r="R60" s="238">
        <f>IF(O60&gt;0,0,IF(OR(AD60&gt;AE60,AF60&lt;AG60),0,IF(AND(AF60&gt;=AG60,AF60&lt;=AE60),Q60*((AF60-AG60)*12),IF(AND(AG60&lt;=AD60,AE60&gt;=AD60),((AE60-AD60)*12)*Q60,IF(AF60&gt;AE60,12*Q60,0)))))</f>
        <v>27237.048333330858</v>
      </c>
      <c r="S60" s="238">
        <f>IF(O60=0,0,IF(AND(AH60&gt;=AG60,AH60&lt;=AF60),((AH60-AG60)*12)*Q60,0))</f>
        <v>0</v>
      </c>
      <c r="T60" s="238">
        <f>IF(S60&gt;0,S60,R60)</f>
        <v>27237.048333330858</v>
      </c>
      <c r="U60" s="238">
        <v>1</v>
      </c>
      <c r="V60" s="238">
        <f>U60*SUM(R60:S60)</f>
        <v>27237.048333330858</v>
      </c>
      <c r="X60" s="238">
        <f>IF(AD60&gt;AE60,0,IF(AF60&lt;AG60,P60,IF(AND(AF60&gt;=AG60,AF60&lt;=AE60),(P60-T60),IF(AND(AG60&lt;=AD60,AE60&gt;=AD60),0,IF(AF60&gt;AE60,((AG60-AD60)*12)*Q60,0)))))</f>
        <v>0</v>
      </c>
      <c r="Y60" s="238">
        <f>X60*U60</f>
        <v>0</v>
      </c>
      <c r="Z60" s="238">
        <v>1</v>
      </c>
      <c r="AA60" s="238">
        <f>Y60*Z60</f>
        <v>0</v>
      </c>
      <c r="AB60" s="238">
        <f>IF(O60&gt;0,0,AA60+V60*Z60)*Z60</f>
        <v>27237.048333330858</v>
      </c>
      <c r="AC60" s="238">
        <f>IF(O60&gt;0,(N60-AA60)/2,IF(AD60&gt;=AG60,(((N60*U60)*Z60)-AB60)/2,((((N60*U60)*Z60)-AA60)+(((N60*U60)*Z60)-AB60))/2))</f>
        <v>149803.76583333459</v>
      </c>
      <c r="AD60" s="238">
        <f>$E60+(($F60-1)/12)</f>
        <v>2016.1666666666667</v>
      </c>
      <c r="AE60" s="238">
        <f t="shared" si="30"/>
        <v>2017</v>
      </c>
      <c r="AF60" s="238">
        <f>$K60+(($F60-1)/12)</f>
        <v>2026.1666666666667</v>
      </c>
      <c r="AG60" s="238">
        <f t="shared" si="32"/>
        <v>2016</v>
      </c>
      <c r="AH60" s="238">
        <f>$L60+(($M60-1)/12)</f>
        <v>-8.3333333333333329E-2</v>
      </c>
    </row>
    <row r="62" spans="1:34" ht="13.5" thickBot="1">
      <c r="D62" s="237" t="s">
        <v>97</v>
      </c>
      <c r="N62" s="238">
        <f>SUM(N52:N61)</f>
        <v>1351170.31</v>
      </c>
      <c r="P62" s="238">
        <f>SUM(P52:P61)</f>
        <v>1146305.1639999999</v>
      </c>
      <c r="Q62" s="238">
        <f>SUM(Q52:Q61)</f>
        <v>12479.187976190477</v>
      </c>
      <c r="R62" s="238">
        <f>SUM(R52:R61)</f>
        <v>76579.618619045141</v>
      </c>
      <c r="V62" s="238">
        <f>SUM(V52:V61)</f>
        <v>76579.618619045141</v>
      </c>
      <c r="AA62" s="238">
        <f>SUM(AA52:AA61)</f>
        <v>570393.99019047525</v>
      </c>
      <c r="AB62" s="238">
        <f>SUM(AB52:AB61)</f>
        <v>646973.60880952049</v>
      </c>
      <c r="AC62" s="238">
        <f>SUM(AC52:AC61)</f>
        <v>579064.22050000215</v>
      </c>
    </row>
    <row r="64" spans="1:34">
      <c r="D64" s="237" t="s">
        <v>98</v>
      </c>
    </row>
    <row r="65" spans="1:34">
      <c r="B65" s="237" t="s">
        <v>99</v>
      </c>
      <c r="C65" s="237" t="s">
        <v>57</v>
      </c>
      <c r="D65" s="237" t="s">
        <v>461</v>
      </c>
      <c r="E65" s="237">
        <v>91</v>
      </c>
      <c r="F65" s="237">
        <v>12</v>
      </c>
      <c r="G65" s="237">
        <v>0</v>
      </c>
      <c r="I65" s="237" t="s">
        <v>52</v>
      </c>
      <c r="J65" s="237">
        <v>5</v>
      </c>
      <c r="K65" s="237">
        <f t="shared" ref="K65:K70" si="34">E65+J65</f>
        <v>96</v>
      </c>
      <c r="N65" s="238">
        <v>980.98</v>
      </c>
      <c r="P65" s="238">
        <f t="shared" ref="P65:P70" si="35">N65-N65*G65</f>
        <v>980.98</v>
      </c>
      <c r="Q65" s="238">
        <f t="shared" ref="Q65:Q70" si="36">P65/J65/12</f>
        <v>16.349666666666668</v>
      </c>
      <c r="R65" s="238">
        <f t="shared" ref="R65:R70" si="37">IF(O65&gt;0,0,IF(OR(AD65&gt;AE65,AF65&lt;AG65),0,IF(AND(AF65&gt;=AG65,AF65&lt;=AE65),Q65*((AF65-AG65)*12),IF(AND(AG65&lt;=AD65,AE65&gt;=AD65),((AE65-AD65)*12)*Q65,IF(AF65&gt;AE65,12*Q65,0)))))</f>
        <v>0</v>
      </c>
      <c r="S65" s="238">
        <f t="shared" ref="S65:S70" si="38">IF(O65=0,0,IF(AND(AH65&gt;=AG65,AH65&lt;=AF65),((AH65-AG65)*12)*Q65,0))</f>
        <v>0</v>
      </c>
      <c r="T65" s="238">
        <f t="shared" ref="T65:T70" si="39">IF(S65&gt;0,S65,R65)</f>
        <v>0</v>
      </c>
      <c r="U65" s="238">
        <v>1</v>
      </c>
      <c r="V65" s="238">
        <f t="shared" ref="V65:V70" si="40">U65*SUM(R65:S65)</f>
        <v>0</v>
      </c>
      <c r="X65" s="238">
        <f t="shared" ref="X65:X70" si="41">IF(AD65&gt;AE65,0,IF(AF65&lt;AG65,P65,IF(AND(AF65&gt;=AG65,AF65&lt;=AE65),(P65-T65),IF(AND(AG65&lt;=AD65,AE65&gt;=AD65),0,IF(AF65&gt;AE65,((AG65-AD65)*12)*Q65,0)))))</f>
        <v>980.98</v>
      </c>
      <c r="Y65" s="238">
        <f t="shared" ref="Y65:Y70" si="42">X65*U65</f>
        <v>980.98</v>
      </c>
      <c r="Z65" s="238">
        <v>1</v>
      </c>
      <c r="AA65" s="238">
        <f t="shared" ref="AA65:AA70" si="43">Y65*Z65</f>
        <v>980.98</v>
      </c>
      <c r="AB65" s="238">
        <f t="shared" ref="AB65:AB70" si="44">IF(O65&gt;0,0,AA65+V65*Z65)*Z65</f>
        <v>980.98</v>
      </c>
      <c r="AC65" s="238">
        <f t="shared" ref="AC65:AC70" si="45">IF(O65&gt;0,(N65-AA65)/2,IF(AD65&gt;=AG65,(((N65*U65)*Z65)-AB65)/2,((((N65*U65)*Z65)-AA65)+(((N65*U65)*Z65)-AB65))/2))</f>
        <v>0</v>
      </c>
      <c r="AD65" s="238">
        <f t="shared" ref="AD65:AD70" si="46">$E65+(($F65-1)/12)</f>
        <v>91.916666666666671</v>
      </c>
      <c r="AE65" s="238">
        <f>($P$5+1)-($P$2/12)</f>
        <v>2017</v>
      </c>
      <c r="AF65" s="238">
        <f t="shared" ref="AF65:AF70" si="47">$K65+(($F65-1)/12)</f>
        <v>96.916666666666671</v>
      </c>
      <c r="AG65" s="238">
        <f>$P$4+($P$3/12)</f>
        <v>2016</v>
      </c>
      <c r="AH65" s="238">
        <f t="shared" ref="AH65:AH70" si="48">$L65+(($M65-1)/12)</f>
        <v>-8.3333333333333329E-2</v>
      </c>
    </row>
    <row r="66" spans="1:34">
      <c r="B66" s="237" t="s">
        <v>99</v>
      </c>
      <c r="D66" s="237" t="s">
        <v>457</v>
      </c>
      <c r="E66" s="237">
        <v>2008</v>
      </c>
      <c r="F66" s="237">
        <v>4</v>
      </c>
      <c r="G66" s="237">
        <v>0.2</v>
      </c>
      <c r="I66" s="237" t="s">
        <v>52</v>
      </c>
      <c r="J66" s="237">
        <v>7</v>
      </c>
      <c r="K66" s="237">
        <f t="shared" si="34"/>
        <v>2015</v>
      </c>
      <c r="N66" s="238">
        <f>560.39+560.39</f>
        <v>1120.78</v>
      </c>
      <c r="P66" s="238">
        <f t="shared" si="35"/>
        <v>896.62400000000002</v>
      </c>
      <c r="Q66" s="238">
        <f t="shared" si="36"/>
        <v>10.674095238095239</v>
      </c>
      <c r="R66" s="238">
        <f t="shared" si="37"/>
        <v>0</v>
      </c>
      <c r="S66" s="238">
        <f t="shared" si="38"/>
        <v>0</v>
      </c>
      <c r="T66" s="238">
        <f t="shared" si="39"/>
        <v>0</v>
      </c>
      <c r="U66" s="238">
        <v>1</v>
      </c>
      <c r="V66" s="238">
        <f t="shared" si="40"/>
        <v>0</v>
      </c>
      <c r="X66" s="238">
        <f t="shared" si="41"/>
        <v>896.62400000000002</v>
      </c>
      <c r="Y66" s="238">
        <f t="shared" si="42"/>
        <v>896.62400000000002</v>
      </c>
      <c r="Z66" s="238">
        <v>1</v>
      </c>
      <c r="AA66" s="238">
        <f t="shared" si="43"/>
        <v>896.62400000000002</v>
      </c>
      <c r="AB66" s="238">
        <f t="shared" si="44"/>
        <v>896.62400000000002</v>
      </c>
      <c r="AC66" s="238">
        <f t="shared" si="45"/>
        <v>224.15599999999995</v>
      </c>
      <c r="AD66" s="238">
        <f t="shared" si="46"/>
        <v>2008.25</v>
      </c>
      <c r="AE66" s="238">
        <f>($P$5+1)-($P$2/12)</f>
        <v>2017</v>
      </c>
      <c r="AF66" s="238">
        <f t="shared" si="47"/>
        <v>2015.25</v>
      </c>
      <c r="AG66" s="238">
        <f>$P$4+($P$3/12)</f>
        <v>2016</v>
      </c>
      <c r="AH66" s="238">
        <f t="shared" si="48"/>
        <v>-8.3333333333333329E-2</v>
      </c>
    </row>
    <row r="67" spans="1:34">
      <c r="A67" s="237">
        <v>64782</v>
      </c>
      <c r="B67" s="237" t="s">
        <v>99</v>
      </c>
      <c r="C67" s="237">
        <v>816</v>
      </c>
      <c r="D67" s="237" t="s">
        <v>462</v>
      </c>
      <c r="E67" s="237">
        <v>2009</v>
      </c>
      <c r="F67" s="237">
        <v>5</v>
      </c>
      <c r="G67" s="237">
        <v>0.33</v>
      </c>
      <c r="I67" s="237" t="s">
        <v>52</v>
      </c>
      <c r="J67" s="237">
        <v>5</v>
      </c>
      <c r="K67" s="237">
        <f t="shared" si="34"/>
        <v>2014</v>
      </c>
      <c r="N67" s="238">
        <v>212304.54</v>
      </c>
      <c r="P67" s="238">
        <f t="shared" si="35"/>
        <v>142244.04180000001</v>
      </c>
      <c r="Q67" s="238">
        <f t="shared" si="36"/>
        <v>2370.7340300000001</v>
      </c>
      <c r="R67" s="238">
        <f t="shared" si="37"/>
        <v>0</v>
      </c>
      <c r="S67" s="238">
        <f t="shared" si="38"/>
        <v>0</v>
      </c>
      <c r="T67" s="238">
        <f t="shared" si="39"/>
        <v>0</v>
      </c>
      <c r="U67" s="238">
        <v>1</v>
      </c>
      <c r="V67" s="238">
        <f t="shared" si="40"/>
        <v>0</v>
      </c>
      <c r="X67" s="238">
        <f t="shared" si="41"/>
        <v>142244.04180000001</v>
      </c>
      <c r="Y67" s="238">
        <f t="shared" si="42"/>
        <v>142244.04180000001</v>
      </c>
      <c r="Z67" s="238">
        <v>1</v>
      </c>
      <c r="AA67" s="238">
        <f t="shared" si="43"/>
        <v>142244.04180000001</v>
      </c>
      <c r="AB67" s="238">
        <f t="shared" si="44"/>
        <v>142244.04180000001</v>
      </c>
      <c r="AC67" s="238">
        <f t="shared" si="45"/>
        <v>70060.498200000002</v>
      </c>
      <c r="AD67" s="238">
        <f t="shared" si="46"/>
        <v>2009.3333333333333</v>
      </c>
      <c r="AE67" s="238">
        <f>($P$5+1)-($P$2/12)</f>
        <v>2017</v>
      </c>
      <c r="AF67" s="238">
        <f t="shared" si="47"/>
        <v>2014.3333333333333</v>
      </c>
      <c r="AG67" s="238">
        <f>$P$4+($P$3/12)</f>
        <v>2016</v>
      </c>
      <c r="AH67" s="238">
        <f t="shared" si="48"/>
        <v>-8.3333333333333329E-2</v>
      </c>
    </row>
    <row r="68" spans="1:34">
      <c r="A68" s="237" t="s">
        <v>616</v>
      </c>
      <c r="C68" s="237">
        <v>817</v>
      </c>
      <c r="D68" s="237" t="s">
        <v>463</v>
      </c>
      <c r="E68" s="237">
        <v>2010</v>
      </c>
      <c r="F68" s="237">
        <v>6</v>
      </c>
      <c r="G68" s="237">
        <v>0</v>
      </c>
      <c r="I68" s="237" t="s">
        <v>52</v>
      </c>
      <c r="J68" s="237">
        <v>10</v>
      </c>
      <c r="K68" s="237">
        <f>E68+J68</f>
        <v>2020</v>
      </c>
      <c r="N68" s="238">
        <f>138066.26+133793.45+137.06+1916.25</f>
        <v>273913.02</v>
      </c>
      <c r="P68" s="238">
        <f>N68-N68*G68</f>
        <v>273913.02</v>
      </c>
      <c r="Q68" s="238">
        <f>P68/J68/12</f>
        <v>2282.6085000000003</v>
      </c>
      <c r="R68" s="238">
        <f>IF(O68&gt;0,0,IF(OR(AD68&gt;AE68,AF68&lt;AG68),0,IF(AND(AF68&gt;=AG68,AF68&lt;=AE68),Q68*((AF68-AG68)*12),IF(AND(AG68&lt;=AD68,AE68&gt;=AD68),((AE68-AD68)*12)*Q68,IF(AF68&gt;AE68,12*Q68,0)))))</f>
        <v>27391.302000000003</v>
      </c>
      <c r="S68" s="238">
        <f>IF(O68=0,0,IF(AND(AH68&gt;=AG68,AH68&lt;=AF68),((AH68-AG68)*12)*Q68,0))</f>
        <v>0</v>
      </c>
      <c r="T68" s="238">
        <f>IF(S68&gt;0,S68,R68)</f>
        <v>27391.302000000003</v>
      </c>
      <c r="U68" s="238">
        <v>1</v>
      </c>
      <c r="V68" s="238">
        <f>U68*SUM(R68:S68)</f>
        <v>27391.302000000003</v>
      </c>
      <c r="X68" s="238">
        <f>IF(AD68&gt;AE68,0,IF(AF68&lt;AG68,P68,IF(AND(AF68&gt;=AG68,AF68&lt;=AE68),(P68-T68),IF(AND(AG68&lt;=AD68,AE68&gt;=AD68),0,IF(AF68&gt;AE68,((AG68-AD68)*12)*Q68,0)))))</f>
        <v>152934.76949999793</v>
      </c>
      <c r="Y68" s="238">
        <f>X68*U68</f>
        <v>152934.76949999793</v>
      </c>
      <c r="Z68" s="238">
        <v>1</v>
      </c>
      <c r="AA68" s="238">
        <f>Y68*Z68</f>
        <v>152934.76949999793</v>
      </c>
      <c r="AB68" s="238">
        <f>IF(O68&gt;0,0,AA68+V68*Z68)*Z68</f>
        <v>180326.07149999792</v>
      </c>
      <c r="AC68" s="238">
        <f>IF(O68&gt;0,(N68-AA68)/2,IF(AD68&gt;=AG68,(((N68*U68)*Z68)-AB68)/2,((((N68*U68)*Z68)-AA68)+(((N68*U68)*Z68)-AB68))/2))</f>
        <v>107282.59950000209</v>
      </c>
      <c r="AD68" s="238">
        <f>$E68+(($F68-1)/12)</f>
        <v>2010.4166666666667</v>
      </c>
      <c r="AE68" s="238">
        <f t="shared" si="30"/>
        <v>2017</v>
      </c>
      <c r="AF68" s="238">
        <f>$K68+(($F68-1)/12)</f>
        <v>2020.4166666666667</v>
      </c>
      <c r="AG68" s="238">
        <f t="shared" si="32"/>
        <v>2016</v>
      </c>
      <c r="AH68" s="238">
        <f>$L68+(($M68-1)/12)</f>
        <v>-8.3333333333333329E-2</v>
      </c>
    </row>
    <row r="69" spans="1:34">
      <c r="A69" s="237">
        <v>110575</v>
      </c>
      <c r="B69" s="237" t="s">
        <v>99</v>
      </c>
      <c r="C69" s="237">
        <v>823</v>
      </c>
      <c r="D69" s="237" t="s">
        <v>312</v>
      </c>
      <c r="E69" s="237">
        <v>2014</v>
      </c>
      <c r="F69" s="237">
        <v>1</v>
      </c>
      <c r="G69" s="237">
        <v>0.2</v>
      </c>
      <c r="I69" s="237" t="s">
        <v>52</v>
      </c>
      <c r="J69" s="237">
        <v>7</v>
      </c>
      <c r="K69" s="237">
        <f t="shared" si="34"/>
        <v>2021</v>
      </c>
      <c r="N69" s="238">
        <v>319176.65000000002</v>
      </c>
      <c r="P69" s="238">
        <f t="shared" si="35"/>
        <v>255341.32</v>
      </c>
      <c r="Q69" s="238">
        <f t="shared" si="36"/>
        <v>3039.7776190476193</v>
      </c>
      <c r="R69" s="238">
        <f t="shared" si="37"/>
        <v>0</v>
      </c>
      <c r="S69" s="238">
        <f t="shared" si="38"/>
        <v>0</v>
      </c>
      <c r="T69" s="238">
        <f t="shared" si="39"/>
        <v>0</v>
      </c>
      <c r="U69" s="238">
        <v>1</v>
      </c>
      <c r="V69" s="238">
        <f t="shared" si="40"/>
        <v>0</v>
      </c>
      <c r="X69" s="238">
        <f t="shared" si="41"/>
        <v>0</v>
      </c>
      <c r="Y69" s="238">
        <f t="shared" si="42"/>
        <v>0</v>
      </c>
      <c r="Z69" s="238">
        <v>1</v>
      </c>
      <c r="AA69" s="238">
        <f t="shared" si="43"/>
        <v>0</v>
      </c>
      <c r="AB69" s="238">
        <f t="shared" si="44"/>
        <v>0</v>
      </c>
      <c r="AC69" s="238">
        <f t="shared" si="45"/>
        <v>159588.32500000001</v>
      </c>
      <c r="AD69" s="238">
        <f t="shared" si="46"/>
        <v>2014</v>
      </c>
      <c r="AE69" s="238">
        <v>2013</v>
      </c>
      <c r="AF69" s="238">
        <f t="shared" si="47"/>
        <v>2021</v>
      </c>
      <c r="AG69" s="238">
        <v>2012</v>
      </c>
      <c r="AH69" s="238">
        <f t="shared" si="48"/>
        <v>-8.3333333333333329E-2</v>
      </c>
    </row>
    <row r="70" spans="1:34">
      <c r="A70" s="237">
        <v>122581</v>
      </c>
      <c r="B70" s="237" t="s">
        <v>99</v>
      </c>
      <c r="C70" s="237">
        <v>832</v>
      </c>
      <c r="D70" s="237" t="s">
        <v>464</v>
      </c>
      <c r="E70" s="237">
        <v>2015</v>
      </c>
      <c r="F70" s="237">
        <v>5</v>
      </c>
      <c r="G70" s="237">
        <v>0.2</v>
      </c>
      <c r="I70" s="237" t="s">
        <v>52</v>
      </c>
      <c r="J70" s="237">
        <v>7</v>
      </c>
      <c r="K70" s="237">
        <f t="shared" si="34"/>
        <v>2022</v>
      </c>
      <c r="N70" s="238">
        <v>326336.78000000003</v>
      </c>
      <c r="P70" s="238">
        <f t="shared" si="35"/>
        <v>261069.42400000003</v>
      </c>
      <c r="Q70" s="238">
        <f t="shared" si="36"/>
        <v>3107.9693333333339</v>
      </c>
      <c r="R70" s="238">
        <f t="shared" si="37"/>
        <v>0</v>
      </c>
      <c r="S70" s="238">
        <f t="shared" si="38"/>
        <v>0</v>
      </c>
      <c r="T70" s="238">
        <f t="shared" si="39"/>
        <v>0</v>
      </c>
      <c r="U70" s="238">
        <v>1</v>
      </c>
      <c r="V70" s="238">
        <f t="shared" si="40"/>
        <v>0</v>
      </c>
      <c r="X70" s="238">
        <f t="shared" si="41"/>
        <v>0</v>
      </c>
      <c r="Y70" s="238">
        <f t="shared" si="42"/>
        <v>0</v>
      </c>
      <c r="Z70" s="238">
        <v>1</v>
      </c>
      <c r="AA70" s="238">
        <f t="shared" si="43"/>
        <v>0</v>
      </c>
      <c r="AB70" s="238">
        <f t="shared" si="44"/>
        <v>0</v>
      </c>
      <c r="AC70" s="238">
        <f t="shared" si="45"/>
        <v>163168.39000000001</v>
      </c>
      <c r="AD70" s="238">
        <f t="shared" si="46"/>
        <v>2015.3333333333333</v>
      </c>
      <c r="AE70" s="238">
        <v>2013</v>
      </c>
      <c r="AF70" s="238">
        <f t="shared" si="47"/>
        <v>2022.3333333333333</v>
      </c>
      <c r="AG70" s="238">
        <v>2012</v>
      </c>
      <c r="AH70" s="238">
        <f t="shared" si="48"/>
        <v>-8.3333333333333329E-2</v>
      </c>
    </row>
    <row r="72" spans="1:34" ht="13.5" thickBot="1">
      <c r="D72" s="237" t="s">
        <v>617</v>
      </c>
      <c r="N72" s="238">
        <f>SUM(N65:N71)</f>
        <v>1133832.75</v>
      </c>
      <c r="P72" s="238">
        <f>SUM(P65:P71)</f>
        <v>934445.40980000002</v>
      </c>
      <c r="Q72" s="238">
        <f>SUM(Q65:Q71)</f>
        <v>10828.113244285716</v>
      </c>
      <c r="R72" s="238">
        <f>SUM(R65:R71)</f>
        <v>27391.302000000003</v>
      </c>
      <c r="V72" s="238">
        <f>SUM(V65:V71)</f>
        <v>27391.302000000003</v>
      </c>
      <c r="AA72" s="238">
        <f>SUM(AA65:AA71)</f>
        <v>297056.4152999979</v>
      </c>
      <c r="AB72" s="238">
        <f>SUM(AB65:AB71)</f>
        <v>324447.71729999792</v>
      </c>
      <c r="AC72" s="238">
        <f>SUM(AC65:AC71)</f>
        <v>500323.96870000212</v>
      </c>
    </row>
    <row r="74" spans="1:34" ht="13.5" thickBot="1">
      <c r="D74" s="237" t="s">
        <v>618</v>
      </c>
      <c r="N74" s="238">
        <f>N33+N42+N62+N72+N48</f>
        <v>4988400.8100000005</v>
      </c>
      <c r="O74" s="238">
        <f>O33+O42+O62+O72+O48</f>
        <v>0</v>
      </c>
      <c r="P74" s="238">
        <f>P33+P42+P62+P72+P48</f>
        <v>4145219.9638</v>
      </c>
      <c r="Q74" s="238">
        <f>Q33+Q42+Q62+Q72+Q48</f>
        <v>48129.315030793659</v>
      </c>
      <c r="R74" s="238">
        <f>R33+R42+R62+R72+R48</f>
        <v>227805.30471825434</v>
      </c>
      <c r="V74" s="238">
        <f>V33+V42+V62+V72+V48</f>
        <v>113243.97436904683</v>
      </c>
      <c r="AA74" s="238">
        <f>AA33+AA42+AA62+AA72+AA48</f>
        <v>2277516.1630460201</v>
      </c>
      <c r="AB74" s="238">
        <f>AB33+AB42+AB62+AB72+AB48</f>
        <v>2505321.4677642742</v>
      </c>
      <c r="AC74" s="238">
        <f>AC33+AC42+AC62+AC72+AC48</f>
        <v>1989046.8445948528</v>
      </c>
    </row>
    <row r="75" spans="1:34" ht="13.5" thickTop="1"/>
  </sheetData>
  <pageMargins left="0.5" right="0.5" top="0.5" bottom="0.55000000000000004" header="0.5" footer="0.5"/>
  <pageSetup scale="50" orientation="landscape"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6CC61C822813124988EB19D194302FD9" ma:contentTypeVersion="68" ma:contentTypeDescription="" ma:contentTypeScope="" ma:versionID="f2ee5eef73656c9f0c7b228e101cc95e">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a924c8152a3ca6d41f5defb10cfa585"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2018-11-15T08:00:00+00:00</OpenedDate>
    <SignificantOrder xmlns="dc463f71-b30c-4ab2-9473-d307f9d35888">false</SignificantOrder>
    <Date1 xmlns="dc463f71-b30c-4ab2-9473-d307f9d35888">2018-11-15T08:00:00+00:00</Date1>
    <IsDocumentOrder xmlns="dc463f71-b30c-4ab2-9473-d307f9d35888">false</IsDocumentOrder>
    <IsHighlyConfidential xmlns="dc463f71-b30c-4ab2-9473-d307f9d35888">false</IsHighlyConfidential>
    <CaseCompanyNames xmlns="dc463f71-b30c-4ab2-9473-d307f9d35888">MURREY'S DISPOSAL COMPANY, INC.</CaseCompanyNames>
    <Nickname xmlns="http://schemas.microsoft.com/sharepoint/v3" xsi:nil="true"/>
    <DocketNumber xmlns="dc463f71-b30c-4ab2-9473-d307f9d35888">180953</DocketNumber>
    <DelegatedOrder xmlns="dc463f71-b30c-4ab2-9473-d307f9d35888">false</DelegatedOrder>
  </documentManagement>
</p:properties>
</file>

<file path=customXml/itemProps1.xml><?xml version="1.0" encoding="utf-8"?>
<ds:datastoreItem xmlns:ds="http://schemas.openxmlformats.org/officeDocument/2006/customXml" ds:itemID="{23CB873A-5B05-4204-B953-A85CFA504B68}"/>
</file>

<file path=customXml/itemProps2.xml><?xml version="1.0" encoding="utf-8"?>
<ds:datastoreItem xmlns:ds="http://schemas.openxmlformats.org/officeDocument/2006/customXml" ds:itemID="{B2AC1585-084C-4A9C-9244-1BBFEFE01970}"/>
</file>

<file path=customXml/itemProps3.xml><?xml version="1.0" encoding="utf-8"?>
<ds:datastoreItem xmlns:ds="http://schemas.openxmlformats.org/officeDocument/2006/customXml" ds:itemID="{F43C9319-E37D-4235-B369-0DB51E4AAB4B}"/>
</file>

<file path=customXml/itemProps4.xml><?xml version="1.0" encoding="utf-8"?>
<ds:datastoreItem xmlns:ds="http://schemas.openxmlformats.org/officeDocument/2006/customXml" ds:itemID="{91FF8A1E-EA39-42C1-8EE9-D3C011911CE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Summary</vt:lpstr>
      <vt:lpstr>2111 Trks</vt:lpstr>
      <vt:lpstr>2111 Cont, DB</vt:lpstr>
      <vt:lpstr>2111 YW</vt:lpstr>
      <vt:lpstr>2111 Other</vt:lpstr>
      <vt:lpstr>Land</vt:lpstr>
      <vt:lpstr>2111 Trks - Orig</vt:lpstr>
      <vt:lpstr>2111 Other - Orig</vt:lpstr>
      <vt:lpstr>2131 Trks - Orig</vt:lpstr>
      <vt:lpstr>2131 Other - Orig</vt:lpstr>
      <vt:lpstr>PAGE_1</vt:lpstr>
      <vt:lpstr>'2111 Cont, DB'!Print_Area</vt:lpstr>
      <vt:lpstr>'2111 Other'!Print_Area</vt:lpstr>
      <vt:lpstr>'2111 Other - Orig'!Print_Area</vt:lpstr>
      <vt:lpstr>'2111 Trks'!Print_Area</vt:lpstr>
      <vt:lpstr>'2111 Trks - Orig'!Print_Area</vt:lpstr>
      <vt:lpstr>'2111 YW'!Print_Area</vt:lpstr>
      <vt:lpstr>'2131 Other - Orig'!Print_Area</vt:lpstr>
      <vt:lpstr>'2131 Trks - Orig'!Print_Area</vt:lpstr>
      <vt:lpstr>Summary!Print_Area</vt:lpstr>
      <vt:lpstr>'2111 Trks'!Print_Area_MI</vt:lpstr>
      <vt:lpstr>'2111 Trks - Orig'!Print_Area_MI</vt:lpstr>
      <vt:lpstr>'2131 Trks - Orig'!Print_Area_MI</vt:lpstr>
      <vt:lpstr>'2111 Cont, DB'!Print_Titles</vt:lpstr>
      <vt:lpstr>'2111 Other'!Print_Titles</vt:lpstr>
      <vt:lpstr>'2111 Other - Orig'!Print_Titles</vt:lpstr>
      <vt:lpstr>'2111 Trks'!Print_Titles</vt:lpstr>
      <vt:lpstr>'2111 Trks - Orig'!Print_Titles</vt:lpstr>
      <vt:lpstr>'2111 YW'!Print_Titles</vt:lpstr>
    </vt:vector>
  </TitlesOfParts>
  <Company>WUTC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LDemas</dc:creator>
  <cp:lastModifiedBy>Ben Thompson</cp:lastModifiedBy>
  <cp:lastPrinted>2018-11-16T00:06:19Z</cp:lastPrinted>
  <dcterms:created xsi:type="dcterms:W3CDTF">2002-08-20T15:57:59Z</dcterms:created>
  <dcterms:modified xsi:type="dcterms:W3CDTF">2018-11-16T00:07:02Z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0x0101006E56B4D1795A2E4DB2F0B01679ED314A006CC61C822813124988EB19D194302FD9</vt:lpwstr>
  </property>
  <property fmtid="{D5CDD505-2E9C-101B-9397-08002B2CF9AE}" pid="3" name="_docset_NoMedatataSyncRequired">
    <vt:lpwstr>False</vt:lpwstr>
  </property>
  <property fmtid="{D5CDD505-2E9C-101B-9397-08002B2CF9AE}" pid="4" name="IsEFSEC">
    <vt:bool>false</vt:bool>
  </property>
</Properties>
</file>