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995" windowHeight="10560"/>
  </bookViews>
  <sheets>
    <sheet name="Depreciation" sheetId="1" r:id="rId1"/>
  </sheets>
  <externalReferences>
    <externalReference r:id="rId2"/>
    <externalReference r:id="rId3"/>
    <externalReference r:id="rId4"/>
    <externalReference r:id="rId5"/>
  </externalReferences>
  <definedNames>
    <definedName name="_BUN1">'[1]2008 West Group IS'!$AJ$5</definedName>
    <definedName name="_BUN3">'[1]2008 Group Office IS'!$AJ$5</definedName>
    <definedName name="_xlnm._FilterDatabase" localSheetId="0" hidden="1">Depreciation!$A$10:$V$48</definedName>
    <definedName name="_Key1" hidden="1">[2]Trucks!#REF!</definedName>
    <definedName name="_Key2" hidden="1">[2]Trucks!#REF!</definedName>
    <definedName name="_Order1" hidden="1">255</definedName>
    <definedName name="_Order2" hidden="1">255</definedName>
    <definedName name="_PER1">[1]WTB!$DC$8</definedName>
    <definedName name="_PER2">'[1]2008 West Group IS'!$AH$8</definedName>
    <definedName name="_PER3">'[1]2008 West Group IS'!$AI$5</definedName>
    <definedName name="_PER4">'[1]2008 Group Office IS'!$AH$8</definedName>
    <definedName name="_PER5">'[1]2008 Group Office IS'!$AI$5</definedName>
    <definedName name="_Regression_Int">0</definedName>
    <definedName name="_SFD1">'[1]2008 West Group IS'!$AK$5</definedName>
    <definedName name="_SFD3">'[1]2008 Group Office IS'!$AK$5</definedName>
    <definedName name="_SFV1">'[1]2008 West Group IS'!$AK$4</definedName>
    <definedName name="_SFV4">'[1]2008 Group Office IS'!$AK$4</definedName>
    <definedName name="a">#REF!</definedName>
    <definedName name="BUN">[1]WTB!$DD$5</definedName>
    <definedName name="Calc">[1]WTB!#REF!</definedName>
    <definedName name="Calc0">[1]WTB!#REF!</definedName>
    <definedName name="Calc1">[1]WTB!#REF!</definedName>
    <definedName name="Calc10">[1]WTB!#REF!</definedName>
    <definedName name="Calc11">[1]WTB!#REF!</definedName>
    <definedName name="Calc12">[1]WTB!#REF!</definedName>
    <definedName name="Calc13">[1]WTB!#REF!</definedName>
    <definedName name="Calc14">[1]WTB!#REF!</definedName>
    <definedName name="Calc15">[1]WTB!#REF!</definedName>
    <definedName name="Calc16">[1]WTB!#REF!</definedName>
    <definedName name="Calc17">[1]WTB!#REF!</definedName>
    <definedName name="Calc18">[1]WTB!#REF!</definedName>
    <definedName name="Calc2">[1]WTB!#REF!</definedName>
    <definedName name="Calc3">[1]WTB!#REF!</definedName>
    <definedName name="Calc4">[1]WTB!#REF!</definedName>
    <definedName name="Calc5">[1]WTB!#REF!</definedName>
    <definedName name="Calc6">[1]WTB!#REF!</definedName>
    <definedName name="Calc7">[1]WTB!#REF!</definedName>
    <definedName name="Calc8">[1]WTB!#REF!</definedName>
    <definedName name="Calc9">[1]WTB!#REF!</definedName>
    <definedName name="CURRENCY">'[1]Balance Sheet'!$AD$8</definedName>
    <definedName name="_xlnm.Database" localSheetId="0">#REF!</definedName>
    <definedName name="_xlnm.Database">#REF!</definedName>
    <definedName name="Database_MI" localSheetId="0">#REF!</definedName>
    <definedName name="Database_MI">#REF!</definedName>
    <definedName name="Database2">#REF!</definedName>
    <definedName name="FICA">NA()</definedName>
    <definedName name="Financial" localSheetId="0">[1]WTB!#REF!</definedName>
    <definedName name="Financial">[1]WTB!#REF!</definedName>
    <definedName name="FirstColCriteria" localSheetId="0">[1]WTB!#REF!</definedName>
    <definedName name="FirstColCriteria">[1]WTB!#REF!</definedName>
    <definedName name="FirstHeaderCriteria" localSheetId="0">[1]WTB!#REF!</definedName>
    <definedName name="FirstHeaderCriteria">[1]WTB!#REF!</definedName>
    <definedName name="flag" localSheetId="0">[1]WTB!#REF!</definedName>
    <definedName name="flag">[1]WTB!#REF!</definedName>
    <definedName name="InsertColRange">[1]WTB!#REF!</definedName>
    <definedName name="NOTES" localSheetId="0">#REF!</definedName>
    <definedName name="NOTES">#REF!</definedName>
    <definedName name="NvsASD">"V2008-12-31"</definedName>
    <definedName name="NvsAutoDrillOk">"VN"</definedName>
    <definedName name="NvsElapsedTime">0.000729166669771075</definedName>
    <definedName name="NvsEndTime">39896.5868402778</definedName>
    <definedName name="NvsEndTime2">39823.1371643519</definedName>
    <definedName name="NvsEndTime3">39918.4137268519</definedName>
    <definedName name="NvsEndTime4">39825.0263078704</definedName>
    <definedName name="NvsEndTime5">39822.9425347222</definedName>
    <definedName name="NvsInstLang">"VENG"</definedName>
    <definedName name="NvsInstSpec">"%,FBUSINESS_UNIT,V01815"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"V1950-01-01"</definedName>
    <definedName name="NvsPanelSetid">"VWASTE"</definedName>
    <definedName name="NvsReqBU">"V01815"</definedName>
    <definedName name="NvsReqBUOnly">"VY"</definedName>
    <definedName name="NvsTransLed">"VN"</definedName>
    <definedName name="NvsTreeASD">"V2008-12-31"</definedName>
    <definedName name="NvsValTbl.DEPTID">"DEPT_TBL"</definedName>
    <definedName name="PAGE_1" localSheetId="0">#REF!</definedName>
    <definedName name="PAGE_1">#REF!</definedName>
    <definedName name="PER">[1]WTB!$DC$5</definedName>
    <definedName name="_xlnm.Print_Area" localSheetId="0">Depreciation!$A$11:$Q$48</definedName>
    <definedName name="_xlnm.Print_Area">#REF!</definedName>
    <definedName name="Print_Area_MI" localSheetId="0">#REF!</definedName>
    <definedName name="_xlnm.Print_Titles" localSheetId="0">Depreciation!$1:$10</definedName>
    <definedName name="SFD">[1]WTB!$DE$5</definedName>
    <definedName name="SFV">[1]WTB!$DE$4</definedName>
    <definedName name="SFV_CUR1">'[1]2008 West Group IS'!$AM$9</definedName>
    <definedName name="SFV_CUR5">'[1]2008 Group Office IS'!$AM$9</definedName>
    <definedName name="Total_Interest">'[4]Amortization Table'!$F$18</definedName>
  </definedNames>
  <calcPr calcId="145621"/>
</workbook>
</file>

<file path=xl/calcChain.xml><?xml version="1.0" encoding="utf-8"?>
<calcChain xmlns="http://schemas.openxmlformats.org/spreadsheetml/2006/main">
  <c r="S44" i="1" l="1"/>
  <c r="L44" i="1"/>
  <c r="J44" i="1"/>
  <c r="I44" i="1"/>
  <c r="U44" i="1" s="1"/>
  <c r="U43" i="1"/>
  <c r="S43" i="1"/>
  <c r="J43" i="1"/>
  <c r="L43" i="1" s="1"/>
  <c r="I43" i="1"/>
  <c r="S38" i="1"/>
  <c r="L38" i="1"/>
  <c r="J38" i="1"/>
  <c r="I38" i="1"/>
  <c r="U38" i="1" s="1"/>
  <c r="U37" i="1"/>
  <c r="S37" i="1"/>
  <c r="J37" i="1"/>
  <c r="L37" i="1" s="1"/>
  <c r="I37" i="1"/>
  <c r="S36" i="1"/>
  <c r="L36" i="1"/>
  <c r="J36" i="1"/>
  <c r="I36" i="1"/>
  <c r="U36" i="1" s="1"/>
  <c r="U35" i="1"/>
  <c r="S35" i="1"/>
  <c r="J35" i="1"/>
  <c r="L35" i="1" s="1"/>
  <c r="I35" i="1"/>
  <c r="V34" i="1"/>
  <c r="S34" i="1"/>
  <c r="L34" i="1"/>
  <c r="J34" i="1"/>
  <c r="I34" i="1"/>
  <c r="U34" i="1" s="1"/>
  <c r="U33" i="1"/>
  <c r="S33" i="1"/>
  <c r="J33" i="1"/>
  <c r="L33" i="1" s="1"/>
  <c r="I33" i="1"/>
  <c r="V32" i="1"/>
  <c r="S32" i="1"/>
  <c r="L32" i="1"/>
  <c r="J32" i="1"/>
  <c r="I32" i="1"/>
  <c r="U32" i="1" s="1"/>
  <c r="U31" i="1"/>
  <c r="S31" i="1"/>
  <c r="J31" i="1"/>
  <c r="L31" i="1" s="1"/>
  <c r="I31" i="1"/>
  <c r="V30" i="1"/>
  <c r="S30" i="1"/>
  <c r="L30" i="1"/>
  <c r="J30" i="1"/>
  <c r="I30" i="1"/>
  <c r="U30" i="1" s="1"/>
  <c r="U29" i="1"/>
  <c r="S29" i="1"/>
  <c r="J29" i="1"/>
  <c r="L29" i="1" s="1"/>
  <c r="I29" i="1"/>
  <c r="V28" i="1"/>
  <c r="S28" i="1"/>
  <c r="L28" i="1"/>
  <c r="J28" i="1"/>
  <c r="I28" i="1"/>
  <c r="U28" i="1" s="1"/>
  <c r="U27" i="1"/>
  <c r="S27" i="1"/>
  <c r="J27" i="1"/>
  <c r="L27" i="1" s="1"/>
  <c r="I27" i="1"/>
  <c r="V26" i="1"/>
  <c r="S26" i="1"/>
  <c r="L26" i="1"/>
  <c r="J26" i="1"/>
  <c r="I26" i="1"/>
  <c r="U26" i="1" s="1"/>
  <c r="U25" i="1"/>
  <c r="S25" i="1"/>
  <c r="J25" i="1"/>
  <c r="L25" i="1" s="1"/>
  <c r="I25" i="1"/>
  <c r="V20" i="1"/>
  <c r="S20" i="1"/>
  <c r="L20" i="1"/>
  <c r="J20" i="1"/>
  <c r="I20" i="1"/>
  <c r="U20" i="1" s="1"/>
  <c r="U19" i="1"/>
  <c r="S19" i="1"/>
  <c r="J19" i="1"/>
  <c r="L19" i="1" s="1"/>
  <c r="I19" i="1"/>
  <c r="V18" i="1"/>
  <c r="S18" i="1"/>
  <c r="L18" i="1"/>
  <c r="J18" i="1"/>
  <c r="I18" i="1"/>
  <c r="U18" i="1" s="1"/>
  <c r="U17" i="1"/>
  <c r="S17" i="1"/>
  <c r="J17" i="1"/>
  <c r="L17" i="1" s="1"/>
  <c r="I17" i="1"/>
  <c r="V16" i="1"/>
  <c r="S16" i="1"/>
  <c r="L16" i="1"/>
  <c r="J16" i="1"/>
  <c r="I16" i="1"/>
  <c r="U16" i="1" s="1"/>
  <c r="U15" i="1"/>
  <c r="S15" i="1"/>
  <c r="J15" i="1"/>
  <c r="L15" i="1" s="1"/>
  <c r="I15" i="1"/>
  <c r="V14" i="1"/>
  <c r="S14" i="1"/>
  <c r="L14" i="1"/>
  <c r="J14" i="1"/>
  <c r="I14" i="1"/>
  <c r="U14" i="1" s="1"/>
  <c r="U13" i="1"/>
  <c r="S13" i="1"/>
  <c r="J13" i="1"/>
  <c r="L13" i="1" s="1"/>
  <c r="I13" i="1"/>
  <c r="V12" i="1"/>
  <c r="S12" i="1"/>
  <c r="L12" i="1"/>
  <c r="J12" i="1"/>
  <c r="I12" i="1"/>
  <c r="U12" i="1" s="1"/>
  <c r="U11" i="1"/>
  <c r="S11" i="1"/>
  <c r="J11" i="1"/>
  <c r="L11" i="1" s="1"/>
  <c r="I11" i="1"/>
  <c r="H7" i="1"/>
  <c r="T12" i="1" s="1"/>
  <c r="G7" i="1"/>
  <c r="V44" i="1" s="1"/>
  <c r="M12" i="1" l="1"/>
  <c r="N12" i="1" s="1"/>
  <c r="O12" i="1"/>
  <c r="M18" i="1"/>
  <c r="N18" i="1" s="1"/>
  <c r="T38" i="1"/>
  <c r="T30" i="1"/>
  <c r="T14" i="1"/>
  <c r="T37" i="1"/>
  <c r="T33" i="1"/>
  <c r="T29" i="1"/>
  <c r="M29" i="1" s="1"/>
  <c r="N29" i="1" s="1"/>
  <c r="T25" i="1"/>
  <c r="T17" i="1"/>
  <c r="O17" i="1" s="1"/>
  <c r="T13" i="1"/>
  <c r="T32" i="1"/>
  <c r="O32" i="1" s="1"/>
  <c r="T44" i="1"/>
  <c r="O44" i="1" s="1"/>
  <c r="T36" i="1"/>
  <c r="T28" i="1"/>
  <c r="T20" i="1"/>
  <c r="T16" i="1"/>
  <c r="T43" i="1"/>
  <c r="T35" i="1"/>
  <c r="T31" i="1"/>
  <c r="M31" i="1" s="1"/>
  <c r="N31" i="1" s="1"/>
  <c r="T27" i="1"/>
  <c r="T19" i="1"/>
  <c r="M19" i="1" s="1"/>
  <c r="N19" i="1" s="1"/>
  <c r="T15" i="1"/>
  <c r="T11" i="1"/>
  <c r="O11" i="1" s="1"/>
  <c r="T34" i="1"/>
  <c r="T26" i="1"/>
  <c r="T18" i="1"/>
  <c r="O18" i="1" s="1"/>
  <c r="M14" i="1"/>
  <c r="N14" i="1" s="1"/>
  <c r="M17" i="1"/>
  <c r="N17" i="1" s="1"/>
  <c r="V13" i="1"/>
  <c r="V17" i="1"/>
  <c r="V25" i="1"/>
  <c r="M25" i="1" s="1"/>
  <c r="V29" i="1"/>
  <c r="V33" i="1"/>
  <c r="M33" i="1" s="1"/>
  <c r="N33" i="1" s="1"/>
  <c r="V37" i="1"/>
  <c r="O33" i="1"/>
  <c r="V38" i="1"/>
  <c r="O29" i="1"/>
  <c r="V11" i="1"/>
  <c r="V15" i="1"/>
  <c r="V19" i="1"/>
  <c r="V27" i="1"/>
  <c r="O27" i="1" s="1"/>
  <c r="V31" i="1"/>
  <c r="V35" i="1"/>
  <c r="V43" i="1"/>
  <c r="V36" i="1"/>
  <c r="N25" i="1" l="1"/>
  <c r="O15" i="1"/>
  <c r="P27" i="1"/>
  <c r="Q27" i="1" s="1"/>
  <c r="R27" i="1" s="1"/>
  <c r="P17" i="1"/>
  <c r="Q17" i="1" s="1"/>
  <c r="R17" i="1" s="1"/>
  <c r="P29" i="1"/>
  <c r="Q29" i="1"/>
  <c r="R29" i="1" s="1"/>
  <c r="O25" i="1"/>
  <c r="M20" i="1"/>
  <c r="N20" i="1" s="1"/>
  <c r="O20" i="1"/>
  <c r="O30" i="1"/>
  <c r="M30" i="1"/>
  <c r="N30" i="1" s="1"/>
  <c r="M11" i="1"/>
  <c r="P18" i="1"/>
  <c r="Q18" i="1" s="1"/>
  <c r="R18" i="1" s="1"/>
  <c r="M15" i="1"/>
  <c r="N15" i="1" s="1"/>
  <c r="O35" i="1"/>
  <c r="M35" i="1"/>
  <c r="N35" i="1" s="1"/>
  <c r="M28" i="1"/>
  <c r="N28" i="1" s="1"/>
  <c r="O28" i="1"/>
  <c r="O13" i="1"/>
  <c r="O38" i="1"/>
  <c r="M38" i="1"/>
  <c r="N38" i="1" s="1"/>
  <c r="M44" i="1"/>
  <c r="N44" i="1" s="1"/>
  <c r="M13" i="1"/>
  <c r="N13" i="1" s="1"/>
  <c r="O26" i="1"/>
  <c r="M26" i="1"/>
  <c r="N26" i="1" s="1"/>
  <c r="P33" i="1"/>
  <c r="Q33" i="1"/>
  <c r="R33" i="1" s="1"/>
  <c r="O43" i="1"/>
  <c r="M43" i="1"/>
  <c r="O36" i="1"/>
  <c r="M37" i="1"/>
  <c r="N37" i="1" s="1"/>
  <c r="O31" i="1"/>
  <c r="M36" i="1"/>
  <c r="N36" i="1" s="1"/>
  <c r="Q12" i="1"/>
  <c r="R12" i="1" s="1"/>
  <c r="P12" i="1"/>
  <c r="M32" i="1"/>
  <c r="N32" i="1" s="1"/>
  <c r="O34" i="1"/>
  <c r="M34" i="1"/>
  <c r="N34" i="1" s="1"/>
  <c r="M27" i="1"/>
  <c r="N27" i="1" s="1"/>
  <c r="M16" i="1"/>
  <c r="N16" i="1" s="1"/>
  <c r="O16" i="1"/>
  <c r="Q44" i="1"/>
  <c r="R44" i="1" s="1"/>
  <c r="P44" i="1"/>
  <c r="O14" i="1"/>
  <c r="O19" i="1"/>
  <c r="P14" i="1" l="1"/>
  <c r="Q14" i="1" s="1"/>
  <c r="R14" i="1" s="1"/>
  <c r="Q31" i="1"/>
  <c r="R31" i="1" s="1"/>
  <c r="P31" i="1"/>
  <c r="N43" i="1"/>
  <c r="N46" i="1" s="1"/>
  <c r="M46" i="1"/>
  <c r="M40" i="1"/>
  <c r="O37" i="1"/>
  <c r="Q43" i="1"/>
  <c r="P43" i="1"/>
  <c r="P26" i="1"/>
  <c r="Q26" i="1" s="1"/>
  <c r="R26" i="1" s="1"/>
  <c r="P38" i="1"/>
  <c r="Q38" i="1" s="1"/>
  <c r="R38" i="1" s="1"/>
  <c r="P32" i="1"/>
  <c r="Q32" i="1" s="1"/>
  <c r="R32" i="1" s="1"/>
  <c r="P13" i="1"/>
  <c r="Q13" i="1"/>
  <c r="R13" i="1" s="1"/>
  <c r="P35" i="1"/>
  <c r="Q35" i="1" s="1"/>
  <c r="R35" i="1" s="1"/>
  <c r="N11" i="1"/>
  <c r="N22" i="1" s="1"/>
  <c r="M22" i="1"/>
  <c r="M48" i="1" s="1"/>
  <c r="P11" i="1"/>
  <c r="Q11" i="1" s="1"/>
  <c r="Q15" i="1"/>
  <c r="R15" i="1" s="1"/>
  <c r="P15" i="1"/>
  <c r="Q19" i="1"/>
  <c r="R19" i="1" s="1"/>
  <c r="P19" i="1"/>
  <c r="Q16" i="1"/>
  <c r="R16" i="1" s="1"/>
  <c r="P16" i="1"/>
  <c r="P34" i="1"/>
  <c r="Q34" i="1" s="1"/>
  <c r="R34" i="1" s="1"/>
  <c r="Q36" i="1"/>
  <c r="R36" i="1" s="1"/>
  <c r="P36" i="1"/>
  <c r="Q28" i="1"/>
  <c r="R28" i="1" s="1"/>
  <c r="P28" i="1"/>
  <c r="Q20" i="1"/>
  <c r="R20" i="1" s="1"/>
  <c r="P20" i="1"/>
  <c r="P25" i="1"/>
  <c r="Q25" i="1" s="1"/>
  <c r="N40" i="1"/>
  <c r="P30" i="1"/>
  <c r="Q30" i="1"/>
  <c r="R30" i="1" s="1"/>
  <c r="R25" i="1" l="1"/>
  <c r="Q46" i="1"/>
  <c r="R43" i="1"/>
  <c r="R46" i="1" s="1"/>
  <c r="N48" i="1"/>
  <c r="Q37" i="1"/>
  <c r="R37" i="1" s="1"/>
  <c r="P37" i="1"/>
  <c r="Q22" i="1"/>
  <c r="R11" i="1"/>
  <c r="R22" i="1" s="1"/>
  <c r="R40" i="1" l="1"/>
  <c r="R48" i="1" s="1"/>
  <c r="Q40" i="1"/>
  <c r="Q48" i="1" s="1"/>
</calcChain>
</file>

<file path=xl/sharedStrings.xml><?xml version="1.0" encoding="utf-8"?>
<sst xmlns="http://schemas.openxmlformats.org/spreadsheetml/2006/main" count="88" uniqueCount="75">
  <si>
    <t/>
  </si>
  <si>
    <t>Sunshine Disposal &amp; Recycling</t>
  </si>
  <si>
    <t>Straight-Line Depreciation Schedule</t>
  </si>
  <si>
    <t>January 2016-December 2016</t>
  </si>
  <si>
    <t>First Year</t>
  </si>
  <si>
    <t>Second Year</t>
  </si>
  <si>
    <t>Mo</t>
  </si>
  <si>
    <t>Yr</t>
  </si>
  <si>
    <t>Asset Description</t>
  </si>
  <si>
    <t>Date in Service</t>
  </si>
  <si>
    <t>Original Asset Cost</t>
  </si>
  <si>
    <t>Salvage Value</t>
  </si>
  <si>
    <t>Service Life</t>
  </si>
  <si>
    <t>Fully Depreciated</t>
  </si>
  <si>
    <t>Depreciable Cost</t>
  </si>
  <si>
    <t xml:space="preserve"> Allocation</t>
  </si>
  <si>
    <t>Test Year Depreciation</t>
  </si>
  <si>
    <t>Allocated Test Year Depreciation</t>
  </si>
  <si>
    <t>Accumulated Depreciation</t>
  </si>
  <si>
    <t>Average Investment</t>
  </si>
  <si>
    <t>Allocated Average Investment</t>
  </si>
  <si>
    <t>Purchase Date</t>
  </si>
  <si>
    <t>End of Test Period</t>
  </si>
  <si>
    <t>Date Fully Depreciated</t>
  </si>
  <si>
    <t>Beging of Test Period</t>
  </si>
  <si>
    <t>List</t>
  </si>
  <si>
    <t>$</t>
  </si>
  <si>
    <t>%</t>
  </si>
  <si>
    <t>Yrs</t>
  </si>
  <si>
    <t>Monthly</t>
  </si>
  <si>
    <t>Yearly</t>
  </si>
  <si>
    <t>Beg</t>
  </si>
  <si>
    <t>End</t>
  </si>
  <si>
    <t>A</t>
  </si>
  <si>
    <t>B</t>
  </si>
  <si>
    <t>C</t>
  </si>
  <si>
    <t>D</t>
  </si>
  <si>
    <t>2003 Ford F350 - 4400</t>
  </si>
  <si>
    <t>1047-1</t>
  </si>
  <si>
    <t>2006 Freightliner RL -4600</t>
  </si>
  <si>
    <t>1048-1</t>
  </si>
  <si>
    <t>Freightliner M2106V -4601 (Rear Load)</t>
  </si>
  <si>
    <t>Roll Off Extension for Kenworth - 4001</t>
  </si>
  <si>
    <t>Used Baler</t>
  </si>
  <si>
    <t>1046-1</t>
  </si>
  <si>
    <t>2000 FrtLnr Hook - 4003 Delivery</t>
  </si>
  <si>
    <t>1044-1</t>
  </si>
  <si>
    <t>85 Kenworth - 4001 Rolloff</t>
  </si>
  <si>
    <t>1045-1</t>
  </si>
  <si>
    <t>93 IH R/O Trk w/Box - 4002</t>
  </si>
  <si>
    <t>1045-3</t>
  </si>
  <si>
    <t>Engine Rebuild (4002)</t>
  </si>
  <si>
    <t>1113-1</t>
  </si>
  <si>
    <t>Refurb Body (4020)</t>
  </si>
  <si>
    <t>Total Trucks - All (Recycle, Garbage, Rolloff)</t>
  </si>
  <si>
    <t>Containers</t>
  </si>
  <si>
    <t>10/64 Gal Carts</t>
  </si>
  <si>
    <t>Conts</t>
  </si>
  <si>
    <t>6 Yd Bin</t>
  </si>
  <si>
    <t>4 Yd Bin</t>
  </si>
  <si>
    <t>Cont Trlr</t>
  </si>
  <si>
    <t>Bins</t>
  </si>
  <si>
    <t>4x Drop Boxes</t>
  </si>
  <si>
    <t>168-171</t>
  </si>
  <si>
    <t>Containers (10-30 Yd)</t>
  </si>
  <si>
    <t>174-175</t>
  </si>
  <si>
    <t>Bins 2 Yd</t>
  </si>
  <si>
    <t>2-4 yd bins</t>
  </si>
  <si>
    <t>4 Yd Container</t>
  </si>
  <si>
    <t>Total Containers</t>
  </si>
  <si>
    <t>Office Equipment</t>
  </si>
  <si>
    <t>HP Printer</t>
  </si>
  <si>
    <t>Computer</t>
  </si>
  <si>
    <t>Total Office Equipment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</si>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</sst>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0_);_(* \(#,##0.00\);_(* \-??_);_(@_)"/>
    <numFmt numFmtId="166" formatCode="_(* #,##0.00_);_(* \(\ #,##0.00\ \);_(* &quot;-&quot;??_);_(\ @_ \)"/>
    <numFmt numFmtId="167" formatCode="_(* #,##0.00_);_(* &quot;( &quot;#,##0.00&quot; )&quot;;_(* \-??_);_(\ @_ \)"/>
    <numFmt numFmtId="168" formatCode="_(\$* #,##0.00_);_(\$* \(#,##0.00\);_(\$* \-??_);_(@_)"/>
    <numFmt numFmtId="169" formatCode="&quot; $&quot;#,##0.00&quot; &quot;;&quot; $(&quot;#,##0.00&quot;)&quot;;&quot; $-&quot;#&quot; &quot;;@&quot; &quot;"/>
    <numFmt numFmtId="170" formatCode="[$-409]General"/>
    <numFmt numFmtId="171" formatCode="#,###,##0.00;\(#,###,##0.00\)"/>
    <numFmt numFmtId="172" formatCode="\$#,###,##0.00;&quot;($&quot;#,###,##0.00\)"/>
    <numFmt numFmtId="173" formatCode="#,##0.00%;\(#,##0.00%\)"/>
    <numFmt numFmtId="174" formatCode="General_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mbria"/>
      <family val="1"/>
      <scheme val="major"/>
    </font>
    <font>
      <sz val="10"/>
      <name val="Mang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8"/>
      <name val="Tms Rmn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10"/>
      <color indexed="8"/>
      <name val="Arial"/>
      <family val="2"/>
      <charset val="1"/>
    </font>
    <font>
      <b/>
      <sz val="10"/>
      <color indexed="8"/>
      <name val="Arial"/>
      <family val="2"/>
      <charset val="1"/>
    </font>
    <font>
      <sz val="10"/>
      <color indexed="0"/>
      <name val="Arial"/>
      <family val="2"/>
    </font>
    <font>
      <sz val="11"/>
      <color indexed="8"/>
      <name val="Calibri"/>
      <family val="2"/>
      <charset val="1"/>
    </font>
    <font>
      <sz val="11"/>
      <name val="Bookman Old Style"/>
      <family val="1"/>
    </font>
    <font>
      <sz val="12"/>
      <name val="Arial"/>
      <family val="2"/>
    </font>
    <font>
      <b/>
      <i/>
      <sz val="10"/>
      <color indexed="8"/>
      <name val="Arial"/>
      <family val="2"/>
      <charset val="1"/>
    </font>
    <font>
      <b/>
      <i/>
      <sz val="12"/>
      <color indexed="12"/>
      <name val="Arial"/>
      <family val="2"/>
      <charset val="1"/>
    </font>
    <font>
      <b/>
      <i/>
      <sz val="11"/>
      <color indexed="12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1">
    <xf numFmtId="0" fontId="0" fillId="0" borderId="0"/>
    <xf numFmtId="0" fontId="2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7" fillId="0" borderId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ill="0" applyBorder="0" applyAlignment="0" applyProtection="0"/>
    <xf numFmtId="167" fontId="7" fillId="0" borderId="0" applyFill="0" applyBorder="0" applyAlignment="0" applyProtection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43" fontId="11" fillId="0" borderId="0" applyFont="0" applyFill="0" applyBorder="0" applyAlignment="0" applyProtection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7" fillId="0" borderId="0" applyFill="0" applyBorder="0" applyAlignment="0" applyProtection="0"/>
    <xf numFmtId="44" fontId="1" fillId="0" borderId="0" applyFont="0" applyFill="0" applyBorder="0" applyAlignment="0" applyProtection="0"/>
    <xf numFmtId="169" fontId="13" fillId="0" borderId="0"/>
    <xf numFmtId="170" fontId="13" fillId="0" borderId="0"/>
    <xf numFmtId="171" fontId="14" fillId="0" borderId="0"/>
    <xf numFmtId="171" fontId="15" fillId="0" borderId="0"/>
    <xf numFmtId="171" fontId="15" fillId="0" borderId="0"/>
    <xf numFmtId="171" fontId="16" fillId="0" borderId="0"/>
    <xf numFmtId="172" fontId="14" fillId="0" borderId="0"/>
    <xf numFmtId="172" fontId="15" fillId="0" borderId="0"/>
    <xf numFmtId="173" fontId="14" fillId="0" borderId="0"/>
    <xf numFmtId="173" fontId="15" fillId="0" borderId="0"/>
    <xf numFmtId="0" fontId="17" fillId="0" borderId="0"/>
    <xf numFmtId="174" fontId="2" fillId="0" borderId="0"/>
    <xf numFmtId="0" fontId="12" fillId="0" borderId="0"/>
    <xf numFmtId="0" fontId="9" fillId="0" borderId="0">
      <alignment vertical="top"/>
    </xf>
    <xf numFmtId="0" fontId="9" fillId="0" borderId="0">
      <alignment vertical="top"/>
    </xf>
    <xf numFmtId="0" fontId="16" fillId="0" borderId="0"/>
    <xf numFmtId="0" fontId="4" fillId="0" borderId="0"/>
    <xf numFmtId="0" fontId="10" fillId="0" borderId="0"/>
    <xf numFmtId="0" fontId="1" fillId="0" borderId="0"/>
    <xf numFmtId="0" fontId="9" fillId="0" borderId="0">
      <alignment vertical="top"/>
    </xf>
    <xf numFmtId="0" fontId="14" fillId="0" borderId="0"/>
    <xf numFmtId="40" fontId="18" fillId="0" borderId="0"/>
    <xf numFmtId="0" fontId="13" fillId="0" borderId="0" applyAlignment="0"/>
    <xf numFmtId="0" fontId="17" fillId="0" borderId="0"/>
    <xf numFmtId="0" fontId="14" fillId="0" borderId="0">
      <alignment vertical="top"/>
    </xf>
    <xf numFmtId="0" fontId="17" fillId="0" borderId="0"/>
    <xf numFmtId="0" fontId="15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9" fontId="7" fillId="0" borderId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ill="0" applyBorder="0" applyAlignment="0" applyProtection="0"/>
    <xf numFmtId="9" fontId="4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4" fillId="0" borderId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15" fillId="0" borderId="0"/>
    <xf numFmtId="0" fontId="15" fillId="0" borderId="0"/>
    <xf numFmtId="0" fontId="20" fillId="0" borderId="0"/>
    <xf numFmtId="0" fontId="15" fillId="0" borderId="0"/>
    <xf numFmtId="0" fontId="21" fillId="0" borderId="0"/>
    <xf numFmtId="0" fontId="22" fillId="0" borderId="0"/>
  </cellStyleXfs>
  <cellXfs count="50">
    <xf numFmtId="0" fontId="0" fillId="0" borderId="0" xfId="0"/>
    <xf numFmtId="0" fontId="3" fillId="0" borderId="0" xfId="1" applyFont="1" applyAlignment="1">
      <alignment horizontal="left"/>
    </xf>
    <xf numFmtId="49" fontId="5" fillId="0" borderId="0" xfId="2" applyNumberFormat="1" applyFont="1" applyFill="1" applyAlignment="1" applyProtection="1">
      <alignment horizontal="left" vertical="center"/>
    </xf>
    <xf numFmtId="0" fontId="3" fillId="0" borderId="0" xfId="1" applyFont="1"/>
    <xf numFmtId="164" fontId="3" fillId="0" borderId="0" xfId="3" applyNumberFormat="1" applyFont="1"/>
    <xf numFmtId="164" fontId="3" fillId="0" borderId="0" xfId="4" applyNumberFormat="1" applyFont="1"/>
    <xf numFmtId="9" fontId="3" fillId="0" borderId="0" xfId="5" applyFont="1"/>
    <xf numFmtId="164" fontId="3" fillId="0" borderId="0" xfId="4" applyNumberFormat="1" applyFont="1" applyFill="1"/>
    <xf numFmtId="0" fontId="3" fillId="0" borderId="0" xfId="1" applyFont="1" applyAlignment="1"/>
    <xf numFmtId="164" fontId="3" fillId="0" borderId="0" xfId="3" applyNumberFormat="1" applyFont="1" applyAlignment="1">
      <alignment horizontal="left"/>
    </xf>
    <xf numFmtId="0" fontId="3" fillId="0" borderId="0" xfId="1" quotePrefix="1" applyFont="1" applyAlignment="1"/>
    <xf numFmtId="0" fontId="6" fillId="2" borderId="1" xfId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center" wrapText="1"/>
    </xf>
    <xf numFmtId="0" fontId="6" fillId="0" borderId="1" xfId="1" applyFont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164" fontId="3" fillId="0" borderId="0" xfId="4" applyNumberFormat="1" applyFont="1" applyAlignment="1">
      <alignment horizontal="center"/>
    </xf>
    <xf numFmtId="164" fontId="3" fillId="0" borderId="0" xfId="4" applyNumberFormat="1" applyFont="1" applyFill="1" applyAlignment="1">
      <alignment horizontal="center"/>
    </xf>
    <xf numFmtId="0" fontId="3" fillId="0" borderId="0" xfId="1" applyFont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 wrapText="1"/>
    </xf>
    <xf numFmtId="164" fontId="3" fillId="0" borderId="3" xfId="3" applyNumberFormat="1" applyFont="1" applyBorder="1" applyAlignment="1">
      <alignment horizontal="center" wrapText="1"/>
    </xf>
    <xf numFmtId="0" fontId="3" fillId="0" borderId="3" xfId="1" applyFont="1" applyBorder="1" applyAlignment="1">
      <alignment horizontal="center" wrapText="1"/>
    </xf>
    <xf numFmtId="164" fontId="3" fillId="0" borderId="3" xfId="4" applyNumberFormat="1" applyFont="1" applyBorder="1" applyAlignment="1">
      <alignment horizontal="center" wrapText="1"/>
    </xf>
    <xf numFmtId="164" fontId="3" fillId="0" borderId="3" xfId="4" applyNumberFormat="1" applyFont="1" applyBorder="1" applyAlignment="1">
      <alignment horizontal="center" wrapText="1"/>
    </xf>
    <xf numFmtId="164" fontId="3" fillId="0" borderId="4" xfId="4" applyNumberFormat="1" applyFont="1" applyFill="1" applyBorder="1" applyAlignment="1">
      <alignment horizontal="center" wrapText="1"/>
    </xf>
    <xf numFmtId="164" fontId="3" fillId="0" borderId="5" xfId="4" applyNumberFormat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/>
    </xf>
    <xf numFmtId="164" fontId="3" fillId="2" borderId="1" xfId="3" applyNumberFormat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wrapText="1"/>
    </xf>
    <xf numFmtId="0" fontId="3" fillId="0" borderId="1" xfId="1" applyFont="1" applyBorder="1" applyAlignment="1">
      <alignment horizontal="center"/>
    </xf>
    <xf numFmtId="164" fontId="3" fillId="0" borderId="1" xfId="4" applyNumberFormat="1" applyFont="1" applyBorder="1" applyAlignment="1">
      <alignment horizontal="center" wrapText="1"/>
    </xf>
    <xf numFmtId="164" fontId="3" fillId="0" borderId="1" xfId="4" applyNumberFormat="1" applyFont="1" applyBorder="1" applyAlignment="1">
      <alignment horizontal="center"/>
    </xf>
    <xf numFmtId="164" fontId="3" fillId="0" borderId="1" xfId="4" applyNumberFormat="1" applyFont="1" applyFill="1" applyBorder="1" applyAlignment="1">
      <alignment horizontal="center"/>
    </xf>
    <xf numFmtId="0" fontId="3" fillId="2" borderId="0" xfId="1" applyFont="1" applyFill="1" applyAlignment="1">
      <alignment horizontal="left"/>
    </xf>
    <xf numFmtId="0" fontId="6" fillId="2" borderId="0" xfId="1" applyFont="1" applyFill="1" applyAlignment="1">
      <alignment horizontal="center"/>
    </xf>
    <xf numFmtId="164" fontId="6" fillId="2" borderId="0" xfId="3" applyNumberFormat="1" applyFont="1" applyFill="1" applyAlignment="1">
      <alignment horizontal="center"/>
    </xf>
    <xf numFmtId="9" fontId="6" fillId="2" borderId="0" xfId="1" applyNumberFormat="1" applyFont="1" applyFill="1" applyAlignment="1">
      <alignment horizontal="center"/>
    </xf>
    <xf numFmtId="165" fontId="7" fillId="0" borderId="0" xfId="6" applyFont="1"/>
    <xf numFmtId="0" fontId="3" fillId="0" borderId="0" xfId="1" applyFont="1" applyFill="1"/>
    <xf numFmtId="0" fontId="3" fillId="0" borderId="0" xfId="1" applyFont="1" applyFill="1" applyBorder="1" applyAlignment="1">
      <alignment horizontal="left"/>
    </xf>
    <xf numFmtId="164" fontId="3" fillId="0" borderId="0" xfId="3" applyNumberFormat="1" applyFont="1" applyFill="1"/>
    <xf numFmtId="9" fontId="3" fillId="0" borderId="0" xfId="1" applyNumberFormat="1" applyFont="1" applyFill="1"/>
    <xf numFmtId="9" fontId="3" fillId="0" borderId="0" xfId="5" applyFont="1" applyFill="1"/>
    <xf numFmtId="165" fontId="7" fillId="0" borderId="0" xfId="6" applyFont="1" applyFill="1"/>
    <xf numFmtId="0" fontId="3" fillId="0" borderId="0" xfId="1" applyFont="1" applyFill="1" applyAlignment="1">
      <alignment horizontal="left"/>
    </xf>
    <xf numFmtId="0" fontId="6" fillId="0" borderId="0" xfId="1" applyFont="1" applyFill="1" applyAlignment="1">
      <alignment horizontal="left"/>
    </xf>
    <xf numFmtId="0" fontId="6" fillId="2" borderId="0" xfId="1" applyFont="1" applyFill="1" applyAlignment="1">
      <alignment horizontal="left"/>
    </xf>
    <xf numFmtId="0" fontId="6" fillId="0" borderId="0" xfId="1" applyFont="1" applyFill="1" applyBorder="1" applyAlignment="1">
      <alignment horizontal="left"/>
    </xf>
    <xf numFmtId="0" fontId="6" fillId="0" borderId="0" xfId="1" applyFont="1" applyFill="1"/>
  </cellXfs>
  <cellStyles count="71">
    <cellStyle name="Comma 10" xfId="7"/>
    <cellStyle name="Comma 11" xfId="8"/>
    <cellStyle name="Comma 12" xfId="9"/>
    <cellStyle name="Comma 13" xfId="10"/>
    <cellStyle name="Comma 2" xfId="6"/>
    <cellStyle name="Comma 2 2" xfId="11"/>
    <cellStyle name="Comma 3" xfId="12"/>
    <cellStyle name="Comma 3 2" xfId="13"/>
    <cellStyle name="Comma 4" xfId="14"/>
    <cellStyle name="Comma 4 2" xfId="15"/>
    <cellStyle name="Comma 5" xfId="16"/>
    <cellStyle name="Comma 6" xfId="17"/>
    <cellStyle name="Comma 7" xfId="18"/>
    <cellStyle name="Comma 8" xfId="19"/>
    <cellStyle name="Comma 9" xfId="20"/>
    <cellStyle name="Currency 2" xfId="21"/>
    <cellStyle name="Currency 2 3" xfId="4"/>
    <cellStyle name="Currency 3" xfId="22"/>
    <cellStyle name="Currency 5" xfId="3"/>
    <cellStyle name="Excel Built-in Currency" xfId="23"/>
    <cellStyle name="Excel Built-in Normal" xfId="24"/>
    <cellStyle name="FRxAmtStyle" xfId="25"/>
    <cellStyle name="FRxAmtStyle 2" xfId="26"/>
    <cellStyle name="FRxAmtStyle 3" xfId="27"/>
    <cellStyle name="FRxAmtStyle 4" xfId="28"/>
    <cellStyle name="FRxCurrStyle" xfId="29"/>
    <cellStyle name="FRxCurrStyle 2" xfId="30"/>
    <cellStyle name="FRxPcntStyle" xfId="31"/>
    <cellStyle name="FRxPcntStyle 2" xfId="32"/>
    <cellStyle name="Normal" xfId="0" builtinId="0"/>
    <cellStyle name="Normal 10" xfId="33"/>
    <cellStyle name="Normal 11" xfId="34"/>
    <cellStyle name="Normal 12" xfId="35"/>
    <cellStyle name="Normal 13" xfId="36"/>
    <cellStyle name="Normal 13 2" xfId="37"/>
    <cellStyle name="Normal 14" xfId="38"/>
    <cellStyle name="Normal 15" xfId="39"/>
    <cellStyle name="Normal 16" xfId="40"/>
    <cellStyle name="Normal 17" xfId="41"/>
    <cellStyle name="Normal 2" xfId="42"/>
    <cellStyle name="Normal 2 2" xfId="43"/>
    <cellStyle name="Normal 2 3" xfId="44"/>
    <cellStyle name="Normal 2 4" xfId="45"/>
    <cellStyle name="Normal 3" xfId="46"/>
    <cellStyle name="Normal 3 2" xfId="47"/>
    <cellStyle name="Normal 4" xfId="48"/>
    <cellStyle name="Normal 4 2" xfId="49"/>
    <cellStyle name="Normal 5" xfId="50"/>
    <cellStyle name="Normal 6" xfId="51"/>
    <cellStyle name="Normal 6 2" xfId="2"/>
    <cellStyle name="Normal 7" xfId="52"/>
    <cellStyle name="Normal 8" xfId="53"/>
    <cellStyle name="Normal 9" xfId="54"/>
    <cellStyle name="Normal_DEPN2K" xfId="1"/>
    <cellStyle name="Percent 2" xfId="55"/>
    <cellStyle name="Percent 2 2" xfId="56"/>
    <cellStyle name="Percent 3" xfId="57"/>
    <cellStyle name="Percent 3 2" xfId="58"/>
    <cellStyle name="Percent 4" xfId="59"/>
    <cellStyle name="Percent 4 2" xfId="5"/>
    <cellStyle name="Percent 5" xfId="60"/>
    <cellStyle name="Percent 6" xfId="61"/>
    <cellStyle name="Percent 7" xfId="62"/>
    <cellStyle name="Percent 8" xfId="63"/>
    <cellStyle name="STYLE1" xfId="64"/>
    <cellStyle name="STYLE1 2" xfId="65"/>
    <cellStyle name="STYLE2" xfId="66"/>
    <cellStyle name="STYLE2 2" xfId="67"/>
    <cellStyle name="STYLE3" xfId="68"/>
    <cellStyle name="STYLE3 2" xfId="69"/>
    <cellStyle name="STYLE4" xfId="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TIL\TRANS\Waste%20Management%20-%20Filings\Ellensburg\Year%202009\TG-091472%20(GRC)\Staff\TG-091472%20WM%20of%20Ellensburg%20(Workpapers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d-dc1\users\johnl\My%20Documents\Addy%20FINAL%20TG-132101%201-1-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d-dc1\users\johnl\My%20Documents\Ferry%20County%205-1-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_COMP\Rosario\2007%20rate%20case\Worksheets\070944%20Loan%20Recalculat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rito 25 bpi"/>
      <sheetName val="Res'l Priceout"/>
      <sheetName val="Com'l Priceout"/>
      <sheetName val="Roll Off Priceout"/>
      <sheetName val="Roll Off Productivity"/>
      <sheetName val="Balance Sheet"/>
      <sheetName val="Monthly IS"/>
      <sheetName val="TB -LOB"/>
      <sheetName val="Comm'l TB-120"/>
      <sheetName val="Com'l Rec. TB-160"/>
      <sheetName val="Resi TB-190"/>
      <sheetName val="230 &amp; 220"/>
      <sheetName val="YW TB-220"/>
      <sheetName val="RO TB-260"/>
      <sheetName val="Industrial LOB"/>
      <sheetName val="TS TB-300"/>
      <sheetName val="POL TB-750"/>
      <sheetName val="Revenue Reconciliation"/>
      <sheetName val="Billed Revenue Summary"/>
      <sheetName val="Disposal Summary"/>
      <sheetName val="Payroll Register"/>
      <sheetName val="DEPN"/>
      <sheetName val="Fixed Asset Summary"/>
      <sheetName val="Fixed Asset Detail"/>
      <sheetName val="Fuel"/>
      <sheetName val="WTB"/>
      <sheetName val="OH Analysis"/>
      <sheetName val="Corp. Office OH"/>
      <sheetName val="MA Office OH"/>
      <sheetName val="MA Stats"/>
      <sheetName val="2008 West Group IS"/>
      <sheetName val="2008 Group Office TB"/>
      <sheetName val="2008 Group Office IS"/>
      <sheetName val="70000"/>
      <sheetName val="502500"/>
      <sheetName val="509000"/>
      <sheetName val="509500"/>
      <sheetName val="570800"/>
      <sheetName val="518000"/>
      <sheetName val="568100"/>
      <sheetName val="678000"/>
    </sheetNames>
    <sheetDataSet>
      <sheetData sheetId="0"/>
      <sheetData sheetId="1"/>
      <sheetData sheetId="2"/>
      <sheetData sheetId="3"/>
      <sheetData sheetId="4"/>
      <sheetData sheetId="5">
        <row r="8">
          <cell r="AD8" t="str">
            <v>#N/A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">
          <cell r="A1" t="str">
            <v>Waste Management of Ellensburg</v>
          </cell>
        </row>
      </sheetData>
      <sheetData sheetId="23"/>
      <sheetData sheetId="24"/>
      <sheetData sheetId="25">
        <row r="4">
          <cell r="DE4" t="str">
            <v>01815</v>
          </cell>
        </row>
        <row r="5">
          <cell r="DC5" t="str">
            <v>12</v>
          </cell>
          <cell r="DD5" t="str">
            <v>WM of Ellensburg</v>
          </cell>
          <cell r="DE5" t="str">
            <v>01815</v>
          </cell>
        </row>
        <row r="8">
          <cell r="DC8">
            <v>12</v>
          </cell>
        </row>
      </sheetData>
      <sheetData sheetId="26"/>
      <sheetData sheetId="27"/>
      <sheetData sheetId="28"/>
      <sheetData sheetId="29"/>
      <sheetData sheetId="30">
        <row r="4">
          <cell r="AK4" t="str">
            <v>G00006</v>
          </cell>
        </row>
        <row r="5">
          <cell r="AI5" t="str">
            <v>12</v>
          </cell>
          <cell r="AJ5" t="str">
            <v>Error</v>
          </cell>
          <cell r="AK5" t="str">
            <v>Western</v>
          </cell>
        </row>
        <row r="9">
          <cell r="AM9" t="str">
            <v>USD</v>
          </cell>
        </row>
      </sheetData>
      <sheetData sheetId="31"/>
      <sheetData sheetId="32">
        <row r="4">
          <cell r="AK4" t="str">
            <v>01500</v>
          </cell>
        </row>
        <row r="5">
          <cell r="AI5" t="str">
            <v>12</v>
          </cell>
          <cell r="AJ5" t="str">
            <v>Western Area Office</v>
          </cell>
          <cell r="AK5" t="str">
            <v>01500</v>
          </cell>
        </row>
        <row r="9">
          <cell r="AM9" t="str">
            <v>USD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bor"/>
      <sheetName val="Disposal"/>
      <sheetName val="Priceout"/>
      <sheetName val="Sheet1"/>
      <sheetName val="Account Transactions"/>
      <sheetName val="Staff Priceout - New"/>
      <sheetName val="Pro Forma"/>
      <sheetName val="Staff - Lurito"/>
      <sheetName val="summary"/>
      <sheetName val="carts"/>
      <sheetName val="cont"/>
      <sheetName val="dbx"/>
      <sheetName val="Trucks"/>
      <sheetName val="leasehold improv"/>
      <sheetName val="officeequip"/>
      <sheetName val="398-F"/>
      <sheetName val="399-F"/>
      <sheetName val="299-F"/>
      <sheetName val="Affiliates"/>
      <sheetName val="Staff Fuel"/>
      <sheetName val="Staff Dep. Sched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posal Fees"/>
      <sheetName val="Priceout"/>
      <sheetName val="Transactions"/>
      <sheetName val="12MOROLLDecember"/>
      <sheetName val="Pro Forma"/>
      <sheetName val="Depreciation"/>
      <sheetName val="Lurito"/>
      <sheetName val="Non-Reg"/>
      <sheetName val="Affiliates Non-Redacted"/>
      <sheetName val="Affiliates Redact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e"/>
      <sheetName val="Amortization Table"/>
      <sheetName val="Amortization Table (2)"/>
    </sheetNames>
    <sheetDataSet>
      <sheetData sheetId="0"/>
      <sheetData sheetId="1">
        <row r="18">
          <cell r="F18">
            <v>127794.2761418313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V48"/>
  <sheetViews>
    <sheetView tabSelected="1" zoomScale="80" workbookViewId="0">
      <pane xSplit="3" ySplit="10" topLeftCell="D23" activePane="bottomRight" state="frozen"/>
      <selection activeCell="B4" sqref="B4"/>
      <selection pane="topRight" activeCell="B4" sqref="B4"/>
      <selection pane="bottomLeft" activeCell="B4" sqref="B4"/>
      <selection pane="bottomRight" activeCell="G35" sqref="G35"/>
    </sheetView>
  </sheetViews>
  <sheetFormatPr defaultColWidth="5.5703125" defaultRowHeight="15"/>
  <cols>
    <col min="1" max="1" width="8.42578125" style="39" bestFit="1" customWidth="1"/>
    <col min="2" max="2" width="7.28515625" style="39" bestFit="1" customWidth="1"/>
    <col min="3" max="3" width="44.5703125" style="39" bestFit="1" customWidth="1"/>
    <col min="4" max="4" width="4.28515625" style="39" bestFit="1" customWidth="1"/>
    <col min="5" max="5" width="6.28515625" style="39" bestFit="1" customWidth="1"/>
    <col min="6" max="6" width="12" style="41" bestFit="1" customWidth="1"/>
    <col min="7" max="7" width="8.7109375" style="39" bestFit="1" customWidth="1"/>
    <col min="8" max="8" width="8" style="39" bestFit="1" customWidth="1"/>
    <col min="9" max="9" width="13.140625" style="39" bestFit="1" customWidth="1"/>
    <col min="10" max="10" width="13.7109375" style="7" bestFit="1" customWidth="1"/>
    <col min="11" max="11" width="12.28515625" style="43" bestFit="1" customWidth="1"/>
    <col min="12" max="12" width="10.5703125" style="7" bestFit="1" customWidth="1"/>
    <col min="13" max="13" width="9.5703125" style="7" bestFit="1" customWidth="1"/>
    <col min="14" max="14" width="15.85546875" style="7" bestFit="1" customWidth="1"/>
    <col min="15" max="15" width="9.5703125" style="7" bestFit="1" customWidth="1"/>
    <col min="16" max="16" width="10.7109375" style="7" bestFit="1" customWidth="1"/>
    <col min="17" max="17" width="12.140625" style="7" bestFit="1" customWidth="1"/>
    <col min="18" max="18" width="12.140625" style="7" customWidth="1"/>
    <col min="19" max="19" width="10.5703125" style="39" bestFit="1" customWidth="1"/>
    <col min="20" max="20" width="12.42578125" style="39" bestFit="1" customWidth="1"/>
    <col min="21" max="21" width="13.140625" style="39" customWidth="1"/>
    <col min="22" max="22" width="15.7109375" style="39" bestFit="1" customWidth="1"/>
    <col min="23" max="16384" width="5.5703125" style="39"/>
  </cols>
  <sheetData>
    <row r="1" spans="1:22" s="3" customFormat="1">
      <c r="A1" s="1" t="s">
        <v>0</v>
      </c>
      <c r="B1" s="1"/>
      <c r="C1" s="2" t="s">
        <v>1</v>
      </c>
      <c r="F1" s="4"/>
      <c r="J1" s="5"/>
      <c r="K1" s="6"/>
      <c r="L1" s="5"/>
      <c r="M1" s="5"/>
      <c r="N1" s="5"/>
      <c r="O1" s="7"/>
      <c r="P1" s="7"/>
      <c r="Q1" s="5"/>
      <c r="R1" s="5"/>
    </row>
    <row r="2" spans="1:22" s="3" customFormat="1">
      <c r="C2" s="8" t="s">
        <v>2</v>
      </c>
      <c r="G2" s="9"/>
      <c r="J2" s="5"/>
      <c r="K2" s="6"/>
      <c r="L2" s="5"/>
      <c r="M2" s="5"/>
      <c r="N2" s="5"/>
      <c r="O2" s="7"/>
      <c r="P2" s="7"/>
      <c r="Q2" s="5"/>
      <c r="R2" s="5"/>
    </row>
    <row r="3" spans="1:22" s="3" customFormat="1">
      <c r="C3" s="10" t="s">
        <v>3</v>
      </c>
      <c r="J3" s="5"/>
      <c r="K3" s="6"/>
      <c r="L3" s="5"/>
      <c r="M3" s="5"/>
      <c r="N3" s="5"/>
      <c r="O3" s="7"/>
      <c r="P3" s="7"/>
      <c r="Q3" s="5"/>
      <c r="R3" s="5"/>
      <c r="T3" s="1"/>
      <c r="U3" s="1"/>
    </row>
    <row r="4" spans="1:22" s="3" customFormat="1">
      <c r="J4" s="5"/>
      <c r="K4" s="6"/>
      <c r="L4" s="5"/>
      <c r="M4" s="5"/>
      <c r="N4" s="5"/>
      <c r="O4" s="7"/>
      <c r="P4" s="7"/>
      <c r="Q4" s="5"/>
      <c r="R4" s="5"/>
      <c r="T4" s="1"/>
      <c r="U4" s="1"/>
    </row>
    <row r="5" spans="1:22" s="3" customFormat="1">
      <c r="E5" s="11" t="s">
        <v>4</v>
      </c>
      <c r="F5" s="11"/>
      <c r="G5" s="12" t="s">
        <v>5</v>
      </c>
      <c r="H5" s="12"/>
      <c r="J5" s="5"/>
      <c r="K5" s="6"/>
      <c r="L5" s="5"/>
      <c r="M5" s="5"/>
      <c r="N5" s="5"/>
      <c r="O5" s="7"/>
      <c r="P5" s="7"/>
      <c r="Q5" s="5"/>
      <c r="R5" s="5"/>
      <c r="T5" s="1"/>
      <c r="U5" s="1"/>
    </row>
    <row r="6" spans="1:22" s="3" customFormat="1" ht="15" customHeight="1">
      <c r="E6" s="13" t="s">
        <v>6</v>
      </c>
      <c r="F6" s="13" t="s">
        <v>7</v>
      </c>
      <c r="G6" s="14" t="s">
        <v>6</v>
      </c>
      <c r="H6" s="14" t="s">
        <v>7</v>
      </c>
      <c r="J6" s="5"/>
      <c r="K6" s="6"/>
      <c r="L6" s="5"/>
      <c r="M6" s="5"/>
      <c r="N6" s="5"/>
      <c r="O6" s="7"/>
      <c r="P6" s="7"/>
      <c r="Q6" s="5"/>
      <c r="R6" s="5"/>
      <c r="T6" s="1"/>
      <c r="U6" s="1"/>
    </row>
    <row r="7" spans="1:22" s="3" customFormat="1">
      <c r="E7" s="15">
        <v>0</v>
      </c>
      <c r="F7" s="15">
        <v>2015</v>
      </c>
      <c r="G7" s="14">
        <f>12-E7</f>
        <v>12</v>
      </c>
      <c r="H7" s="14">
        <f>F7+1</f>
        <v>2016</v>
      </c>
      <c r="J7" s="5"/>
      <c r="K7" s="6"/>
      <c r="L7" s="5"/>
      <c r="M7" s="5"/>
      <c r="N7" s="16"/>
      <c r="O7" s="17"/>
      <c r="P7" s="17"/>
      <c r="Q7" s="5"/>
      <c r="R7" s="5"/>
      <c r="T7" s="1"/>
      <c r="U7" s="1"/>
    </row>
    <row r="8" spans="1:22" s="3" customFormat="1">
      <c r="A8" s="1"/>
      <c r="B8" s="1"/>
      <c r="E8" s="18"/>
      <c r="F8" s="4"/>
      <c r="G8" s="18"/>
      <c r="I8" s="18"/>
      <c r="J8" s="5"/>
      <c r="K8" s="6"/>
      <c r="L8" s="5"/>
      <c r="M8" s="5"/>
      <c r="N8" s="16"/>
      <c r="O8" s="17"/>
      <c r="P8" s="17"/>
      <c r="Q8" s="5"/>
      <c r="R8" s="5"/>
    </row>
    <row r="9" spans="1:22" s="3" customFormat="1" ht="45">
      <c r="C9" s="19" t="s">
        <v>8</v>
      </c>
      <c r="D9" s="20" t="s">
        <v>9</v>
      </c>
      <c r="E9" s="20"/>
      <c r="F9" s="21" t="s">
        <v>10</v>
      </c>
      <c r="G9" s="22" t="s">
        <v>11</v>
      </c>
      <c r="H9" s="22" t="s">
        <v>12</v>
      </c>
      <c r="I9" s="22" t="s">
        <v>13</v>
      </c>
      <c r="J9" s="23" t="s">
        <v>14</v>
      </c>
      <c r="K9" s="23" t="s">
        <v>15</v>
      </c>
      <c r="L9" s="24" t="s">
        <v>16</v>
      </c>
      <c r="M9" s="24"/>
      <c r="N9" s="23" t="s">
        <v>17</v>
      </c>
      <c r="O9" s="25" t="s">
        <v>18</v>
      </c>
      <c r="P9" s="26"/>
      <c r="Q9" s="23" t="s">
        <v>19</v>
      </c>
      <c r="R9" s="23" t="s">
        <v>20</v>
      </c>
      <c r="S9" s="23" t="s">
        <v>21</v>
      </c>
      <c r="T9" s="23" t="s">
        <v>22</v>
      </c>
      <c r="U9" s="23" t="s">
        <v>23</v>
      </c>
      <c r="V9" s="23" t="s">
        <v>24</v>
      </c>
    </row>
    <row r="10" spans="1:22" s="3" customFormat="1">
      <c r="A10" s="18"/>
      <c r="B10" s="18"/>
      <c r="C10" s="27" t="s">
        <v>25</v>
      </c>
      <c r="D10" s="27" t="s">
        <v>6</v>
      </c>
      <c r="E10" s="27" t="s">
        <v>7</v>
      </c>
      <c r="F10" s="28" t="s">
        <v>26</v>
      </c>
      <c r="G10" s="29" t="s">
        <v>27</v>
      </c>
      <c r="H10" s="27" t="s">
        <v>28</v>
      </c>
      <c r="I10" s="30" t="s">
        <v>7</v>
      </c>
      <c r="J10" s="31" t="s">
        <v>26</v>
      </c>
      <c r="K10" s="32" t="s">
        <v>27</v>
      </c>
      <c r="L10" s="32" t="s">
        <v>29</v>
      </c>
      <c r="M10" s="32" t="s">
        <v>30</v>
      </c>
      <c r="N10" s="31" t="s">
        <v>26</v>
      </c>
      <c r="O10" s="33" t="s">
        <v>31</v>
      </c>
      <c r="P10" s="33" t="s">
        <v>32</v>
      </c>
      <c r="Q10" s="32" t="s">
        <v>26</v>
      </c>
      <c r="R10" s="32" t="s">
        <v>26</v>
      </c>
      <c r="S10" s="32" t="s">
        <v>33</v>
      </c>
      <c r="T10" s="32" t="s">
        <v>34</v>
      </c>
      <c r="U10" s="32" t="s">
        <v>35</v>
      </c>
      <c r="V10" s="32" t="s">
        <v>36</v>
      </c>
    </row>
    <row r="11" spans="1:22" s="3" customFormat="1">
      <c r="A11" s="3">
        <v>158</v>
      </c>
      <c r="C11" s="34" t="s">
        <v>37</v>
      </c>
      <c r="D11" s="35">
        <v>12</v>
      </c>
      <c r="E11" s="35">
        <v>2003</v>
      </c>
      <c r="F11" s="36">
        <v>38351</v>
      </c>
      <c r="G11" s="37">
        <v>0.33</v>
      </c>
      <c r="H11" s="35">
        <v>5</v>
      </c>
      <c r="I11" s="3">
        <f t="shared" ref="I11:I20" si="0">E11+H11</f>
        <v>2008</v>
      </c>
      <c r="J11" s="5">
        <f t="shared" ref="J11:J20" si="1">F11-F11*G11</f>
        <v>25695.17</v>
      </c>
      <c r="K11" s="6">
        <v>0.9</v>
      </c>
      <c r="L11" s="5">
        <f t="shared" ref="L11:L20" si="2">J11/H11/12</f>
        <v>428.25283333333329</v>
      </c>
      <c r="M11" s="5">
        <f t="shared" ref="M11:M20" si="3">IF(OR(S11&gt;T11,U11&lt;V11),0,IF(AND(U11&gt;=V11,U11&lt;=T11),L11*((U11-V11)*12),IF(AND(V11&lt;=S11,T11&gt;=S11),((T11-S11)*12)*L11,IF(U11&gt;T11,12*L11,0))))</f>
        <v>0</v>
      </c>
      <c r="N11" s="5">
        <f t="shared" ref="N11:N20" si="4">K11*(M11)</f>
        <v>0</v>
      </c>
      <c r="O11" s="7">
        <f t="shared" ref="O11:O13" si="5">IF(S11&gt;T11,0,IF(U11&lt;V11,J11,IF(AND(U11&gt;=V11,U11&lt;=T11),(J11-M11),IF(AND(V11&lt;=S11,T11&gt;=S11),0,IF(U11&gt;T11,((V11-S11)*12)*L11,0)))))</f>
        <v>25695.17</v>
      </c>
      <c r="P11" s="7">
        <f t="shared" ref="P11:P20" si="6">+O11+M11</f>
        <v>25695.17</v>
      </c>
      <c r="Q11" s="5">
        <f t="shared" ref="Q11:Q20" si="7">+(F11-O11+F11-P11)/2</f>
        <v>12655.830000000002</v>
      </c>
      <c r="R11" s="5">
        <f>+Q11*K11</f>
        <v>11390.247000000001</v>
      </c>
      <c r="S11" s="38">
        <f>$E11+(($D11-1)/12)</f>
        <v>2003.9166666666667</v>
      </c>
      <c r="T11" s="38">
        <f t="shared" ref="T11:T20" si="8">($H$7+1)-($E$7/12)</f>
        <v>2017</v>
      </c>
      <c r="U11" s="38">
        <f t="shared" ref="U11:U20" si="9">$I11+(($D11-1)/12)</f>
        <v>2008.9166666666667</v>
      </c>
      <c r="V11" s="38">
        <f t="shared" ref="V11:V20" si="10">$F$7+($G$7/12)</f>
        <v>2016</v>
      </c>
    </row>
    <row r="12" spans="1:22" s="3" customFormat="1">
      <c r="A12" s="3">
        <v>167</v>
      </c>
      <c r="B12" s="3" t="s">
        <v>38</v>
      </c>
      <c r="C12" s="34" t="s">
        <v>39</v>
      </c>
      <c r="D12" s="35">
        <v>10</v>
      </c>
      <c r="E12" s="35">
        <v>2005</v>
      </c>
      <c r="F12" s="36">
        <v>124913</v>
      </c>
      <c r="G12" s="37">
        <v>0.2</v>
      </c>
      <c r="H12" s="35">
        <v>7</v>
      </c>
      <c r="I12" s="3">
        <f t="shared" si="0"/>
        <v>2012</v>
      </c>
      <c r="J12" s="5">
        <f t="shared" si="1"/>
        <v>99930.4</v>
      </c>
      <c r="K12" s="6">
        <v>0.9</v>
      </c>
      <c r="L12" s="5">
        <f t="shared" si="2"/>
        <v>1189.6476190476189</v>
      </c>
      <c r="M12" s="5">
        <f t="shared" si="3"/>
        <v>0</v>
      </c>
      <c r="N12" s="5">
        <f t="shared" si="4"/>
        <v>0</v>
      </c>
      <c r="O12" s="7">
        <f t="shared" si="5"/>
        <v>99930.4</v>
      </c>
      <c r="P12" s="7">
        <f t="shared" si="6"/>
        <v>99930.4</v>
      </c>
      <c r="Q12" s="5">
        <f t="shared" si="7"/>
        <v>24982.600000000006</v>
      </c>
      <c r="R12" s="5">
        <f t="shared" ref="R12:R20" si="11">+Q12*K12</f>
        <v>22484.340000000007</v>
      </c>
      <c r="S12" s="38">
        <f>(+$E12+(($D12-1)/12))</f>
        <v>2005.75</v>
      </c>
      <c r="T12" s="38">
        <f t="shared" si="8"/>
        <v>2017</v>
      </c>
      <c r="U12" s="38">
        <f t="shared" si="9"/>
        <v>2012.75</v>
      </c>
      <c r="V12" s="38">
        <f t="shared" si="10"/>
        <v>2016</v>
      </c>
    </row>
    <row r="13" spans="1:22" s="3" customFormat="1">
      <c r="A13" s="3">
        <v>187</v>
      </c>
      <c r="B13" s="3" t="s">
        <v>40</v>
      </c>
      <c r="C13" s="34" t="s">
        <v>41</v>
      </c>
      <c r="D13" s="35">
        <v>3</v>
      </c>
      <c r="E13" s="35">
        <v>2011</v>
      </c>
      <c r="F13" s="36">
        <v>168659</v>
      </c>
      <c r="G13" s="37">
        <v>0.2</v>
      </c>
      <c r="H13" s="35">
        <v>7</v>
      </c>
      <c r="I13" s="3">
        <f t="shared" si="0"/>
        <v>2018</v>
      </c>
      <c r="J13" s="5">
        <f t="shared" si="1"/>
        <v>134927.20000000001</v>
      </c>
      <c r="K13" s="6">
        <v>0.9</v>
      </c>
      <c r="L13" s="5">
        <f t="shared" si="2"/>
        <v>1606.2761904761908</v>
      </c>
      <c r="M13" s="5">
        <f t="shared" si="3"/>
        <v>19275.314285714288</v>
      </c>
      <c r="N13" s="5">
        <f t="shared" si="4"/>
        <v>17347.782857142862</v>
      </c>
      <c r="O13" s="7">
        <f t="shared" si="5"/>
        <v>93164.019047617607</v>
      </c>
      <c r="P13" s="7">
        <f t="shared" si="6"/>
        <v>112439.33333333189</v>
      </c>
      <c r="Q13" s="5">
        <f t="shared" si="7"/>
        <v>65857.323809525245</v>
      </c>
      <c r="R13" s="5">
        <f t="shared" si="11"/>
        <v>59271.591428572719</v>
      </c>
      <c r="S13" s="38">
        <f t="shared" ref="S13:S20" si="12">$E13+(($D13-1)/12)</f>
        <v>2011.1666666666667</v>
      </c>
      <c r="T13" s="38">
        <f t="shared" si="8"/>
        <v>2017</v>
      </c>
      <c r="U13" s="38">
        <f t="shared" si="9"/>
        <v>2018.1666666666667</v>
      </c>
      <c r="V13" s="38">
        <f t="shared" si="10"/>
        <v>2016</v>
      </c>
    </row>
    <row r="14" spans="1:22" s="3" customFormat="1">
      <c r="A14" s="3">
        <v>186</v>
      </c>
      <c r="C14" s="34" t="s">
        <v>42</v>
      </c>
      <c r="D14" s="35">
        <v>11</v>
      </c>
      <c r="E14" s="35">
        <v>2011</v>
      </c>
      <c r="F14" s="36">
        <v>18000</v>
      </c>
      <c r="G14" s="37">
        <v>0</v>
      </c>
      <c r="H14" s="35">
        <v>5</v>
      </c>
      <c r="I14" s="3">
        <f t="shared" si="0"/>
        <v>2016</v>
      </c>
      <c r="J14" s="5">
        <f t="shared" si="1"/>
        <v>18000</v>
      </c>
      <c r="K14" s="6">
        <v>0.5</v>
      </c>
      <c r="L14" s="5">
        <f t="shared" si="2"/>
        <v>300</v>
      </c>
      <c r="M14" s="5">
        <f t="shared" si="3"/>
        <v>2999.9999999997272</v>
      </c>
      <c r="N14" s="5">
        <f t="shared" si="4"/>
        <v>1499.9999999998636</v>
      </c>
      <c r="O14" s="7">
        <f>IF(S14&gt;T14,0,IF(U14&lt;V14,J14,IF(AND(U14&gt;=V14,U14&lt;=T14),(J14-M14),IF(AND(V14&lt;=S14,T14&gt;=S14),0,IF(U14&gt;T14,((V14-S14)*12)*L14,0)))))</f>
        <v>15000.000000000273</v>
      </c>
      <c r="P14" s="7">
        <f t="shared" si="6"/>
        <v>18000</v>
      </c>
      <c r="Q14" s="5">
        <f t="shared" si="7"/>
        <v>1499.9999999998636</v>
      </c>
      <c r="R14" s="5">
        <f t="shared" si="11"/>
        <v>749.99999999993179</v>
      </c>
      <c r="S14" s="38">
        <f t="shared" si="12"/>
        <v>2011.8333333333333</v>
      </c>
      <c r="T14" s="38">
        <f t="shared" si="8"/>
        <v>2017</v>
      </c>
      <c r="U14" s="38">
        <f t="shared" si="9"/>
        <v>2016.8333333333333</v>
      </c>
      <c r="V14" s="38">
        <f t="shared" si="10"/>
        <v>2016</v>
      </c>
    </row>
    <row r="15" spans="1:22" s="3" customFormat="1">
      <c r="A15" s="3">
        <v>189</v>
      </c>
      <c r="C15" s="34" t="s">
        <v>43</v>
      </c>
      <c r="D15" s="35">
        <v>1</v>
      </c>
      <c r="E15" s="35">
        <v>2012</v>
      </c>
      <c r="F15" s="36">
        <v>1500</v>
      </c>
      <c r="G15" s="37">
        <v>0</v>
      </c>
      <c r="H15" s="35">
        <v>5</v>
      </c>
      <c r="I15" s="3">
        <f t="shared" si="0"/>
        <v>2017</v>
      </c>
      <c r="J15" s="5">
        <f t="shared" si="1"/>
        <v>1500</v>
      </c>
      <c r="K15" s="6">
        <v>0</v>
      </c>
      <c r="L15" s="5">
        <f t="shared" si="2"/>
        <v>25</v>
      </c>
      <c r="M15" s="5">
        <f t="shared" si="3"/>
        <v>300</v>
      </c>
      <c r="N15" s="5">
        <f t="shared" si="4"/>
        <v>0</v>
      </c>
      <c r="O15" s="7">
        <f t="shared" ref="O15:O20" si="13">IF(S15&gt;T15,0,IF(U15&lt;V15,J15,IF(AND(U15&gt;=V15,U15&lt;=T15),(J15-M15),IF(AND(V15&lt;=S15,T15&gt;=S15),0,IF(U15&gt;T15,((V15-S15)*12)*L15,0)))))</f>
        <v>1200</v>
      </c>
      <c r="P15" s="7">
        <f t="shared" si="6"/>
        <v>1500</v>
      </c>
      <c r="Q15" s="5">
        <f t="shared" si="7"/>
        <v>150</v>
      </c>
      <c r="R15" s="5">
        <f t="shared" si="11"/>
        <v>0</v>
      </c>
      <c r="S15" s="38">
        <f t="shared" si="12"/>
        <v>2012</v>
      </c>
      <c r="T15" s="38">
        <f t="shared" si="8"/>
        <v>2017</v>
      </c>
      <c r="U15" s="38">
        <f t="shared" si="9"/>
        <v>2017</v>
      </c>
      <c r="V15" s="38">
        <f t="shared" si="10"/>
        <v>2016</v>
      </c>
    </row>
    <row r="16" spans="1:22" s="3" customFormat="1">
      <c r="A16" s="3">
        <v>148</v>
      </c>
      <c r="B16" s="3" t="s">
        <v>44</v>
      </c>
      <c r="C16" s="34" t="s">
        <v>45</v>
      </c>
      <c r="D16" s="35">
        <v>3</v>
      </c>
      <c r="E16" s="35">
        <v>2000</v>
      </c>
      <c r="F16" s="36">
        <v>108489</v>
      </c>
      <c r="G16" s="37">
        <v>0.2</v>
      </c>
      <c r="H16" s="35">
        <v>5</v>
      </c>
      <c r="I16" s="3">
        <f t="shared" si="0"/>
        <v>2005</v>
      </c>
      <c r="J16" s="5">
        <f t="shared" si="1"/>
        <v>86791.2</v>
      </c>
      <c r="K16" s="6">
        <v>0.5</v>
      </c>
      <c r="L16" s="5">
        <f t="shared" si="2"/>
        <v>1446.5199999999998</v>
      </c>
      <c r="M16" s="5">
        <f t="shared" si="3"/>
        <v>0</v>
      </c>
      <c r="N16" s="5">
        <f t="shared" si="4"/>
        <v>0</v>
      </c>
      <c r="O16" s="7">
        <f t="shared" si="13"/>
        <v>86791.2</v>
      </c>
      <c r="P16" s="7">
        <f t="shared" si="6"/>
        <v>86791.2</v>
      </c>
      <c r="Q16" s="5">
        <f t="shared" si="7"/>
        <v>21697.800000000003</v>
      </c>
      <c r="R16" s="5">
        <f t="shared" si="11"/>
        <v>10848.900000000001</v>
      </c>
      <c r="S16" s="38">
        <f t="shared" si="12"/>
        <v>2000.1666666666667</v>
      </c>
      <c r="T16" s="38">
        <f t="shared" si="8"/>
        <v>2017</v>
      </c>
      <c r="U16" s="38">
        <f t="shared" si="9"/>
        <v>2005.1666666666667</v>
      </c>
      <c r="V16" s="38">
        <f t="shared" si="10"/>
        <v>2016</v>
      </c>
    </row>
    <row r="17" spans="1:22" s="3" customFormat="1">
      <c r="A17" s="3">
        <v>101</v>
      </c>
      <c r="B17" s="3" t="s">
        <v>46</v>
      </c>
      <c r="C17" s="34" t="s">
        <v>47</v>
      </c>
      <c r="D17" s="35">
        <v>11</v>
      </c>
      <c r="E17" s="35">
        <v>1997</v>
      </c>
      <c r="F17" s="36">
        <v>31629</v>
      </c>
      <c r="G17" s="37">
        <v>0</v>
      </c>
      <c r="H17" s="35">
        <v>5</v>
      </c>
      <c r="I17" s="3">
        <f t="shared" si="0"/>
        <v>2002</v>
      </c>
      <c r="J17" s="5">
        <f t="shared" si="1"/>
        <v>31629</v>
      </c>
      <c r="K17" s="6">
        <v>0.5</v>
      </c>
      <c r="L17" s="5">
        <f t="shared" si="2"/>
        <v>527.15</v>
      </c>
      <c r="M17" s="5">
        <f t="shared" si="3"/>
        <v>0</v>
      </c>
      <c r="N17" s="5">
        <f t="shared" si="4"/>
        <v>0</v>
      </c>
      <c r="O17" s="7">
        <f t="shared" si="13"/>
        <v>31629</v>
      </c>
      <c r="P17" s="7">
        <f t="shared" si="6"/>
        <v>31629</v>
      </c>
      <c r="Q17" s="5">
        <f t="shared" si="7"/>
        <v>0</v>
      </c>
      <c r="R17" s="5">
        <f t="shared" si="11"/>
        <v>0</v>
      </c>
      <c r="S17" s="38">
        <f t="shared" si="12"/>
        <v>1997.8333333333333</v>
      </c>
      <c r="T17" s="38">
        <f t="shared" si="8"/>
        <v>2017</v>
      </c>
      <c r="U17" s="38">
        <f t="shared" si="9"/>
        <v>2002.8333333333333</v>
      </c>
      <c r="V17" s="38">
        <f t="shared" si="10"/>
        <v>2016</v>
      </c>
    </row>
    <row r="18" spans="1:22" s="3" customFormat="1">
      <c r="A18" s="3">
        <v>154</v>
      </c>
      <c r="B18" s="3" t="s">
        <v>48</v>
      </c>
      <c r="C18" s="34" t="s">
        <v>49</v>
      </c>
      <c r="D18" s="35">
        <v>8</v>
      </c>
      <c r="E18" s="35">
        <v>2002</v>
      </c>
      <c r="F18" s="36">
        <v>50595</v>
      </c>
      <c r="G18" s="37">
        <v>0.33</v>
      </c>
      <c r="H18" s="35">
        <v>5</v>
      </c>
      <c r="I18" s="3">
        <f t="shared" si="0"/>
        <v>2007</v>
      </c>
      <c r="J18" s="5">
        <f t="shared" si="1"/>
        <v>33898.649999999994</v>
      </c>
      <c r="K18" s="6">
        <v>0.5</v>
      </c>
      <c r="L18" s="5">
        <f t="shared" si="2"/>
        <v>564.97749999999985</v>
      </c>
      <c r="M18" s="5">
        <f t="shared" si="3"/>
        <v>0</v>
      </c>
      <c r="N18" s="5">
        <f t="shared" si="4"/>
        <v>0</v>
      </c>
      <c r="O18" s="7">
        <f t="shared" si="13"/>
        <v>33898.649999999994</v>
      </c>
      <c r="P18" s="7">
        <f t="shared" si="6"/>
        <v>33898.649999999994</v>
      </c>
      <c r="Q18" s="5">
        <f t="shared" si="7"/>
        <v>16696.350000000006</v>
      </c>
      <c r="R18" s="5">
        <f t="shared" si="11"/>
        <v>8348.1750000000029</v>
      </c>
      <c r="S18" s="38">
        <f t="shared" si="12"/>
        <v>2002.5833333333333</v>
      </c>
      <c r="T18" s="38">
        <f t="shared" si="8"/>
        <v>2017</v>
      </c>
      <c r="U18" s="38">
        <f t="shared" si="9"/>
        <v>2007.5833333333333</v>
      </c>
      <c r="V18" s="38">
        <f t="shared" si="10"/>
        <v>2016</v>
      </c>
    </row>
    <row r="19" spans="1:22" s="3" customFormat="1">
      <c r="B19" s="3" t="s">
        <v>50</v>
      </c>
      <c r="C19" s="34" t="s">
        <v>51</v>
      </c>
      <c r="D19" s="35">
        <v>4</v>
      </c>
      <c r="E19" s="35">
        <v>2016</v>
      </c>
      <c r="F19" s="36">
        <v>7386.01</v>
      </c>
      <c r="G19" s="37">
        <v>0</v>
      </c>
      <c r="H19" s="35">
        <v>5</v>
      </c>
      <c r="I19" s="3">
        <f t="shared" si="0"/>
        <v>2021</v>
      </c>
      <c r="J19" s="5">
        <f t="shared" si="1"/>
        <v>7386.01</v>
      </c>
      <c r="K19" s="6">
        <v>0.5</v>
      </c>
      <c r="L19" s="5">
        <f t="shared" si="2"/>
        <v>123.10016666666667</v>
      </c>
      <c r="M19" s="5">
        <f t="shared" si="3"/>
        <v>1107.9014999999999</v>
      </c>
      <c r="N19" s="5">
        <f t="shared" si="4"/>
        <v>553.95074999999997</v>
      </c>
      <c r="O19" s="7">
        <f t="shared" si="13"/>
        <v>0</v>
      </c>
      <c r="P19" s="7">
        <f t="shared" si="6"/>
        <v>1107.9014999999999</v>
      </c>
      <c r="Q19" s="5">
        <f t="shared" si="7"/>
        <v>6832.0592500000002</v>
      </c>
      <c r="R19" s="5">
        <f t="shared" si="11"/>
        <v>3416.0296250000001</v>
      </c>
      <c r="S19" s="38">
        <f t="shared" si="12"/>
        <v>2016.25</v>
      </c>
      <c r="T19" s="38">
        <f t="shared" si="8"/>
        <v>2017</v>
      </c>
      <c r="U19" s="38">
        <f t="shared" si="9"/>
        <v>2021.25</v>
      </c>
      <c r="V19" s="38">
        <f t="shared" si="10"/>
        <v>2016</v>
      </c>
    </row>
    <row r="20" spans="1:22" s="3" customFormat="1">
      <c r="B20" s="3" t="s">
        <v>52</v>
      </c>
      <c r="C20" s="34" t="s">
        <v>53</v>
      </c>
      <c r="D20" s="35">
        <v>7</v>
      </c>
      <c r="E20" s="35">
        <v>2016</v>
      </c>
      <c r="F20" s="36">
        <v>3924</v>
      </c>
      <c r="G20" s="37">
        <v>0</v>
      </c>
      <c r="H20" s="35">
        <v>5</v>
      </c>
      <c r="I20" s="3">
        <f t="shared" si="0"/>
        <v>2021</v>
      </c>
      <c r="J20" s="5">
        <f t="shared" si="1"/>
        <v>3924</v>
      </c>
      <c r="K20" s="6">
        <v>0.5</v>
      </c>
      <c r="L20" s="5">
        <f t="shared" si="2"/>
        <v>65.399999999999991</v>
      </c>
      <c r="M20" s="5">
        <f t="shared" si="3"/>
        <v>392.4</v>
      </c>
      <c r="N20" s="5">
        <f t="shared" si="4"/>
        <v>196.2</v>
      </c>
      <c r="O20" s="7">
        <f t="shared" si="13"/>
        <v>0</v>
      </c>
      <c r="P20" s="7">
        <f t="shared" si="6"/>
        <v>392.4</v>
      </c>
      <c r="Q20" s="5">
        <f t="shared" si="7"/>
        <v>3727.8</v>
      </c>
      <c r="R20" s="5">
        <f t="shared" si="11"/>
        <v>1863.9</v>
      </c>
      <c r="S20" s="38">
        <f t="shared" si="12"/>
        <v>2016.5</v>
      </c>
      <c r="T20" s="38">
        <f t="shared" si="8"/>
        <v>2017</v>
      </c>
      <c r="U20" s="38">
        <f t="shared" si="9"/>
        <v>2021.5</v>
      </c>
      <c r="V20" s="38">
        <f t="shared" si="10"/>
        <v>2016</v>
      </c>
    </row>
    <row r="21" spans="1:22">
      <c r="C21" s="40"/>
      <c r="G21" s="42"/>
      <c r="S21" s="44"/>
      <c r="T21" s="44"/>
      <c r="U21" s="44"/>
      <c r="V21" s="44"/>
    </row>
    <row r="22" spans="1:22">
      <c r="C22" s="45" t="s">
        <v>54</v>
      </c>
      <c r="F22" s="7"/>
      <c r="G22" s="42"/>
      <c r="M22" s="7">
        <f>SUM(M11:M21)</f>
        <v>24075.615785714017</v>
      </c>
      <c r="N22" s="7">
        <f>SUM(N11:N21)</f>
        <v>19597.933607142724</v>
      </c>
      <c r="Q22" s="7">
        <f>SUM(Q11:Q21)</f>
        <v>154099.76305952511</v>
      </c>
      <c r="R22" s="7">
        <f>SUM(R11:R21)</f>
        <v>118373.18305357265</v>
      </c>
      <c r="S22" s="44"/>
      <c r="T22" s="44"/>
      <c r="U22" s="44"/>
      <c r="V22" s="44"/>
    </row>
    <row r="23" spans="1:22">
      <c r="C23" s="46"/>
      <c r="S23" s="44"/>
      <c r="T23" s="44"/>
      <c r="U23" s="44"/>
      <c r="V23" s="44"/>
    </row>
    <row r="24" spans="1:22">
      <c r="C24" s="46" t="s">
        <v>55</v>
      </c>
      <c r="S24" s="44"/>
      <c r="T24" s="44"/>
      <c r="U24" s="44"/>
      <c r="V24" s="44"/>
    </row>
    <row r="25" spans="1:22" s="3" customFormat="1">
      <c r="A25" s="3">
        <v>190</v>
      </c>
      <c r="C25" s="47" t="s">
        <v>56</v>
      </c>
      <c r="D25" s="35">
        <v>1</v>
      </c>
      <c r="E25" s="35">
        <v>2014</v>
      </c>
      <c r="F25" s="36">
        <v>666</v>
      </c>
      <c r="G25" s="37">
        <v>0</v>
      </c>
      <c r="H25" s="35">
        <v>7</v>
      </c>
      <c r="I25" s="3">
        <f t="shared" ref="I25:I38" si="14">E25+H25</f>
        <v>2021</v>
      </c>
      <c r="J25" s="5">
        <f t="shared" ref="J25:J38" si="15">F25-F25*G25</f>
        <v>666</v>
      </c>
      <c r="K25" s="6">
        <v>1</v>
      </c>
      <c r="L25" s="5">
        <f t="shared" ref="L25:L38" si="16">J25/H25/12</f>
        <v>7.9285714285714279</v>
      </c>
      <c r="M25" s="5">
        <f t="shared" ref="M25:M38" si="17">IF(OR(S25&gt;T25,U25&lt;V25),0,IF(AND(U25&gt;=V25,U25&lt;=T25),L25*((U25-V25)*12),IF(AND(V25&lt;=S25,T25&gt;=S25),((T25-S25)*12)*L25,IF(U25&gt;T25,12*L25,0))))</f>
        <v>95.142857142857139</v>
      </c>
      <c r="N25" s="5">
        <f t="shared" ref="N25:N38" si="18">K25*(M25)</f>
        <v>95.142857142857139</v>
      </c>
      <c r="O25" s="7">
        <f t="shared" ref="O25:O38" si="19">IF(S25&gt;T25,0,IF(U25&lt;V25,J25,IF(AND(U25&gt;=V25,U25&lt;=T25),(J25-M25),IF(AND(V25&lt;=S25,T25&gt;=S25),0,IF(U25&gt;T25,((V25-S25)*12)*L25,0)))))</f>
        <v>190.28571428571428</v>
      </c>
      <c r="P25" s="7">
        <f t="shared" ref="P25:P38" si="20">+O25+M25</f>
        <v>285.42857142857144</v>
      </c>
      <c r="Q25" s="5">
        <f t="shared" ref="Q25:Q38" si="21">+(F25-O25+F25-P25)/2</f>
        <v>428.14285714285717</v>
      </c>
      <c r="R25" s="5">
        <f>+Q25*K25</f>
        <v>428.14285714285717</v>
      </c>
      <c r="S25" s="38">
        <f>$E25+(($D25-1)/12)</f>
        <v>2014</v>
      </c>
      <c r="T25" s="38">
        <f t="shared" ref="T25:T38" si="22">($H$7+1)-($E$7/12)</f>
        <v>2017</v>
      </c>
      <c r="U25" s="38">
        <f t="shared" ref="U25:U38" si="23">$I25+(($D25-1)/12)</f>
        <v>2021</v>
      </c>
      <c r="V25" s="38">
        <f t="shared" ref="V25:V38" si="24">$F$7+($G$7/12)</f>
        <v>2016</v>
      </c>
    </row>
    <row r="26" spans="1:22" s="3" customFormat="1">
      <c r="A26" s="3">
        <v>144</v>
      </c>
      <c r="C26" s="47" t="s">
        <v>57</v>
      </c>
      <c r="D26" s="35">
        <v>10</v>
      </c>
      <c r="E26" s="35">
        <v>1995</v>
      </c>
      <c r="F26" s="36">
        <v>3600</v>
      </c>
      <c r="G26" s="37">
        <v>0</v>
      </c>
      <c r="H26" s="35">
        <v>7</v>
      </c>
      <c r="I26" s="3">
        <f t="shared" si="14"/>
        <v>2002</v>
      </c>
      <c r="J26" s="5">
        <f t="shared" si="15"/>
        <v>3600</v>
      </c>
      <c r="K26" s="6">
        <v>1</v>
      </c>
      <c r="L26" s="5">
        <f t="shared" si="16"/>
        <v>42.857142857142861</v>
      </c>
      <c r="M26" s="5">
        <f t="shared" si="17"/>
        <v>0</v>
      </c>
      <c r="N26" s="5">
        <f t="shared" si="18"/>
        <v>0</v>
      </c>
      <c r="O26" s="7">
        <f t="shared" si="19"/>
        <v>3600</v>
      </c>
      <c r="P26" s="7">
        <f t="shared" si="20"/>
        <v>3600</v>
      </c>
      <c r="Q26" s="5">
        <f t="shared" si="21"/>
        <v>0</v>
      </c>
      <c r="R26" s="5">
        <f t="shared" ref="R26:R38" si="25">+Q26*K26</f>
        <v>0</v>
      </c>
      <c r="S26" s="38">
        <f>(+$E26+(($D26-1)/12))</f>
        <v>1995.75</v>
      </c>
      <c r="T26" s="38">
        <f t="shared" si="22"/>
        <v>2017</v>
      </c>
      <c r="U26" s="38">
        <f t="shared" si="23"/>
        <v>2002.75</v>
      </c>
      <c r="V26" s="38">
        <f t="shared" si="24"/>
        <v>2016</v>
      </c>
    </row>
    <row r="27" spans="1:22" s="3" customFormat="1">
      <c r="A27" s="3">
        <v>146</v>
      </c>
      <c r="C27" s="47" t="s">
        <v>58</v>
      </c>
      <c r="D27" s="35">
        <v>11</v>
      </c>
      <c r="E27" s="35">
        <v>1997</v>
      </c>
      <c r="F27" s="36">
        <v>1103</v>
      </c>
      <c r="G27" s="37">
        <v>0</v>
      </c>
      <c r="H27" s="35">
        <v>7</v>
      </c>
      <c r="I27" s="3">
        <f t="shared" si="14"/>
        <v>2004</v>
      </c>
      <c r="J27" s="5">
        <f t="shared" si="15"/>
        <v>1103</v>
      </c>
      <c r="K27" s="6">
        <v>1</v>
      </c>
      <c r="L27" s="5">
        <f t="shared" si="16"/>
        <v>13.130952380952381</v>
      </c>
      <c r="M27" s="5">
        <f t="shared" si="17"/>
        <v>0</v>
      </c>
      <c r="N27" s="5">
        <f t="shared" si="18"/>
        <v>0</v>
      </c>
      <c r="O27" s="7">
        <f t="shared" si="19"/>
        <v>1103</v>
      </c>
      <c r="P27" s="7">
        <f t="shared" si="20"/>
        <v>1103</v>
      </c>
      <c r="Q27" s="5">
        <f t="shared" si="21"/>
        <v>0</v>
      </c>
      <c r="R27" s="5">
        <f t="shared" si="25"/>
        <v>0</v>
      </c>
      <c r="S27" s="38">
        <f>$E27+(($D27-1)/12)</f>
        <v>1997.8333333333333</v>
      </c>
      <c r="T27" s="38">
        <f t="shared" si="22"/>
        <v>2017</v>
      </c>
      <c r="U27" s="38">
        <f t="shared" si="23"/>
        <v>2004.8333333333333</v>
      </c>
      <c r="V27" s="38">
        <f t="shared" si="24"/>
        <v>2016</v>
      </c>
    </row>
    <row r="28" spans="1:22" s="3" customFormat="1">
      <c r="A28" s="3">
        <v>152</v>
      </c>
      <c r="C28" s="47" t="s">
        <v>58</v>
      </c>
      <c r="D28" s="35">
        <v>4</v>
      </c>
      <c r="E28" s="35">
        <v>2000</v>
      </c>
      <c r="F28" s="36">
        <v>200</v>
      </c>
      <c r="G28" s="37">
        <v>0</v>
      </c>
      <c r="H28" s="35">
        <v>7</v>
      </c>
      <c r="I28" s="3">
        <f t="shared" si="14"/>
        <v>2007</v>
      </c>
      <c r="J28" s="5">
        <f t="shared" si="15"/>
        <v>200</v>
      </c>
      <c r="K28" s="6">
        <v>1</v>
      </c>
      <c r="L28" s="5">
        <f t="shared" si="16"/>
        <v>2.3809523809523809</v>
      </c>
      <c r="M28" s="5">
        <f t="shared" si="17"/>
        <v>0</v>
      </c>
      <c r="N28" s="5">
        <f t="shared" si="18"/>
        <v>0</v>
      </c>
      <c r="O28" s="7">
        <f t="shared" si="19"/>
        <v>200</v>
      </c>
      <c r="P28" s="7">
        <f t="shared" si="20"/>
        <v>200</v>
      </c>
      <c r="Q28" s="5">
        <f t="shared" si="21"/>
        <v>0</v>
      </c>
      <c r="R28" s="5">
        <f t="shared" si="25"/>
        <v>0</v>
      </c>
      <c r="S28" s="38">
        <f>$E28+(($D28-1)/12)</f>
        <v>2000.25</v>
      </c>
      <c r="T28" s="38">
        <f t="shared" si="22"/>
        <v>2017</v>
      </c>
      <c r="U28" s="38">
        <f t="shared" si="23"/>
        <v>2007.25</v>
      </c>
      <c r="V28" s="38">
        <f t="shared" si="24"/>
        <v>2016</v>
      </c>
    </row>
    <row r="29" spans="1:22" s="3" customFormat="1">
      <c r="A29" s="3">
        <v>153</v>
      </c>
      <c r="C29" s="47" t="s">
        <v>58</v>
      </c>
      <c r="D29" s="35">
        <v>6</v>
      </c>
      <c r="E29" s="35">
        <v>2000</v>
      </c>
      <c r="F29" s="36">
        <v>300</v>
      </c>
      <c r="G29" s="37">
        <v>0</v>
      </c>
      <c r="H29" s="35">
        <v>7</v>
      </c>
      <c r="I29" s="3">
        <f t="shared" si="14"/>
        <v>2007</v>
      </c>
      <c r="J29" s="5">
        <f t="shared" si="15"/>
        <v>300</v>
      </c>
      <c r="K29" s="6">
        <v>1</v>
      </c>
      <c r="L29" s="5">
        <f t="shared" si="16"/>
        <v>3.5714285714285712</v>
      </c>
      <c r="M29" s="5">
        <f t="shared" si="17"/>
        <v>0</v>
      </c>
      <c r="N29" s="5">
        <f t="shared" si="18"/>
        <v>0</v>
      </c>
      <c r="O29" s="7">
        <f t="shared" si="19"/>
        <v>300</v>
      </c>
      <c r="P29" s="7">
        <f t="shared" si="20"/>
        <v>300</v>
      </c>
      <c r="Q29" s="5">
        <f t="shared" si="21"/>
        <v>0</v>
      </c>
      <c r="R29" s="5">
        <f t="shared" si="25"/>
        <v>0</v>
      </c>
      <c r="S29" s="38">
        <f>(+$E29+(($D29-1)/12))</f>
        <v>2000.4166666666667</v>
      </c>
      <c r="T29" s="38">
        <f t="shared" si="22"/>
        <v>2017</v>
      </c>
      <c r="U29" s="38">
        <f t="shared" si="23"/>
        <v>2007.4166666666667</v>
      </c>
      <c r="V29" s="38">
        <f t="shared" si="24"/>
        <v>2016</v>
      </c>
    </row>
    <row r="30" spans="1:22" s="3" customFormat="1">
      <c r="A30" s="3">
        <v>155</v>
      </c>
      <c r="C30" s="47" t="s">
        <v>59</v>
      </c>
      <c r="D30" s="35">
        <v>5</v>
      </c>
      <c r="E30" s="35">
        <v>2002</v>
      </c>
      <c r="F30" s="36">
        <v>819</v>
      </c>
      <c r="G30" s="37">
        <v>0</v>
      </c>
      <c r="H30" s="35">
        <v>7</v>
      </c>
      <c r="I30" s="3">
        <f t="shared" si="14"/>
        <v>2009</v>
      </c>
      <c r="J30" s="5">
        <f t="shared" si="15"/>
        <v>819</v>
      </c>
      <c r="K30" s="6">
        <v>1</v>
      </c>
      <c r="L30" s="5">
        <f t="shared" si="16"/>
        <v>9.75</v>
      </c>
      <c r="M30" s="5">
        <f t="shared" si="17"/>
        <v>0</v>
      </c>
      <c r="N30" s="5">
        <f t="shared" si="18"/>
        <v>0</v>
      </c>
      <c r="O30" s="7">
        <f t="shared" si="19"/>
        <v>819</v>
      </c>
      <c r="P30" s="7">
        <f t="shared" si="20"/>
        <v>819</v>
      </c>
      <c r="Q30" s="5">
        <f t="shared" si="21"/>
        <v>0</v>
      </c>
      <c r="R30" s="5">
        <f t="shared" si="25"/>
        <v>0</v>
      </c>
      <c r="S30" s="38">
        <f>$E30+(($D30-1)/12)</f>
        <v>2002.3333333333333</v>
      </c>
      <c r="T30" s="38">
        <f t="shared" si="22"/>
        <v>2017</v>
      </c>
      <c r="U30" s="38">
        <f t="shared" si="23"/>
        <v>2009.3333333333333</v>
      </c>
      <c r="V30" s="38">
        <f t="shared" si="24"/>
        <v>2016</v>
      </c>
    </row>
    <row r="31" spans="1:22" s="3" customFormat="1">
      <c r="A31" s="3">
        <v>157</v>
      </c>
      <c r="C31" s="47" t="s">
        <v>60</v>
      </c>
      <c r="D31" s="35">
        <v>11</v>
      </c>
      <c r="E31" s="35">
        <v>2003</v>
      </c>
      <c r="F31" s="36">
        <v>1025</v>
      </c>
      <c r="G31" s="37">
        <v>0</v>
      </c>
      <c r="H31" s="35">
        <v>7</v>
      </c>
      <c r="I31" s="3">
        <f t="shared" si="14"/>
        <v>2010</v>
      </c>
      <c r="J31" s="5">
        <f t="shared" si="15"/>
        <v>1025</v>
      </c>
      <c r="K31" s="6">
        <v>1</v>
      </c>
      <c r="L31" s="5">
        <f t="shared" si="16"/>
        <v>12.202380952380951</v>
      </c>
      <c r="M31" s="5">
        <f t="shared" si="17"/>
        <v>0</v>
      </c>
      <c r="N31" s="5">
        <f t="shared" si="18"/>
        <v>0</v>
      </c>
      <c r="O31" s="7">
        <f t="shared" si="19"/>
        <v>1025</v>
      </c>
      <c r="P31" s="7">
        <f t="shared" si="20"/>
        <v>1025</v>
      </c>
      <c r="Q31" s="5">
        <f t="shared" si="21"/>
        <v>0</v>
      </c>
      <c r="R31" s="5">
        <f t="shared" si="25"/>
        <v>0</v>
      </c>
      <c r="S31" s="38">
        <f>$E31+(($D31-1)/12)</f>
        <v>2003.8333333333333</v>
      </c>
      <c r="T31" s="38">
        <f t="shared" si="22"/>
        <v>2017</v>
      </c>
      <c r="U31" s="38">
        <f t="shared" si="23"/>
        <v>2010.8333333333333</v>
      </c>
      <c r="V31" s="38">
        <f t="shared" si="24"/>
        <v>2016</v>
      </c>
    </row>
    <row r="32" spans="1:22" s="3" customFormat="1">
      <c r="A32" s="3">
        <v>162</v>
      </c>
      <c r="C32" s="47" t="s">
        <v>61</v>
      </c>
      <c r="D32" s="35">
        <v>3</v>
      </c>
      <c r="E32" s="35">
        <v>2005</v>
      </c>
      <c r="F32" s="36">
        <v>1100</v>
      </c>
      <c r="G32" s="37">
        <v>0</v>
      </c>
      <c r="H32" s="35">
        <v>7</v>
      </c>
      <c r="I32" s="3">
        <f t="shared" si="14"/>
        <v>2012</v>
      </c>
      <c r="J32" s="5">
        <f t="shared" si="15"/>
        <v>1100</v>
      </c>
      <c r="K32" s="6">
        <v>1</v>
      </c>
      <c r="L32" s="5">
        <f t="shared" si="16"/>
        <v>13.095238095238095</v>
      </c>
      <c r="M32" s="5">
        <f t="shared" si="17"/>
        <v>0</v>
      </c>
      <c r="N32" s="5">
        <f t="shared" si="18"/>
        <v>0</v>
      </c>
      <c r="O32" s="7">
        <f t="shared" si="19"/>
        <v>1100</v>
      </c>
      <c r="P32" s="7">
        <f t="shared" si="20"/>
        <v>1100</v>
      </c>
      <c r="Q32" s="5">
        <f t="shared" si="21"/>
        <v>0</v>
      </c>
      <c r="R32" s="5">
        <f t="shared" si="25"/>
        <v>0</v>
      </c>
      <c r="S32" s="38">
        <f>(+$E32+(($D32-1)/12))</f>
        <v>2005.1666666666667</v>
      </c>
      <c r="T32" s="38">
        <f t="shared" si="22"/>
        <v>2017</v>
      </c>
      <c r="U32" s="38">
        <f t="shared" si="23"/>
        <v>2012.1666666666667</v>
      </c>
      <c r="V32" s="38">
        <f t="shared" si="24"/>
        <v>2016</v>
      </c>
    </row>
    <row r="33" spans="1:22" s="3" customFormat="1">
      <c r="A33" s="3">
        <v>166</v>
      </c>
      <c r="C33" s="47" t="s">
        <v>62</v>
      </c>
      <c r="D33" s="35">
        <v>11</v>
      </c>
      <c r="E33" s="35">
        <v>2005</v>
      </c>
      <c r="F33" s="36">
        <v>2166</v>
      </c>
      <c r="G33" s="37">
        <v>0</v>
      </c>
      <c r="H33" s="35">
        <v>7</v>
      </c>
      <c r="I33" s="3">
        <f t="shared" si="14"/>
        <v>2012</v>
      </c>
      <c r="J33" s="5">
        <f t="shared" si="15"/>
        <v>2166</v>
      </c>
      <c r="K33" s="6">
        <v>1</v>
      </c>
      <c r="L33" s="5">
        <f t="shared" si="16"/>
        <v>25.785714285714288</v>
      </c>
      <c r="M33" s="5">
        <f t="shared" si="17"/>
        <v>0</v>
      </c>
      <c r="N33" s="5">
        <f t="shared" si="18"/>
        <v>0</v>
      </c>
      <c r="O33" s="7">
        <f t="shared" si="19"/>
        <v>2166</v>
      </c>
      <c r="P33" s="7">
        <f t="shared" si="20"/>
        <v>2166</v>
      </c>
      <c r="Q33" s="5">
        <f t="shared" si="21"/>
        <v>0</v>
      </c>
      <c r="R33" s="5">
        <f t="shared" si="25"/>
        <v>0</v>
      </c>
      <c r="S33" s="38">
        <f>$E33+(($D33-1)/12)</f>
        <v>2005.8333333333333</v>
      </c>
      <c r="T33" s="38">
        <f t="shared" si="22"/>
        <v>2017</v>
      </c>
      <c r="U33" s="38">
        <f t="shared" si="23"/>
        <v>2012.8333333333333</v>
      </c>
      <c r="V33" s="38">
        <f t="shared" si="24"/>
        <v>2016</v>
      </c>
    </row>
    <row r="34" spans="1:22" s="3" customFormat="1">
      <c r="A34" s="3" t="s">
        <v>63</v>
      </c>
      <c r="C34" s="47" t="s">
        <v>64</v>
      </c>
      <c r="D34" s="35">
        <v>2</v>
      </c>
      <c r="E34" s="35">
        <v>2006</v>
      </c>
      <c r="F34" s="36">
        <v>433.2</v>
      </c>
      <c r="G34" s="37">
        <v>0</v>
      </c>
      <c r="H34" s="35">
        <v>7</v>
      </c>
      <c r="I34" s="3">
        <f t="shared" si="14"/>
        <v>2013</v>
      </c>
      <c r="J34" s="5">
        <f t="shared" si="15"/>
        <v>433.2</v>
      </c>
      <c r="K34" s="6">
        <v>1</v>
      </c>
      <c r="L34" s="5">
        <f t="shared" si="16"/>
        <v>5.1571428571428575</v>
      </c>
      <c r="M34" s="5">
        <f t="shared" si="17"/>
        <v>0</v>
      </c>
      <c r="N34" s="5">
        <f t="shared" si="18"/>
        <v>0</v>
      </c>
      <c r="O34" s="7">
        <f t="shared" si="19"/>
        <v>433.2</v>
      </c>
      <c r="P34" s="7">
        <f t="shared" si="20"/>
        <v>433.2</v>
      </c>
      <c r="Q34" s="5">
        <f t="shared" si="21"/>
        <v>0</v>
      </c>
      <c r="R34" s="5">
        <f t="shared" si="25"/>
        <v>0</v>
      </c>
      <c r="S34" s="38">
        <f>$E34+(($D34-1)/12)</f>
        <v>2006.0833333333333</v>
      </c>
      <c r="T34" s="38">
        <f t="shared" si="22"/>
        <v>2017</v>
      </c>
      <c r="U34" s="38">
        <f t="shared" si="23"/>
        <v>2013.0833333333333</v>
      </c>
      <c r="V34" s="38">
        <f t="shared" si="24"/>
        <v>2016</v>
      </c>
    </row>
    <row r="35" spans="1:22" s="3" customFormat="1">
      <c r="A35" s="3" t="s">
        <v>65</v>
      </c>
      <c r="C35" s="47" t="s">
        <v>66</v>
      </c>
      <c r="D35" s="35">
        <v>10</v>
      </c>
      <c r="E35" s="35">
        <v>2006</v>
      </c>
      <c r="F35" s="36">
        <v>944.82</v>
      </c>
      <c r="G35" s="37">
        <v>0</v>
      </c>
      <c r="H35" s="35">
        <v>7</v>
      </c>
      <c r="I35" s="3">
        <f t="shared" si="14"/>
        <v>2013</v>
      </c>
      <c r="J35" s="5">
        <f t="shared" si="15"/>
        <v>944.82</v>
      </c>
      <c r="K35" s="6">
        <v>1</v>
      </c>
      <c r="L35" s="5">
        <f t="shared" si="16"/>
        <v>11.247857142857143</v>
      </c>
      <c r="M35" s="5">
        <f t="shared" si="17"/>
        <v>0</v>
      </c>
      <c r="N35" s="5">
        <f t="shared" si="18"/>
        <v>0</v>
      </c>
      <c r="O35" s="7">
        <f t="shared" si="19"/>
        <v>944.82</v>
      </c>
      <c r="P35" s="7">
        <f t="shared" si="20"/>
        <v>944.82</v>
      </c>
      <c r="Q35" s="5">
        <f t="shared" si="21"/>
        <v>0</v>
      </c>
      <c r="R35" s="5">
        <f t="shared" si="25"/>
        <v>0</v>
      </c>
      <c r="S35" s="38">
        <f>(+$E35+(($D35-1)/12))</f>
        <v>2006.75</v>
      </c>
      <c r="T35" s="38">
        <f t="shared" si="22"/>
        <v>2017</v>
      </c>
      <c r="U35" s="38">
        <f t="shared" si="23"/>
        <v>2013.75</v>
      </c>
      <c r="V35" s="38">
        <f t="shared" si="24"/>
        <v>2016</v>
      </c>
    </row>
    <row r="36" spans="1:22" s="3" customFormat="1">
      <c r="A36" s="3">
        <v>165</v>
      </c>
      <c r="C36" s="47" t="s">
        <v>67</v>
      </c>
      <c r="D36" s="35">
        <v>11</v>
      </c>
      <c r="E36" s="35">
        <v>2005</v>
      </c>
      <c r="F36" s="36">
        <v>400</v>
      </c>
      <c r="G36" s="37">
        <v>0</v>
      </c>
      <c r="H36" s="35">
        <v>7</v>
      </c>
      <c r="I36" s="3">
        <f t="shared" si="14"/>
        <v>2012</v>
      </c>
      <c r="J36" s="5">
        <f t="shared" si="15"/>
        <v>400</v>
      </c>
      <c r="K36" s="6">
        <v>1</v>
      </c>
      <c r="L36" s="5">
        <f t="shared" si="16"/>
        <v>4.7619047619047619</v>
      </c>
      <c r="M36" s="5">
        <f t="shared" si="17"/>
        <v>0</v>
      </c>
      <c r="N36" s="5">
        <f t="shared" si="18"/>
        <v>0</v>
      </c>
      <c r="O36" s="7">
        <f t="shared" si="19"/>
        <v>400</v>
      </c>
      <c r="P36" s="7">
        <f t="shared" si="20"/>
        <v>400</v>
      </c>
      <c r="Q36" s="5">
        <f t="shared" si="21"/>
        <v>0</v>
      </c>
      <c r="R36" s="5">
        <f t="shared" si="25"/>
        <v>0</v>
      </c>
      <c r="S36" s="38">
        <f>(+$E36+(($D36-1)/12))</f>
        <v>2005.8333333333333</v>
      </c>
      <c r="T36" s="38">
        <f t="shared" si="22"/>
        <v>2017</v>
      </c>
      <c r="U36" s="38">
        <f t="shared" si="23"/>
        <v>2012.8333333333333</v>
      </c>
      <c r="V36" s="38">
        <f t="shared" si="24"/>
        <v>2016</v>
      </c>
    </row>
    <row r="37" spans="1:22" s="3" customFormat="1">
      <c r="A37" s="3">
        <v>180</v>
      </c>
      <c r="C37" s="47" t="s">
        <v>58</v>
      </c>
      <c r="D37" s="35">
        <v>8</v>
      </c>
      <c r="E37" s="35">
        <v>2009</v>
      </c>
      <c r="F37" s="36">
        <v>1193</v>
      </c>
      <c r="G37" s="37">
        <v>0</v>
      </c>
      <c r="H37" s="35">
        <v>7</v>
      </c>
      <c r="I37" s="3">
        <f t="shared" si="14"/>
        <v>2016</v>
      </c>
      <c r="J37" s="5">
        <f t="shared" si="15"/>
        <v>1193</v>
      </c>
      <c r="K37" s="6">
        <v>1</v>
      </c>
      <c r="L37" s="5">
        <f t="shared" si="16"/>
        <v>14.202380952380951</v>
      </c>
      <c r="M37" s="5">
        <f t="shared" si="17"/>
        <v>99.41666666665374</v>
      </c>
      <c r="N37" s="5">
        <f t="shared" si="18"/>
        <v>99.41666666665374</v>
      </c>
      <c r="O37" s="7">
        <f t="shared" si="19"/>
        <v>1093.5833333333462</v>
      </c>
      <c r="P37" s="7">
        <f t="shared" si="20"/>
        <v>1193</v>
      </c>
      <c r="Q37" s="5">
        <f t="shared" si="21"/>
        <v>49.708333333326891</v>
      </c>
      <c r="R37" s="5">
        <f t="shared" si="25"/>
        <v>49.708333333326891</v>
      </c>
      <c r="S37" s="38">
        <f>$E37+(($D37-1)/12)</f>
        <v>2009.5833333333333</v>
      </c>
      <c r="T37" s="38">
        <f t="shared" si="22"/>
        <v>2017</v>
      </c>
      <c r="U37" s="38">
        <f t="shared" si="23"/>
        <v>2016.5833333333333</v>
      </c>
      <c r="V37" s="38">
        <f t="shared" si="24"/>
        <v>2016</v>
      </c>
    </row>
    <row r="38" spans="1:22" s="3" customFormat="1">
      <c r="A38" s="3">
        <v>184</v>
      </c>
      <c r="C38" s="47" t="s">
        <v>68</v>
      </c>
      <c r="D38" s="35">
        <v>3</v>
      </c>
      <c r="E38" s="35">
        <v>2010</v>
      </c>
      <c r="F38" s="36">
        <v>1129.82</v>
      </c>
      <c r="G38" s="37">
        <v>0</v>
      </c>
      <c r="H38" s="35">
        <v>7</v>
      </c>
      <c r="I38" s="3">
        <f t="shared" si="14"/>
        <v>2017</v>
      </c>
      <c r="J38" s="5">
        <f t="shared" si="15"/>
        <v>1129.82</v>
      </c>
      <c r="K38" s="6">
        <v>1</v>
      </c>
      <c r="L38" s="5">
        <f t="shared" si="16"/>
        <v>13.450238095238094</v>
      </c>
      <c r="M38" s="5">
        <f t="shared" si="17"/>
        <v>161.40285714285713</v>
      </c>
      <c r="N38" s="5">
        <f t="shared" si="18"/>
        <v>161.40285714285713</v>
      </c>
      <c r="O38" s="7">
        <f t="shared" si="19"/>
        <v>941.51666666665426</v>
      </c>
      <c r="P38" s="7">
        <f t="shared" si="20"/>
        <v>1102.9195238095115</v>
      </c>
      <c r="Q38" s="5">
        <f t="shared" si="21"/>
        <v>107.60190476191713</v>
      </c>
      <c r="R38" s="5">
        <f t="shared" si="25"/>
        <v>107.60190476191713</v>
      </c>
      <c r="S38" s="38">
        <f>$E38+(($D38-1)/12)</f>
        <v>2010.1666666666667</v>
      </c>
      <c r="T38" s="38">
        <f t="shared" si="22"/>
        <v>2017</v>
      </c>
      <c r="U38" s="38">
        <f t="shared" si="23"/>
        <v>2017.1666666666667</v>
      </c>
      <c r="V38" s="38">
        <f t="shared" si="24"/>
        <v>2016</v>
      </c>
    </row>
    <row r="39" spans="1:22">
      <c r="C39" s="48"/>
      <c r="S39" s="44"/>
      <c r="T39" s="44"/>
      <c r="U39" s="44"/>
      <c r="V39" s="44"/>
    </row>
    <row r="40" spans="1:22">
      <c r="C40" s="46" t="s">
        <v>69</v>
      </c>
      <c r="J40" s="41"/>
      <c r="L40" s="41"/>
      <c r="M40" s="41">
        <f>SUM(M25:M39)</f>
        <v>355.96238095236799</v>
      </c>
      <c r="N40" s="41">
        <f>SUM(N25:N39)</f>
        <v>355.96238095236799</v>
      </c>
      <c r="O40" s="41"/>
      <c r="P40" s="41"/>
      <c r="Q40" s="41">
        <f>SUM(Q25:Q39)</f>
        <v>585.45309523810124</v>
      </c>
      <c r="R40" s="41">
        <f>SUM(R25:R39)</f>
        <v>585.45309523810124</v>
      </c>
      <c r="S40" s="44"/>
      <c r="T40" s="44"/>
      <c r="U40" s="44"/>
      <c r="V40" s="44"/>
    </row>
    <row r="41" spans="1:22">
      <c r="C41" s="45"/>
      <c r="S41" s="44"/>
      <c r="T41" s="44"/>
      <c r="U41" s="44"/>
      <c r="V41" s="44"/>
    </row>
    <row r="42" spans="1:22">
      <c r="C42" s="46" t="s">
        <v>70</v>
      </c>
      <c r="S42" s="44"/>
      <c r="T42" s="44"/>
      <c r="U42" s="44"/>
      <c r="V42" s="44"/>
    </row>
    <row r="43" spans="1:22" s="3" customFormat="1">
      <c r="A43" s="3">
        <v>188</v>
      </c>
      <c r="C43" s="47" t="s">
        <v>71</v>
      </c>
      <c r="D43" s="35">
        <v>10</v>
      </c>
      <c r="E43" s="35">
        <v>2012</v>
      </c>
      <c r="F43" s="36">
        <v>614</v>
      </c>
      <c r="G43" s="37">
        <v>0</v>
      </c>
      <c r="H43" s="35">
        <v>5</v>
      </c>
      <c r="I43" s="3">
        <f>E43+H43</f>
        <v>2017</v>
      </c>
      <c r="J43" s="5">
        <f>F43-F43*G43</f>
        <v>614</v>
      </c>
      <c r="K43" s="6">
        <v>1</v>
      </c>
      <c r="L43" s="5">
        <f>J43/H43/12</f>
        <v>10.233333333333333</v>
      </c>
      <c r="M43" s="5">
        <f>IF(OR(S43&gt;T43,U43&lt;V43),0,IF(AND(U43&gt;=V43,U43&lt;=T43),L43*((U43-V43)*12),IF(AND(V43&lt;=S43,T43&gt;=S43),((T43-S43)*12)*L43,IF(U43&gt;T43,12*L43,0))))</f>
        <v>122.79999999999998</v>
      </c>
      <c r="N43" s="5">
        <f>K43*(M43)</f>
        <v>122.79999999999998</v>
      </c>
      <c r="O43" s="7">
        <f>IF(S43&gt;T43,0,IF(U43&lt;V43,J43,IF(AND(U43&gt;=V43,U43&lt;=T43),(J43-M43),IF(AND(V43&lt;=S43,T43&gt;=S43),0,IF(U43&gt;T43,((V43-S43)*12)*L43,0)))))</f>
        <v>399.09999999999997</v>
      </c>
      <c r="P43" s="7">
        <f>+O43+M43</f>
        <v>521.9</v>
      </c>
      <c r="Q43" s="5">
        <f>+(F43-O43+F43-P43)/2</f>
        <v>153.50000000000006</v>
      </c>
      <c r="R43" s="5">
        <f t="shared" ref="R43:R44" si="26">+Q43*K43</f>
        <v>153.50000000000006</v>
      </c>
      <c r="S43" s="38">
        <f>$E43+(($D43-1)/12)</f>
        <v>2012.75</v>
      </c>
      <c r="T43" s="38">
        <f>($H$7+1)-($E$7/12)</f>
        <v>2017</v>
      </c>
      <c r="U43" s="38">
        <f>$I43+(($D43-1)/12)</f>
        <v>2017.75</v>
      </c>
      <c r="V43" s="38">
        <f>$F$7+($G$7/12)</f>
        <v>2016</v>
      </c>
    </row>
    <row r="44" spans="1:22" s="3" customFormat="1">
      <c r="A44" s="3">
        <v>191</v>
      </c>
      <c r="C44" s="47" t="s">
        <v>72</v>
      </c>
      <c r="D44" s="35">
        <v>1</v>
      </c>
      <c r="E44" s="35">
        <v>2014</v>
      </c>
      <c r="F44" s="36">
        <v>721</v>
      </c>
      <c r="G44" s="37">
        <v>0</v>
      </c>
      <c r="H44" s="35">
        <v>5</v>
      </c>
      <c r="I44" s="3">
        <f>E44+H44</f>
        <v>2019</v>
      </c>
      <c r="J44" s="5">
        <f>F44-F44*G44</f>
        <v>721</v>
      </c>
      <c r="K44" s="6">
        <v>1</v>
      </c>
      <c r="L44" s="5">
        <f>J44/H44/12</f>
        <v>12.016666666666666</v>
      </c>
      <c r="M44" s="5">
        <f>IF(OR(S44&gt;T44,U44&lt;V44),0,IF(AND(U44&gt;=V44,U44&lt;=T44),L44*((U44-V44)*12),IF(AND(V44&lt;=S44,T44&gt;=S44),((T44-S44)*12)*L44,IF(U44&gt;T44,12*L44,0))))</f>
        <v>144.19999999999999</v>
      </c>
      <c r="N44" s="5">
        <f>K44*(M44)</f>
        <v>144.19999999999999</v>
      </c>
      <c r="O44" s="7">
        <f>IF(S44&gt;T44,0,IF(U44&lt;V44,J44,IF(AND(U44&gt;=V44,U44&lt;=T44),(J44-M44),IF(AND(V44&lt;=S44,T44&gt;=S44),0,IF(U44&gt;T44,((V44-S44)*12)*L44,0)))))</f>
        <v>288.39999999999998</v>
      </c>
      <c r="P44" s="7">
        <f>+O44+M44</f>
        <v>432.59999999999997</v>
      </c>
      <c r="Q44" s="5">
        <f>+(F44-O44+F44-P44)/2</f>
        <v>360.5</v>
      </c>
      <c r="R44" s="5">
        <f t="shared" si="26"/>
        <v>360.5</v>
      </c>
      <c r="S44" s="38">
        <f>$E44+(($D44-1)/12)</f>
        <v>2014</v>
      </c>
      <c r="T44" s="38">
        <f>($H$7+1)-($E$7/12)</f>
        <v>2017</v>
      </c>
      <c r="U44" s="38">
        <f>$I44+(($D44-1)/12)</f>
        <v>2019</v>
      </c>
      <c r="V44" s="38">
        <f>$F$7+($G$7/12)</f>
        <v>2016</v>
      </c>
    </row>
    <row r="45" spans="1:22">
      <c r="C45" s="48"/>
      <c r="G45" s="42"/>
      <c r="S45" s="44"/>
      <c r="T45" s="44"/>
      <c r="U45" s="44"/>
      <c r="V45" s="44"/>
    </row>
    <row r="46" spans="1:22">
      <c r="C46" s="46" t="s">
        <v>73</v>
      </c>
      <c r="F46" s="7"/>
      <c r="M46" s="7">
        <f>SUM(M43:M45)</f>
        <v>267</v>
      </c>
      <c r="N46" s="7">
        <f>SUM(N43:N45)</f>
        <v>267</v>
      </c>
      <c r="Q46" s="7">
        <f>SUM(Q43:Q45)</f>
        <v>514</v>
      </c>
      <c r="R46" s="7">
        <f>SUM(R43:R45)</f>
        <v>514</v>
      </c>
      <c r="S46" s="44"/>
      <c r="T46" s="44"/>
      <c r="U46" s="44"/>
      <c r="V46" s="44"/>
    </row>
    <row r="47" spans="1:22">
      <c r="C47" s="46"/>
      <c r="S47" s="44"/>
      <c r="T47" s="44"/>
      <c r="U47" s="44"/>
      <c r="V47" s="44"/>
    </row>
    <row r="48" spans="1:22">
      <c r="C48" s="49" t="s">
        <v>74</v>
      </c>
      <c r="M48" s="7">
        <f>+M22+M40+M46</f>
        <v>24698.578166666386</v>
      </c>
      <c r="N48" s="7">
        <f>+N22+N40+N46</f>
        <v>20220.895988095093</v>
      </c>
      <c r="Q48" s="7">
        <f>+Q22+Q40+Q46</f>
        <v>155199.21615476321</v>
      </c>
      <c r="R48" s="7">
        <f>+R22+R40+R46</f>
        <v>119472.63614881075</v>
      </c>
    </row>
  </sheetData>
  <mergeCells count="5">
    <mergeCell ref="E5:F5"/>
    <mergeCell ref="G5:H5"/>
    <mergeCell ref="D9:E9"/>
    <mergeCell ref="L9:M9"/>
    <mergeCell ref="O9:P9"/>
  </mergeCells>
  <pageMargins left="0.75" right="0.75" top="1" bottom="1" header="0.5" footer="0.5"/>
  <pageSetup scale="58" fitToHeight="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F22B506E4A366489ECCE121845F8BDF" ma:contentTypeVersion="92" ma:contentTypeDescription="" ma:contentTypeScope="" ma:versionID="ce86d7de60e3160f210ee73e683b16c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2017-03-17T07:00:00+00:00</OpenedDate>
    <Date1 xmlns="dc463f71-b30c-4ab2-9473-d307f9d35888">2017-03-17T07:00:00+00:00</Date1>
    <IsDocumentOrder xmlns="dc463f71-b30c-4ab2-9473-d307f9d35888" xsi:nil="true"/>
    <IsHighlyConfidential xmlns="dc463f71-b30c-4ab2-9473-d307f9d35888">false</IsHighlyConfidential>
    <CaseCompanyNames xmlns="dc463f71-b30c-4ab2-9473-d307f9d35888">Torre Refuse &amp; Recycling LLC</CaseCompanyNames>
    <Nickname xmlns="http://schemas.microsoft.com/sharepoint/v3" xsi:nil="true"/>
    <DocketNumber xmlns="dc463f71-b30c-4ab2-9473-d307f9d35888">170185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7143E941-8424-43FF-A873-5ACB91493034}"/>
</file>

<file path=customXml/itemProps2.xml><?xml version="1.0" encoding="utf-8"?>
<ds:datastoreItem xmlns:ds="http://schemas.openxmlformats.org/officeDocument/2006/customXml" ds:itemID="{83445640-84C1-4BB2-8B4E-C6C3B23C53F3}"/>
</file>

<file path=customXml/itemProps3.xml><?xml version="1.0" encoding="utf-8"?>
<ds:datastoreItem xmlns:ds="http://schemas.openxmlformats.org/officeDocument/2006/customXml" ds:itemID="{3B2EDEBC-57C0-4E0C-8090-173D84E5DE57}"/>
</file>

<file path=customXml/itemProps4.xml><?xml version="1.0" encoding="utf-8"?>
<ds:datastoreItem xmlns:ds="http://schemas.openxmlformats.org/officeDocument/2006/customXml" ds:itemID="{49D4E41D-4A2D-4EA9-BBF8-47D3AC05E4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Depreciation</vt:lpstr>
      <vt:lpstr>Depreciation!Print_Area</vt:lpstr>
      <vt:lpstr>Depreciation!Print_Titles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Lloyd</dc:creator>
  <cp:lastModifiedBy>John Lloyd</cp:lastModifiedBy>
  <cp:lastPrinted>2017-03-17T17:12:23Z</cp:lastPrinted>
  <dcterms:created xsi:type="dcterms:W3CDTF">2017-03-17T17:12:14Z</dcterms:created>
  <dcterms:modified xsi:type="dcterms:W3CDTF">2017-03-17T17:12:43Z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0x0101006E56B4D1795A2E4DB2F0B01679ED314A00EF22B506E4A366489ECCE121845F8BDF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