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3465" windowWidth="15330" windowHeight="5385" activeTab="0"/>
  </bookViews>
  <sheets>
    <sheet name="RJA-2pg1" sheetId="1" r:id="rId1"/>
    <sheet name="RJA-2 pgs 2-5" sheetId="2" r:id="rId2"/>
    <sheet name="RJA-3" sheetId="3" r:id="rId3"/>
    <sheet name="RJA-4" sheetId="4" r:id="rId4"/>
    <sheet name="RJA-5" sheetId="5" r:id="rId5"/>
    <sheet name="RJA-6" sheetId="6" r:id="rId6"/>
  </sheets>
  <externalReferences>
    <externalReference r:id="rId9"/>
    <externalReference r:id="rId10"/>
  </externalReferences>
  <definedNames>
    <definedName name="calcsheet1">#N/A</definedName>
    <definedName name="calcsheet2">#N/A</definedName>
    <definedName name="calcsheet3">#N/A</definedName>
    <definedName name="cust_actual">#REF!</definedName>
    <definedName name="cust_budget">#REF!</definedName>
    <definedName name="meter_size">#REF!</definedName>
    <definedName name="NORMALIZE">#REF!</definedName>
    <definedName name="page1" localSheetId="0">#N/A</definedName>
    <definedName name="page1">#REF!</definedName>
    <definedName name="page2" localSheetId="0">#N/A</definedName>
    <definedName name="page2">#REF!</definedName>
    <definedName name="page3" localSheetId="0">#N/A</definedName>
    <definedName name="page3">#REF!</definedName>
    <definedName name="page4">#REF!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1">'RJA-2 pgs 2-5'!$A$1:$K$168</definedName>
    <definedName name="_xlnm.Print_Area" localSheetId="0">'RJA-2pg1'!$A$1:$T$60</definedName>
    <definedName name="_xlnm.Print_Area" localSheetId="2">'RJA-3'!$A$13:$P$63</definedName>
    <definedName name="_xlnm.Print_Area" localSheetId="3">'RJA-4'!$A$1:$H$108</definedName>
    <definedName name="_xlnm.Print_Area" localSheetId="4">'RJA-5'!$A$1:$H$51</definedName>
    <definedName name="_xlnm.Print_Area" localSheetId="5">'RJA-6'!$A$1:$I$35</definedName>
    <definedName name="_xlnm.Print_Titles" localSheetId="1">'RJA-2 pgs 2-5'!$2:$9</definedName>
    <definedName name="_xlnm.Print_Titles" localSheetId="2">'RJA-3'!$1:$4</definedName>
    <definedName name="_xlnm.Print_Titles" localSheetId="3">'RJA-4'!$1:$4</definedName>
    <definedName name="_xlnm.Print_Titles" localSheetId="4">'RJA-5'!$1:$3</definedName>
    <definedName name="_xlnm.Print_Titles" localSheetId="5">'RJA-6'!$1:$10</definedName>
    <definedName name="print55">#REF!</definedName>
    <definedName name="ror_1">#N/A</definedName>
    <definedName name="ror_2">#N/A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<sst xmlns="http://schemas.openxmlformats.org/spreadsheetml/2006/main" count="423" uniqueCount="184">
  <si>
    <t xml:space="preserve">  Monthly Bill Impact on Bill-assisted RS 02 Customers</t>
  </si>
  <si>
    <t>Proposed Rates by Rate Schedule</t>
  </si>
  <si>
    <t>Docket No. UG-08______</t>
  </si>
  <si>
    <t>one mantle</t>
  </si>
  <si>
    <t>all add'l mantles</t>
  </si>
  <si>
    <t>Change in Distribution Revenue</t>
  </si>
  <si>
    <t>Annual use &gt; 12000 therms</t>
  </si>
  <si>
    <t>Annual use &gt; 24000 therms</t>
  </si>
  <si>
    <t>Annual use &gt; 36000 therms</t>
  </si>
  <si>
    <t>Annual use &gt; 48000 therms</t>
  </si>
  <si>
    <t>Annual use &gt; 60000 therms</t>
  </si>
  <si>
    <t>Annual use &gt; 72000 therms</t>
  </si>
  <si>
    <t>Annual use &gt; 84000 therms</t>
  </si>
  <si>
    <t>Annual use &gt; 96000 therms</t>
  </si>
  <si>
    <t>Annual use &gt; 4000 therms</t>
  </si>
  <si>
    <t>Annual use &gt; 6000 therms</t>
  </si>
  <si>
    <t>Annual use &gt; 8000 therms</t>
  </si>
  <si>
    <t>Annual use &gt; 10000 therms</t>
  </si>
  <si>
    <t>Annual use &gt; 14000 therms</t>
  </si>
  <si>
    <t>Annual use &gt; 16000 therms</t>
  </si>
  <si>
    <t>Annual use &gt; 18000 therms</t>
  </si>
  <si>
    <t>Annual use &gt; 20000 therms</t>
  </si>
  <si>
    <t>Customer Charge</t>
  </si>
  <si>
    <t>Volumetric Charge</t>
  </si>
  <si>
    <t>Customers</t>
  </si>
  <si>
    <t>Block 1</t>
  </si>
  <si>
    <t>Block 2</t>
  </si>
  <si>
    <t>Block 3</t>
  </si>
  <si>
    <t>Block 4</t>
  </si>
  <si>
    <t>Total</t>
  </si>
  <si>
    <t>Description</t>
  </si>
  <si>
    <t>Transportation Charge</t>
  </si>
  <si>
    <t>Block 5</t>
  </si>
  <si>
    <t>Block 6</t>
  </si>
  <si>
    <t>May</t>
  </si>
  <si>
    <t>Percent of Total Customers</t>
  </si>
  <si>
    <t>$4.01 - $6.00</t>
  </si>
  <si>
    <t>$6.01 - $9.00</t>
  </si>
  <si>
    <t>Average bill with proposed $12 Customer Charge</t>
  </si>
  <si>
    <t>Average bill with current $5 Customer Charge</t>
  </si>
  <si>
    <t>Range of Monthly Gas Consumption</t>
  </si>
  <si>
    <t>Bill at Present Rates</t>
  </si>
  <si>
    <t>Bill at Proposed Rates</t>
  </si>
  <si>
    <t>$3.01 - $5.00</t>
  </si>
  <si>
    <t>$5.01 - $7.00</t>
  </si>
  <si>
    <t>$0.01 to $1.00</t>
  </si>
  <si>
    <t>$1.01 - $3.00</t>
  </si>
  <si>
    <t>&gt; $7.01</t>
  </si>
  <si>
    <t>Rate 41</t>
  </si>
  <si>
    <t>Rate 21</t>
  </si>
  <si>
    <t>Rate 3</t>
  </si>
  <si>
    <t xml:space="preserve">Under Proposed </t>
  </si>
  <si>
    <t>Under Current</t>
  </si>
  <si>
    <t>Proposed transition of RS 21 Customers to RS 41</t>
  </si>
  <si>
    <t>Proposed transition of RS 21 Customers to RS 3</t>
  </si>
  <si>
    <t>Docket No. UG-08____</t>
  </si>
  <si>
    <t>Docket No. UG-08___</t>
  </si>
  <si>
    <t>Block</t>
  </si>
  <si>
    <t>41 Firm Sales</t>
  </si>
  <si>
    <t>GRAND TOTAL</t>
  </si>
  <si>
    <t>Existing Rate</t>
  </si>
  <si>
    <t>Distribution Revenue</t>
  </si>
  <si>
    <t>Proposed Rate</t>
  </si>
  <si>
    <t>21 Firm Sales</t>
  </si>
  <si>
    <t>migrating to RS 41</t>
  </si>
  <si>
    <t>42 Firm Sales</t>
  </si>
  <si>
    <t>% Chg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</si>
  <si>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</si>
  <si>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</si>
  <si>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</si>
  <si>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</si>
  <si>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</si>
  <si>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</si>
  <si>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</si>
  <si>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</si>
  <si>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</si>
  <si>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</si>
  <si>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</si>
  <si>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Difference</t>
  </si>
  <si>
    <t>Line No.</t>
  </si>
  <si>
    <t>Schedule</t>
  </si>
  <si>
    <t>Proposed</t>
  </si>
  <si>
    <t>Line</t>
  </si>
  <si>
    <t>No.</t>
  </si>
  <si>
    <t>(A)</t>
  </si>
  <si>
    <t>(B)</t>
  </si>
  <si>
    <t>(C)</t>
  </si>
  <si>
    <t>(D)</t>
  </si>
  <si>
    <t>(E)</t>
  </si>
  <si>
    <t>(F)</t>
  </si>
  <si>
    <t>Stratum Summary</t>
  </si>
  <si>
    <t>% of Customers</t>
  </si>
  <si>
    <t>Monthly Increase in Customer Bill</t>
  </si>
  <si>
    <t>/w Present Cust Charge</t>
  </si>
  <si>
    <t>&lt; $0.00</t>
  </si>
  <si>
    <t>$0.00 - $2.00</t>
  </si>
  <si>
    <t>$2.01 - $4.00</t>
  </si>
  <si>
    <t>$9.01 - $12.00</t>
  </si>
  <si>
    <t>&gt; $12.01</t>
  </si>
  <si>
    <t xml:space="preserve">% of </t>
  </si>
  <si>
    <t>(G)</t>
  </si>
  <si>
    <t>Avg Monthly Bill Increase Under Proposed Rates</t>
  </si>
  <si>
    <t>Average Monthly Bill Increase w/ Present Customer Charge</t>
  </si>
  <si>
    <t># of Customers</t>
  </si>
  <si>
    <t>Average monthly increase</t>
  </si>
  <si>
    <t>TOTAL</t>
  </si>
  <si>
    <t>Northwest Natural Gas Company</t>
  </si>
  <si>
    <t>Docket No. UG-08__________</t>
  </si>
  <si>
    <t>Annual use &gt; 0 therms</t>
  </si>
  <si>
    <t>Annual use &gt; 100 therms</t>
  </si>
  <si>
    <t>Annual use &gt; 200 therms</t>
  </si>
  <si>
    <t>Annual use &gt; 300 therms</t>
  </si>
  <si>
    <t>Annual use &gt; 400 therms</t>
  </si>
  <si>
    <t>Annual use &gt; 500 therms</t>
  </si>
  <si>
    <t>Annual use &gt; 600 therms</t>
  </si>
  <si>
    <t>Annual use &gt; 700 therms</t>
  </si>
  <si>
    <t>Annual use &gt; 800 therms</t>
  </si>
  <si>
    <t>Annual use &gt; 900 therms</t>
  </si>
  <si>
    <t>Annual use &gt; 1000 therms</t>
  </si>
  <si>
    <t>Annual use &gt; 1100 therms</t>
  </si>
  <si>
    <t>Annual use &gt; 1200 therms</t>
  </si>
  <si>
    <t>Rate Schedule 21 Bill Impact Analysis</t>
  </si>
  <si>
    <t>Annual Margin</t>
  </si>
  <si>
    <t>Residential Monthly and Annual Bill Comparison</t>
  </si>
  <si>
    <t>Based on average annual usage of 712 therms</t>
  </si>
  <si>
    <t>21 Firm Sales to RS 3</t>
  </si>
  <si>
    <t xml:space="preserve">Total Rate 21 </t>
  </si>
  <si>
    <t>42 Interruptible Sales</t>
  </si>
  <si>
    <t>2007 Normal Volumes (Therms)</t>
  </si>
  <si>
    <t>Proposed Rate Design</t>
  </si>
  <si>
    <t>Block Break</t>
  </si>
  <si>
    <t>Determinant</t>
  </si>
  <si>
    <t>Distribution Rate</t>
  </si>
  <si>
    <t>Distribution Revenues</t>
  </si>
  <si>
    <t>Rate Schedule 1</t>
  </si>
  <si>
    <t>General Sales Service</t>
  </si>
  <si>
    <t>Target Revenue</t>
  </si>
  <si>
    <t>Over/(Under)</t>
  </si>
  <si>
    <t>Rate Schedule 2</t>
  </si>
  <si>
    <t>Residential Sales Service</t>
  </si>
  <si>
    <t>Rate Schedule 3</t>
  </si>
  <si>
    <t>Basic Firm Sales Service</t>
  </si>
  <si>
    <t>Rate Schedule 21</t>
  </si>
  <si>
    <t>Firm High Load Factor Sales Service</t>
  </si>
  <si>
    <t>0-500</t>
  </si>
  <si>
    <t>501 - 2,000</t>
  </si>
  <si>
    <t>2,001 - 100,000</t>
  </si>
  <si>
    <t>Over 100,000</t>
  </si>
  <si>
    <t>Rate Schedule 27</t>
  </si>
  <si>
    <t>Residential Heating Dry-Out Service</t>
  </si>
  <si>
    <t>Rate Schedule 41</t>
  </si>
  <si>
    <t>Non-Residential Sales &amp; Transport (Firm &amp; Interruptible)</t>
  </si>
  <si>
    <t>0 - 2,000 therms</t>
  </si>
  <si>
    <t>Over 2,000</t>
  </si>
  <si>
    <t>Rate Schedule 42</t>
  </si>
  <si>
    <t>0 - 10,000 therms</t>
  </si>
  <si>
    <t>10,001 - 30,000 therms</t>
  </si>
  <si>
    <t>30,001 - 50,000 therms</t>
  </si>
  <si>
    <t>50,001 - 150,000 therms</t>
  </si>
  <si>
    <t>150,001 - 750,000 therms</t>
  </si>
  <si>
    <t>Over 750,000 therms</t>
  </si>
  <si>
    <t>Rate Schedule 19</t>
  </si>
  <si>
    <t>Gas Lights</t>
  </si>
  <si>
    <t>One Mantle</t>
  </si>
  <si>
    <t>All Additional Mantles</t>
  </si>
  <si>
    <t>Distr. Capacity</t>
  </si>
  <si>
    <t>Storage</t>
  </si>
  <si>
    <t>42 Firm Transport</t>
  </si>
  <si>
    <t>42 Interruptible Transport</t>
  </si>
  <si>
    <t>Billing Determinant (Customer MDDV - Mths)</t>
  </si>
  <si>
    <t xml:space="preserve">  Monthly Bill Impact on RS 02 Customers</t>
  </si>
  <si>
    <t>Rate Schedule 42 SF</t>
  </si>
  <si>
    <t>Large Volume Non-Residential Firm Sales</t>
  </si>
  <si>
    <t>Distribution Capacity Charge (per MDDV therm/mth)</t>
  </si>
  <si>
    <t>Storage Charge (per MDDV therm/mth)</t>
  </si>
  <si>
    <t>Rate Schedule 42 SI</t>
  </si>
  <si>
    <t>Large Volume Non-Residential Interruptible Sales</t>
  </si>
  <si>
    <t>Rate Schedule 42TF</t>
  </si>
  <si>
    <t>Large Volume Non-Residential Firm Transport</t>
  </si>
  <si>
    <t>Rate Schedule 42TI</t>
  </si>
  <si>
    <t xml:space="preserve">Large Volume Non-Residential Interruptible Transport </t>
  </si>
  <si>
    <t>Total Rate Schedule 42</t>
  </si>
  <si>
    <t>Rate Schedule 42 Target Revenue</t>
  </si>
  <si>
    <t>Percentage Change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</si>
</sst>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00_);_(* \(#,##0.00000\);_(* &quot;-&quot;??_);_(@_)"/>
    <numFmt numFmtId="168" formatCode="0.0%"/>
    <numFmt numFmtId="169" formatCode="#,##0.0"/>
    <numFmt numFmtId="170" formatCode="&quot;$&quot;#,##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&quot;$&quot;#,##0.0000_);\(&quot;$&quot;#,##0.0000\)"/>
    <numFmt numFmtId="174" formatCode="mmmm\-yy"/>
    <numFmt numFmtId="175" formatCode="_(* #,##0.0_);_(* \(#,##0.0\);_(* &quot;-&quot;?_);_(@_)"/>
    <numFmt numFmtId="176" formatCode="_(* #,##0.000_);_(* \(#,##0.000\);_(* &quot;-&quot;???_);_(@_)"/>
    <numFmt numFmtId="177" formatCode="_(&quot;$&quot;* #,##0.000_);_(&quot;$&quot;* \(#,##0.000\);_(&quot;$&quot;* &quot;-&quot;???_);_(@_)"/>
    <numFmt numFmtId="178" formatCode="_(&quot;$&quot;* #,##0.0000_);_(&quot;$&quot;* \(#,##0.0000\);_(&quot;$&quot;* &quot;-&quot;????_);_(@_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&quot;$&quot;* #,##0.0_);_(&quot;$&quot;* \(#,##0.0\);_(&quot;$&quot;* &quot;-&quot;??_);_(@_)"/>
    <numFmt numFmtId="185" formatCode="_(&quot;$&quot;* #,##0.00000_);_(&quot;$&quot;* \(#,##0.00000\);_(&quot;$&quot;* &quot;-&quot;??_);_(@_)"/>
    <numFmt numFmtId="186" formatCode="&quot;$&quot;#,##0.00000_);\(&quot;$&quot;#,##0.00000\)"/>
    <numFmt numFmtId="187" formatCode="_(&quot;$&quot;* #,##0.00000_);_(&quot;$&quot;* \(#,##0.00000\);_(&quot;$&quot;* &quot;-&quot;?????_);_(@_)"/>
    <numFmt numFmtId="188" formatCode="_(&quot;$&quot;* #,##0.000000_);_(&quot;$&quot;* \(#,##0.000000\);_(&quot;$&quot;* &quot;-&quot;??_);_(@_)"/>
    <numFmt numFmtId="189" formatCode="_(* #,##0.000000_);_(* \(#,##0.000000\);_(* &quot;-&quot;??????_);_(@_)"/>
    <numFmt numFmtId="190" formatCode="_(* #,##0.0000_);_(* \(#,##0.0000\);_(* &quot;-&quot;????_);_(@_)"/>
    <numFmt numFmtId="191" formatCode="0.000%"/>
    <numFmt numFmtId="192" formatCode="_(* #,##0.00000_);_(* \(#,##0.00000\);_(* &quot;-&quot;?????_);_(@_)"/>
    <numFmt numFmtId="193" formatCode="#,##0.00;\(#,##0.00\)"/>
    <numFmt numFmtId="194" formatCode="0.0000%"/>
    <numFmt numFmtId="195" formatCode="0.000"/>
    <numFmt numFmtId="196" formatCode="#,##0.0_);\(#,##0.0\)"/>
    <numFmt numFmtId="197" formatCode="0.000000000000000%"/>
    <numFmt numFmtId="198" formatCode="0.00000000000000%"/>
    <numFmt numFmtId="199" formatCode="0.0000000000000%"/>
    <numFmt numFmtId="200" formatCode="0.000000000000%"/>
    <numFmt numFmtId="201" formatCode="0.00000000000%"/>
    <numFmt numFmtId="202" formatCode="0.0000000000%"/>
    <numFmt numFmtId="203" formatCode="0.000000000%"/>
    <numFmt numFmtId="204" formatCode="0.00000000%"/>
    <numFmt numFmtId="205" formatCode="0.0000000%"/>
    <numFmt numFmtId="206" formatCode="0.000000%"/>
    <numFmt numFmtId="207" formatCode="0.00000%"/>
    <numFmt numFmtId="208" formatCode="General_)"/>
    <numFmt numFmtId="209" formatCode="dd\-mmm\-yy_)"/>
    <numFmt numFmtId="210" formatCode="&quot;$&quot;#,##0.000000_);\(&quot;$&quot;#,##0.000000\)"/>
    <numFmt numFmtId="211" formatCode="&quot;$&quot;#,##0.00000"/>
    <numFmt numFmtId="212" formatCode="&quot;$&quot;#,##0.00000_);[Red]\(&quot;$&quot;#,##0.00000\)"/>
    <numFmt numFmtId="213" formatCode="#,##0.00000_);\(#,##0.00000\)"/>
    <numFmt numFmtId="214" formatCode="0.00_);\(0.00\)"/>
    <numFmt numFmtId="215" formatCode="&quot;$&quot;#,##0.0_);\(&quot;$&quot;#,##0.0\)"/>
    <numFmt numFmtId="216" formatCode="&quot;$&quot;#,##0.000_);\(&quot;$&quot;#,##0.000\)"/>
    <numFmt numFmtId="217" formatCode="#,##0.000"/>
    <numFmt numFmtId="218" formatCode="#,##0.000_);\(#,##0.000\)"/>
    <numFmt numFmtId="219" formatCode="#,##0.0000_);\(#,##0.0000\)"/>
    <numFmt numFmtId="220" formatCode="#,##0.000000_);\(#,##0.000000\)"/>
    <numFmt numFmtId="221" formatCode="_(* #,##0.000_);_(* \(#,##0.000\);_(* &quot;-&quot;??_);_(@_)"/>
    <numFmt numFmtId="222" formatCode="_(* #,##0.0000_);_(* \(#,##0.0000\);_(* &quot;-&quot;??_);_(@_)"/>
    <numFmt numFmtId="223" formatCode="#,##0.000000000_);\(#,##0.000000000\)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10"/>
      <name val="Times New Roman"/>
      <family val="0"/>
    </font>
    <font>
      <sz val="8"/>
      <name val="Times New Roman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0.5"/>
      <color indexed="8"/>
      <name val="Arial"/>
      <family val="0"/>
    </font>
    <font>
      <sz val="9"/>
      <color indexed="10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8.75"/>
      <color indexed="10"/>
      <name val="Arial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b/>
      <sz val="2"/>
      <color indexed="8"/>
      <name val="Arial"/>
      <family val="0"/>
    </font>
    <font>
      <sz val="1.25"/>
      <color indexed="10"/>
      <name val="Arial"/>
      <family val="0"/>
    </font>
    <font>
      <sz val="8.75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b/>
      <sz val="8.7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41" fontId="6" fillId="31" borderId="6">
      <alignment horizontal="left"/>
      <protection locked="0"/>
    </xf>
    <xf numFmtId="0" fontId="60" fillId="0" borderId="7" applyNumberFormat="0" applyFill="0" applyAlignment="0" applyProtection="0"/>
    <xf numFmtId="0" fontId="61" fillId="32" borderId="0" applyNumberFormat="0" applyBorder="0" applyAlignment="0" applyProtection="0"/>
    <xf numFmtId="0" fontId="9" fillId="0" borderId="0">
      <alignment/>
      <protection/>
    </xf>
    <xf numFmtId="0" fontId="0" fillId="33" borderId="8" applyNumberFormat="0" applyFon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37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center"/>
    </xf>
    <xf numFmtId="1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7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37" fontId="5" fillId="0" borderId="0" xfId="0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4" fontId="0" fillId="0" borderId="0" xfId="0" applyNumberFormat="1" applyBorder="1" applyAlignment="1" quotePrefix="1">
      <alignment horizontal="right"/>
    </xf>
    <xf numFmtId="174" fontId="3" fillId="0" borderId="0" xfId="0" applyNumberFormat="1" applyFont="1" applyBorder="1" applyAlignment="1">
      <alignment horizontal="center"/>
    </xf>
    <xf numFmtId="7" fontId="5" fillId="0" borderId="0" xfId="0" applyNumberFormat="1" applyFont="1" applyBorder="1" applyAlignment="1">
      <alignment/>
    </xf>
    <xf numFmtId="16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9" fontId="0" fillId="0" borderId="0" xfId="64" applyAlignment="1">
      <alignment/>
    </xf>
    <xf numFmtId="168" fontId="5" fillId="0" borderId="1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37" fontId="0" fillId="0" borderId="0" xfId="0" applyNumberFormat="1" applyFill="1" applyAlignment="1">
      <alignment/>
    </xf>
    <xf numFmtId="0" fontId="0" fillId="0" borderId="12" xfId="0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68" fontId="0" fillId="0" borderId="0" xfId="64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44" fontId="0" fillId="0" borderId="0" xfId="45" applyAlignment="1">
      <alignment/>
    </xf>
    <xf numFmtId="165" fontId="0" fillId="0" borderId="0" xfId="42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44" fontId="0" fillId="0" borderId="0" xfId="0" applyNumberFormat="1" applyBorder="1" applyAlignment="1">
      <alignment/>
    </xf>
    <xf numFmtId="37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8" fontId="0" fillId="0" borderId="0" xfId="0" applyNumberFormat="1" applyFill="1" applyAlignment="1">
      <alignment horizontal="right"/>
    </xf>
    <xf numFmtId="44" fontId="0" fillId="0" borderId="0" xfId="45" applyBorder="1" applyAlignment="1">
      <alignment/>
    </xf>
    <xf numFmtId="37" fontId="0" fillId="0" borderId="0" xfId="0" applyNumberForma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7" fontId="3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168" fontId="0" fillId="0" borderId="0" xfId="64" applyNumberFormat="1" applyFill="1" applyAlignment="1">
      <alignment/>
    </xf>
    <xf numFmtId="9" fontId="0" fillId="0" borderId="0" xfId="64" applyFill="1" applyAlignment="1">
      <alignment/>
    </xf>
    <xf numFmtId="0" fontId="0" fillId="0" borderId="0" xfId="0" applyAlignment="1">
      <alignment vertical="center"/>
    </xf>
    <xf numFmtId="44" fontId="0" fillId="0" borderId="0" xfId="45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5" fillId="0" borderId="0" xfId="0" applyFont="1" applyAlignment="1">
      <alignment vertical="center"/>
    </xf>
    <xf numFmtId="44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5" xfId="0" applyBorder="1" applyAlignment="1">
      <alignment/>
    </xf>
    <xf numFmtId="0" fontId="11" fillId="0" borderId="0" xfId="61" applyFont="1" applyBorder="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 wrapText="1"/>
      <protection/>
    </xf>
    <xf numFmtId="0" fontId="0" fillId="0" borderId="0" xfId="61" applyFont="1" applyBorder="1" applyAlignment="1">
      <alignment horizontal="center"/>
      <protection/>
    </xf>
    <xf numFmtId="165" fontId="0" fillId="0" borderId="0" xfId="42" applyNumberFormat="1" applyFont="1" applyBorder="1" applyAlignment="1">
      <alignment/>
    </xf>
    <xf numFmtId="44" fontId="0" fillId="0" borderId="0" xfId="45" applyFont="1" applyBorder="1" applyAlignment="1">
      <alignment wrapText="1"/>
    </xf>
    <xf numFmtId="166" fontId="0" fillId="0" borderId="0" xfId="45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0" fontId="0" fillId="0" borderId="16" xfId="61" applyFont="1" applyFill="1" applyBorder="1" applyAlignment="1">
      <alignment horizontal="center"/>
      <protection/>
    </xf>
    <xf numFmtId="0" fontId="13" fillId="0" borderId="16" xfId="61" applyFont="1" applyFill="1" applyBorder="1" applyAlignment="1">
      <alignment horizontal="center"/>
      <protection/>
    </xf>
    <xf numFmtId="165" fontId="0" fillId="0" borderId="16" xfId="42" applyNumberFormat="1" applyFill="1" applyBorder="1" applyAlignment="1">
      <alignment/>
    </xf>
    <xf numFmtId="44" fontId="0" fillId="0" borderId="16" xfId="45" applyFont="1" applyBorder="1" applyAlignment="1">
      <alignment wrapText="1"/>
    </xf>
    <xf numFmtId="166" fontId="0" fillId="0" borderId="16" xfId="45" applyNumberFormat="1" applyFont="1" applyBorder="1" applyAlignment="1">
      <alignment/>
    </xf>
    <xf numFmtId="44" fontId="0" fillId="0" borderId="16" xfId="45" applyFont="1" applyFill="1" applyBorder="1" applyAlignment="1">
      <alignment/>
    </xf>
    <xf numFmtId="166" fontId="0" fillId="0" borderId="16" xfId="61" applyNumberFormat="1" applyFont="1" applyBorder="1" applyAlignment="1">
      <alignment horizont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Continuous" vertical="center" wrapText="1"/>
      <protection/>
    </xf>
    <xf numFmtId="44" fontId="5" fillId="0" borderId="16" xfId="45" applyFont="1" applyBorder="1" applyAlignment="1">
      <alignment horizontal="centerContinuous" vertical="center" wrapText="1"/>
    </xf>
    <xf numFmtId="166" fontId="5" fillId="0" borderId="16" xfId="45" applyNumberFormat="1" applyFont="1" applyBorder="1" applyAlignment="1">
      <alignment horizontal="centerContinuous" vertical="center" wrapText="1"/>
    </xf>
    <xf numFmtId="0" fontId="5" fillId="0" borderId="16" xfId="61" applyFont="1" applyBorder="1" applyAlignment="1">
      <alignment horizontal="center" vertical="center" wrapText="1"/>
      <protection/>
    </xf>
    <xf numFmtId="44" fontId="5" fillId="0" borderId="16" xfId="45" applyFont="1" applyBorder="1" applyAlignment="1">
      <alignment horizontal="center" vertical="center" wrapText="1"/>
    </xf>
    <xf numFmtId="166" fontId="5" fillId="0" borderId="16" xfId="45" applyNumberFormat="1" applyFont="1" applyBorder="1" applyAlignment="1">
      <alignment horizontal="center" vertical="center" wrapText="1"/>
    </xf>
    <xf numFmtId="0" fontId="12" fillId="0" borderId="0" xfId="61" applyFont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/>
      <protection/>
    </xf>
    <xf numFmtId="0" fontId="0" fillId="0" borderId="18" xfId="61" applyFont="1" applyFill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5" fillId="0" borderId="18" xfId="61" applyFont="1" applyFill="1" applyBorder="1" applyAlignment="1">
      <alignment horizontal="center"/>
      <protection/>
    </xf>
    <xf numFmtId="0" fontId="5" fillId="0" borderId="0" xfId="61" applyFont="1" applyBorder="1">
      <alignment/>
      <protection/>
    </xf>
    <xf numFmtId="0" fontId="12" fillId="0" borderId="0" xfId="61" applyFont="1" applyBorder="1">
      <alignment/>
      <protection/>
    </xf>
    <xf numFmtId="0" fontId="5" fillId="0" borderId="19" xfId="61" applyFont="1" applyFill="1" applyBorder="1" applyAlignment="1">
      <alignment horizontal="center"/>
      <protection/>
    </xf>
    <xf numFmtId="0" fontId="5" fillId="0" borderId="0" xfId="61" applyFont="1" applyFill="1" applyBorder="1">
      <alignment/>
      <protection/>
    </xf>
    <xf numFmtId="0" fontId="12" fillId="0" borderId="0" xfId="61" applyFont="1" applyFill="1" applyBorder="1">
      <alignment/>
      <protection/>
    </xf>
    <xf numFmtId="0" fontId="5" fillId="0" borderId="20" xfId="61" applyFont="1" applyFill="1" applyBorder="1">
      <alignment/>
      <protection/>
    </xf>
    <xf numFmtId="165" fontId="5" fillId="0" borderId="20" xfId="42" applyNumberFormat="1" applyFont="1" applyFill="1" applyBorder="1" applyAlignment="1">
      <alignment/>
    </xf>
    <xf numFmtId="0" fontId="5" fillId="0" borderId="20" xfId="61" applyFont="1" applyFill="1" applyBorder="1" applyAlignment="1">
      <alignment wrapText="1"/>
      <protection/>
    </xf>
    <xf numFmtId="166" fontId="5" fillId="0" borderId="20" xfId="45" applyNumberFormat="1" applyFont="1" applyFill="1" applyBorder="1" applyAlignment="1">
      <alignment/>
    </xf>
    <xf numFmtId="166" fontId="5" fillId="0" borderId="20" xfId="45" applyNumberFormat="1" applyFont="1" applyFill="1" applyBorder="1" applyAlignment="1">
      <alignment wrapText="1"/>
    </xf>
    <xf numFmtId="166" fontId="7" fillId="0" borderId="0" xfId="45" applyNumberFormat="1" applyFont="1" applyFill="1" applyBorder="1" applyAlignment="1">
      <alignment/>
    </xf>
    <xf numFmtId="166" fontId="7" fillId="0" borderId="0" xfId="45" applyNumberFormat="1" applyFont="1" applyFill="1" applyBorder="1" applyAlignment="1">
      <alignment wrapText="1"/>
    </xf>
    <xf numFmtId="166" fontId="7" fillId="0" borderId="0" xfId="45" applyNumberFormat="1" applyFont="1" applyFill="1" applyBorder="1" applyAlignment="1">
      <alignment horizontal="center"/>
    </xf>
    <xf numFmtId="166" fontId="0" fillId="0" borderId="16" xfId="45" applyNumberFormat="1" applyFont="1" applyFill="1" applyBorder="1" applyAlignment="1">
      <alignment/>
    </xf>
    <xf numFmtId="44" fontId="7" fillId="0" borderId="0" xfId="45" applyFont="1" applyBorder="1" applyAlignment="1">
      <alignment horizontal="centerContinuous" wrapText="1"/>
    </xf>
    <xf numFmtId="185" fontId="0" fillId="0" borderId="16" xfId="45" applyNumberFormat="1" applyFont="1" applyBorder="1" applyAlignment="1">
      <alignment wrapText="1"/>
    </xf>
    <xf numFmtId="185" fontId="0" fillId="0" borderId="16" xfId="45" applyNumberFormat="1" applyFont="1" applyFill="1" applyBorder="1" applyAlignment="1">
      <alignment/>
    </xf>
    <xf numFmtId="185" fontId="0" fillId="0" borderId="0" xfId="45" applyNumberFormat="1" applyFont="1" applyBorder="1" applyAlignment="1">
      <alignment wrapText="1"/>
    </xf>
    <xf numFmtId="165" fontId="5" fillId="0" borderId="19" xfId="42" applyNumberFormat="1" applyFont="1" applyBorder="1" applyAlignment="1">
      <alignment/>
    </xf>
    <xf numFmtId="44" fontId="5" fillId="0" borderId="19" xfId="45" applyFont="1" applyBorder="1" applyAlignment="1">
      <alignment wrapText="1"/>
    </xf>
    <xf numFmtId="185" fontId="5" fillId="0" borderId="19" xfId="45" applyNumberFormat="1" applyFont="1" applyBorder="1" applyAlignment="1">
      <alignment wrapText="1"/>
    </xf>
    <xf numFmtId="166" fontId="5" fillId="0" borderId="19" xfId="45" applyNumberFormat="1" applyFont="1" applyBorder="1" applyAlignment="1">
      <alignment/>
    </xf>
    <xf numFmtId="166" fontId="5" fillId="0" borderId="19" xfId="61" applyNumberFormat="1" applyFont="1" applyBorder="1" applyAlignment="1">
      <alignment horizontal="center"/>
      <protection/>
    </xf>
    <xf numFmtId="165" fontId="5" fillId="0" borderId="0" xfId="42" applyNumberFormat="1" applyFont="1" applyFill="1" applyBorder="1" applyAlignment="1">
      <alignment horizontal="center"/>
    </xf>
    <xf numFmtId="166" fontId="0" fillId="0" borderId="0" xfId="61" applyNumberFormat="1" applyFont="1" applyBorder="1">
      <alignment/>
      <protection/>
    </xf>
    <xf numFmtId="165" fontId="5" fillId="0" borderId="15" xfId="42" applyNumberFormat="1" applyFont="1" applyFill="1" applyBorder="1" applyAlignment="1">
      <alignment horizontal="center"/>
    </xf>
    <xf numFmtId="0" fontId="0" fillId="0" borderId="15" xfId="0" applyBorder="1" applyAlignment="1">
      <alignment vertical="center" wrapText="1"/>
    </xf>
    <xf numFmtId="44" fontId="0" fillId="0" borderId="15" xfId="45" applyFont="1" applyBorder="1" applyAlignment="1">
      <alignment vertical="center" wrapText="1"/>
    </xf>
    <xf numFmtId="44" fontId="0" fillId="0" borderId="15" xfId="0" applyNumberForma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3" fillId="0" borderId="17" xfId="61" applyFont="1" applyFill="1" applyBorder="1" applyAlignment="1">
      <alignment horizontal="center"/>
      <protection/>
    </xf>
    <xf numFmtId="165" fontId="0" fillId="0" borderId="17" xfId="42" applyNumberFormat="1" applyFont="1" applyFill="1" applyBorder="1" applyAlignment="1">
      <alignment/>
    </xf>
    <xf numFmtId="165" fontId="0" fillId="0" borderId="17" xfId="42" applyNumberFormat="1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 vertical="center" wrapText="1"/>
    </xf>
    <xf numFmtId="44" fontId="0" fillId="0" borderId="17" xfId="45" applyFont="1" applyBorder="1" applyAlignment="1">
      <alignment wrapText="1"/>
    </xf>
    <xf numFmtId="185" fontId="0" fillId="0" borderId="17" xfId="45" applyNumberFormat="1" applyFont="1" applyFill="1" applyBorder="1" applyAlignment="1">
      <alignment/>
    </xf>
    <xf numFmtId="166" fontId="0" fillId="0" borderId="17" xfId="45" applyNumberFormat="1" applyFont="1" applyFill="1" applyBorder="1" applyAlignment="1">
      <alignment/>
    </xf>
    <xf numFmtId="44" fontId="0" fillId="0" borderId="17" xfId="45" applyFont="1" applyFill="1" applyBorder="1" applyAlignment="1">
      <alignment/>
    </xf>
    <xf numFmtId="166" fontId="0" fillId="0" borderId="17" xfId="45" applyNumberFormat="1" applyFont="1" applyBorder="1" applyAlignment="1">
      <alignment/>
    </xf>
    <xf numFmtId="166" fontId="0" fillId="0" borderId="17" xfId="61" applyNumberFormat="1" applyFont="1" applyBorder="1" applyAlignment="1">
      <alignment horizontal="center"/>
      <protection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0" fontId="13" fillId="0" borderId="18" xfId="61" applyFont="1" applyFill="1" applyBorder="1" applyAlignment="1">
      <alignment horizontal="center"/>
      <protection/>
    </xf>
    <xf numFmtId="214" fontId="13" fillId="0" borderId="18" xfId="61" applyNumberFormat="1" applyFont="1" applyFill="1" applyBorder="1" applyAlignment="1">
      <alignment horizontal="center"/>
      <protection/>
    </xf>
    <xf numFmtId="214" fontId="14" fillId="0" borderId="18" xfId="61" applyNumberFormat="1" applyFont="1" applyFill="1" applyBorder="1" applyAlignment="1">
      <alignment horizontal="center"/>
      <protection/>
    </xf>
    <xf numFmtId="214" fontId="14" fillId="0" borderId="19" xfId="61" applyNumberFormat="1" applyFont="1" applyFill="1" applyBorder="1" applyAlignment="1">
      <alignment horizontal="center"/>
      <protection/>
    </xf>
    <xf numFmtId="166" fontId="0" fillId="0" borderId="18" xfId="45" applyNumberFormat="1" applyFont="1" applyBorder="1" applyAlignment="1">
      <alignment/>
    </xf>
    <xf numFmtId="166" fontId="5" fillId="0" borderId="18" xfId="45" applyNumberFormat="1" applyFont="1" applyBorder="1" applyAlignment="1">
      <alignment/>
    </xf>
    <xf numFmtId="44" fontId="0" fillId="0" borderId="17" xfId="45" applyFont="1" applyFill="1" applyBorder="1" applyAlignment="1">
      <alignment horizontal="center"/>
    </xf>
    <xf numFmtId="44" fontId="0" fillId="0" borderId="18" xfId="45" applyFont="1" applyFill="1" applyBorder="1" applyAlignment="1">
      <alignment horizontal="center"/>
    </xf>
    <xf numFmtId="44" fontId="0" fillId="0" borderId="18" xfId="45" applyFont="1" applyBorder="1" applyAlignment="1">
      <alignment wrapText="1"/>
    </xf>
    <xf numFmtId="44" fontId="5" fillId="0" borderId="18" xfId="45" applyFont="1" applyBorder="1" applyAlignment="1">
      <alignment wrapText="1"/>
    </xf>
    <xf numFmtId="44" fontId="0" fillId="0" borderId="18" xfId="45" applyFont="1" applyFill="1" applyBorder="1" applyAlignment="1">
      <alignment/>
    </xf>
    <xf numFmtId="185" fontId="0" fillId="0" borderId="18" xfId="45" applyNumberFormat="1" applyFont="1" applyFill="1" applyBorder="1" applyAlignment="1">
      <alignment/>
    </xf>
    <xf numFmtId="185" fontId="0" fillId="0" borderId="18" xfId="45" applyNumberFormat="1" applyFont="1" applyBorder="1" applyAlignment="1">
      <alignment wrapText="1"/>
    </xf>
    <xf numFmtId="185" fontId="5" fillId="0" borderId="18" xfId="45" applyNumberFormat="1" applyFont="1" applyBorder="1" applyAlignment="1">
      <alignment wrapText="1"/>
    </xf>
    <xf numFmtId="166" fontId="0" fillId="0" borderId="18" xfId="61" applyNumberFormat="1" applyFont="1" applyBorder="1" applyAlignment="1">
      <alignment horizontal="center"/>
      <protection/>
    </xf>
    <xf numFmtId="166" fontId="5" fillId="0" borderId="18" xfId="61" applyNumberFormat="1" applyFont="1" applyBorder="1" applyAlignment="1">
      <alignment horizontal="center"/>
      <protection/>
    </xf>
    <xf numFmtId="165" fontId="0" fillId="0" borderId="21" xfId="42" applyNumberFormat="1" applyFont="1" applyFill="1" applyBorder="1" applyAlignment="1">
      <alignment/>
    </xf>
    <xf numFmtId="0" fontId="14" fillId="0" borderId="19" xfId="61" applyFont="1" applyFill="1" applyBorder="1" applyAlignment="1">
      <alignment horizontal="center"/>
      <protection/>
    </xf>
    <xf numFmtId="165" fontId="5" fillId="0" borderId="15" xfId="42" applyNumberFormat="1" applyFont="1" applyFill="1" applyBorder="1" applyAlignment="1">
      <alignment/>
    </xf>
    <xf numFmtId="44" fontId="5" fillId="0" borderId="19" xfId="45" applyFont="1" applyFill="1" applyBorder="1" applyAlignment="1">
      <alignment horizontal="center"/>
    </xf>
    <xf numFmtId="44" fontId="5" fillId="0" borderId="19" xfId="45" applyFont="1" applyFill="1" applyBorder="1" applyAlignment="1">
      <alignment/>
    </xf>
    <xf numFmtId="185" fontId="5" fillId="0" borderId="19" xfId="45" applyNumberFormat="1" applyFont="1" applyFill="1" applyBorder="1" applyAlignment="1">
      <alignment/>
    </xf>
    <xf numFmtId="214" fontId="13" fillId="0" borderId="17" xfId="61" applyNumberFormat="1" applyFont="1" applyFill="1" applyBorder="1" applyAlignment="1">
      <alignment horizontal="center"/>
      <protection/>
    </xf>
    <xf numFmtId="165" fontId="0" fillId="0" borderId="21" xfId="42" applyNumberFormat="1" applyFont="1" applyFill="1" applyBorder="1" applyAlignment="1">
      <alignment horizontal="center"/>
    </xf>
    <xf numFmtId="185" fontId="0" fillId="0" borderId="17" xfId="45" applyNumberFormat="1" applyFont="1" applyBorder="1" applyAlignment="1">
      <alignment wrapText="1"/>
    </xf>
    <xf numFmtId="165" fontId="0" fillId="0" borderId="22" xfId="42" applyNumberFormat="1" applyFont="1" applyFill="1" applyBorder="1" applyAlignment="1">
      <alignment horizontal="center"/>
    </xf>
    <xf numFmtId="185" fontId="0" fillId="0" borderId="17" xfId="45" applyNumberFormat="1" applyFont="1" applyFill="1" applyBorder="1" applyAlignment="1">
      <alignment wrapText="1"/>
    </xf>
    <xf numFmtId="185" fontId="0" fillId="0" borderId="18" xfId="45" applyNumberFormat="1" applyFont="1" applyFill="1" applyBorder="1" applyAlignment="1">
      <alignment wrapText="1"/>
    </xf>
    <xf numFmtId="185" fontId="5" fillId="0" borderId="19" xfId="45" applyNumberFormat="1" applyFont="1" applyFill="1" applyBorder="1" applyAlignment="1">
      <alignment wrapText="1"/>
    </xf>
    <xf numFmtId="185" fontId="0" fillId="0" borderId="17" xfId="45" applyNumberFormat="1" applyFont="1" applyBorder="1" applyAlignment="1">
      <alignment/>
    </xf>
    <xf numFmtId="185" fontId="0" fillId="0" borderId="18" xfId="45" applyNumberFormat="1" applyFont="1" applyBorder="1" applyAlignment="1">
      <alignment/>
    </xf>
    <xf numFmtId="44" fontId="0" fillId="0" borderId="17" xfId="45" applyFont="1" applyFill="1" applyBorder="1" applyAlignment="1">
      <alignment wrapText="1"/>
    </xf>
    <xf numFmtId="44" fontId="0" fillId="0" borderId="18" xfId="45" applyFont="1" applyFill="1" applyBorder="1" applyAlignment="1">
      <alignment wrapText="1"/>
    </xf>
    <xf numFmtId="44" fontId="5" fillId="0" borderId="19" xfId="45" applyFont="1" applyFill="1" applyBorder="1" applyAlignment="1">
      <alignment wrapText="1"/>
    </xf>
    <xf numFmtId="44" fontId="0" fillId="0" borderId="17" xfId="45" applyFont="1" applyBorder="1" applyAlignment="1">
      <alignment/>
    </xf>
    <xf numFmtId="165" fontId="0" fillId="0" borderId="23" xfId="42" applyNumberFormat="1" applyFont="1" applyFill="1" applyBorder="1" applyAlignment="1">
      <alignment/>
    </xf>
    <xf numFmtId="165" fontId="0" fillId="0" borderId="24" xfId="42" applyNumberFormat="1" applyFont="1" applyFill="1" applyBorder="1" applyAlignment="1">
      <alignment/>
    </xf>
    <xf numFmtId="165" fontId="0" fillId="0" borderId="18" xfId="42" applyNumberFormat="1" applyFill="1" applyBorder="1" applyAlignment="1">
      <alignment/>
    </xf>
    <xf numFmtId="165" fontId="5" fillId="0" borderId="19" xfId="42" applyNumberFormat="1" applyFont="1" applyFill="1" applyBorder="1" applyAlignment="1">
      <alignment/>
    </xf>
    <xf numFmtId="165" fontId="0" fillId="0" borderId="18" xfId="42" applyNumberFormat="1" applyFont="1" applyFill="1" applyBorder="1" applyAlignment="1">
      <alignment/>
    </xf>
    <xf numFmtId="165" fontId="0" fillId="0" borderId="18" xfId="42" applyNumberFormat="1" applyFont="1" applyBorder="1" applyAlignment="1">
      <alignment/>
    </xf>
    <xf numFmtId="165" fontId="5" fillId="0" borderId="18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0" fontId="15" fillId="0" borderId="0" xfId="0" applyFont="1" applyAlignment="1">
      <alignment/>
    </xf>
    <xf numFmtId="165" fontId="6" fillId="0" borderId="0" xfId="42" applyNumberFormat="1" applyFont="1" applyAlignment="1">
      <alignment/>
    </xf>
    <xf numFmtId="165" fontId="0" fillId="0" borderId="0" xfId="42" applyNumberFormat="1" applyFill="1" applyAlignment="1">
      <alignment/>
    </xf>
    <xf numFmtId="44" fontId="6" fillId="0" borderId="0" xfId="45" applyFont="1" applyFill="1" applyAlignment="1">
      <alignment/>
    </xf>
    <xf numFmtId="166" fontId="0" fillId="0" borderId="0" xfId="45" applyNumberFormat="1" applyFill="1" applyAlignment="1">
      <alignment/>
    </xf>
    <xf numFmtId="185" fontId="6" fillId="0" borderId="0" xfId="45" applyNumberFormat="1" applyFont="1" applyFill="1" applyAlignment="1">
      <alignment/>
    </xf>
    <xf numFmtId="165" fontId="0" fillId="0" borderId="21" xfId="0" applyNumberFormat="1" applyFill="1" applyBorder="1" applyAlignment="1">
      <alignment/>
    </xf>
    <xf numFmtId="166" fontId="0" fillId="0" borderId="21" xfId="45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5" fontId="6" fillId="0" borderId="0" xfId="42" applyNumberFormat="1" applyFont="1" applyFill="1" applyAlignment="1">
      <alignment/>
    </xf>
    <xf numFmtId="44" fontId="0" fillId="0" borderId="0" xfId="45" applyFill="1" applyAlignment="1">
      <alignment/>
    </xf>
    <xf numFmtId="166" fontId="7" fillId="0" borderId="0" xfId="61" applyNumberFormat="1" applyFont="1" applyBorder="1" applyAlignment="1">
      <alignment horizontal="right"/>
      <protection/>
    </xf>
    <xf numFmtId="165" fontId="6" fillId="0" borderId="0" xfId="42" applyNumberFormat="1" applyFont="1" applyAlignment="1">
      <alignment horizontal="centerContinuous"/>
    </xf>
    <xf numFmtId="9" fontId="0" fillId="0" borderId="0" xfId="64" applyBorder="1" applyAlignment="1">
      <alignment/>
    </xf>
    <xf numFmtId="9" fontId="0" fillId="0" borderId="0" xfId="64" applyFill="1" applyBorder="1" applyAlignment="1">
      <alignment/>
    </xf>
    <xf numFmtId="44" fontId="0" fillId="0" borderId="0" xfId="45" applyFont="1" applyFill="1" applyAlignment="1">
      <alignment/>
    </xf>
    <xf numFmtId="10" fontId="0" fillId="0" borderId="0" xfId="64" applyNumberFormat="1" applyFill="1" applyAlignment="1">
      <alignment/>
    </xf>
    <xf numFmtId="9" fontId="0" fillId="0" borderId="0" xfId="64" applyNumberFormat="1" applyAlignment="1">
      <alignment/>
    </xf>
    <xf numFmtId="9" fontId="0" fillId="0" borderId="0" xfId="64" applyNumberFormat="1" applyFill="1" applyAlignment="1">
      <alignment/>
    </xf>
    <xf numFmtId="0" fontId="0" fillId="0" borderId="0" xfId="0" applyFill="1" applyBorder="1" applyAlignment="1">
      <alignment horizontal="left"/>
    </xf>
    <xf numFmtId="168" fontId="0" fillId="0" borderId="0" xfId="64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167" fontId="6" fillId="0" borderId="0" xfId="42" applyNumberFormat="1" applyFont="1" applyAlignment="1">
      <alignment/>
    </xf>
    <xf numFmtId="0" fontId="15" fillId="0" borderId="0" xfId="0" applyFont="1" applyAlignment="1">
      <alignment horizontal="centerContinuous"/>
    </xf>
    <xf numFmtId="44" fontId="0" fillId="0" borderId="0" xfId="45" applyFont="1" applyFill="1" applyAlignment="1">
      <alignment/>
    </xf>
    <xf numFmtId="185" fontId="0" fillId="0" borderId="0" xfId="45" applyNumberFormat="1" applyFont="1" applyFill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45" applyNumberFormat="1" applyFill="1" applyBorder="1" applyAlignment="1">
      <alignment/>
    </xf>
    <xf numFmtId="167" fontId="6" fillId="0" borderId="0" xfId="42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Alignment="1">
      <alignment horizontal="center" vertical="center" wrapText="1"/>
    </xf>
    <xf numFmtId="168" fontId="0" fillId="0" borderId="0" xfId="64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5" fillId="0" borderId="17" xfId="42" applyNumberFormat="1" applyFont="1" applyBorder="1" applyAlignment="1">
      <alignment horizontal="center" vertical="center" wrapText="1"/>
    </xf>
    <xf numFmtId="165" fontId="5" fillId="0" borderId="19" xfId="42" applyNumberFormat="1" applyFont="1" applyBorder="1" applyAlignment="1">
      <alignment horizontal="center" vertical="center" wrapText="1"/>
    </xf>
    <xf numFmtId="0" fontId="5" fillId="0" borderId="0" xfId="61" applyFont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Cells" xfId="58"/>
    <cellStyle name="Linked Cell" xfId="59"/>
    <cellStyle name="Neutral" xfId="60"/>
    <cellStyle name="Normal_NWN AL 2006-07 Washington PGA re-filing" xfId="61"/>
    <cellStyle name="Note" xfId="62"/>
    <cellStyle name="Output" xfId="63"/>
    <cellStyle name="Percent" xfId="64"/>
    <cellStyle name="Percent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Washington Residential
Proposed Rates Impact with $12 Customer Charge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075"/>
          <c:w val="0.933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'RJA-4'!$D$112:$D$118</c:f>
              <c:strCache/>
            </c:strRef>
          </c:cat>
          <c:val>
            <c:numRef>
              <c:f>'RJA-4'!$E$112:$E$118</c:f>
              <c:numCache/>
            </c:numRef>
          </c:val>
        </c:ser>
        <c:axId val="4357120"/>
        <c:axId val="39214081"/>
      </c:barChart>
      <c:catAx>
        <c:axId val="43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$ Increase in Bills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4081"/>
        <c:crosses val="autoZero"/>
        <c:auto val="1"/>
        <c:lblOffset val="100"/>
        <c:tickLblSkip val="1"/>
        <c:noMultiLvlLbl val="0"/>
      </c:catAx>
      <c:valAx>
        <c:axId val="3921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Customers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Washington Residential
Rate Increase Impact of Impact $12 versus $5 Customer Charge</a:t>
            </a:r>
          </a:p>
        </c:rich>
      </c:tx>
      <c:layout>
        <c:manualLayout>
          <c:xMode val="factor"/>
          <c:yMode val="factor"/>
          <c:x val="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425"/>
          <c:w val="0.943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v>$12 Customer charge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'RJA-4'!$D$112:$D$118</c:f>
              <c:strCache/>
            </c:strRef>
          </c:cat>
          <c:val>
            <c:numRef>
              <c:f>'RJA-4'!$E$112:$E$118</c:f>
              <c:numCache/>
            </c:numRef>
          </c:val>
        </c:ser>
        <c:ser>
          <c:idx val="0"/>
          <c:order val="1"/>
          <c:tx>
            <c:v>$5 Customer charge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'RJA-4'!$D$112:$D$118</c:f>
              <c:strCache/>
            </c:strRef>
          </c:cat>
          <c:val>
            <c:numRef>
              <c:f>'RJA-4'!$F$112:$F$118</c:f>
              <c:numCache/>
            </c:numRef>
          </c:val>
        </c:ser>
        <c:axId val="17382410"/>
        <c:axId val="22223963"/>
      </c:barChart>
      <c:catAx>
        <c:axId val="1738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$ Increase in Bills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3963"/>
        <c:crosses val="autoZero"/>
        <c:auto val="1"/>
        <c:lblOffset val="100"/>
        <c:tickLblSkip val="1"/>
        <c:noMultiLvlLbl val="0"/>
      </c:catAx>
      <c:valAx>
        <c:axId val="2222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Customers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82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896"/>
          <c:w val="0.20375"/>
          <c:h val="0.08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Washington Residential
Rates Increase Impact with $5 Customer Charge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925"/>
          <c:w val="0.933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'RJA-4'!$D$112:$D$118</c:f>
              <c:strCache/>
            </c:strRef>
          </c:cat>
          <c:val>
            <c:numRef>
              <c:f>'RJA-4'!$F$112:$F$118</c:f>
              <c:numCache/>
            </c:numRef>
          </c:val>
        </c:ser>
        <c:axId val="65797940"/>
        <c:axId val="55310549"/>
      </c:barChart>
      <c:catAx>
        <c:axId val="6579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$ Increase in Bills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10549"/>
        <c:crosses val="autoZero"/>
        <c:auto val="1"/>
        <c:lblOffset val="100"/>
        <c:tickLblSkip val="1"/>
        <c:noMultiLvlLbl val="0"/>
      </c:catAx>
      <c:valAx>
        <c:axId val="55310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Customers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Washington Residential
Proposed Rates Impact with $12 Customer Charge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'RJA-5'!#REF!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'RJA-5'!#REF!</c:f>
              <c:numCache>
                <c:ptCount val="1"/>
                <c:pt idx="0">
                  <c:v>0</c:v>
                </c:pt>
              </c:numCache>
            </c:numRef>
          </c:val>
        </c:ser>
        <c:axId val="28032894"/>
        <c:axId val="50969455"/>
      </c:barChart>
      <c:catAx>
        <c:axId val="2803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$ Increase in Bills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9455"/>
        <c:crosses val="autoZero"/>
        <c:auto val="1"/>
        <c:lblOffset val="100"/>
        <c:tickLblSkip val="1"/>
        <c:noMultiLvlLbl val="0"/>
      </c:catAx>
      <c:valAx>
        <c:axId val="5096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28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Washington "Energy Assistance" Residential
Rate Increase Impact of Impact $12 versus $5 Customer Charge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35"/>
          <c:w val="0.9492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v>$12 Customer charge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'RJA-5'!$D$60:$D$64</c:f>
              <c:strCache/>
            </c:strRef>
          </c:cat>
          <c:val>
            <c:numRef>
              <c:f>'RJA-5'!$E$60:$E$64</c:f>
              <c:numCache/>
            </c:numRef>
          </c:val>
        </c:ser>
        <c:ser>
          <c:idx val="0"/>
          <c:order val="1"/>
          <c:tx>
            <c:v>$5 Customer charge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'RJA-5'!$D$60:$D$64</c:f>
              <c:strCache/>
            </c:strRef>
          </c:cat>
          <c:val>
            <c:numRef>
              <c:f>'RJA-5'!$F$60:$F$64</c:f>
              <c:numCache/>
            </c:numRef>
          </c:val>
        </c:ser>
        <c:axId val="56071912"/>
        <c:axId val="34885161"/>
      </c:barChart>
      <c:catAx>
        <c:axId val="5607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$ Increase in Bills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85161"/>
        <c:crosses val="autoZero"/>
        <c:auto val="1"/>
        <c:lblOffset val="100"/>
        <c:tickLblSkip val="1"/>
        <c:noMultiLvlLbl val="0"/>
      </c:catAx>
      <c:valAx>
        <c:axId val="3488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Customers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1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891"/>
          <c:w val="0.18975"/>
          <c:h val="0.0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123825</xdr:rowOff>
    </xdr:from>
    <xdr:to>
      <xdr:col>11</xdr:col>
      <xdr:colOff>0</xdr:colOff>
      <xdr:row>19</xdr:row>
      <xdr:rowOff>0</xdr:rowOff>
    </xdr:to>
    <xdr:sp macro="[2]!GenSolv">
      <xdr:nvSpPr>
        <xdr:cNvPr id="1" name="Rectangle 1"/>
        <xdr:cNvSpPr>
          <a:spLocks/>
        </xdr:cNvSpPr>
      </xdr:nvSpPr>
      <xdr:spPr>
        <a:xfrm>
          <a:off x="6534150" y="3038475"/>
          <a:ext cx="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</a:t>
          </a:r>
        </a:p>
      </xdr:txBody>
    </xdr:sp>
    <xdr:clientData/>
  </xdr:twoCellAnchor>
  <xdr:twoCellAnchor>
    <xdr:from>
      <xdr:col>11</xdr:col>
      <xdr:colOff>0</xdr:colOff>
      <xdr:row>28</xdr:row>
      <xdr:rowOff>133350</xdr:rowOff>
    </xdr:from>
    <xdr:to>
      <xdr:col>11</xdr:col>
      <xdr:colOff>0</xdr:colOff>
      <xdr:row>30</xdr:row>
      <xdr:rowOff>9525</xdr:rowOff>
    </xdr:to>
    <xdr:sp macro="[2]!ResSolv">
      <xdr:nvSpPr>
        <xdr:cNvPr id="2" name="Rectangle 2"/>
        <xdr:cNvSpPr>
          <a:spLocks/>
        </xdr:cNvSpPr>
      </xdr:nvSpPr>
      <xdr:spPr>
        <a:xfrm>
          <a:off x="6534150" y="4829175"/>
          <a:ext cx="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</a:t>
          </a:r>
        </a:p>
      </xdr:txBody>
    </xdr:sp>
    <xdr:clientData/>
  </xdr:twoCellAnchor>
  <xdr:twoCellAnchor>
    <xdr:from>
      <xdr:col>11</xdr:col>
      <xdr:colOff>0</xdr:colOff>
      <xdr:row>39</xdr:row>
      <xdr:rowOff>133350</xdr:rowOff>
    </xdr:from>
    <xdr:to>
      <xdr:col>11</xdr:col>
      <xdr:colOff>0</xdr:colOff>
      <xdr:row>41</xdr:row>
      <xdr:rowOff>9525</xdr:rowOff>
    </xdr:to>
    <xdr:sp macro="[2]!BasicSolv">
      <xdr:nvSpPr>
        <xdr:cNvPr id="3" name="Rectangle 3"/>
        <xdr:cNvSpPr>
          <a:spLocks/>
        </xdr:cNvSpPr>
      </xdr:nvSpPr>
      <xdr:spPr>
        <a:xfrm>
          <a:off x="6534150" y="6610350"/>
          <a:ext cx="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</a:t>
          </a:r>
        </a:p>
      </xdr:txBody>
    </xdr:sp>
    <xdr:clientData/>
  </xdr:twoCellAnchor>
  <xdr:twoCellAnchor>
    <xdr:from>
      <xdr:col>11</xdr:col>
      <xdr:colOff>0</xdr:colOff>
      <xdr:row>66</xdr:row>
      <xdr:rowOff>133350</xdr:rowOff>
    </xdr:from>
    <xdr:to>
      <xdr:col>11</xdr:col>
      <xdr:colOff>0</xdr:colOff>
      <xdr:row>68</xdr:row>
      <xdr:rowOff>9525</xdr:rowOff>
    </xdr:to>
    <xdr:sp macro="[2]!DrySolv">
      <xdr:nvSpPr>
        <xdr:cNvPr id="4" name="Rectangle 4"/>
        <xdr:cNvSpPr>
          <a:spLocks/>
        </xdr:cNvSpPr>
      </xdr:nvSpPr>
      <xdr:spPr>
        <a:xfrm>
          <a:off x="6534150" y="8391525"/>
          <a:ext cx="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</a:t>
          </a:r>
        </a:p>
      </xdr:txBody>
    </xdr:sp>
    <xdr:clientData/>
  </xdr:twoCellAnchor>
  <xdr:twoCellAnchor>
    <xdr:from>
      <xdr:col>11</xdr:col>
      <xdr:colOff>0</xdr:colOff>
      <xdr:row>81</xdr:row>
      <xdr:rowOff>152400</xdr:rowOff>
    </xdr:from>
    <xdr:to>
      <xdr:col>11</xdr:col>
      <xdr:colOff>0</xdr:colOff>
      <xdr:row>82</xdr:row>
      <xdr:rowOff>152400</xdr:rowOff>
    </xdr:to>
    <xdr:sp macro="[2]!NRSTSolv">
      <xdr:nvSpPr>
        <xdr:cNvPr id="5" name="Rectangle 5"/>
        <xdr:cNvSpPr>
          <a:spLocks/>
        </xdr:cNvSpPr>
      </xdr:nvSpPr>
      <xdr:spPr>
        <a:xfrm>
          <a:off x="6534150" y="10839450"/>
          <a:ext cx="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0.54875</cdr:x>
      <cdr:y>0.16075</cdr:y>
    </cdr:from>
    <cdr:to>
      <cdr:x>0.54875</cdr:x>
      <cdr:y>0.70025</cdr:y>
    </cdr:to>
    <cdr:sp>
      <cdr:nvSpPr>
        <cdr:cNvPr id="1" name="Line 1"/>
        <cdr:cNvSpPr>
          <a:spLocks/>
        </cdr:cNvSpPr>
      </cdr:nvSpPr>
      <cdr:spPr>
        <a:xfrm flipH="1">
          <a:off x="3762375" y="638175"/>
          <a:ext cx="0" cy="215265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diamond"/>
          <a:tailEnd type="oval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0.5945</cdr:x>
      <cdr:y>0.154</cdr:y>
    </cdr:from>
    <cdr:to>
      <cdr:x>0.81025</cdr:x>
      <cdr:y>0.20525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76700" y="609600"/>
          <a:ext cx="1485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average increase: $5.05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0.5475</cdr:x>
      <cdr:y>0.13675</cdr:y>
    </cdr:from>
    <cdr:to>
      <cdr:x>0.5475</cdr:x>
      <cdr:y>0.72</cdr:y>
    </cdr:to>
    <cdr:sp>
      <cdr:nvSpPr>
        <cdr:cNvPr id="1" name="Line 1"/>
        <cdr:cNvSpPr>
          <a:spLocks/>
        </cdr:cNvSpPr>
      </cdr:nvSpPr>
      <cdr:spPr>
        <a:xfrm flipH="1">
          <a:off x="3733800" y="666750"/>
          <a:ext cx="0" cy="28860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diamond"/>
          <a:tailEnd type="oval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0.59025</cdr:x>
      <cdr:y>0.13675</cdr:y>
    </cdr:from>
    <cdr:to>
      <cdr:x>0.8065</cdr:x>
      <cdr:y>0.18825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19550" y="666750"/>
          <a:ext cx="14763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average increase: $5.05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0.54275</cdr:x>
      <cdr:y>0.15875</cdr:y>
    </cdr:from>
    <cdr:to>
      <cdr:x>0.54275</cdr:x>
      <cdr:y>0.69425</cdr:y>
    </cdr:to>
    <cdr:sp>
      <cdr:nvSpPr>
        <cdr:cNvPr id="1" name="Line 1"/>
        <cdr:cNvSpPr>
          <a:spLocks/>
        </cdr:cNvSpPr>
      </cdr:nvSpPr>
      <cdr:spPr>
        <a:xfrm flipH="1">
          <a:off x="3705225" y="628650"/>
          <a:ext cx="0" cy="21431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diamond"/>
          <a:tailEnd type="oval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0.5885</cdr:x>
      <cdr:y>0.1515</cdr:y>
    </cdr:from>
    <cdr:to>
      <cdr:x>0.8065</cdr:x>
      <cdr:y>0.20225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10025" y="600075"/>
          <a:ext cx="1485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average increase: $5.05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0</xdr:rowOff>
    </xdr:from>
    <xdr:to>
      <xdr:col>7</xdr:col>
      <xdr:colOff>800100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104775" y="4400550"/>
        <a:ext cx="68675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76</xdr:row>
      <xdr:rowOff>0</xdr:rowOff>
    </xdr:from>
    <xdr:to>
      <xdr:col>7</xdr:col>
      <xdr:colOff>781050</xdr:colOff>
      <xdr:row>106</xdr:row>
      <xdr:rowOff>85725</xdr:rowOff>
    </xdr:to>
    <xdr:graphicFrame>
      <xdr:nvGraphicFramePr>
        <xdr:cNvPr id="2" name="Chart 2"/>
        <xdr:cNvGraphicFramePr/>
      </xdr:nvGraphicFramePr>
      <xdr:xfrm>
        <a:off x="133350" y="12820650"/>
        <a:ext cx="68199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50</xdr:row>
      <xdr:rowOff>38100</xdr:rowOff>
    </xdr:from>
    <xdr:to>
      <xdr:col>7</xdr:col>
      <xdr:colOff>781050</xdr:colOff>
      <xdr:row>75</xdr:row>
      <xdr:rowOff>0</xdr:rowOff>
    </xdr:to>
    <xdr:graphicFrame>
      <xdr:nvGraphicFramePr>
        <xdr:cNvPr id="3" name="Chart 3"/>
        <xdr:cNvGraphicFramePr/>
      </xdr:nvGraphicFramePr>
      <xdr:xfrm>
        <a:off x="123825" y="8648700"/>
        <a:ext cx="682942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0.50825</cdr:x>
      <cdr:y>0.11275</cdr:y>
    </cdr:from>
    <cdr:to>
      <cdr:x>0.50825</cdr:x>
      <cdr:y>0.15375</cdr:y>
    </cdr:to>
    <cdr:sp>
      <cdr:nvSpPr>
        <cdr:cNvPr id="1" name="Line 1"/>
        <cdr:cNvSpPr>
          <a:spLocks/>
        </cdr:cNvSpPr>
      </cdr:nvSpPr>
      <cdr:spPr>
        <a:xfrm flipH="1">
          <a:off x="3752850" y="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diamond"/>
          <a:tailEnd type="oval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0.558</cdr:x>
      <cdr:y>0.11225</cdr:y>
    </cdr:from>
    <cdr:to>
      <cdr:x>0.79425</cdr:x>
      <cdr:y>0.1155</cdr:y>
    </cdr:to>
    <cdr:sp>
      <cdr:nvSpPr>
        <cdr:cNvPr id="2" name="Text Box 2"/>
        <cdr:cNvSpPr txBox="1">
          <a:spLocks noChangeArrowheads="1"/>
        </cdr:cNvSpPr>
      </cdr:nvSpPr>
      <cdr:spPr>
        <a:xfrm>
          <a:off x="4124325" y="0"/>
          <a:ext cx="1743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average increase: $5.18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0.143</cdr:y>
    </cdr:from>
    <cdr:to>
      <cdr:x>0.96475</cdr:x>
      <cdr:y>0.192</cdr:y>
    </cdr:to>
    <cdr:sp>
      <cdr:nvSpPr>
        <cdr:cNvPr id="1" name="Text Box 1"/>
        <cdr:cNvSpPr txBox="1">
          <a:spLocks noChangeArrowheads="1"/>
        </cdr:cNvSpPr>
      </cdr:nvSpPr>
      <cdr:spPr>
        <a:xfrm>
          <a:off x="5276850" y="609600"/>
          <a:ext cx="1581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average increase: $5.98</a:t>
          </a:r>
        </a:p>
      </cdr:txBody>
    </cdr:sp>
  </cdr:relSizeAnchor>
  <cdr:relSizeAnchor xmlns:cdr="http://schemas.openxmlformats.org/drawingml/2006/chartDrawing">
    <cdr:from>
      <cdr:x>0.71475</cdr:x>
      <cdr:y>0.143</cdr:y>
    </cdr:from>
    <cdr:to>
      <cdr:x>0.71475</cdr:x>
      <cdr:y>0.6995</cdr:y>
    </cdr:to>
    <cdr:sp>
      <cdr:nvSpPr>
        <cdr:cNvPr id="2" name="Line 2"/>
        <cdr:cNvSpPr>
          <a:spLocks/>
        </cdr:cNvSpPr>
      </cdr:nvSpPr>
      <cdr:spPr>
        <a:xfrm flipH="1">
          <a:off x="5076825" y="609600"/>
          <a:ext cx="0" cy="238125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diamond"/>
          <a:tailEnd type="oval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0</xdr:rowOff>
    </xdr:from>
    <xdr:to>
      <xdr:col>18</xdr:col>
      <xdr:colOff>323850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8077200" y="504825"/>
        <a:ext cx="7391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28575</xdr:rowOff>
    </xdr:from>
    <xdr:to>
      <xdr:col>7</xdr:col>
      <xdr:colOff>762000</xdr:colOff>
      <xdr:row>49</xdr:row>
      <xdr:rowOff>95250</xdr:rowOff>
    </xdr:to>
    <xdr:graphicFrame>
      <xdr:nvGraphicFramePr>
        <xdr:cNvPr id="2" name="Chart 2"/>
        <xdr:cNvGraphicFramePr/>
      </xdr:nvGraphicFramePr>
      <xdr:xfrm>
        <a:off x="114300" y="4362450"/>
        <a:ext cx="71151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SNT01\GROUPS\Regulatory_Affairs\RATE%20INFORMATION\Rate%20Histories\washington\WA%20Sch%202%20histo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2350%20-%20NW%20Natural%20-%20General%20Rate%20Case%20Support\Rate%20Design\Rate%20Design%20%203.21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 RS 2 BR History"/>
      <sheetName val="RS 2 BR Histo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JA-3"/>
      <sheetName val="RJA-4 page 1"/>
      <sheetName val="RJA-4 page 2"/>
      <sheetName val="RJA-5"/>
      <sheetName val="RJA-6"/>
      <sheetName val="RJA-7"/>
      <sheetName val="Common"/>
      <sheetName val="Vol &amp; Cust"/>
      <sheetName val="Monthly Usage Curve"/>
      <sheetName val="RtDesign_Current"/>
      <sheetName val="RtDesign_Proposed"/>
      <sheetName val="Inputs"/>
      <sheetName val="Revenue Spread"/>
      <sheetName val=" Summary"/>
      <sheetName val=" Summary (Res Low Income)"/>
      <sheetName val="Gen Monthly Bill Impact"/>
      <sheetName val="General Sales (01)"/>
      <sheetName val="Res Sales (02)"/>
      <sheetName val="Res Sales (02) avg cust"/>
      <sheetName val="Basic Firm Sales (03)"/>
      <sheetName val="HLF Firm Sales (21 -&gt; 41)"/>
      <sheetName val="HLF Firm Sales (21 -&gt; 3)"/>
      <sheetName val="Res Dry Out (27)"/>
      <sheetName val="NR Firm Sales (41)"/>
      <sheetName val="NR Sales Interruptible (42)"/>
      <sheetName val="NR Sales Firm (42)"/>
      <sheetName val="NR Transport Firm (42)"/>
      <sheetName val="NR Transport Interrup (42)"/>
      <sheetName val="Assisted Residential Sales"/>
      <sheetName val="Rate 01 Histo"/>
      <sheetName val="Rate 02 Histo"/>
      <sheetName val="Rate 03 Histo"/>
      <sheetName val="Rate 21 Histo"/>
      <sheetName val="Rate 21-&gt;Rate 41 histo"/>
      <sheetName val="Rate 21-&gt;Rate 3 histo"/>
      <sheetName val="Rate 27 Histo"/>
      <sheetName val="Rate 41 usage"/>
      <sheetName val="Rate 42 Histo Sales Interrupt"/>
      <sheetName val="Rate 42 Histo Sales Firm"/>
      <sheetName val="Rate 42 Transport -Firm"/>
      <sheetName val="Rate 42 Transport - Interrupt"/>
      <sheetName val="Energy Assistance customers"/>
      <sheetName val="Energy Assistance histo"/>
    </sheetNames>
    <definedNames>
      <definedName name="BasicSolv"/>
      <definedName name="DrySolv"/>
      <definedName name="GenSolv"/>
      <definedName name="NRSTSolv"/>
      <definedName name="ResSolv"/>
    </definedNames>
    <sheetDataSet>
      <sheetData sheetId="11">
        <row r="8">
          <cell r="E8">
            <v>551.9166666666666</v>
          </cell>
          <cell r="G8">
            <v>93946.9</v>
          </cell>
        </row>
        <row r="9">
          <cell r="E9">
            <v>57331.833333333336</v>
          </cell>
          <cell r="G9">
            <v>41267629.2</v>
          </cell>
        </row>
        <row r="10">
          <cell r="E10">
            <v>4933.416666666667</v>
          </cell>
          <cell r="G10">
            <v>16020807.29248843</v>
          </cell>
        </row>
        <row r="11">
          <cell r="E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E12">
            <v>1245.6666666666667</v>
          </cell>
          <cell r="G12">
            <v>948267.1</v>
          </cell>
        </row>
        <row r="13">
          <cell r="E13">
            <v>92.08333333333333</v>
          </cell>
          <cell r="H13">
            <v>1860556.20767513</v>
          </cell>
          <cell r="I13">
            <v>1964662.99983644</v>
          </cell>
        </row>
        <row r="14">
          <cell r="E14">
            <v>27</v>
          </cell>
          <cell r="F14">
            <v>13998.976854796341</v>
          </cell>
          <cell r="H14">
            <v>2188946.6</v>
          </cell>
          <cell r="I14">
            <v>1222580.4</v>
          </cell>
          <cell r="J14">
            <v>235373</v>
          </cell>
          <cell r="K14">
            <v>45327.7</v>
          </cell>
          <cell r="L14">
            <v>0</v>
          </cell>
          <cell r="M14">
            <v>0</v>
          </cell>
        </row>
        <row r="15">
          <cell r="E15">
            <v>13.75</v>
          </cell>
          <cell r="F15">
            <v>40083.95376175548</v>
          </cell>
          <cell r="H15">
            <v>1427718.7</v>
          </cell>
          <cell r="I15">
            <v>2478002.9</v>
          </cell>
          <cell r="J15">
            <v>1107865.8</v>
          </cell>
          <cell r="K15">
            <v>1256007.4</v>
          </cell>
          <cell r="L15">
            <v>15795.3</v>
          </cell>
          <cell r="M15">
            <v>0</v>
          </cell>
        </row>
        <row r="18">
          <cell r="E18">
            <v>0</v>
          </cell>
          <cell r="H18">
            <v>0</v>
          </cell>
          <cell r="I18">
            <v>0</v>
          </cell>
        </row>
        <row r="19">
          <cell r="E19">
            <v>1</v>
          </cell>
          <cell r="F19">
            <v>16380.04826009652</v>
          </cell>
          <cell r="H19">
            <v>293980</v>
          </cell>
          <cell r="I19">
            <v>478612.9</v>
          </cell>
          <cell r="J19">
            <v>478612.9</v>
          </cell>
          <cell r="K19">
            <v>1326156.7</v>
          </cell>
          <cell r="L19">
            <v>1229296.4</v>
          </cell>
        </row>
        <row r="20">
          <cell r="E20">
            <v>3</v>
          </cell>
          <cell r="H20">
            <v>164960.6</v>
          </cell>
          <cell r="I20">
            <v>391283.9</v>
          </cell>
          <cell r="J20">
            <v>401933.7</v>
          </cell>
          <cell r="K20">
            <v>1712828</v>
          </cell>
          <cell r="L20">
            <v>985051.1</v>
          </cell>
        </row>
      </sheetData>
      <sheetData sheetId="12">
        <row r="12">
          <cell r="K12">
            <v>93133.9517</v>
          </cell>
        </row>
        <row r="13">
          <cell r="K13">
            <v>23161383.817</v>
          </cell>
        </row>
        <row r="14">
          <cell r="K14">
            <v>7782888.5792</v>
          </cell>
        </row>
        <row r="15">
          <cell r="K15">
            <v>1984.644</v>
          </cell>
        </row>
        <row r="16">
          <cell r="K16">
            <v>0</v>
          </cell>
        </row>
        <row r="17">
          <cell r="K17">
            <v>355472.35996000003</v>
          </cell>
        </row>
        <row r="18">
          <cell r="K18">
            <v>1388965.116</v>
          </cell>
        </row>
        <row r="19">
          <cell r="K19">
            <v>2431526.548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V64"/>
  <sheetViews>
    <sheetView tabSelected="1" zoomScalePageLayoutView="0" workbookViewId="0" topLeftCell="C1">
      <pane xSplit="1" ySplit="6" topLeftCell="D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D7" sqref="D7"/>
    </sheetView>
  </sheetViews>
  <sheetFormatPr defaultColWidth="8.00390625" defaultRowHeight="12.75"/>
  <cols>
    <col min="1" max="1" width="5.28125" style="95" customWidth="1"/>
    <col min="2" max="2" width="0.71875" style="93" customWidth="1"/>
    <col min="3" max="3" width="25.57421875" style="92" customWidth="1"/>
    <col min="4" max="4" width="14.28125" style="92" customWidth="1"/>
    <col min="5" max="5" width="17.00390625" style="50" customWidth="1"/>
    <col min="6" max="6" width="15.7109375" style="96" customWidth="1"/>
    <col min="7" max="9" width="10.7109375" style="94" customWidth="1"/>
    <col min="10" max="10" width="13.8515625" style="94" customWidth="1"/>
    <col min="11" max="11" width="10.7109375" style="94" customWidth="1"/>
    <col min="12" max="12" width="13.421875" style="93" customWidth="1"/>
    <col min="13" max="15" width="11.7109375" style="97" customWidth="1"/>
    <col min="16" max="16" width="14.7109375" style="97" customWidth="1"/>
    <col min="17" max="17" width="11.57421875" style="97" customWidth="1"/>
    <col min="18" max="18" width="13.421875" style="98" customWidth="1"/>
    <col min="19" max="19" width="12.28125" style="95" customWidth="1"/>
    <col min="20" max="22" width="8.00390625" style="93" customWidth="1"/>
    <col min="23" max="16384" width="8.00390625" style="91" customWidth="1"/>
  </cols>
  <sheetData>
    <row r="1" spans="1:20" s="3" customFormat="1" ht="12" customHeight="1">
      <c r="A1" s="149"/>
      <c r="B1" s="1"/>
      <c r="C1"/>
      <c r="D1" s="240" t="s">
        <v>106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0" s="3" customFormat="1" ht="12" customHeight="1">
      <c r="A2" s="149"/>
      <c r="B2" s="1"/>
      <c r="C2" s="53"/>
      <c r="D2" s="240" t="s">
        <v>2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ht="15.75" customHeight="1">
      <c r="A3" s="54"/>
      <c r="B3" s="1"/>
      <c r="C3" s="53"/>
      <c r="D3" s="241" t="s">
        <v>1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ht="14.25" customHeight="1">
      <c r="B4" s="95"/>
    </row>
    <row r="5" spans="1:22" s="114" customFormat="1" ht="26.25" customHeight="1">
      <c r="A5" s="244" t="s">
        <v>79</v>
      </c>
      <c r="B5" s="107"/>
      <c r="C5" s="248" t="s">
        <v>80</v>
      </c>
      <c r="D5" s="248" t="s">
        <v>57</v>
      </c>
      <c r="E5" s="242" t="s">
        <v>169</v>
      </c>
      <c r="F5" s="242" t="s">
        <v>128</v>
      </c>
      <c r="G5" s="108" t="s">
        <v>60</v>
      </c>
      <c r="H5" s="108"/>
      <c r="I5" s="108"/>
      <c r="J5" s="108"/>
      <c r="K5" s="108"/>
      <c r="L5" s="108"/>
      <c r="M5" s="109" t="s">
        <v>62</v>
      </c>
      <c r="N5" s="109"/>
      <c r="O5" s="109"/>
      <c r="P5" s="109"/>
      <c r="Q5" s="109"/>
      <c r="R5" s="110"/>
      <c r="S5" s="248" t="s">
        <v>5</v>
      </c>
      <c r="T5" s="107"/>
      <c r="U5" s="107"/>
      <c r="V5" s="107"/>
    </row>
    <row r="6" spans="1:22" s="114" customFormat="1" ht="31.5" customHeight="1">
      <c r="A6" s="244"/>
      <c r="B6" s="107"/>
      <c r="C6" s="249"/>
      <c r="D6" s="249"/>
      <c r="E6" s="243"/>
      <c r="F6" s="243"/>
      <c r="G6" s="111" t="s">
        <v>22</v>
      </c>
      <c r="H6" s="111" t="s">
        <v>165</v>
      </c>
      <c r="I6" s="111" t="s">
        <v>166</v>
      </c>
      <c r="J6" s="111" t="s">
        <v>31</v>
      </c>
      <c r="K6" s="111" t="s">
        <v>23</v>
      </c>
      <c r="L6" s="111" t="s">
        <v>61</v>
      </c>
      <c r="M6" s="112" t="s">
        <v>22</v>
      </c>
      <c r="N6" s="111" t="s">
        <v>165</v>
      </c>
      <c r="O6" s="111" t="s">
        <v>166</v>
      </c>
      <c r="P6" s="112" t="s">
        <v>31</v>
      </c>
      <c r="Q6" s="112" t="s">
        <v>23</v>
      </c>
      <c r="R6" s="113" t="s">
        <v>61</v>
      </c>
      <c r="S6" s="249"/>
      <c r="T6" s="107"/>
      <c r="U6" s="107"/>
      <c r="V6" s="107"/>
    </row>
    <row r="7" spans="1:19" ht="14.25" customHeight="1">
      <c r="A7" s="95">
        <v>1</v>
      </c>
      <c r="B7" s="95"/>
      <c r="C7" s="100">
        <v>1</v>
      </c>
      <c r="D7" s="101"/>
      <c r="E7" s="198">
        <v>6623</v>
      </c>
      <c r="F7" s="102">
        <v>93946.9</v>
      </c>
      <c r="G7" s="103">
        <v>2</v>
      </c>
      <c r="H7" s="103"/>
      <c r="I7" s="103"/>
      <c r="J7" s="103"/>
      <c r="K7" s="134">
        <v>0.67769</v>
      </c>
      <c r="L7" s="132">
        <f>E7*G7+E7*J7+F7*K7</f>
        <v>76912.874661</v>
      </c>
      <c r="M7" s="105">
        <v>8</v>
      </c>
      <c r="N7" s="105"/>
      <c r="O7" s="105"/>
      <c r="P7" s="105"/>
      <c r="Q7" s="135">
        <v>0.42737</v>
      </c>
      <c r="R7" s="104">
        <f>E7*M7+E7*P7+F7*Q7</f>
        <v>93134.086653</v>
      </c>
      <c r="S7" s="106">
        <f aca="true" t="shared" si="0" ref="S7:S12">R7-L7</f>
        <v>16221.211992000011</v>
      </c>
    </row>
    <row r="8" spans="1:19" ht="12.75">
      <c r="A8" s="95">
        <v>2</v>
      </c>
      <c r="B8" s="95"/>
      <c r="C8" s="100">
        <v>2</v>
      </c>
      <c r="D8" s="101"/>
      <c r="E8" s="198">
        <v>687982</v>
      </c>
      <c r="F8" s="102">
        <v>41267629.2</v>
      </c>
      <c r="G8" s="103">
        <v>5</v>
      </c>
      <c r="H8" s="103"/>
      <c r="I8" s="103"/>
      <c r="J8" s="103"/>
      <c r="K8" s="135">
        <v>0.394</v>
      </c>
      <c r="L8" s="132">
        <f>E8*G8+E8*J8+F8*K8</f>
        <v>19699355.9048</v>
      </c>
      <c r="M8" s="105">
        <v>12</v>
      </c>
      <c r="N8" s="105"/>
      <c r="O8" s="105"/>
      <c r="P8" s="105"/>
      <c r="Q8" s="135">
        <v>0.36119</v>
      </c>
      <c r="R8" s="104">
        <f>E8*M8+E8*P8+F8*Q8</f>
        <v>23161238.990748003</v>
      </c>
      <c r="S8" s="106">
        <f t="shared" si="0"/>
        <v>3461883.0859480016</v>
      </c>
    </row>
    <row r="9" spans="1:19" ht="12.75">
      <c r="A9" s="95">
        <v>3</v>
      </c>
      <c r="B9" s="95"/>
      <c r="C9" s="115">
        <v>3</v>
      </c>
      <c r="D9" s="150"/>
      <c r="E9" s="199">
        <v>58205</v>
      </c>
      <c r="F9" s="152">
        <v>14929546</v>
      </c>
      <c r="G9" s="155">
        <v>10.5</v>
      </c>
      <c r="H9" s="155"/>
      <c r="I9" s="155"/>
      <c r="J9" s="155"/>
      <c r="K9" s="156">
        <v>0.41584</v>
      </c>
      <c r="L9" s="157">
        <f>E9*G9+E9*J9+F9*K9</f>
        <v>6819454.90864</v>
      </c>
      <c r="M9" s="158">
        <v>21</v>
      </c>
      <c r="N9" s="158"/>
      <c r="O9" s="158"/>
      <c r="P9" s="158"/>
      <c r="Q9" s="156">
        <v>0.4082</v>
      </c>
      <c r="R9" s="159">
        <f>E9*M9+E9*P9+F9*Q9</f>
        <v>7316545.6772</v>
      </c>
      <c r="S9" s="160">
        <f t="shared" si="0"/>
        <v>497090.76855999976</v>
      </c>
    </row>
    <row r="10" spans="1:19" ht="12.75">
      <c r="A10" s="95">
        <v>4</v>
      </c>
      <c r="B10" s="95"/>
      <c r="C10" s="245">
        <v>19</v>
      </c>
      <c r="D10" s="150" t="s">
        <v>3</v>
      </c>
      <c r="E10" s="179">
        <v>26</v>
      </c>
      <c r="F10" s="152">
        <v>212.5</v>
      </c>
      <c r="G10" s="194">
        <v>21.56</v>
      </c>
      <c r="H10" s="194"/>
      <c r="I10" s="194"/>
      <c r="J10" s="194"/>
      <c r="K10" s="189">
        <v>5.55</v>
      </c>
      <c r="L10" s="159">
        <f>E10*G10+E10*J10+F10*K10</f>
        <v>1739.935</v>
      </c>
      <c r="M10" s="169">
        <v>21.56</v>
      </c>
      <c r="N10" s="169"/>
      <c r="O10" s="169"/>
      <c r="P10" s="158"/>
      <c r="Q10" s="156">
        <v>6.7</v>
      </c>
      <c r="R10" s="159">
        <f>E10*M10+E10*P10+F10*Q10</f>
        <v>1984.31</v>
      </c>
      <c r="S10" s="160">
        <f t="shared" si="0"/>
        <v>244.375</v>
      </c>
    </row>
    <row r="11" spans="1:19" ht="12.75">
      <c r="A11" s="95">
        <v>5</v>
      </c>
      <c r="B11" s="95"/>
      <c r="C11" s="246"/>
      <c r="D11" s="163" t="s">
        <v>4</v>
      </c>
      <c r="E11" s="161"/>
      <c r="F11" s="200"/>
      <c r="G11" s="195">
        <v>20.74</v>
      </c>
      <c r="H11" s="195"/>
      <c r="I11" s="195"/>
      <c r="J11" s="195"/>
      <c r="K11" s="190">
        <v>4.73</v>
      </c>
      <c r="L11" s="167">
        <f>E11*G11+E11*J11+F11*K11</f>
        <v>0</v>
      </c>
      <c r="M11" s="170">
        <v>20.74</v>
      </c>
      <c r="N11" s="170"/>
      <c r="O11" s="170"/>
      <c r="P11" s="173"/>
      <c r="Q11" s="174">
        <v>5.71</v>
      </c>
      <c r="R11" s="167">
        <f>E11*M11+E11*P11+F11*Q11</f>
        <v>0</v>
      </c>
      <c r="S11" s="177">
        <f t="shared" si="0"/>
        <v>0</v>
      </c>
    </row>
    <row r="12" spans="1:22" s="120" customFormat="1" ht="12.75">
      <c r="A12" s="95">
        <v>6</v>
      </c>
      <c r="B12" s="117"/>
      <c r="C12" s="247"/>
      <c r="D12" s="180" t="s">
        <v>105</v>
      </c>
      <c r="E12" s="181"/>
      <c r="F12" s="201">
        <f>SUM(F10:F11)</f>
        <v>212.5</v>
      </c>
      <c r="G12" s="196"/>
      <c r="H12" s="196"/>
      <c r="I12" s="196"/>
      <c r="J12" s="196"/>
      <c r="K12" s="191"/>
      <c r="L12" s="140">
        <f>SUM(L10:L11)</f>
        <v>1739.935</v>
      </c>
      <c r="M12" s="182"/>
      <c r="N12" s="182"/>
      <c r="O12" s="182"/>
      <c r="P12" s="183"/>
      <c r="Q12" s="184"/>
      <c r="R12" s="140">
        <f>SUM(R10:R11)</f>
        <v>1984.31</v>
      </c>
      <c r="S12" s="141">
        <f t="shared" si="0"/>
        <v>244.375</v>
      </c>
      <c r="T12" s="119"/>
      <c r="U12" s="119"/>
      <c r="V12" s="119"/>
    </row>
    <row r="13" spans="1:19" ht="12.75">
      <c r="A13" s="95">
        <v>7</v>
      </c>
      <c r="B13" s="95"/>
      <c r="C13" s="115" t="s">
        <v>63</v>
      </c>
      <c r="D13" s="185" t="s">
        <v>25</v>
      </c>
      <c r="E13" s="186">
        <f>172.9*12</f>
        <v>2074.8</v>
      </c>
      <c r="F13" s="151">
        <v>990852</v>
      </c>
      <c r="G13" s="155">
        <v>209.52</v>
      </c>
      <c r="H13" s="155"/>
      <c r="I13" s="155"/>
      <c r="J13" s="155"/>
      <c r="K13" s="187">
        <v>0</v>
      </c>
      <c r="L13" s="159">
        <f>G13*E13</f>
        <v>434712.0960000001</v>
      </c>
      <c r="M13" s="155"/>
      <c r="N13" s="155"/>
      <c r="O13" s="155"/>
      <c r="P13" s="155"/>
      <c r="Q13" s="187"/>
      <c r="R13" s="159"/>
      <c r="S13" s="160"/>
    </row>
    <row r="14" spans="1:19" ht="12.75">
      <c r="A14" s="95">
        <v>8</v>
      </c>
      <c r="B14" s="95"/>
      <c r="C14" s="116"/>
      <c r="D14" s="164" t="s">
        <v>26</v>
      </c>
      <c r="E14" s="162"/>
      <c r="F14" s="202">
        <v>1856927</v>
      </c>
      <c r="G14" s="171"/>
      <c r="H14" s="171"/>
      <c r="I14" s="171"/>
      <c r="J14" s="171"/>
      <c r="K14" s="175">
        <v>0.33784</v>
      </c>
      <c r="L14" s="167">
        <f>E14*G14+E14*J14+F14*K14</f>
        <v>627344.21768</v>
      </c>
      <c r="M14" s="171"/>
      <c r="N14" s="171"/>
      <c r="O14" s="171"/>
      <c r="P14" s="171"/>
      <c r="Q14" s="175"/>
      <c r="R14" s="167"/>
      <c r="S14" s="177"/>
    </row>
    <row r="15" spans="1:19" ht="12.75">
      <c r="A15" s="95">
        <v>9</v>
      </c>
      <c r="B15" s="95"/>
      <c r="C15" s="116"/>
      <c r="D15" s="164" t="s">
        <v>27</v>
      </c>
      <c r="E15" s="162"/>
      <c r="F15" s="203">
        <v>1965233</v>
      </c>
      <c r="G15" s="171"/>
      <c r="H15" s="171"/>
      <c r="I15" s="171"/>
      <c r="J15" s="171"/>
      <c r="K15" s="175">
        <v>0.30768</v>
      </c>
      <c r="L15" s="167">
        <f>E15*G15+E15*J15+F15*K15</f>
        <v>604662.88944</v>
      </c>
      <c r="M15" s="171"/>
      <c r="N15" s="171"/>
      <c r="O15" s="171"/>
      <c r="P15" s="171"/>
      <c r="Q15" s="175"/>
      <c r="R15" s="167"/>
      <c r="S15" s="177"/>
    </row>
    <row r="16" spans="1:19" ht="12.75">
      <c r="A16" s="95">
        <v>10</v>
      </c>
      <c r="B16" s="95"/>
      <c r="C16" s="116"/>
      <c r="D16" s="164" t="s">
        <v>28</v>
      </c>
      <c r="E16" s="162"/>
      <c r="F16" s="203"/>
      <c r="G16" s="171"/>
      <c r="H16" s="171"/>
      <c r="I16" s="171"/>
      <c r="J16" s="171"/>
      <c r="K16" s="175">
        <v>0.29816</v>
      </c>
      <c r="L16" s="167">
        <f>E16*G16+E16*J16+F16*K16</f>
        <v>0</v>
      </c>
      <c r="M16" s="171"/>
      <c r="N16" s="171"/>
      <c r="O16" s="171"/>
      <c r="P16" s="171"/>
      <c r="Q16" s="175"/>
      <c r="R16" s="167"/>
      <c r="S16" s="177"/>
    </row>
    <row r="17" spans="1:22" s="120" customFormat="1" ht="12.75">
      <c r="A17" s="95">
        <v>11</v>
      </c>
      <c r="B17" s="117"/>
      <c r="C17" s="118"/>
      <c r="D17" s="165" t="s">
        <v>105</v>
      </c>
      <c r="E17" s="142"/>
      <c r="F17" s="204">
        <f>SUM(F13:F15)</f>
        <v>4813012</v>
      </c>
      <c r="G17" s="172"/>
      <c r="H17" s="172"/>
      <c r="I17" s="172"/>
      <c r="J17" s="172"/>
      <c r="K17" s="176"/>
      <c r="L17" s="168">
        <f>SUM(L13:L16)</f>
        <v>1666719.2031200002</v>
      </c>
      <c r="M17" s="172"/>
      <c r="N17" s="172"/>
      <c r="O17" s="172"/>
      <c r="P17" s="172"/>
      <c r="Q17" s="176"/>
      <c r="R17" s="168"/>
      <c r="S17" s="178"/>
      <c r="T17" s="119"/>
      <c r="U17" s="119"/>
      <c r="V17" s="119"/>
    </row>
    <row r="18" spans="1:22" s="120" customFormat="1" ht="12.75">
      <c r="A18" s="95"/>
      <c r="B18" s="117"/>
      <c r="C18" s="118"/>
      <c r="D18" s="165"/>
      <c r="E18" s="142"/>
      <c r="F18" s="204"/>
      <c r="G18" s="172"/>
      <c r="H18" s="172"/>
      <c r="I18" s="172"/>
      <c r="J18" s="172"/>
      <c r="K18" s="176"/>
      <c r="L18" s="168"/>
      <c r="M18" s="172"/>
      <c r="N18" s="172"/>
      <c r="O18" s="172"/>
      <c r="P18" s="172"/>
      <c r="Q18" s="176"/>
      <c r="R18" s="168"/>
      <c r="S18" s="178"/>
      <c r="T18" s="119"/>
      <c r="U18" s="119"/>
      <c r="V18" s="119"/>
    </row>
    <row r="19" spans="1:22" s="120" customFormat="1" ht="12.75">
      <c r="A19" s="95">
        <v>12</v>
      </c>
      <c r="B19" s="117"/>
      <c r="C19" s="116" t="s">
        <v>125</v>
      </c>
      <c r="D19" s="164"/>
      <c r="E19" s="162">
        <f>83*12</f>
        <v>996</v>
      </c>
      <c r="F19" s="203">
        <v>1091262</v>
      </c>
      <c r="G19" s="171"/>
      <c r="H19" s="171"/>
      <c r="I19" s="171"/>
      <c r="J19" s="171"/>
      <c r="K19" s="175"/>
      <c r="L19" s="167"/>
      <c r="M19" s="171">
        <f>M9</f>
        <v>21</v>
      </c>
      <c r="N19" s="171"/>
      <c r="O19" s="171"/>
      <c r="P19" s="171"/>
      <c r="Q19" s="175">
        <f>Q9</f>
        <v>0.4082</v>
      </c>
      <c r="R19" s="167">
        <f>E19*M19+E19*P19+F19*Q19</f>
        <v>466369.1484</v>
      </c>
      <c r="S19" s="177"/>
      <c r="T19" s="119"/>
      <c r="U19" s="119"/>
      <c r="V19" s="119"/>
    </row>
    <row r="20" spans="1:22" s="120" customFormat="1" ht="12.75">
      <c r="A20" s="95"/>
      <c r="B20" s="117"/>
      <c r="C20" s="116"/>
      <c r="D20" s="164"/>
      <c r="E20" s="162"/>
      <c r="F20" s="203"/>
      <c r="G20" s="171"/>
      <c r="H20" s="171"/>
      <c r="I20" s="171"/>
      <c r="J20" s="171"/>
      <c r="K20" s="175"/>
      <c r="L20" s="167"/>
      <c r="M20" s="171"/>
      <c r="N20" s="171"/>
      <c r="O20" s="171"/>
      <c r="P20" s="171"/>
      <c r="Q20" s="175"/>
      <c r="R20" s="167"/>
      <c r="S20" s="177"/>
      <c r="T20" s="119"/>
      <c r="U20" s="119"/>
      <c r="V20" s="119"/>
    </row>
    <row r="21" spans="1:19" ht="12.75">
      <c r="A21" s="95">
        <v>13</v>
      </c>
      <c r="B21" s="95"/>
      <c r="C21" s="116" t="s">
        <v>63</v>
      </c>
      <c r="D21" s="164" t="s">
        <v>25</v>
      </c>
      <c r="E21" s="162">
        <f>90*12</f>
        <v>1080</v>
      </c>
      <c r="F21" s="202">
        <v>1811004</v>
      </c>
      <c r="G21" s="171"/>
      <c r="H21" s="171"/>
      <c r="I21" s="171"/>
      <c r="J21" s="171"/>
      <c r="K21" s="175"/>
      <c r="L21" s="167"/>
      <c r="M21" s="171">
        <v>275</v>
      </c>
      <c r="N21" s="171"/>
      <c r="O21" s="171"/>
      <c r="P21" s="171"/>
      <c r="Q21" s="175">
        <v>0.30338</v>
      </c>
      <c r="R21" s="167">
        <f>E21*M21+E21*P21+F21*Q21</f>
        <v>846422.3935199999</v>
      </c>
      <c r="S21" s="177"/>
    </row>
    <row r="22" spans="1:19" ht="12.75">
      <c r="A22" s="95">
        <v>14</v>
      </c>
      <c r="B22" s="95"/>
      <c r="C22" s="116" t="s">
        <v>64</v>
      </c>
      <c r="D22" s="164" t="s">
        <v>26</v>
      </c>
      <c r="E22" s="162"/>
      <c r="F22" s="202">
        <v>1910746</v>
      </c>
      <c r="G22" s="171"/>
      <c r="H22" s="171"/>
      <c r="I22" s="171"/>
      <c r="J22" s="171"/>
      <c r="K22" s="175"/>
      <c r="L22" s="167"/>
      <c r="M22" s="171"/>
      <c r="N22" s="171"/>
      <c r="O22" s="171"/>
      <c r="P22" s="171"/>
      <c r="Q22" s="175">
        <v>0.265</v>
      </c>
      <c r="R22" s="167">
        <f>E22*M22+E22*P22+F22*Q22</f>
        <v>506347.69</v>
      </c>
      <c r="S22" s="177"/>
    </row>
    <row r="23" spans="1:22" s="120" customFormat="1" ht="12.75">
      <c r="A23" s="95">
        <v>15</v>
      </c>
      <c r="B23" s="117"/>
      <c r="C23" s="118"/>
      <c r="D23" s="165" t="s">
        <v>105</v>
      </c>
      <c r="E23" s="142"/>
      <c r="F23" s="204">
        <f>SUM(F21:F22)</f>
        <v>3721750</v>
      </c>
      <c r="G23" s="172"/>
      <c r="H23" s="172"/>
      <c r="I23" s="172"/>
      <c r="J23" s="172"/>
      <c r="K23" s="176"/>
      <c r="L23" s="168"/>
      <c r="M23" s="172"/>
      <c r="N23" s="172"/>
      <c r="O23" s="172"/>
      <c r="P23" s="172"/>
      <c r="Q23" s="176"/>
      <c r="R23" s="168">
        <f>SUM(R21:R22)</f>
        <v>1352770.0835199999</v>
      </c>
      <c r="S23" s="178"/>
      <c r="T23" s="119"/>
      <c r="U23" s="119"/>
      <c r="V23" s="119"/>
    </row>
    <row r="24" spans="1:22" s="120" customFormat="1" ht="12.75">
      <c r="A24" s="95"/>
      <c r="B24" s="117"/>
      <c r="C24" s="118"/>
      <c r="D24" s="165"/>
      <c r="E24" s="142"/>
      <c r="F24" s="204"/>
      <c r="G24" s="172"/>
      <c r="H24" s="172"/>
      <c r="I24" s="172"/>
      <c r="J24" s="172"/>
      <c r="K24" s="176"/>
      <c r="L24" s="168"/>
      <c r="M24" s="172"/>
      <c r="N24" s="172"/>
      <c r="O24" s="172"/>
      <c r="P24" s="172"/>
      <c r="Q24" s="176"/>
      <c r="R24" s="168"/>
      <c r="S24" s="178"/>
      <c r="T24" s="119"/>
      <c r="U24" s="119"/>
      <c r="V24" s="119"/>
    </row>
    <row r="25" spans="1:22" s="120" customFormat="1" ht="12.75">
      <c r="A25" s="95">
        <v>16</v>
      </c>
      <c r="B25" s="117"/>
      <c r="C25" s="121" t="s">
        <v>126</v>
      </c>
      <c r="D25" s="166"/>
      <c r="E25" s="144">
        <v>2075</v>
      </c>
      <c r="F25" s="137">
        <f>F23+F19</f>
        <v>4813012</v>
      </c>
      <c r="G25" s="138"/>
      <c r="H25" s="138"/>
      <c r="I25" s="138"/>
      <c r="J25" s="138"/>
      <c r="K25" s="139"/>
      <c r="L25" s="140">
        <f>L17</f>
        <v>1666719.2031200002</v>
      </c>
      <c r="M25" s="138"/>
      <c r="N25" s="138"/>
      <c r="O25" s="138"/>
      <c r="P25" s="138"/>
      <c r="Q25" s="139"/>
      <c r="R25" s="140">
        <f>R23+R19</f>
        <v>1819139.23192</v>
      </c>
      <c r="S25" s="141">
        <f>R25-L17</f>
        <v>152420.02879999974</v>
      </c>
      <c r="T25" s="119"/>
      <c r="U25" s="119"/>
      <c r="V25" s="119"/>
    </row>
    <row r="26" spans="1:19" ht="12.75">
      <c r="A26" s="95">
        <v>17</v>
      </c>
      <c r="B26" s="95"/>
      <c r="C26" s="100">
        <v>27</v>
      </c>
      <c r="D26" s="101"/>
      <c r="E26" s="188">
        <v>14948</v>
      </c>
      <c r="F26" s="99">
        <v>948267.1</v>
      </c>
      <c r="G26" s="103"/>
      <c r="H26" s="103"/>
      <c r="I26" s="103"/>
      <c r="J26" s="103"/>
      <c r="K26" s="134">
        <v>0.30255</v>
      </c>
      <c r="L26" s="104">
        <f>E26*G26+E26*J26+F26*K26</f>
        <v>286898.211105</v>
      </c>
      <c r="M26" s="103">
        <v>8</v>
      </c>
      <c r="N26" s="103"/>
      <c r="O26" s="103"/>
      <c r="P26" s="103"/>
      <c r="Q26" s="134">
        <v>0.24876</v>
      </c>
      <c r="R26" s="104">
        <f>E26*M26+E26*P26+F26*Q26</f>
        <v>355474.92379599996</v>
      </c>
      <c r="S26" s="106">
        <f aca="true" t="shared" si="1" ref="S26:S57">R26-L26</f>
        <v>68576.71269099996</v>
      </c>
    </row>
    <row r="27" spans="1:19" ht="12.75">
      <c r="A27" s="95">
        <v>18</v>
      </c>
      <c r="B27" s="95"/>
      <c r="C27" s="115" t="s">
        <v>58</v>
      </c>
      <c r="D27" s="185" t="s">
        <v>25</v>
      </c>
      <c r="E27" s="186">
        <f>2*12</f>
        <v>24</v>
      </c>
      <c r="F27" s="205">
        <v>49552.8</v>
      </c>
      <c r="G27" s="197">
        <v>195.16</v>
      </c>
      <c r="H27" s="197"/>
      <c r="I27" s="197"/>
      <c r="J27" s="155"/>
      <c r="K27" s="192">
        <v>0.38055</v>
      </c>
      <c r="L27" s="159">
        <f>E27*G27+E27*J27+F27*K27</f>
        <v>23541.158040000002</v>
      </c>
      <c r="M27" s="155">
        <v>275</v>
      </c>
      <c r="N27" s="155"/>
      <c r="O27" s="155"/>
      <c r="P27" s="155"/>
      <c r="Q27" s="187">
        <v>0.30338</v>
      </c>
      <c r="R27" s="159">
        <f>E27*M27+E27*P27+F27*Q27</f>
        <v>21633.328464</v>
      </c>
      <c r="S27" s="160">
        <f t="shared" si="1"/>
        <v>-1907.8295760000037</v>
      </c>
    </row>
    <row r="28" spans="1:19" ht="12.75">
      <c r="A28" s="95">
        <v>19</v>
      </c>
      <c r="B28" s="95"/>
      <c r="C28" s="116"/>
      <c r="D28" s="164" t="s">
        <v>26</v>
      </c>
      <c r="E28" s="162"/>
      <c r="F28" s="203">
        <v>53916.7</v>
      </c>
      <c r="G28" s="171"/>
      <c r="H28" s="171"/>
      <c r="I28" s="171"/>
      <c r="J28" s="171"/>
      <c r="K28" s="193">
        <v>0.35972</v>
      </c>
      <c r="L28" s="167">
        <f>E28*G28+E28*J28+F28*K28</f>
        <v>19394.915323999998</v>
      </c>
      <c r="M28" s="171"/>
      <c r="N28" s="171"/>
      <c r="O28" s="171"/>
      <c r="P28" s="171"/>
      <c r="Q28" s="175">
        <v>0.265</v>
      </c>
      <c r="R28" s="167">
        <f>E28*M28+E28*P28+F28*Q28</f>
        <v>14287.9255</v>
      </c>
      <c r="S28" s="177">
        <f t="shared" si="1"/>
        <v>-5106.989823999998</v>
      </c>
    </row>
    <row r="29" spans="1:22" s="120" customFormat="1" ht="12.75">
      <c r="A29" s="95">
        <v>20</v>
      </c>
      <c r="B29" s="117"/>
      <c r="C29" s="121"/>
      <c r="D29" s="166" t="s">
        <v>105</v>
      </c>
      <c r="E29" s="144"/>
      <c r="F29" s="137">
        <f>SUM(F27:F28)</f>
        <v>103469.5</v>
      </c>
      <c r="G29" s="138"/>
      <c r="H29" s="138"/>
      <c r="I29" s="138"/>
      <c r="J29" s="138"/>
      <c r="K29" s="139"/>
      <c r="L29" s="140">
        <f>SUM(L27:L28)</f>
        <v>42936.073363999996</v>
      </c>
      <c r="M29" s="138"/>
      <c r="N29" s="138"/>
      <c r="O29" s="138"/>
      <c r="P29" s="138"/>
      <c r="Q29" s="139"/>
      <c r="R29" s="140">
        <f>SUM(R27:R28)</f>
        <v>35921.253963999996</v>
      </c>
      <c r="S29" s="141">
        <f t="shared" si="1"/>
        <v>-7014.8194</v>
      </c>
      <c r="T29" s="119"/>
      <c r="U29" s="119"/>
      <c r="V29" s="119"/>
    </row>
    <row r="30" spans="1:19" ht="12.75">
      <c r="A30" s="95">
        <v>21</v>
      </c>
      <c r="B30" s="95"/>
      <c r="C30" s="115" t="s">
        <v>65</v>
      </c>
      <c r="D30" s="185" t="s">
        <v>25</v>
      </c>
      <c r="E30" s="186">
        <v>324</v>
      </c>
      <c r="F30" s="205">
        <v>2188946.6</v>
      </c>
      <c r="G30" s="155">
        <v>1300</v>
      </c>
      <c r="H30" s="187">
        <v>0.15748</v>
      </c>
      <c r="I30" s="187">
        <v>0.20415</v>
      </c>
      <c r="J30" s="155"/>
      <c r="K30" s="187">
        <v>0.11331</v>
      </c>
      <c r="L30" s="159">
        <f>E30*G30+E30*J30+F30*K30+(E31*(H30+I30))</f>
        <v>729979.039686</v>
      </c>
      <c r="M30" s="155">
        <v>1300</v>
      </c>
      <c r="N30" s="187">
        <v>0.32</v>
      </c>
      <c r="O30" s="187">
        <v>0.353</v>
      </c>
      <c r="P30" s="155"/>
      <c r="Q30" s="187">
        <v>0.1116</v>
      </c>
      <c r="R30" s="159">
        <f>E30*M30+E30*P30+F30*Q30+(E31*(N30+O30))</f>
        <v>778542.36456</v>
      </c>
      <c r="S30" s="160">
        <f t="shared" si="1"/>
        <v>48563.32487400004</v>
      </c>
    </row>
    <row r="31" spans="1:19" ht="12.75">
      <c r="A31" s="95">
        <v>22</v>
      </c>
      <c r="B31" s="95"/>
      <c r="C31" s="116"/>
      <c r="D31" s="164" t="s">
        <v>26</v>
      </c>
      <c r="E31" s="162">
        <f>13999*12</f>
        <v>167988</v>
      </c>
      <c r="F31" s="203">
        <v>1222580.4</v>
      </c>
      <c r="G31" s="171"/>
      <c r="H31" s="171"/>
      <c r="I31" s="171"/>
      <c r="J31" s="171"/>
      <c r="K31" s="175">
        <v>0.09271</v>
      </c>
      <c r="L31" s="167">
        <f>E31*G31+E31*J31+F31*K31</f>
        <v>113345.428884</v>
      </c>
      <c r="M31" s="171"/>
      <c r="N31" s="171"/>
      <c r="O31" s="171"/>
      <c r="P31" s="171"/>
      <c r="Q31" s="175">
        <v>0.095</v>
      </c>
      <c r="R31" s="167">
        <f>E31*M31+E31*P31+F31*Q31</f>
        <v>116145.13799999999</v>
      </c>
      <c r="S31" s="177">
        <f t="shared" si="1"/>
        <v>2799.709115999998</v>
      </c>
    </row>
    <row r="32" spans="1:19" ht="12.75">
      <c r="A32" s="95">
        <v>23</v>
      </c>
      <c r="B32" s="95"/>
      <c r="C32" s="116"/>
      <c r="D32" s="164" t="s">
        <v>27</v>
      </c>
      <c r="E32" s="162"/>
      <c r="F32" s="203">
        <v>235373</v>
      </c>
      <c r="G32" s="171"/>
      <c r="H32" s="171"/>
      <c r="I32" s="171"/>
      <c r="J32" s="171"/>
      <c r="K32" s="175">
        <v>0.09271</v>
      </c>
      <c r="L32" s="167">
        <f>E32*G32+E32*J32+F32*K32</f>
        <v>21821.43083</v>
      </c>
      <c r="M32" s="171"/>
      <c r="N32" s="171"/>
      <c r="O32" s="171"/>
      <c r="P32" s="171"/>
      <c r="Q32" s="175">
        <v>0.08</v>
      </c>
      <c r="R32" s="167">
        <f>E32*M32+E32*P32+F32*Q32</f>
        <v>18829.84</v>
      </c>
      <c r="S32" s="177">
        <f t="shared" si="1"/>
        <v>-2991.590830000001</v>
      </c>
    </row>
    <row r="33" spans="1:19" ht="12.75">
      <c r="A33" s="95">
        <v>24</v>
      </c>
      <c r="B33" s="95"/>
      <c r="C33" s="116"/>
      <c r="D33" s="164" t="s">
        <v>28</v>
      </c>
      <c r="E33" s="162"/>
      <c r="F33" s="203">
        <v>45327.7</v>
      </c>
      <c r="G33" s="171"/>
      <c r="H33" s="171"/>
      <c r="I33" s="171"/>
      <c r="J33" s="171"/>
      <c r="K33" s="175">
        <v>0.06181</v>
      </c>
      <c r="L33" s="167">
        <f>E33*G33+E33*J33+F33*K33</f>
        <v>2801.7051369999995</v>
      </c>
      <c r="M33" s="171"/>
      <c r="N33" s="171"/>
      <c r="O33" s="171"/>
      <c r="P33" s="171"/>
      <c r="Q33" s="175">
        <v>0.065</v>
      </c>
      <c r="R33" s="167">
        <f>E33*M33+E33*P33+F33*Q33</f>
        <v>2946.3005</v>
      </c>
      <c r="S33" s="177">
        <f t="shared" si="1"/>
        <v>144.59536300000036</v>
      </c>
    </row>
    <row r="34" spans="1:19" ht="12.75">
      <c r="A34" s="95">
        <v>25</v>
      </c>
      <c r="B34" s="95"/>
      <c r="C34" s="116"/>
      <c r="D34" s="164" t="s">
        <v>32</v>
      </c>
      <c r="E34" s="162"/>
      <c r="F34" s="203">
        <v>0</v>
      </c>
      <c r="G34" s="171"/>
      <c r="H34" s="171"/>
      <c r="I34" s="171"/>
      <c r="J34" s="171"/>
      <c r="K34" s="175">
        <v>0.04121</v>
      </c>
      <c r="L34" s="167">
        <f>E34*G34+E34*J34+F34*K34</f>
        <v>0</v>
      </c>
      <c r="M34" s="171"/>
      <c r="N34" s="171"/>
      <c r="O34" s="171"/>
      <c r="P34" s="171"/>
      <c r="Q34" s="175">
        <v>0.05</v>
      </c>
      <c r="R34" s="167">
        <f>E34*M34+E34*P34+F34*Q34</f>
        <v>0</v>
      </c>
      <c r="S34" s="177">
        <f t="shared" si="1"/>
        <v>0</v>
      </c>
    </row>
    <row r="35" spans="1:19" ht="12.75">
      <c r="A35" s="95">
        <v>26</v>
      </c>
      <c r="B35" s="95"/>
      <c r="C35" s="116"/>
      <c r="D35" s="164" t="s">
        <v>33</v>
      </c>
      <c r="E35" s="162"/>
      <c r="F35" s="203">
        <v>0</v>
      </c>
      <c r="G35" s="171"/>
      <c r="H35" s="171"/>
      <c r="I35" s="171"/>
      <c r="J35" s="171"/>
      <c r="K35" s="175">
        <v>0.01545</v>
      </c>
      <c r="L35" s="167">
        <f>E35*G35+E35*J35+F35*K35</f>
        <v>0</v>
      </c>
      <c r="M35" s="171"/>
      <c r="N35" s="171"/>
      <c r="O35" s="171"/>
      <c r="P35" s="171"/>
      <c r="Q35" s="175">
        <v>0.01498</v>
      </c>
      <c r="R35" s="167">
        <f>E35*M35+E35*P35+F35*Q35</f>
        <v>0</v>
      </c>
      <c r="S35" s="177">
        <f t="shared" si="1"/>
        <v>0</v>
      </c>
    </row>
    <row r="36" spans="1:22" s="120" customFormat="1" ht="12.75">
      <c r="A36" s="95">
        <v>27</v>
      </c>
      <c r="B36" s="117"/>
      <c r="C36" s="121"/>
      <c r="D36" s="166" t="s">
        <v>105</v>
      </c>
      <c r="E36" s="144"/>
      <c r="F36" s="137">
        <f>SUM(F30:F35)</f>
        <v>3692227.7</v>
      </c>
      <c r="G36" s="138"/>
      <c r="H36" s="138"/>
      <c r="I36" s="138"/>
      <c r="J36" s="138"/>
      <c r="K36" s="139"/>
      <c r="L36" s="140">
        <f>SUM(L30:L35)</f>
        <v>867947.604537</v>
      </c>
      <c r="M36" s="138"/>
      <c r="N36" s="138"/>
      <c r="O36" s="138"/>
      <c r="P36" s="138"/>
      <c r="Q36" s="139"/>
      <c r="R36" s="140">
        <f>SUM(R30:R35)</f>
        <v>916463.64306</v>
      </c>
      <c r="S36" s="141">
        <f t="shared" si="1"/>
        <v>48516.03852300008</v>
      </c>
      <c r="T36" s="119"/>
      <c r="U36" s="119"/>
      <c r="V36" s="119"/>
    </row>
    <row r="37" spans="1:19" ht="12.75">
      <c r="A37" s="95">
        <v>28</v>
      </c>
      <c r="B37" s="95"/>
      <c r="C37" s="115" t="s">
        <v>127</v>
      </c>
      <c r="D37" s="185" t="s">
        <v>25</v>
      </c>
      <c r="E37" s="186">
        <v>165</v>
      </c>
      <c r="F37" s="205">
        <v>1427718.7</v>
      </c>
      <c r="G37" s="155">
        <v>1300</v>
      </c>
      <c r="H37" s="155"/>
      <c r="I37" s="187">
        <v>0.10208</v>
      </c>
      <c r="J37" s="155"/>
      <c r="K37" s="187">
        <v>0.11331</v>
      </c>
      <c r="L37" s="159">
        <f>E37*G37+E37*J37+F37*K37+E38*I37</f>
        <v>425376.102537</v>
      </c>
      <c r="M37" s="155">
        <v>1300</v>
      </c>
      <c r="N37" s="155"/>
      <c r="O37" s="187">
        <v>0.1765</v>
      </c>
      <c r="P37" s="155"/>
      <c r="Q37" s="187">
        <f aca="true" t="shared" si="2" ref="Q37:Q42">Q30</f>
        <v>0.1116</v>
      </c>
      <c r="R37" s="159">
        <f>E37*M37+E37*P37+F37*Q37+E38*O37</f>
        <v>458731.31892</v>
      </c>
      <c r="S37" s="160">
        <f t="shared" si="1"/>
        <v>33355.21638299996</v>
      </c>
    </row>
    <row r="38" spans="1:19" ht="12.75">
      <c r="A38" s="95">
        <v>29</v>
      </c>
      <c r="B38" s="95"/>
      <c r="C38" s="116"/>
      <c r="D38" s="164" t="s">
        <v>26</v>
      </c>
      <c r="E38" s="162">
        <f>40084*12</f>
        <v>481008</v>
      </c>
      <c r="F38" s="203">
        <v>2478002.9</v>
      </c>
      <c r="G38" s="171"/>
      <c r="H38" s="171"/>
      <c r="I38" s="171"/>
      <c r="J38" s="171"/>
      <c r="K38" s="175">
        <v>0.09271</v>
      </c>
      <c r="L38" s="167">
        <f>E38*G38+E38*J38+F38*K38</f>
        <v>229735.64885899998</v>
      </c>
      <c r="M38" s="171"/>
      <c r="N38" s="171"/>
      <c r="O38" s="171"/>
      <c r="P38" s="171"/>
      <c r="Q38" s="175">
        <f t="shared" si="2"/>
        <v>0.095</v>
      </c>
      <c r="R38" s="167">
        <f>E38*M38+E38*P38+F38*Q38</f>
        <v>235410.2755</v>
      </c>
      <c r="S38" s="177">
        <f t="shared" si="1"/>
        <v>5674.62664100001</v>
      </c>
    </row>
    <row r="39" spans="1:19" ht="12.75">
      <c r="A39" s="95">
        <v>30</v>
      </c>
      <c r="B39" s="95"/>
      <c r="C39" s="116"/>
      <c r="D39" s="164" t="s">
        <v>27</v>
      </c>
      <c r="E39" s="162"/>
      <c r="F39" s="203">
        <v>1107865.8</v>
      </c>
      <c r="G39" s="171"/>
      <c r="H39" s="171"/>
      <c r="I39" s="171"/>
      <c r="J39" s="171"/>
      <c r="K39" s="175">
        <v>0.09271</v>
      </c>
      <c r="L39" s="167">
        <f>E39*G39+E39*J39+F39*K39</f>
        <v>102710.238318</v>
      </c>
      <c r="M39" s="171"/>
      <c r="N39" s="171"/>
      <c r="O39" s="171"/>
      <c r="P39" s="171"/>
      <c r="Q39" s="175">
        <f t="shared" si="2"/>
        <v>0.08</v>
      </c>
      <c r="R39" s="167">
        <f>E39*M39+E39*P39+F39*Q39</f>
        <v>88629.26400000001</v>
      </c>
      <c r="S39" s="177">
        <f t="shared" si="1"/>
        <v>-14080.974317999993</v>
      </c>
    </row>
    <row r="40" spans="1:19" ht="12.75">
      <c r="A40" s="95">
        <v>31</v>
      </c>
      <c r="B40" s="95"/>
      <c r="C40" s="116"/>
      <c r="D40" s="164" t="s">
        <v>28</v>
      </c>
      <c r="E40" s="162"/>
      <c r="F40" s="203">
        <v>1256007.4</v>
      </c>
      <c r="G40" s="171"/>
      <c r="H40" s="171"/>
      <c r="I40" s="171"/>
      <c r="J40" s="171"/>
      <c r="K40" s="175">
        <v>0.06181</v>
      </c>
      <c r="L40" s="167">
        <f>E40*G40+E40*J40+F40*K40</f>
        <v>77633.81739399998</v>
      </c>
      <c r="M40" s="171"/>
      <c r="N40" s="171"/>
      <c r="O40" s="171"/>
      <c r="P40" s="171"/>
      <c r="Q40" s="175">
        <f t="shared" si="2"/>
        <v>0.065</v>
      </c>
      <c r="R40" s="167">
        <f>E40*M40+E40*P40+F40*Q40</f>
        <v>81640.481</v>
      </c>
      <c r="S40" s="177">
        <f t="shared" si="1"/>
        <v>4006.6636060000164</v>
      </c>
    </row>
    <row r="41" spans="1:19" ht="12.75">
      <c r="A41" s="95">
        <v>32</v>
      </c>
      <c r="B41" s="95"/>
      <c r="C41" s="116"/>
      <c r="D41" s="164" t="s">
        <v>32</v>
      </c>
      <c r="E41" s="162"/>
      <c r="F41" s="203">
        <v>15795.3</v>
      </c>
      <c r="G41" s="171"/>
      <c r="H41" s="171"/>
      <c r="I41" s="171"/>
      <c r="J41" s="171"/>
      <c r="K41" s="175">
        <v>0.04121</v>
      </c>
      <c r="L41" s="167">
        <f>E41*G41+E41*J41+F41*K41</f>
        <v>650.9243129999999</v>
      </c>
      <c r="M41" s="171"/>
      <c r="N41" s="171"/>
      <c r="O41" s="171"/>
      <c r="P41" s="171"/>
      <c r="Q41" s="175">
        <f t="shared" si="2"/>
        <v>0.05</v>
      </c>
      <c r="R41" s="167">
        <f>E41*M41+E41*P41+F41*Q41</f>
        <v>789.765</v>
      </c>
      <c r="S41" s="177">
        <f t="shared" si="1"/>
        <v>138.84068700000012</v>
      </c>
    </row>
    <row r="42" spans="1:19" ht="12.75">
      <c r="A42" s="95">
        <v>33</v>
      </c>
      <c r="B42" s="95"/>
      <c r="C42" s="116"/>
      <c r="D42" s="164" t="s">
        <v>33</v>
      </c>
      <c r="E42" s="162"/>
      <c r="F42" s="203">
        <v>0</v>
      </c>
      <c r="G42" s="171"/>
      <c r="H42" s="171"/>
      <c r="I42" s="171"/>
      <c r="J42" s="171"/>
      <c r="K42" s="175">
        <v>0.01545</v>
      </c>
      <c r="L42" s="167">
        <f>E42*G42+E42*J42+F42*K42</f>
        <v>0</v>
      </c>
      <c r="M42" s="171"/>
      <c r="N42" s="171"/>
      <c r="O42" s="171"/>
      <c r="P42" s="171"/>
      <c r="Q42" s="175">
        <f t="shared" si="2"/>
        <v>0.01498</v>
      </c>
      <c r="R42" s="167">
        <f>E42*M42+E42*P42+F42*Q42</f>
        <v>0</v>
      </c>
      <c r="S42" s="177">
        <f t="shared" si="1"/>
        <v>0</v>
      </c>
    </row>
    <row r="43" spans="1:22" s="120" customFormat="1" ht="12.75">
      <c r="A43" s="95">
        <f>A42+1</f>
        <v>34</v>
      </c>
      <c r="B43" s="117"/>
      <c r="C43" s="121"/>
      <c r="D43" s="166" t="s">
        <v>105</v>
      </c>
      <c r="E43" s="144"/>
      <c r="F43" s="137">
        <f>SUM(F37:F42)</f>
        <v>6285390.099999999</v>
      </c>
      <c r="G43" s="138"/>
      <c r="H43" s="138"/>
      <c r="I43" s="138"/>
      <c r="J43" s="138"/>
      <c r="K43" s="139"/>
      <c r="L43" s="140">
        <f>SUM(L37:L42)</f>
        <v>836106.7314210001</v>
      </c>
      <c r="M43" s="138"/>
      <c r="N43" s="138"/>
      <c r="O43" s="138"/>
      <c r="P43" s="138"/>
      <c r="Q43" s="139"/>
      <c r="R43" s="140">
        <f>SUM(R37:R42)</f>
        <v>865201.10442</v>
      </c>
      <c r="S43" s="141">
        <f t="shared" si="1"/>
        <v>29094.372998999897</v>
      </c>
      <c r="T43" s="119"/>
      <c r="U43" s="119"/>
      <c r="V43" s="119"/>
    </row>
    <row r="44" spans="1:22" s="120" customFormat="1" ht="12.75">
      <c r="A44" s="95">
        <f aca="true" t="shared" si="3" ref="A44:A57">A43+1</f>
        <v>35</v>
      </c>
      <c r="B44" s="117"/>
      <c r="C44" s="115" t="s">
        <v>167</v>
      </c>
      <c r="D44" s="185" t="s">
        <v>25</v>
      </c>
      <c r="E44" s="186">
        <v>12</v>
      </c>
      <c r="F44" s="205">
        <v>293980</v>
      </c>
      <c r="G44" s="155">
        <v>1300</v>
      </c>
      <c r="H44" s="187">
        <v>0.15748</v>
      </c>
      <c r="I44" s="155"/>
      <c r="J44" s="155">
        <v>250</v>
      </c>
      <c r="K44" s="187">
        <v>0.10988</v>
      </c>
      <c r="L44" s="159">
        <f>E44*G44+E44*J44+F44*K44+E45*H44</f>
        <v>81856.7912</v>
      </c>
      <c r="M44" s="155">
        <v>1300</v>
      </c>
      <c r="N44" s="187">
        <f>N30</f>
        <v>0.32</v>
      </c>
      <c r="O44" s="155"/>
      <c r="P44" s="155">
        <v>250</v>
      </c>
      <c r="Q44" s="187">
        <f aca="true" t="shared" si="4" ref="Q44:Q49">Q37</f>
        <v>0.1116</v>
      </c>
      <c r="R44" s="159">
        <f>E44*M44+E44*P44+F44*Q44+E45*N44</f>
        <v>114307.368</v>
      </c>
      <c r="S44" s="160">
        <f aca="true" t="shared" si="5" ref="S44:S50">R44-L44</f>
        <v>32450.576799999995</v>
      </c>
      <c r="T44" s="119"/>
      <c r="U44" s="119"/>
      <c r="V44" s="119"/>
    </row>
    <row r="45" spans="1:22" s="120" customFormat="1" ht="12.75">
      <c r="A45" s="95">
        <f>A44+1</f>
        <v>36</v>
      </c>
      <c r="B45" s="117"/>
      <c r="C45" s="116"/>
      <c r="D45" s="164" t="s">
        <v>26</v>
      </c>
      <c r="E45" s="162">
        <f>16380*12</f>
        <v>196560</v>
      </c>
      <c r="F45" s="203">
        <v>478612.9</v>
      </c>
      <c r="G45" s="171"/>
      <c r="H45" s="171"/>
      <c r="I45" s="171"/>
      <c r="J45" s="171"/>
      <c r="K45" s="175">
        <v>0.0899</v>
      </c>
      <c r="L45" s="167">
        <f>E45*G45+E45*J45+F45*K45</f>
        <v>43027.29971</v>
      </c>
      <c r="M45" s="171"/>
      <c r="N45" s="171"/>
      <c r="O45" s="171"/>
      <c r="P45" s="171"/>
      <c r="Q45" s="175">
        <f t="shared" si="4"/>
        <v>0.095</v>
      </c>
      <c r="R45" s="167">
        <f>E45*M45+E45*P45+F45*Q45</f>
        <v>45468.2255</v>
      </c>
      <c r="S45" s="177">
        <f t="shared" si="5"/>
        <v>2440.925790000001</v>
      </c>
      <c r="T45" s="119"/>
      <c r="U45" s="119"/>
      <c r="V45" s="119"/>
    </row>
    <row r="46" spans="1:22" s="120" customFormat="1" ht="12.75">
      <c r="A46" s="95">
        <f t="shared" si="3"/>
        <v>37</v>
      </c>
      <c r="B46" s="117"/>
      <c r="C46" s="116"/>
      <c r="D46" s="164" t="s">
        <v>27</v>
      </c>
      <c r="E46" s="162"/>
      <c r="F46" s="203">
        <v>478612.9</v>
      </c>
      <c r="G46" s="171"/>
      <c r="H46" s="171"/>
      <c r="I46" s="171"/>
      <c r="J46" s="171"/>
      <c r="K46" s="175">
        <v>0.0899</v>
      </c>
      <c r="L46" s="167">
        <f>E46*G46+E46*J46+F46*K46</f>
        <v>43027.29971</v>
      </c>
      <c r="M46" s="171"/>
      <c r="N46" s="171"/>
      <c r="O46" s="171"/>
      <c r="P46" s="171"/>
      <c r="Q46" s="175">
        <f t="shared" si="4"/>
        <v>0.08</v>
      </c>
      <c r="R46" s="167">
        <f>E46*M46+E46*P46+F46*Q46</f>
        <v>38289.032</v>
      </c>
      <c r="S46" s="177">
        <f t="shared" si="5"/>
        <v>-4738.26771</v>
      </c>
      <c r="T46" s="119"/>
      <c r="U46" s="119"/>
      <c r="V46" s="119"/>
    </row>
    <row r="47" spans="1:22" s="120" customFormat="1" ht="12.75">
      <c r="A47" s="95">
        <f t="shared" si="3"/>
        <v>38</v>
      </c>
      <c r="B47" s="117"/>
      <c r="C47" s="116"/>
      <c r="D47" s="164" t="s">
        <v>28</v>
      </c>
      <c r="E47" s="162"/>
      <c r="F47" s="203">
        <v>1326156.7</v>
      </c>
      <c r="G47" s="171"/>
      <c r="H47" s="171"/>
      <c r="I47" s="171"/>
      <c r="J47" s="171"/>
      <c r="K47" s="175">
        <v>0.05994</v>
      </c>
      <c r="L47" s="167">
        <f>E47*G47+E47*J47+F47*K47</f>
        <v>79489.832598</v>
      </c>
      <c r="M47" s="171"/>
      <c r="N47" s="171"/>
      <c r="O47" s="171"/>
      <c r="P47" s="171"/>
      <c r="Q47" s="175">
        <f t="shared" si="4"/>
        <v>0.065</v>
      </c>
      <c r="R47" s="167">
        <f>E47*M47+E47*P47+F47*Q47</f>
        <v>86200.1855</v>
      </c>
      <c r="S47" s="177">
        <f t="shared" si="5"/>
        <v>6710.352902000013</v>
      </c>
      <c r="T47" s="119"/>
      <c r="U47" s="119"/>
      <c r="V47" s="119"/>
    </row>
    <row r="48" spans="1:22" s="120" customFormat="1" ht="12.75">
      <c r="A48" s="95">
        <f t="shared" si="3"/>
        <v>39</v>
      </c>
      <c r="B48" s="117"/>
      <c r="C48" s="116"/>
      <c r="D48" s="164" t="s">
        <v>32</v>
      </c>
      <c r="E48" s="162"/>
      <c r="F48" s="203">
        <v>1229296.4</v>
      </c>
      <c r="G48" s="171"/>
      <c r="H48" s="171"/>
      <c r="I48" s="171"/>
      <c r="J48" s="171"/>
      <c r="K48" s="175">
        <v>0.03996</v>
      </c>
      <c r="L48" s="167">
        <f>E48*G48+E48*J48+F48*K48</f>
        <v>49122.684144</v>
      </c>
      <c r="M48" s="171"/>
      <c r="N48" s="171"/>
      <c r="O48" s="171"/>
      <c r="P48" s="171"/>
      <c r="Q48" s="175">
        <f t="shared" si="4"/>
        <v>0.05</v>
      </c>
      <c r="R48" s="167">
        <f>E48*M48+E48*P48+F48*Q48</f>
        <v>61464.82</v>
      </c>
      <c r="S48" s="177">
        <f t="shared" si="5"/>
        <v>12342.135856</v>
      </c>
      <c r="T48" s="119"/>
      <c r="U48" s="119"/>
      <c r="V48" s="119"/>
    </row>
    <row r="49" spans="1:22" s="120" customFormat="1" ht="12.75">
      <c r="A49" s="95">
        <f t="shared" si="3"/>
        <v>40</v>
      </c>
      <c r="B49" s="117"/>
      <c r="C49" s="116"/>
      <c r="D49" s="164" t="s">
        <v>33</v>
      </c>
      <c r="E49" s="162"/>
      <c r="F49" s="203">
        <v>0</v>
      </c>
      <c r="G49" s="171"/>
      <c r="H49" s="171"/>
      <c r="I49" s="171"/>
      <c r="J49" s="171"/>
      <c r="K49" s="175">
        <v>0.01498</v>
      </c>
      <c r="L49" s="167">
        <f>E49*G49+E49*J49+F49*K49</f>
        <v>0</v>
      </c>
      <c r="M49" s="171"/>
      <c r="N49" s="171"/>
      <c r="O49" s="171"/>
      <c r="P49" s="171"/>
      <c r="Q49" s="175">
        <f t="shared" si="4"/>
        <v>0.01498</v>
      </c>
      <c r="R49" s="167">
        <f>E49*M49+E49*P49+F49*Q49</f>
        <v>0</v>
      </c>
      <c r="S49" s="177">
        <f t="shared" si="5"/>
        <v>0</v>
      </c>
      <c r="T49" s="119"/>
      <c r="U49" s="119"/>
      <c r="V49" s="119"/>
    </row>
    <row r="50" spans="1:22" s="120" customFormat="1" ht="12.75">
      <c r="A50" s="95">
        <f t="shared" si="3"/>
        <v>41</v>
      </c>
      <c r="B50" s="117"/>
      <c r="C50" s="121"/>
      <c r="D50" s="166" t="s">
        <v>105</v>
      </c>
      <c r="E50" s="144"/>
      <c r="F50" s="137">
        <f>SUM(F44:F49)</f>
        <v>3806658.9</v>
      </c>
      <c r="G50" s="138"/>
      <c r="H50" s="138"/>
      <c r="I50" s="138"/>
      <c r="J50" s="138"/>
      <c r="K50" s="138"/>
      <c r="L50" s="140">
        <f>SUM(L44:L49)</f>
        <v>296523.90736199997</v>
      </c>
      <c r="M50" s="138"/>
      <c r="N50" s="138"/>
      <c r="O50" s="138"/>
      <c r="P50" s="138"/>
      <c r="Q50" s="139"/>
      <c r="R50" s="140">
        <f>SUM(R44:R49)</f>
        <v>345729.63100000005</v>
      </c>
      <c r="S50" s="141">
        <f t="shared" si="5"/>
        <v>49205.72363800008</v>
      </c>
      <c r="T50" s="119"/>
      <c r="U50" s="119"/>
      <c r="V50" s="119"/>
    </row>
    <row r="51" spans="1:19" ht="12.75">
      <c r="A51" s="95">
        <f t="shared" si="3"/>
        <v>42</v>
      </c>
      <c r="B51" s="95"/>
      <c r="C51" s="115" t="s">
        <v>168</v>
      </c>
      <c r="D51" s="185" t="s">
        <v>25</v>
      </c>
      <c r="E51" s="186">
        <v>36</v>
      </c>
      <c r="F51" s="205">
        <v>164960.6</v>
      </c>
      <c r="G51" s="155">
        <v>1300</v>
      </c>
      <c r="H51" s="155"/>
      <c r="I51" s="155"/>
      <c r="J51" s="155">
        <v>250</v>
      </c>
      <c r="K51" s="187">
        <v>0.10988</v>
      </c>
      <c r="L51" s="159">
        <f>E51*G51+E51*J51+F51*K51-(3*12*250)</f>
        <v>64925.87072800001</v>
      </c>
      <c r="M51" s="155">
        <v>1300</v>
      </c>
      <c r="N51" s="155"/>
      <c r="O51" s="155"/>
      <c r="P51" s="155">
        <v>250</v>
      </c>
      <c r="Q51" s="187">
        <f aca="true" t="shared" si="6" ref="Q51:Q56">Q44</f>
        <v>0.1116</v>
      </c>
      <c r="R51" s="159">
        <f aca="true" t="shared" si="7" ref="R51:R56">E51*M51+E51*P51+F51*Q51</f>
        <v>74209.60296</v>
      </c>
      <c r="S51" s="160">
        <f t="shared" si="1"/>
        <v>9283.732231999995</v>
      </c>
    </row>
    <row r="52" spans="1:19" ht="12.75">
      <c r="A52" s="95">
        <f>A51+1</f>
        <v>43</v>
      </c>
      <c r="B52" s="95"/>
      <c r="C52" s="116"/>
      <c r="D52" s="164" t="s">
        <v>26</v>
      </c>
      <c r="E52" s="162"/>
      <c r="F52" s="203">
        <v>391283.9</v>
      </c>
      <c r="G52" s="171"/>
      <c r="H52" s="171"/>
      <c r="I52" s="171"/>
      <c r="J52" s="171"/>
      <c r="K52" s="175">
        <v>0.0899</v>
      </c>
      <c r="L52" s="167">
        <f>E52*G52+E52*J52+F52*K52</f>
        <v>35176.42261</v>
      </c>
      <c r="M52" s="171"/>
      <c r="N52" s="171"/>
      <c r="O52" s="171"/>
      <c r="P52" s="171"/>
      <c r="Q52" s="175">
        <f t="shared" si="6"/>
        <v>0.095</v>
      </c>
      <c r="R52" s="167">
        <f t="shared" si="7"/>
        <v>37171.9705</v>
      </c>
      <c r="S52" s="177">
        <f t="shared" si="1"/>
        <v>1995.5478900000016</v>
      </c>
    </row>
    <row r="53" spans="1:19" ht="12.75">
      <c r="A53" s="95">
        <f t="shared" si="3"/>
        <v>44</v>
      </c>
      <c r="B53" s="95"/>
      <c r="C53" s="116"/>
      <c r="D53" s="164" t="s">
        <v>27</v>
      </c>
      <c r="E53" s="162"/>
      <c r="F53" s="203">
        <v>401933.7</v>
      </c>
      <c r="G53" s="171"/>
      <c r="H53" s="171"/>
      <c r="I53" s="171"/>
      <c r="J53" s="171"/>
      <c r="K53" s="175">
        <v>0.0899</v>
      </c>
      <c r="L53" s="167">
        <f>E53*G53+E53*J53+F53*K53</f>
        <v>36133.839629999995</v>
      </c>
      <c r="M53" s="171"/>
      <c r="N53" s="171"/>
      <c r="O53" s="171"/>
      <c r="P53" s="171"/>
      <c r="Q53" s="175">
        <f t="shared" si="6"/>
        <v>0.08</v>
      </c>
      <c r="R53" s="167">
        <f t="shared" si="7"/>
        <v>32154.696</v>
      </c>
      <c r="S53" s="177">
        <f t="shared" si="1"/>
        <v>-3979.143629999995</v>
      </c>
    </row>
    <row r="54" spans="1:19" ht="12.75">
      <c r="A54" s="95">
        <f t="shared" si="3"/>
        <v>45</v>
      </c>
      <c r="B54" s="95"/>
      <c r="C54" s="116"/>
      <c r="D54" s="164" t="s">
        <v>28</v>
      </c>
      <c r="E54" s="162"/>
      <c r="F54" s="203">
        <v>1712828</v>
      </c>
      <c r="G54" s="171"/>
      <c r="H54" s="171"/>
      <c r="I54" s="171"/>
      <c r="J54" s="171"/>
      <c r="K54" s="175">
        <v>0.05994</v>
      </c>
      <c r="L54" s="167">
        <f>E54*G54+E54*J54+F54*K54</f>
        <v>102666.91032</v>
      </c>
      <c r="M54" s="171"/>
      <c r="N54" s="171"/>
      <c r="O54" s="171"/>
      <c r="P54" s="171"/>
      <c r="Q54" s="175">
        <f t="shared" si="6"/>
        <v>0.065</v>
      </c>
      <c r="R54" s="167">
        <f t="shared" si="7"/>
        <v>111333.82</v>
      </c>
      <c r="S54" s="177">
        <f t="shared" si="1"/>
        <v>8666.909680000012</v>
      </c>
    </row>
    <row r="55" spans="1:19" ht="12.75">
      <c r="A55" s="95">
        <f t="shared" si="3"/>
        <v>46</v>
      </c>
      <c r="B55" s="95"/>
      <c r="C55" s="116"/>
      <c r="D55" s="164" t="s">
        <v>32</v>
      </c>
      <c r="E55" s="162"/>
      <c r="F55" s="203">
        <v>985051.1</v>
      </c>
      <c r="G55" s="171"/>
      <c r="H55" s="171"/>
      <c r="I55" s="171"/>
      <c r="J55" s="171"/>
      <c r="K55" s="175">
        <v>0.03996</v>
      </c>
      <c r="L55" s="167">
        <f>E55*G55+E55*J55+F55*K55</f>
        <v>39362.641956</v>
      </c>
      <c r="M55" s="171"/>
      <c r="N55" s="171"/>
      <c r="O55" s="171"/>
      <c r="P55" s="171"/>
      <c r="Q55" s="175">
        <f t="shared" si="6"/>
        <v>0.05</v>
      </c>
      <c r="R55" s="167">
        <f t="shared" si="7"/>
        <v>49252.555</v>
      </c>
      <c r="S55" s="177">
        <f t="shared" si="1"/>
        <v>9889.913044</v>
      </c>
    </row>
    <row r="56" spans="1:19" ht="12.75">
      <c r="A56" s="95">
        <f t="shared" si="3"/>
        <v>47</v>
      </c>
      <c r="B56" s="95"/>
      <c r="C56" s="116"/>
      <c r="D56" s="164" t="s">
        <v>33</v>
      </c>
      <c r="E56" s="162"/>
      <c r="F56" s="203">
        <v>0</v>
      </c>
      <c r="G56" s="171"/>
      <c r="H56" s="171"/>
      <c r="I56" s="171"/>
      <c r="J56" s="171"/>
      <c r="K56" s="175">
        <v>0.01498</v>
      </c>
      <c r="L56" s="167">
        <f>E56*G56+E56*J56+F56*K56</f>
        <v>0</v>
      </c>
      <c r="M56" s="171"/>
      <c r="N56" s="171"/>
      <c r="O56" s="171"/>
      <c r="P56" s="171"/>
      <c r="Q56" s="175">
        <f t="shared" si="6"/>
        <v>0.01498</v>
      </c>
      <c r="R56" s="167">
        <f t="shared" si="7"/>
        <v>0</v>
      </c>
      <c r="S56" s="177">
        <f t="shared" si="1"/>
        <v>0</v>
      </c>
    </row>
    <row r="57" spans="1:22" s="120" customFormat="1" ht="12.75">
      <c r="A57" s="95">
        <f t="shared" si="3"/>
        <v>48</v>
      </c>
      <c r="B57" s="117"/>
      <c r="C57" s="121"/>
      <c r="D57" s="166" t="s">
        <v>105</v>
      </c>
      <c r="E57" s="144"/>
      <c r="F57" s="137">
        <f>SUM(F51:F56)</f>
        <v>3656057.3000000003</v>
      </c>
      <c r="G57" s="138"/>
      <c r="H57" s="138"/>
      <c r="I57" s="138"/>
      <c r="J57" s="138"/>
      <c r="K57" s="138"/>
      <c r="L57" s="140">
        <f>SUM(L51:L56)</f>
        <v>278265.685244</v>
      </c>
      <c r="M57" s="138"/>
      <c r="N57" s="138"/>
      <c r="O57" s="138"/>
      <c r="P57" s="138"/>
      <c r="Q57" s="139"/>
      <c r="R57" s="140">
        <f>SUM(R51:R56)</f>
        <v>304122.64446000004</v>
      </c>
      <c r="S57" s="141">
        <f t="shared" si="1"/>
        <v>25856.959216000047</v>
      </c>
      <c r="T57" s="119"/>
      <c r="U57" s="119"/>
      <c r="V57" s="119"/>
    </row>
    <row r="58" ht="12.75">
      <c r="Q58" s="136"/>
    </row>
    <row r="59" spans="1:22" s="123" customFormat="1" ht="13.5" thickBot="1">
      <c r="A59" s="95">
        <f>A57+1</f>
        <v>49</v>
      </c>
      <c r="B59" s="122"/>
      <c r="C59" s="124" t="s">
        <v>59</v>
      </c>
      <c r="D59" s="124"/>
      <c r="E59" s="125"/>
      <c r="F59" s="125">
        <f>SUM(F7:F9,F12,F17,F50,F26,F29,F36,F43,F57)</f>
        <v>79596417.19999999</v>
      </c>
      <c r="G59" s="126"/>
      <c r="H59" s="126"/>
      <c r="I59" s="126"/>
      <c r="J59" s="126"/>
      <c r="K59" s="126"/>
      <c r="L59" s="127">
        <f>SUM(L7:L9,L12,L17,L23,L26,L29,L36,L43,L50,L57)</f>
        <v>30872861.039254002</v>
      </c>
      <c r="M59" s="128"/>
      <c r="N59" s="128"/>
      <c r="O59" s="128"/>
      <c r="P59" s="128"/>
      <c r="Q59" s="128"/>
      <c r="R59" s="127">
        <f>SUM(R7:R9,R12,R17,R25,R26,R29,R36,R43,R50,R57)</f>
        <v>35214955.497221</v>
      </c>
      <c r="S59" s="127">
        <f>SUM(S7:S9,S12,S17,S25,S26,S29,S36,S43,S50,S57)</f>
        <v>4342094.457967002</v>
      </c>
      <c r="T59" s="122"/>
      <c r="U59" s="122"/>
      <c r="V59" s="122"/>
    </row>
    <row r="61" spans="12:19" ht="12.75">
      <c r="L61" s="129"/>
      <c r="M61" s="130"/>
      <c r="N61" s="130"/>
      <c r="O61" s="130"/>
      <c r="P61" s="130"/>
      <c r="Q61" s="130"/>
      <c r="R61" s="129"/>
      <c r="S61" s="131"/>
    </row>
    <row r="62" spans="12:19" ht="12.75">
      <c r="L62" s="217"/>
      <c r="M62" s="133"/>
      <c r="N62" s="133"/>
      <c r="O62" s="133"/>
      <c r="P62" s="133"/>
      <c r="Q62" s="133"/>
      <c r="R62" s="217"/>
      <c r="S62" s="217"/>
    </row>
    <row r="64" spans="12:19" ht="12.75">
      <c r="L64" s="143"/>
      <c r="R64" s="143"/>
      <c r="S64" s="143"/>
    </row>
  </sheetData>
  <sheetProtection/>
  <mergeCells count="10">
    <mergeCell ref="C10:C12"/>
    <mergeCell ref="S5:S6"/>
    <mergeCell ref="D5:D6"/>
    <mergeCell ref="C5:C6"/>
    <mergeCell ref="D1:T1"/>
    <mergeCell ref="D2:T2"/>
    <mergeCell ref="D3:T3"/>
    <mergeCell ref="E5:E6"/>
    <mergeCell ref="F5:F6"/>
    <mergeCell ref="A5:A6"/>
  </mergeCells>
  <printOptions horizontalCentered="1"/>
  <pageMargins left="0.5" right="0.5" top="1" bottom="0.5" header="0.75" footer="0.2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L192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5.00390625" style="0" customWidth="1"/>
    <col min="2" max="2" width="1.7109375" style="0" customWidth="1"/>
    <col min="3" max="3" width="31.140625" style="0" customWidth="1"/>
    <col min="4" max="4" width="2.00390625" style="0" customWidth="1"/>
    <col min="5" max="5" width="9.421875" style="0" customWidth="1"/>
    <col min="6" max="6" width="2.140625" style="0" customWidth="1"/>
    <col min="7" max="7" width="13.140625" style="12" bestFit="1" customWidth="1"/>
    <col min="8" max="8" width="2.7109375" style="12" customWidth="1"/>
    <col min="9" max="9" width="12.57421875" style="12" customWidth="1"/>
    <col min="10" max="10" width="2.7109375" style="12" customWidth="1"/>
    <col min="11" max="11" width="15.421875" style="12" bestFit="1" customWidth="1"/>
    <col min="12" max="12" width="10.7109375" style="3" bestFit="1" customWidth="1"/>
  </cols>
  <sheetData>
    <row r="1" ht="12.75" customHeight="1"/>
    <row r="2" spans="1:11" ht="12.75">
      <c r="A2" s="53" t="s">
        <v>106</v>
      </c>
      <c r="B2" s="53"/>
      <c r="C2" s="53"/>
      <c r="D2" s="53"/>
      <c r="E2" s="53"/>
      <c r="F2" s="53"/>
      <c r="G2" s="153"/>
      <c r="H2" s="153"/>
      <c r="I2" s="153"/>
      <c r="J2" s="153"/>
      <c r="K2" s="153"/>
    </row>
    <row r="3" spans="1:11" ht="12.75">
      <c r="A3" s="53" t="s">
        <v>107</v>
      </c>
      <c r="B3" s="53"/>
      <c r="C3" s="53"/>
      <c r="D3" s="53"/>
      <c r="E3" s="53"/>
      <c r="F3" s="53"/>
      <c r="G3" s="153"/>
      <c r="H3" s="153"/>
      <c r="I3" s="153"/>
      <c r="J3" s="153"/>
      <c r="K3" s="153"/>
    </row>
    <row r="4" spans="1:11" ht="12.75">
      <c r="A4" s="53" t="s">
        <v>129</v>
      </c>
      <c r="B4" s="53"/>
      <c r="C4" s="53"/>
      <c r="D4" s="53"/>
      <c r="E4" s="53"/>
      <c r="F4" s="53"/>
      <c r="G4" s="153"/>
      <c r="H4" s="153"/>
      <c r="I4" s="153"/>
      <c r="J4" s="153"/>
      <c r="K4" s="153"/>
    </row>
    <row r="6" spans="1:12" s="4" customFormat="1" ht="12.75">
      <c r="A6"/>
      <c r="B6"/>
      <c r="C6"/>
      <c r="D6"/>
      <c r="E6"/>
      <c r="F6"/>
      <c r="G6" s="12"/>
      <c r="H6" s="12"/>
      <c r="I6" s="12"/>
      <c r="J6" s="12"/>
      <c r="K6" s="12"/>
      <c r="L6" s="35"/>
    </row>
    <row r="7" spans="1:12" s="4" customFormat="1" ht="25.5">
      <c r="A7" s="4" t="s">
        <v>79</v>
      </c>
      <c r="C7" s="4" t="s">
        <v>30</v>
      </c>
      <c r="E7" s="4" t="s">
        <v>130</v>
      </c>
      <c r="G7" s="154" t="s">
        <v>131</v>
      </c>
      <c r="H7" s="154"/>
      <c r="I7" s="154" t="s">
        <v>132</v>
      </c>
      <c r="J7" s="154"/>
      <c r="K7" s="154" t="s">
        <v>133</v>
      </c>
      <c r="L7" s="35"/>
    </row>
    <row r="8" spans="1:11" ht="12.75">
      <c r="A8" s="4"/>
      <c r="B8" s="4"/>
      <c r="C8" s="4" t="s">
        <v>84</v>
      </c>
      <c r="D8" s="4"/>
      <c r="E8" s="4" t="s">
        <v>85</v>
      </c>
      <c r="F8" s="4"/>
      <c r="G8" s="154" t="s">
        <v>86</v>
      </c>
      <c r="H8" s="154"/>
      <c r="I8" s="154" t="s">
        <v>87</v>
      </c>
      <c r="J8" s="154"/>
      <c r="K8" s="154" t="s">
        <v>88</v>
      </c>
    </row>
    <row r="10" ht="12.75">
      <c r="C10" s="206" t="s">
        <v>134</v>
      </c>
    </row>
    <row r="11" spans="1:5" ht="12.75">
      <c r="A11" s="1"/>
      <c r="C11" t="s">
        <v>135</v>
      </c>
      <c r="E11" s="207"/>
    </row>
    <row r="12" spans="1:5" ht="12.75">
      <c r="A12" s="1"/>
      <c r="E12" s="207"/>
    </row>
    <row r="13" spans="1:11" ht="12.75">
      <c r="A13" s="1">
        <v>1</v>
      </c>
      <c r="C13" t="s">
        <v>22</v>
      </c>
      <c r="E13" s="207"/>
      <c r="G13" s="208">
        <f>'[2]Inputs'!E8*12</f>
        <v>6623</v>
      </c>
      <c r="I13" s="209">
        <v>8</v>
      </c>
      <c r="K13" s="210">
        <f>I13*G13</f>
        <v>52984</v>
      </c>
    </row>
    <row r="14" spans="1:11" ht="12.75">
      <c r="A14" s="1">
        <f>A13+1</f>
        <v>2</v>
      </c>
      <c r="C14" t="s">
        <v>23</v>
      </c>
      <c r="E14" s="207"/>
      <c r="G14" s="208">
        <f>'[2]Inputs'!G8</f>
        <v>93946.9</v>
      </c>
      <c r="I14" s="211">
        <v>0.42737</v>
      </c>
      <c r="K14" s="208">
        <f>I14*G14</f>
        <v>40150.086653</v>
      </c>
    </row>
    <row r="15" ht="12.75">
      <c r="E15" s="207"/>
    </row>
    <row r="16" spans="1:11" ht="12.75">
      <c r="A16" s="1">
        <f>A14+1</f>
        <v>3</v>
      </c>
      <c r="C16" t="s">
        <v>29</v>
      </c>
      <c r="E16" s="207"/>
      <c r="G16" s="212">
        <f>G14</f>
        <v>93946.9</v>
      </c>
      <c r="K16" s="213">
        <f>SUM(K14,K13)</f>
        <v>93134.086653</v>
      </c>
    </row>
    <row r="17" ht="12.75">
      <c r="E17" s="207"/>
    </row>
    <row r="18" spans="1:11" ht="12.75">
      <c r="A18" s="1">
        <f>A16+1</f>
        <v>4</v>
      </c>
      <c r="C18" t="s">
        <v>136</v>
      </c>
      <c r="E18" s="207"/>
      <c r="K18" s="208">
        <f>'[2]Revenue Spread'!K12</f>
        <v>93133.9517</v>
      </c>
    </row>
    <row r="19" spans="1:11" ht="12.75">
      <c r="A19" s="1">
        <f>A18+1</f>
        <v>5</v>
      </c>
      <c r="C19" t="s">
        <v>137</v>
      </c>
      <c r="E19" s="207"/>
      <c r="K19" s="214">
        <f>K16-K18</f>
        <v>0.134953000000678</v>
      </c>
    </row>
    <row r="20" ht="12.75">
      <c r="E20" s="207"/>
    </row>
    <row r="21" spans="3:5" ht="12.75">
      <c r="C21" s="206" t="s">
        <v>138</v>
      </c>
      <c r="E21" s="207"/>
    </row>
    <row r="22" spans="1:5" ht="12.75">
      <c r="A22" s="1"/>
      <c r="C22" t="s">
        <v>139</v>
      </c>
      <c r="E22" s="207"/>
    </row>
    <row r="23" spans="1:5" ht="12.75">
      <c r="A23" s="1"/>
      <c r="E23" s="207"/>
    </row>
    <row r="24" spans="1:11" ht="12.75">
      <c r="A24" s="1">
        <f>A19+1</f>
        <v>6</v>
      </c>
      <c r="C24" t="s">
        <v>22</v>
      </c>
      <c r="E24" s="207"/>
      <c r="G24" s="208">
        <f>'[2]Inputs'!E9*12</f>
        <v>687982</v>
      </c>
      <c r="I24" s="209">
        <v>12</v>
      </c>
      <c r="K24" s="210">
        <f>I24*G24</f>
        <v>8255784</v>
      </c>
    </row>
    <row r="25" spans="1:11" ht="12.75">
      <c r="A25" s="1">
        <f>A24+1</f>
        <v>7</v>
      </c>
      <c r="C25" t="s">
        <v>23</v>
      </c>
      <c r="E25" s="207"/>
      <c r="G25" s="208">
        <f>'[2]Inputs'!G9</f>
        <v>41267629.2</v>
      </c>
      <c r="I25" s="211">
        <v>0.3611935094395974</v>
      </c>
      <c r="K25" s="208">
        <f>I25*G25</f>
        <v>14905599.817000005</v>
      </c>
    </row>
    <row r="26" ht="12.75">
      <c r="E26" s="207"/>
    </row>
    <row r="27" spans="1:11" ht="12.75">
      <c r="A27" s="1">
        <f>A25+1</f>
        <v>8</v>
      </c>
      <c r="C27" t="s">
        <v>29</v>
      </c>
      <c r="E27" s="207"/>
      <c r="G27" s="212">
        <f>G25</f>
        <v>41267629.2</v>
      </c>
      <c r="K27" s="213">
        <f>SUM(K25,K24)</f>
        <v>23161383.817000005</v>
      </c>
    </row>
    <row r="28" ht="12.75">
      <c r="E28" s="207"/>
    </row>
    <row r="29" spans="1:11" ht="12.75">
      <c r="A29" s="1">
        <f>A27+1</f>
        <v>9</v>
      </c>
      <c r="C29" t="s">
        <v>136</v>
      </c>
      <c r="E29" s="207"/>
      <c r="K29" s="208">
        <f>'[2]Revenue Spread'!K13</f>
        <v>23161383.817</v>
      </c>
    </row>
    <row r="30" spans="1:11" ht="12.75">
      <c r="A30" s="1">
        <f>A29+1</f>
        <v>10</v>
      </c>
      <c r="C30" t="s">
        <v>137</v>
      </c>
      <c r="E30" s="207"/>
      <c r="K30" s="214">
        <f>K27-K29</f>
        <v>0</v>
      </c>
    </row>
    <row r="31" ht="12.75">
      <c r="E31" s="207"/>
    </row>
    <row r="32" spans="3:5" ht="12.75">
      <c r="C32" s="206" t="s">
        <v>140</v>
      </c>
      <c r="E32" s="207"/>
    </row>
    <row r="33" spans="1:5" ht="12.75">
      <c r="A33" s="1"/>
      <c r="C33" t="s">
        <v>141</v>
      </c>
      <c r="E33" s="207"/>
    </row>
    <row r="34" spans="1:5" ht="12.75">
      <c r="A34" s="1"/>
      <c r="E34" s="207"/>
    </row>
    <row r="35" spans="1:11" ht="12.75">
      <c r="A35" s="1">
        <f>A30+1</f>
        <v>11</v>
      </c>
      <c r="C35" t="s">
        <v>22</v>
      </c>
      <c r="E35" s="207"/>
      <c r="G35" s="208">
        <f>'[2]Inputs'!E10*12</f>
        <v>59201</v>
      </c>
      <c r="I35" s="209">
        <v>21</v>
      </c>
      <c r="K35" s="210">
        <f>I35*G35</f>
        <v>1243221</v>
      </c>
    </row>
    <row r="36" spans="1:11" ht="12.75">
      <c r="A36" s="1">
        <f>A35+1</f>
        <v>12</v>
      </c>
      <c r="C36" t="s">
        <v>23</v>
      </c>
      <c r="E36" s="207"/>
      <c r="G36" s="208">
        <f>'[2]Inputs'!G10</f>
        <v>16020807.29248843</v>
      </c>
      <c r="I36" s="211">
        <v>0.408203</v>
      </c>
      <c r="K36" s="208">
        <f>I36*G36</f>
        <v>6539741.599215654</v>
      </c>
    </row>
    <row r="37" ht="12.75">
      <c r="E37" s="207"/>
    </row>
    <row r="38" spans="1:11" ht="12.75">
      <c r="A38" s="1">
        <f>A36+1</f>
        <v>13</v>
      </c>
      <c r="C38" t="s">
        <v>29</v>
      </c>
      <c r="E38" s="207"/>
      <c r="G38" s="212">
        <f>G36</f>
        <v>16020807.29248843</v>
      </c>
      <c r="K38" s="213">
        <f>SUM(K36,K35)</f>
        <v>7782962.599215654</v>
      </c>
    </row>
    <row r="39" ht="12.75">
      <c r="E39" s="207"/>
    </row>
    <row r="40" spans="1:11" ht="12.75">
      <c r="A40" s="1">
        <f>A38+1</f>
        <v>14</v>
      </c>
      <c r="C40" t="s">
        <v>136</v>
      </c>
      <c r="E40" s="207"/>
      <c r="K40" s="208">
        <f>'[2]Revenue Spread'!K14</f>
        <v>7782888.5792</v>
      </c>
    </row>
    <row r="41" spans="1:11" ht="12.75">
      <c r="A41" s="1">
        <f>A40+1</f>
        <v>15</v>
      </c>
      <c r="C41" t="s">
        <v>137</v>
      </c>
      <c r="E41" s="207"/>
      <c r="K41" s="214">
        <f>K38-K40</f>
        <v>74.02001565415412</v>
      </c>
    </row>
    <row r="42" ht="12.75">
      <c r="E42" s="207"/>
    </row>
    <row r="43" spans="3:5" ht="12.75" hidden="1">
      <c r="C43" s="206" t="s">
        <v>142</v>
      </c>
      <c r="E43" s="207"/>
    </row>
    <row r="44" spans="3:5" ht="12.75" hidden="1">
      <c r="C44" t="s">
        <v>143</v>
      </c>
      <c r="E44" s="207"/>
    </row>
    <row r="45" ht="12.75" hidden="1">
      <c r="E45" s="207"/>
    </row>
    <row r="46" spans="3:11" ht="12.75" hidden="1">
      <c r="C46" t="s">
        <v>22</v>
      </c>
      <c r="E46" s="207"/>
      <c r="G46" s="208">
        <f>'[2]Inputs'!E11*12</f>
        <v>0</v>
      </c>
      <c r="I46" s="209">
        <v>275</v>
      </c>
      <c r="K46" s="210">
        <f>I46*G46</f>
        <v>0</v>
      </c>
    </row>
    <row r="47" spans="5:11" ht="12.75" hidden="1">
      <c r="E47" s="207"/>
      <c r="G47" s="208"/>
      <c r="I47" s="209"/>
      <c r="K47" s="210"/>
    </row>
    <row r="48" spans="3:11" ht="12.75" hidden="1">
      <c r="C48" t="s">
        <v>23</v>
      </c>
      <c r="E48" s="207"/>
      <c r="G48" s="208"/>
      <c r="I48" s="209"/>
      <c r="K48" s="210"/>
    </row>
    <row r="49" spans="3:11" ht="12.75" hidden="1">
      <c r="C49" t="s">
        <v>144</v>
      </c>
      <c r="E49" s="207">
        <v>500</v>
      </c>
      <c r="G49" s="208">
        <f>'[2]Inputs'!H11</f>
        <v>0</v>
      </c>
      <c r="I49" s="211">
        <v>0.2911479468772115</v>
      </c>
      <c r="K49" s="208">
        <f>I49*G49</f>
        <v>0</v>
      </c>
    </row>
    <row r="50" spans="3:11" ht="12.75" hidden="1">
      <c r="C50" t="s">
        <v>145</v>
      </c>
      <c r="E50" s="207">
        <v>2000</v>
      </c>
      <c r="G50" s="208">
        <f>'[2]Inputs'!I11</f>
        <v>0</v>
      </c>
      <c r="I50" s="211">
        <v>0.27</v>
      </c>
      <c r="K50" s="208">
        <f>I50*G50</f>
        <v>0</v>
      </c>
    </row>
    <row r="51" spans="3:11" ht="12.75" hidden="1">
      <c r="C51" t="s">
        <v>146</v>
      </c>
      <c r="E51" s="207">
        <v>100000</v>
      </c>
      <c r="G51" s="208">
        <f>'[2]Inputs'!J11</f>
        <v>0</v>
      </c>
      <c r="I51" s="211">
        <v>0.24</v>
      </c>
      <c r="K51" s="208">
        <f>I51*G51</f>
        <v>0</v>
      </c>
    </row>
    <row r="52" spans="3:11" ht="12.75" hidden="1">
      <c r="C52" t="s">
        <v>147</v>
      </c>
      <c r="E52" s="207"/>
      <c r="G52" s="208">
        <f>'[2]Inputs'!K11</f>
        <v>0</v>
      </c>
      <c r="I52" s="211">
        <v>0.21</v>
      </c>
      <c r="K52" s="208">
        <f>I52*G52</f>
        <v>0</v>
      </c>
    </row>
    <row r="53" ht="12.75" hidden="1">
      <c r="E53" s="207"/>
    </row>
    <row r="54" spans="3:11" ht="12.75" hidden="1">
      <c r="C54" t="s">
        <v>29</v>
      </c>
      <c r="E54" s="207"/>
      <c r="G54" s="212">
        <f>SUM(G49:G52)</f>
        <v>0</v>
      </c>
      <c r="K54" s="213">
        <f>SUM(K46:K52)</f>
        <v>0</v>
      </c>
    </row>
    <row r="55" ht="12.75" hidden="1">
      <c r="E55" s="207"/>
    </row>
    <row r="56" spans="3:11" ht="12.75" hidden="1">
      <c r="C56" t="s">
        <v>136</v>
      </c>
      <c r="E56" s="207"/>
      <c r="K56" s="208">
        <f>'[2]Revenue Spread'!K16</f>
        <v>0</v>
      </c>
    </row>
    <row r="57" spans="3:11" ht="12.75" hidden="1">
      <c r="C57" t="s">
        <v>137</v>
      </c>
      <c r="E57" s="207"/>
      <c r="K57" s="214">
        <f>K54-K56</f>
        <v>0</v>
      </c>
    </row>
    <row r="58" spans="5:7" ht="12.75" hidden="1">
      <c r="E58" s="207"/>
      <c r="G58"/>
    </row>
    <row r="59" spans="3:5" ht="12.75">
      <c r="C59" s="206" t="s">
        <v>148</v>
      </c>
      <c r="E59" s="207"/>
    </row>
    <row r="60" spans="1:5" ht="12.75">
      <c r="A60" s="1"/>
      <c r="C60" t="s">
        <v>149</v>
      </c>
      <c r="E60" s="207"/>
    </row>
    <row r="61" spans="1:5" ht="12.75">
      <c r="A61" s="1"/>
      <c r="E61" s="207"/>
    </row>
    <row r="62" spans="1:11" ht="12.75">
      <c r="A62" s="1">
        <f>A41+1</f>
        <v>16</v>
      </c>
      <c r="C62" t="s">
        <v>22</v>
      </c>
      <c r="E62" s="207"/>
      <c r="G62" s="208">
        <f>'[2]Inputs'!E12*12</f>
        <v>14948</v>
      </c>
      <c r="I62" s="209">
        <v>8</v>
      </c>
      <c r="K62" s="210">
        <f>I62*G62</f>
        <v>119584</v>
      </c>
    </row>
    <row r="63" spans="1:11" ht="12.75">
      <c r="A63" s="1">
        <f>A62+1</f>
        <v>17</v>
      </c>
      <c r="C63" t="s">
        <v>23</v>
      </c>
      <c r="E63" s="207"/>
      <c r="G63" s="208">
        <f>'[2]Inputs'!G12</f>
        <v>948267.1</v>
      </c>
      <c r="I63" s="211">
        <v>0.24876</v>
      </c>
      <c r="K63" s="208">
        <f>I63*G63</f>
        <v>235890.923796</v>
      </c>
    </row>
    <row r="64" ht="12.75">
      <c r="E64" s="207"/>
    </row>
    <row r="65" spans="1:11" ht="12.75">
      <c r="A65" s="1">
        <f>A63+1</f>
        <v>18</v>
      </c>
      <c r="C65" t="s">
        <v>29</v>
      </c>
      <c r="E65" s="207"/>
      <c r="G65" s="212">
        <f>G63</f>
        <v>948267.1</v>
      </c>
      <c r="K65" s="213">
        <f>SUM(K63,K62)</f>
        <v>355474.92379599996</v>
      </c>
    </row>
    <row r="66" ht="12.75">
      <c r="E66" s="207"/>
    </row>
    <row r="67" spans="1:11" ht="12.75">
      <c r="A67" s="1">
        <f>A65+1</f>
        <v>19</v>
      </c>
      <c r="C67" t="s">
        <v>136</v>
      </c>
      <c r="E67" s="207"/>
      <c r="K67" s="208">
        <f>'[2]Revenue Spread'!K17</f>
        <v>355472.35996000003</v>
      </c>
    </row>
    <row r="68" spans="1:11" ht="12.75">
      <c r="A68" s="1">
        <f>A67+1</f>
        <v>20</v>
      </c>
      <c r="C68" t="s">
        <v>137</v>
      </c>
      <c r="E68" s="207"/>
      <c r="K68" s="214">
        <f>K65-K67</f>
        <v>2.563835999928415</v>
      </c>
    </row>
    <row r="69" ht="12.75">
      <c r="E69" s="207"/>
    </row>
    <row r="70" spans="3:5" ht="12.75">
      <c r="C70" s="206" t="s">
        <v>150</v>
      </c>
      <c r="E70" s="207"/>
    </row>
    <row r="71" spans="1:5" ht="12.75">
      <c r="A71" s="1"/>
      <c r="C71" t="s">
        <v>151</v>
      </c>
      <c r="E71" s="207"/>
    </row>
    <row r="72" spans="1:5" ht="12.75">
      <c r="A72" s="1"/>
      <c r="E72" s="207"/>
    </row>
    <row r="73" spans="1:11" ht="12.75">
      <c r="A73" s="1">
        <f>A68+1</f>
        <v>21</v>
      </c>
      <c r="C73" t="s">
        <v>22</v>
      </c>
      <c r="E73" s="207"/>
      <c r="G73" s="208">
        <f>'[2]Inputs'!E13*12</f>
        <v>1105</v>
      </c>
      <c r="I73" s="209">
        <v>275</v>
      </c>
      <c r="K73" s="210">
        <f>I73*G73</f>
        <v>303875</v>
      </c>
    </row>
    <row r="74" spans="1:11" ht="12.75">
      <c r="A74" s="1">
        <f>A73+1</f>
        <v>22</v>
      </c>
      <c r="C74" t="s">
        <v>31</v>
      </c>
      <c r="E74" s="207"/>
      <c r="G74" s="208">
        <f>'[2]Inputs'!E18*12</f>
        <v>0</v>
      </c>
      <c r="I74" s="209">
        <v>250</v>
      </c>
      <c r="K74" s="210">
        <f>I74*G74</f>
        <v>0</v>
      </c>
    </row>
    <row r="75" spans="5:11" ht="12.75">
      <c r="E75" s="207"/>
      <c r="G75" s="208"/>
      <c r="I75" s="209"/>
      <c r="K75" s="210"/>
    </row>
    <row r="76" spans="1:11" ht="12.75">
      <c r="A76" s="1"/>
      <c r="C76" t="s">
        <v>23</v>
      </c>
      <c r="E76" s="207"/>
      <c r="G76" s="208"/>
      <c r="I76" s="209"/>
      <c r="K76" s="210"/>
    </row>
    <row r="77" spans="1:12" ht="12.75">
      <c r="A77" s="1">
        <f>A74+1</f>
        <v>23</v>
      </c>
      <c r="C77" t="s">
        <v>152</v>
      </c>
      <c r="E77" s="207">
        <v>2000</v>
      </c>
      <c r="G77" s="208">
        <f>'[2]Inputs'!H13+'[2]Inputs'!H18</f>
        <v>1860556.20767513</v>
      </c>
      <c r="I77" s="211">
        <v>0.3033793973623946</v>
      </c>
      <c r="K77" s="208">
        <f>I77*G77</f>
        <v>564454.4210433433</v>
      </c>
      <c r="L77" s="236"/>
    </row>
    <row r="78" spans="1:12" ht="12.75">
      <c r="A78" s="1">
        <f>A77+1</f>
        <v>24</v>
      </c>
      <c r="C78" t="s">
        <v>153</v>
      </c>
      <c r="E78" s="207"/>
      <c r="G78" s="208">
        <f>'[2]Inputs'!I13+'[2]Inputs'!I18</f>
        <v>1964662.99983644</v>
      </c>
      <c r="I78" s="211">
        <v>0.265</v>
      </c>
      <c r="K78" s="208">
        <f>I78*G78</f>
        <v>520635.6949566566</v>
      </c>
      <c r="L78" s="236"/>
    </row>
    <row r="79" spans="5:9" ht="12.75">
      <c r="E79" s="207"/>
      <c r="I79" s="211"/>
    </row>
    <row r="80" spans="1:11" ht="12.75">
      <c r="A80" s="1">
        <f>A78+1</f>
        <v>25</v>
      </c>
      <c r="C80" t="s">
        <v>29</v>
      </c>
      <c r="E80" s="207"/>
      <c r="G80" s="212">
        <f>SUM(G77:G78)</f>
        <v>3825219.2075115703</v>
      </c>
      <c r="K80" s="213">
        <f>SUM(K73:K78)</f>
        <v>1388965.116</v>
      </c>
    </row>
    <row r="81" ht="12.75">
      <c r="E81" s="207"/>
    </row>
    <row r="82" spans="1:11" ht="12.75">
      <c r="A82" s="1">
        <f>A80+1</f>
        <v>26</v>
      </c>
      <c r="C82" t="s">
        <v>136</v>
      </c>
      <c r="E82" s="207"/>
      <c r="K82" s="208">
        <f>'[2]Revenue Spread'!K18</f>
        <v>1388965.116</v>
      </c>
    </row>
    <row r="83" spans="1:11" ht="12.75">
      <c r="A83" s="1">
        <f>A82+1</f>
        <v>27</v>
      </c>
      <c r="C83" t="s">
        <v>137</v>
      </c>
      <c r="E83" s="207"/>
      <c r="K83" s="214">
        <f>K80-K82</f>
        <v>0</v>
      </c>
    </row>
    <row r="84" spans="1:11" ht="12.75">
      <c r="A84" s="1"/>
      <c r="E84" s="207"/>
      <c r="K84" s="227"/>
    </row>
    <row r="85" ht="12.75">
      <c r="C85" s="206" t="s">
        <v>161</v>
      </c>
    </row>
    <row r="86" spans="1:3" ht="12.75">
      <c r="A86" s="1"/>
      <c r="C86" t="s">
        <v>162</v>
      </c>
    </row>
    <row r="87" ht="12.75">
      <c r="A87" s="1"/>
    </row>
    <row r="88" spans="1:11" ht="12.75">
      <c r="A88" s="1">
        <f>A83+1</f>
        <v>28</v>
      </c>
      <c r="C88" t="s">
        <v>22</v>
      </c>
      <c r="G88" s="215">
        <v>26</v>
      </c>
      <c r="I88" s="209">
        <v>21.56</v>
      </c>
      <c r="K88" s="210">
        <f>I88*G88</f>
        <v>560.56</v>
      </c>
    </row>
    <row r="90" spans="1:3" ht="12.75">
      <c r="A90" s="1"/>
      <c r="C90" t="s">
        <v>23</v>
      </c>
    </row>
    <row r="91" spans="1:11" ht="12.75">
      <c r="A91" s="1">
        <f>A88+1</f>
        <v>29</v>
      </c>
      <c r="C91" t="s">
        <v>163</v>
      </c>
      <c r="G91" s="215">
        <v>212.5</v>
      </c>
      <c r="I91" s="211">
        <v>6.7</v>
      </c>
      <c r="K91" s="208">
        <f>I91*G91</f>
        <v>1423.75</v>
      </c>
    </row>
    <row r="92" spans="1:11" ht="12.75">
      <c r="A92" s="1">
        <f>A91+1</f>
        <v>30</v>
      </c>
      <c r="C92" t="s">
        <v>164</v>
      </c>
      <c r="G92" s="215">
        <v>0</v>
      </c>
      <c r="I92" s="211">
        <v>5.71</v>
      </c>
      <c r="K92" s="208">
        <f>I92*G92</f>
        <v>0</v>
      </c>
    </row>
    <row r="94" spans="1:11" ht="12.75">
      <c r="A94" s="1">
        <f>A92+1</f>
        <v>31</v>
      </c>
      <c r="C94" t="s">
        <v>29</v>
      </c>
      <c r="G94" s="212">
        <f>SUM(G91:G92)</f>
        <v>212.5</v>
      </c>
      <c r="K94" s="213">
        <f>SUM(K88:K92)</f>
        <v>1984.31</v>
      </c>
    </row>
    <row r="96" spans="1:11" ht="12.75">
      <c r="A96" s="1">
        <f>A94+1</f>
        <v>32</v>
      </c>
      <c r="C96" t="s">
        <v>136</v>
      </c>
      <c r="K96" s="208">
        <f>'[2]Revenue Spread'!K15</f>
        <v>1984.644</v>
      </c>
    </row>
    <row r="97" spans="1:11" ht="12.75">
      <c r="A97" s="1">
        <f>A96+1</f>
        <v>33</v>
      </c>
      <c r="C97" t="s">
        <v>137</v>
      </c>
      <c r="K97" s="214">
        <f>K94-K96</f>
        <v>-0.33400000000006</v>
      </c>
    </row>
    <row r="99" spans="3:11" ht="12.75">
      <c r="C99" s="231" t="s">
        <v>154</v>
      </c>
      <c r="D99" s="53"/>
      <c r="E99" s="218"/>
      <c r="F99" s="53"/>
      <c r="G99" s="153"/>
      <c r="H99" s="153"/>
      <c r="I99" s="153"/>
      <c r="J99" s="153"/>
      <c r="K99" s="153"/>
    </row>
    <row r="100" spans="3:5" ht="12.75">
      <c r="C100" s="206" t="s">
        <v>171</v>
      </c>
      <c r="E100" s="207"/>
    </row>
    <row r="101" spans="1:5" ht="12.75">
      <c r="A101" s="1"/>
      <c r="C101" t="s">
        <v>172</v>
      </c>
      <c r="E101" s="207"/>
    </row>
    <row r="102" spans="1:5" ht="12.75">
      <c r="A102" s="1"/>
      <c r="E102" s="207"/>
    </row>
    <row r="103" spans="1:11" ht="12.75">
      <c r="A103" s="1">
        <f>A83+1</f>
        <v>28</v>
      </c>
      <c r="C103" t="s">
        <v>22</v>
      </c>
      <c r="E103" s="207"/>
      <c r="G103" s="208">
        <f>'[2]Inputs'!E14*12</f>
        <v>324</v>
      </c>
      <c r="I103" s="209">
        <v>1300</v>
      </c>
      <c r="K103" s="210">
        <f>I103*G103</f>
        <v>421200</v>
      </c>
    </row>
    <row r="104" spans="1:12" ht="12.75">
      <c r="A104" s="1">
        <f>A103+1</f>
        <v>29</v>
      </c>
      <c r="C104" t="s">
        <v>173</v>
      </c>
      <c r="E104" s="207"/>
      <c r="G104" s="208">
        <f>'[2]Inputs'!F14*12</f>
        <v>167987.7222575561</v>
      </c>
      <c r="I104" s="211">
        <v>0.32</v>
      </c>
      <c r="K104" s="210">
        <f>I104*G104</f>
        <v>53756.071122417954</v>
      </c>
      <c r="L104" s="237"/>
    </row>
    <row r="105" spans="1:12" ht="12.75">
      <c r="A105" s="1">
        <f>A104+1</f>
        <v>30</v>
      </c>
      <c r="C105" t="s">
        <v>174</v>
      </c>
      <c r="E105" s="207"/>
      <c r="G105" s="208">
        <f>'[2]Inputs'!F14*12</f>
        <v>167987.7222575561</v>
      </c>
      <c r="I105" s="211">
        <v>0.353</v>
      </c>
      <c r="K105" s="210">
        <f>I105*G105</f>
        <v>59299.6659569173</v>
      </c>
      <c r="L105" s="237"/>
    </row>
    <row r="106" spans="1:11" ht="12.75">
      <c r="A106" s="1"/>
      <c r="E106" s="207"/>
      <c r="G106" s="208"/>
      <c r="I106" s="209"/>
      <c r="K106" s="210"/>
    </row>
    <row r="107" spans="1:11" ht="12.75">
      <c r="A107" s="1"/>
      <c r="C107" t="s">
        <v>23</v>
      </c>
      <c r="E107" s="207"/>
      <c r="G107" s="208"/>
      <c r="I107" s="209"/>
      <c r="K107" s="210"/>
    </row>
    <row r="108" spans="1:12" ht="12.75">
      <c r="A108" s="1">
        <f>A105+1</f>
        <v>31</v>
      </c>
      <c r="C108" t="s">
        <v>155</v>
      </c>
      <c r="E108" s="207">
        <v>10000</v>
      </c>
      <c r="G108" s="208">
        <f>'[2]Inputs'!H$14</f>
        <v>2188946.6</v>
      </c>
      <c r="I108" s="230">
        <v>0.1116</v>
      </c>
      <c r="K108" s="208">
        <f aca="true" t="shared" si="0" ref="K108:K113">I108*G108</f>
        <v>244286.44056000002</v>
      </c>
      <c r="L108" s="236"/>
    </row>
    <row r="109" spans="1:12" ht="12.75">
      <c r="A109" s="1">
        <f>A108+1</f>
        <v>32</v>
      </c>
      <c r="C109" t="s">
        <v>156</v>
      </c>
      <c r="E109" s="207">
        <v>30000</v>
      </c>
      <c r="G109" s="208">
        <f>'[2]Inputs'!I$14</f>
        <v>1222580.4</v>
      </c>
      <c r="I109" s="230">
        <v>0.095</v>
      </c>
      <c r="K109" s="208">
        <f t="shared" si="0"/>
        <v>116145.13799999999</v>
      </c>
      <c r="L109" s="236"/>
    </row>
    <row r="110" spans="1:12" ht="12.75">
      <c r="A110" s="1">
        <f>A109+1</f>
        <v>33</v>
      </c>
      <c r="C110" t="s">
        <v>157</v>
      </c>
      <c r="E110" s="207">
        <v>50000</v>
      </c>
      <c r="G110" s="208">
        <f>'[2]Inputs'!J$14</f>
        <v>235373</v>
      </c>
      <c r="I110" s="230">
        <v>0.08</v>
      </c>
      <c r="K110" s="208">
        <f t="shared" si="0"/>
        <v>18829.84</v>
      </c>
      <c r="L110" s="236"/>
    </row>
    <row r="111" spans="1:12" ht="12.75">
      <c r="A111" s="1">
        <f>A110+1</f>
        <v>34</v>
      </c>
      <c r="C111" t="s">
        <v>158</v>
      </c>
      <c r="E111" s="207">
        <v>150000</v>
      </c>
      <c r="G111" s="208">
        <f>'[2]Inputs'!K$14</f>
        <v>45327.7</v>
      </c>
      <c r="I111" s="230">
        <v>0.065</v>
      </c>
      <c r="K111" s="208">
        <f t="shared" si="0"/>
        <v>2946.3005</v>
      </c>
      <c r="L111" s="236"/>
    </row>
    <row r="112" spans="1:12" ht="12.75">
      <c r="A112" s="1">
        <f>A111+1</f>
        <v>35</v>
      </c>
      <c r="C112" t="s">
        <v>159</v>
      </c>
      <c r="E112" s="207">
        <v>750000</v>
      </c>
      <c r="G112" s="208">
        <f>'[2]Inputs'!L$14</f>
        <v>0</v>
      </c>
      <c r="I112" s="230">
        <v>0.05</v>
      </c>
      <c r="K112" s="208">
        <f t="shared" si="0"/>
        <v>0</v>
      </c>
      <c r="L112" s="236"/>
    </row>
    <row r="113" spans="1:12" ht="12.75">
      <c r="A113" s="1">
        <f>A112+1</f>
        <v>36</v>
      </c>
      <c r="C113" t="s">
        <v>160</v>
      </c>
      <c r="E113" s="207"/>
      <c r="G113" s="208">
        <f>'[2]Inputs'!M$14</f>
        <v>0</v>
      </c>
      <c r="I113" s="230">
        <v>0.01498</v>
      </c>
      <c r="K113" s="208">
        <f t="shared" si="0"/>
        <v>0</v>
      </c>
      <c r="L113" s="236"/>
    </row>
    <row r="114" ht="12.75">
      <c r="E114" s="207"/>
    </row>
    <row r="115" spans="1:11" ht="12.75">
      <c r="A115" s="1">
        <f>A113+1</f>
        <v>37</v>
      </c>
      <c r="C115" t="s">
        <v>29</v>
      </c>
      <c r="E115" s="207"/>
      <c r="G115" s="212">
        <f>SUM(G108:G113)</f>
        <v>3692227.7</v>
      </c>
      <c r="K115" s="213">
        <f>SUM(K103:K113)</f>
        <v>916463.4561393353</v>
      </c>
    </row>
    <row r="116" ht="12.75">
      <c r="E116" s="207"/>
    </row>
    <row r="117" spans="3:5" ht="12.75">
      <c r="C117" s="206" t="s">
        <v>175</v>
      </c>
      <c r="E117" s="207"/>
    </row>
    <row r="118" spans="1:5" ht="12.75">
      <c r="A118" s="1"/>
      <c r="C118" t="s">
        <v>176</v>
      </c>
      <c r="E118" s="207"/>
    </row>
    <row r="119" spans="1:5" ht="12.75">
      <c r="A119" s="1"/>
      <c r="E119" s="207"/>
    </row>
    <row r="120" spans="1:11" ht="12.75">
      <c r="A120" s="1">
        <f>A115+1</f>
        <v>38</v>
      </c>
      <c r="C120" t="s">
        <v>22</v>
      </c>
      <c r="E120" s="207"/>
      <c r="G120" s="208">
        <f>'[2]Inputs'!E15*12</f>
        <v>165</v>
      </c>
      <c r="I120" s="232">
        <f>I$103</f>
        <v>1300</v>
      </c>
      <c r="K120" s="210">
        <f>I120*G120</f>
        <v>214500</v>
      </c>
    </row>
    <row r="121" spans="1:11" ht="12.75">
      <c r="A121" s="1">
        <f>A120+1</f>
        <v>39</v>
      </c>
      <c r="C121" t="s">
        <v>174</v>
      </c>
      <c r="E121" s="207"/>
      <c r="G121" s="208">
        <f>'[2]Inputs'!F15*12</f>
        <v>481007.44514106575</v>
      </c>
      <c r="I121" s="233">
        <f>I105*0.5</f>
        <v>0.1765</v>
      </c>
      <c r="K121" s="210">
        <f>I121*G121</f>
        <v>84897.8140673981</v>
      </c>
    </row>
    <row r="122" spans="1:11" ht="12.75">
      <c r="A122" s="1"/>
      <c r="E122" s="207"/>
      <c r="G122" s="208"/>
      <c r="I122" s="209"/>
      <c r="K122" s="210"/>
    </row>
    <row r="123" spans="1:11" ht="12.75">
      <c r="A123" s="1"/>
      <c r="C123" t="s">
        <v>23</v>
      </c>
      <c r="E123" s="207"/>
      <c r="G123" s="208"/>
      <c r="I123" s="209"/>
      <c r="K123" s="210"/>
    </row>
    <row r="124" spans="1:11" ht="12.75">
      <c r="A124" s="1">
        <f>A121+1</f>
        <v>40</v>
      </c>
      <c r="C124" t="s">
        <v>155</v>
      </c>
      <c r="E124" s="207">
        <v>10000</v>
      </c>
      <c r="G124" s="208">
        <f>'[2]Inputs'!H$15</f>
        <v>1427718.7</v>
      </c>
      <c r="I124" s="233">
        <f>I$108</f>
        <v>0.1116</v>
      </c>
      <c r="K124" s="208">
        <f aca="true" t="shared" si="1" ref="K124:K129">I124*G124</f>
        <v>159333.40692</v>
      </c>
    </row>
    <row r="125" spans="1:11" ht="12.75">
      <c r="A125" s="1">
        <f>A124+1</f>
        <v>41</v>
      </c>
      <c r="C125" t="s">
        <v>156</v>
      </c>
      <c r="E125" s="207">
        <v>30000</v>
      </c>
      <c r="G125" s="208">
        <f>'[2]Inputs'!I$15</f>
        <v>2478002.9</v>
      </c>
      <c r="I125" s="233">
        <f>I$109</f>
        <v>0.095</v>
      </c>
      <c r="K125" s="208">
        <f t="shared" si="1"/>
        <v>235410.2755</v>
      </c>
    </row>
    <row r="126" spans="1:11" ht="12.75">
      <c r="A126" s="1">
        <f>A125+1</f>
        <v>42</v>
      </c>
      <c r="C126" t="s">
        <v>157</v>
      </c>
      <c r="E126" s="207">
        <v>50000</v>
      </c>
      <c r="G126" s="208">
        <f>'[2]Inputs'!J$15</f>
        <v>1107865.8</v>
      </c>
      <c r="I126" s="233">
        <f>I$110</f>
        <v>0.08</v>
      </c>
      <c r="K126" s="208">
        <f t="shared" si="1"/>
        <v>88629.26400000001</v>
      </c>
    </row>
    <row r="127" spans="1:11" ht="12.75">
      <c r="A127" s="1">
        <f>A126+1</f>
        <v>43</v>
      </c>
      <c r="C127" t="s">
        <v>158</v>
      </c>
      <c r="E127" s="207">
        <v>150000</v>
      </c>
      <c r="G127" s="208">
        <f>'[2]Inputs'!K$15</f>
        <v>1256007.4</v>
      </c>
      <c r="I127" s="233">
        <f>I$111</f>
        <v>0.065</v>
      </c>
      <c r="K127" s="208">
        <f t="shared" si="1"/>
        <v>81640.481</v>
      </c>
    </row>
    <row r="128" spans="1:11" ht="12.75">
      <c r="A128" s="1">
        <f>A127+1</f>
        <v>44</v>
      </c>
      <c r="C128" t="s">
        <v>159</v>
      </c>
      <c r="E128" s="207">
        <v>750000</v>
      </c>
      <c r="G128" s="208">
        <f>'[2]Inputs'!L$15</f>
        <v>15795.3</v>
      </c>
      <c r="I128" s="233">
        <f>I$112</f>
        <v>0.05</v>
      </c>
      <c r="K128" s="208">
        <f t="shared" si="1"/>
        <v>789.765</v>
      </c>
    </row>
    <row r="129" spans="1:11" ht="12.75">
      <c r="A129" s="1">
        <f>A128+1</f>
        <v>45</v>
      </c>
      <c r="C129" t="s">
        <v>160</v>
      </c>
      <c r="E129" s="207"/>
      <c r="G129" s="208">
        <f>'[2]Inputs'!M$15</f>
        <v>0</v>
      </c>
      <c r="I129" s="233">
        <f>I$113</f>
        <v>0.01498</v>
      </c>
      <c r="K129" s="208">
        <f t="shared" si="1"/>
        <v>0</v>
      </c>
    </row>
    <row r="130" ht="12.75">
      <c r="E130" s="207"/>
    </row>
    <row r="131" spans="1:11" ht="12.75">
      <c r="A131" s="1">
        <f>A129+1</f>
        <v>46</v>
      </c>
      <c r="C131" t="s">
        <v>29</v>
      </c>
      <c r="E131" s="207"/>
      <c r="G131" s="212">
        <f>SUM(G124:G129)</f>
        <v>6285390.099999999</v>
      </c>
      <c r="K131" s="213">
        <f>SUM(K120:K129)</f>
        <v>865201.0064873981</v>
      </c>
    </row>
    <row r="132" spans="1:11" ht="12.75">
      <c r="A132" s="1"/>
      <c r="E132" s="207"/>
      <c r="K132" s="227"/>
    </row>
    <row r="133" spans="3:5" ht="12.75">
      <c r="C133" s="206" t="s">
        <v>177</v>
      </c>
      <c r="E133" s="207"/>
    </row>
    <row r="134" spans="1:5" ht="12.75">
      <c r="A134" s="1"/>
      <c r="C134" t="s">
        <v>178</v>
      </c>
      <c r="E134" s="207"/>
    </row>
    <row r="135" spans="1:5" ht="12.75">
      <c r="A135" s="1"/>
      <c r="E135" s="207"/>
    </row>
    <row r="136" spans="1:11" ht="12.75">
      <c r="A136" s="1">
        <f>A131+1</f>
        <v>47</v>
      </c>
      <c r="C136" t="s">
        <v>22</v>
      </c>
      <c r="E136" s="207"/>
      <c r="G136" s="208">
        <f>'[2]Inputs'!E19*12</f>
        <v>12</v>
      </c>
      <c r="I136" s="232">
        <f>I$103</f>
        <v>1300</v>
      </c>
      <c r="K136" s="210">
        <f>I136*G136</f>
        <v>15600</v>
      </c>
    </row>
    <row r="137" spans="1:11" ht="12.75">
      <c r="A137" s="1">
        <f>A136+1</f>
        <v>48</v>
      </c>
      <c r="C137" t="s">
        <v>31</v>
      </c>
      <c r="E137" s="207"/>
      <c r="G137" s="208">
        <f>'[2]Inputs'!E19*12</f>
        <v>12</v>
      </c>
      <c r="I137" s="209">
        <v>250</v>
      </c>
      <c r="K137" s="210">
        <f>I137*G137</f>
        <v>3000</v>
      </c>
    </row>
    <row r="138" spans="1:11" ht="12.75">
      <c r="A138" s="1">
        <f>A137+1</f>
        <v>49</v>
      </c>
      <c r="C138" t="s">
        <v>173</v>
      </c>
      <c r="E138" s="207"/>
      <c r="G138" s="208">
        <f>'[2]Inputs'!F19*12</f>
        <v>196560.57912115825</v>
      </c>
      <c r="I138" s="233">
        <f>I$104</f>
        <v>0.32</v>
      </c>
      <c r="K138" s="210">
        <f>I138*G138</f>
        <v>62899.38531877064</v>
      </c>
    </row>
    <row r="139" spans="1:11" ht="12.75">
      <c r="A139" s="1"/>
      <c r="E139" s="207"/>
      <c r="G139" s="208"/>
      <c r="I139" s="209"/>
      <c r="K139" s="210"/>
    </row>
    <row r="140" spans="1:11" ht="12.75">
      <c r="A140" s="1"/>
      <c r="C140" t="s">
        <v>23</v>
      </c>
      <c r="E140" s="207"/>
      <c r="G140" s="208"/>
      <c r="I140" s="209"/>
      <c r="K140" s="210"/>
    </row>
    <row r="141" spans="1:12" ht="12.75">
      <c r="A141" s="1">
        <f>A138+1</f>
        <v>50</v>
      </c>
      <c r="C141" t="s">
        <v>155</v>
      </c>
      <c r="E141" s="207">
        <v>10000</v>
      </c>
      <c r="G141" s="208">
        <f>'[2]Inputs'!H$19</f>
        <v>293980</v>
      </c>
      <c r="I141" s="233">
        <f>I$108</f>
        <v>0.1116</v>
      </c>
      <c r="K141" s="208">
        <f aca="true" t="shared" si="2" ref="K141:K146">I141*G141</f>
        <v>32808.168</v>
      </c>
      <c r="L141" s="236"/>
    </row>
    <row r="142" spans="1:12" ht="12.75">
      <c r="A142" s="1">
        <f>A141+1</f>
        <v>51</v>
      </c>
      <c r="C142" t="s">
        <v>156</v>
      </c>
      <c r="E142" s="207">
        <v>30000</v>
      </c>
      <c r="G142" s="208">
        <f>'[2]Inputs'!I$19</f>
        <v>478612.9</v>
      </c>
      <c r="I142" s="233">
        <f>I$109</f>
        <v>0.095</v>
      </c>
      <c r="K142" s="208">
        <f t="shared" si="2"/>
        <v>45468.2255</v>
      </c>
      <c r="L142" s="236"/>
    </row>
    <row r="143" spans="1:12" ht="12.75">
      <c r="A143" s="1">
        <f>A142+1</f>
        <v>52</v>
      </c>
      <c r="C143" t="s">
        <v>157</v>
      </c>
      <c r="E143" s="207">
        <v>50000</v>
      </c>
      <c r="G143" s="208">
        <f>'[2]Inputs'!J$19</f>
        <v>478612.9</v>
      </c>
      <c r="I143" s="233">
        <f>I$110</f>
        <v>0.08</v>
      </c>
      <c r="K143" s="208">
        <f t="shared" si="2"/>
        <v>38289.032</v>
      </c>
      <c r="L143" s="236"/>
    </row>
    <row r="144" spans="1:12" ht="12.75">
      <c r="A144" s="1">
        <f>A143+1</f>
        <v>53</v>
      </c>
      <c r="C144" t="s">
        <v>158</v>
      </c>
      <c r="E144" s="207">
        <v>150000</v>
      </c>
      <c r="G144" s="208">
        <f>'[2]Inputs'!K$19</f>
        <v>1326156.7</v>
      </c>
      <c r="I144" s="233">
        <f>I$111</f>
        <v>0.065</v>
      </c>
      <c r="K144" s="208">
        <f t="shared" si="2"/>
        <v>86200.1855</v>
      </c>
      <c r="L144" s="236"/>
    </row>
    <row r="145" spans="1:12" ht="12.75">
      <c r="A145" s="1">
        <f>A144+1</f>
        <v>54</v>
      </c>
      <c r="C145" t="s">
        <v>159</v>
      </c>
      <c r="E145" s="207">
        <v>750000</v>
      </c>
      <c r="G145" s="208">
        <f>'[2]Inputs'!L$19</f>
        <v>1229296.4</v>
      </c>
      <c r="I145" s="233">
        <f>I$112</f>
        <v>0.05</v>
      </c>
      <c r="K145" s="208">
        <f t="shared" si="2"/>
        <v>61464.82</v>
      </c>
      <c r="L145" s="236"/>
    </row>
    <row r="146" spans="1:12" ht="12.75">
      <c r="A146" s="1">
        <f>A145+1</f>
        <v>55</v>
      </c>
      <c r="C146" t="s">
        <v>160</v>
      </c>
      <c r="E146" s="207"/>
      <c r="G146" s="208">
        <f>'[2]Inputs'!M$19</f>
        <v>0</v>
      </c>
      <c r="I146" s="233">
        <f>I$113</f>
        <v>0.01498</v>
      </c>
      <c r="K146" s="208">
        <f t="shared" si="2"/>
        <v>0</v>
      </c>
      <c r="L146" s="236"/>
    </row>
    <row r="147" ht="12.75">
      <c r="E147" s="207"/>
    </row>
    <row r="148" spans="1:11" ht="12.75">
      <c r="A148" s="1">
        <f>A146+1</f>
        <v>56</v>
      </c>
      <c r="C148" t="s">
        <v>29</v>
      </c>
      <c r="E148" s="207"/>
      <c r="G148" s="212">
        <f>SUM(G141:G146)</f>
        <v>3806658.9</v>
      </c>
      <c r="K148" s="213">
        <f>SUM(K136:K146)</f>
        <v>345729.81631877064</v>
      </c>
    </row>
    <row r="149" ht="12.75">
      <c r="E149" s="207"/>
    </row>
    <row r="150" spans="3:5" ht="12.75">
      <c r="C150" s="206" t="s">
        <v>179</v>
      </c>
      <c r="E150" s="207"/>
    </row>
    <row r="151" spans="1:5" ht="12.75">
      <c r="A151" s="1"/>
      <c r="C151" t="s">
        <v>180</v>
      </c>
      <c r="E151" s="207"/>
    </row>
    <row r="152" spans="1:5" ht="12.75">
      <c r="A152" s="1"/>
      <c r="E152" s="207"/>
    </row>
    <row r="153" spans="1:11" ht="12.75">
      <c r="A153" s="1">
        <f>A148+1</f>
        <v>57</v>
      </c>
      <c r="C153" t="s">
        <v>22</v>
      </c>
      <c r="E153" s="207"/>
      <c r="G153" s="208">
        <f>'[2]Inputs'!E20*12</f>
        <v>36</v>
      </c>
      <c r="I153" s="232">
        <f>I$103</f>
        <v>1300</v>
      </c>
      <c r="K153" s="210">
        <f>I153*G153</f>
        <v>46800</v>
      </c>
    </row>
    <row r="154" spans="1:11" ht="12.75">
      <c r="A154" s="1">
        <f>A153+1</f>
        <v>58</v>
      </c>
      <c r="C154" t="s">
        <v>31</v>
      </c>
      <c r="E154" s="207"/>
      <c r="G154" s="208">
        <f>'[2]Inputs'!E20*12</f>
        <v>36</v>
      </c>
      <c r="I154" s="232">
        <f>I$137</f>
        <v>250</v>
      </c>
      <c r="K154" s="210">
        <f>I154*G154</f>
        <v>9000</v>
      </c>
    </row>
    <row r="155" spans="5:11" ht="12.75">
      <c r="E155" s="207"/>
      <c r="G155" s="208"/>
      <c r="I155" s="209"/>
      <c r="K155" s="210"/>
    </row>
    <row r="156" spans="1:11" ht="12.75">
      <c r="A156" s="1"/>
      <c r="C156" t="s">
        <v>23</v>
      </c>
      <c r="E156" s="207"/>
      <c r="G156" s="208"/>
      <c r="I156" s="209"/>
      <c r="K156" s="210"/>
    </row>
    <row r="157" spans="1:11" ht="12.75">
      <c r="A157" s="1">
        <f>A154+1</f>
        <v>59</v>
      </c>
      <c r="C157" t="s">
        <v>155</v>
      </c>
      <c r="E157" s="207">
        <v>10000</v>
      </c>
      <c r="G157" s="208">
        <f>'[2]Inputs'!H$20</f>
        <v>164960.6</v>
      </c>
      <c r="I157" s="233">
        <f>I$108</f>
        <v>0.1116</v>
      </c>
      <c r="K157" s="208">
        <f aca="true" t="shared" si="3" ref="K157:K162">I157*G157</f>
        <v>18409.60296</v>
      </c>
    </row>
    <row r="158" spans="1:11" ht="12.75">
      <c r="A158" s="1">
        <f>A157+1</f>
        <v>60</v>
      </c>
      <c r="C158" t="s">
        <v>156</v>
      </c>
      <c r="E158" s="207">
        <v>30000</v>
      </c>
      <c r="G158" s="208">
        <f>'[2]Inputs'!I$20</f>
        <v>391283.9</v>
      </c>
      <c r="I158" s="233">
        <f>I$109</f>
        <v>0.095</v>
      </c>
      <c r="K158" s="208">
        <f t="shared" si="3"/>
        <v>37171.9705</v>
      </c>
    </row>
    <row r="159" spans="1:11" ht="12.75">
      <c r="A159" s="1">
        <f>A158+1</f>
        <v>61</v>
      </c>
      <c r="C159" t="s">
        <v>157</v>
      </c>
      <c r="E159" s="207">
        <v>50000</v>
      </c>
      <c r="G159" s="208">
        <f>'[2]Inputs'!J$20</f>
        <v>401933.7</v>
      </c>
      <c r="I159" s="233">
        <f>I$110</f>
        <v>0.08</v>
      </c>
      <c r="K159" s="208">
        <f t="shared" si="3"/>
        <v>32154.696</v>
      </c>
    </row>
    <row r="160" spans="1:11" ht="12.75">
      <c r="A160" s="1">
        <f>A159+1</f>
        <v>62</v>
      </c>
      <c r="C160" t="s">
        <v>158</v>
      </c>
      <c r="E160" s="207">
        <v>150000</v>
      </c>
      <c r="G160" s="208">
        <f>'[2]Inputs'!K$20</f>
        <v>1712828</v>
      </c>
      <c r="I160" s="233">
        <f>I$111</f>
        <v>0.065</v>
      </c>
      <c r="K160" s="208">
        <f t="shared" si="3"/>
        <v>111333.82</v>
      </c>
    </row>
    <row r="161" spans="1:11" ht="12.75">
      <c r="A161" s="1">
        <f>A160+1</f>
        <v>63</v>
      </c>
      <c r="C161" t="s">
        <v>159</v>
      </c>
      <c r="E161" s="207">
        <v>750000</v>
      </c>
      <c r="G161" s="208">
        <f>'[2]Inputs'!L$20</f>
        <v>985051.1</v>
      </c>
      <c r="I161" s="233">
        <f>I$112</f>
        <v>0.05</v>
      </c>
      <c r="K161" s="208">
        <f t="shared" si="3"/>
        <v>49252.555</v>
      </c>
    </row>
    <row r="162" spans="1:11" ht="12.75">
      <c r="A162" s="1">
        <f>A161+1</f>
        <v>64</v>
      </c>
      <c r="C162" t="s">
        <v>160</v>
      </c>
      <c r="E162" s="207"/>
      <c r="G162" s="208">
        <f>'[2]Inputs'!M$20</f>
        <v>0</v>
      </c>
      <c r="I162" s="233">
        <f>I$113</f>
        <v>0.01498</v>
      </c>
      <c r="K162" s="208">
        <f t="shared" si="3"/>
        <v>0</v>
      </c>
    </row>
    <row r="163" ht="12.75">
      <c r="E163" s="207"/>
    </row>
    <row r="164" spans="1:11" ht="12.75">
      <c r="A164" s="1">
        <f>A162+1</f>
        <v>65</v>
      </c>
      <c r="C164" t="s">
        <v>29</v>
      </c>
      <c r="E164" s="207"/>
      <c r="G164" s="212">
        <f>SUM(G157:G162)</f>
        <v>3656057.3000000003</v>
      </c>
      <c r="K164" s="213">
        <f>SUM(K153:K162)</f>
        <v>304122.64446000004</v>
      </c>
    </row>
    <row r="165" spans="1:11" ht="12.75">
      <c r="A165" s="1"/>
      <c r="E165" s="207"/>
      <c r="G165" s="234"/>
      <c r="K165" s="235"/>
    </row>
    <row r="166" spans="1:11" ht="12.75">
      <c r="A166" s="1">
        <f>A164+1</f>
        <v>66</v>
      </c>
      <c r="C166" t="s">
        <v>181</v>
      </c>
      <c r="E166" s="207"/>
      <c r="G166" s="208">
        <f>G115+G131+G148+G164</f>
        <v>17440334</v>
      </c>
      <c r="K166" s="29">
        <f>K115+K131+K148+K164</f>
        <v>2431516.923405504</v>
      </c>
    </row>
    <row r="167" spans="1:11" ht="12.75">
      <c r="A167" s="1">
        <f>A166+1</f>
        <v>67</v>
      </c>
      <c r="C167" t="s">
        <v>182</v>
      </c>
      <c r="E167" s="207"/>
      <c r="K167" s="208">
        <f>'[2]Revenue Spread'!K19</f>
        <v>2431526.548</v>
      </c>
    </row>
    <row r="168" spans="1:11" ht="12.75">
      <c r="A168" s="1">
        <f>A167+1</f>
        <v>68</v>
      </c>
      <c r="C168" t="s">
        <v>137</v>
      </c>
      <c r="E168" s="207"/>
      <c r="K168" s="214">
        <f>K166-K167</f>
        <v>-9.624594496097416</v>
      </c>
    </row>
    <row r="169" ht="12.75">
      <c r="E169" s="207"/>
    </row>
    <row r="192" spans="9:11" ht="12.75">
      <c r="I192" s="29">
        <f>K13+K24+K35+K62+K73+K136</f>
        <v>9991048</v>
      </c>
      <c r="K192" s="216">
        <v>30335277.5966864</v>
      </c>
    </row>
  </sheetData>
  <sheetProtection/>
  <printOptions horizontalCentered="1"/>
  <pageMargins left="0.75" right="0.75" top="1" bottom="1" header="0.5" footer="0.5"/>
  <pageSetup horizontalDpi="600" verticalDpi="600" orientation="portrait" scale="80" r:id="rId2"/>
  <rowBreaks count="3" manualBreakCount="3">
    <brk id="41" max="10" man="1"/>
    <brk id="97" max="10" man="1"/>
    <brk id="13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62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28125" style="1" customWidth="1"/>
    <col min="2" max="2" width="1.421875" style="0" customWidth="1"/>
    <col min="3" max="3" width="31.7109375" style="0" customWidth="1"/>
    <col min="4" max="4" width="9.421875" style="0" bestFit="1" customWidth="1"/>
    <col min="5" max="5" width="10.00390625" style="0" bestFit="1" customWidth="1"/>
    <col min="6" max="6" width="10.28125" style="0" bestFit="1" customWidth="1"/>
    <col min="7" max="8" width="10.57421875" style="0" bestFit="1" customWidth="1"/>
    <col min="9" max="9" width="10.140625" style="0" bestFit="1" customWidth="1"/>
    <col min="10" max="10" width="10.00390625" style="0" bestFit="1" customWidth="1"/>
    <col min="11" max="15" width="9.421875" style="0" bestFit="1" customWidth="1"/>
    <col min="16" max="16" width="11.28125" style="0" customWidth="1"/>
  </cols>
  <sheetData>
    <row r="1" spans="1:16" s="3" customFormat="1" ht="12" customHeight="1">
      <c r="A1" s="1"/>
      <c r="B1"/>
      <c r="C1" s="240" t="s">
        <v>106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3" customFormat="1" ht="12" customHeight="1">
      <c r="A2" s="1"/>
      <c r="B2" s="53"/>
      <c r="C2" s="240" t="s">
        <v>107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2:16" ht="15.75" customHeight="1">
      <c r="B3" s="53"/>
      <c r="C3" s="241" t="s">
        <v>123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2:3" ht="12.75">
      <c r="B4" s="53"/>
      <c r="C4" s="84"/>
    </row>
    <row r="6" spans="1:16" s="10" customFormat="1" ht="25.5">
      <c r="A6" s="4" t="s">
        <v>79</v>
      </c>
      <c r="B6"/>
      <c r="D6" s="80" t="s">
        <v>77</v>
      </c>
      <c r="E6" s="80" t="s">
        <v>67</v>
      </c>
      <c r="F6" s="80" t="s">
        <v>68</v>
      </c>
      <c r="G6" s="80" t="s">
        <v>69</v>
      </c>
      <c r="H6" s="80" t="s">
        <v>70</v>
      </c>
      <c r="I6" s="80" t="s">
        <v>71</v>
      </c>
      <c r="J6" s="80" t="s">
        <v>72</v>
      </c>
      <c r="K6" s="80" t="s">
        <v>34</v>
      </c>
      <c r="L6" s="80" t="s">
        <v>73</v>
      </c>
      <c r="M6" s="80" t="s">
        <v>74</v>
      </c>
      <c r="N6" s="80" t="s">
        <v>75</v>
      </c>
      <c r="O6" s="80" t="s">
        <v>76</v>
      </c>
      <c r="P6" s="61" t="s">
        <v>29</v>
      </c>
    </row>
    <row r="7" spans="1:16" ht="41.25" customHeight="1">
      <c r="A7" s="4">
        <v>1</v>
      </c>
      <c r="B7" s="4"/>
      <c r="C7" s="81" t="s">
        <v>38</v>
      </c>
      <c r="D7" s="85">
        <v>45.97630603238821</v>
      </c>
      <c r="E7" s="85">
        <v>84.52430877328712</v>
      </c>
      <c r="F7" s="85">
        <v>135.20761837458014</v>
      </c>
      <c r="G7" s="85">
        <v>170.480644376793</v>
      </c>
      <c r="H7" s="85">
        <v>153.2923649280342</v>
      </c>
      <c r="I7" s="85">
        <v>112.5076428289125</v>
      </c>
      <c r="J7" s="85">
        <v>83.07299126362025</v>
      </c>
      <c r="K7" s="85">
        <v>63.263443490430504</v>
      </c>
      <c r="L7" s="85">
        <v>44.19845501445186</v>
      </c>
      <c r="M7" s="85">
        <v>36.05622136160126</v>
      </c>
      <c r="N7" s="85">
        <v>33.587129817890286</v>
      </c>
      <c r="O7" s="85">
        <v>35.67039373801062</v>
      </c>
      <c r="P7" s="86">
        <v>997.8375199999998</v>
      </c>
    </row>
    <row r="8" spans="1:16" s="90" customFormat="1" ht="25.5">
      <c r="A8" s="148">
        <v>2</v>
      </c>
      <c r="B8" s="148"/>
      <c r="C8" s="145" t="s">
        <v>39</v>
      </c>
      <c r="D8" s="146">
        <v>42.28273787475513</v>
      </c>
      <c r="E8" s="146">
        <v>84.58207083974187</v>
      </c>
      <c r="F8" s="146">
        <v>140.19766791756362</v>
      </c>
      <c r="G8" s="146">
        <v>178.9033171201673</v>
      </c>
      <c r="H8" s="146">
        <v>160.04234628374843</v>
      </c>
      <c r="I8" s="146">
        <v>115.28862579786649</v>
      </c>
      <c r="J8" s="146">
        <v>82.98951718678231</v>
      </c>
      <c r="K8" s="146">
        <v>61.25218716799687</v>
      </c>
      <c r="L8" s="146">
        <v>40.331873839715456</v>
      </c>
      <c r="M8" s="146">
        <v>31.39727209975989</v>
      </c>
      <c r="N8" s="146">
        <v>28.687898905240182</v>
      </c>
      <c r="O8" s="146">
        <v>30.973897347323366</v>
      </c>
      <c r="P8" s="147">
        <v>996.9294123806608</v>
      </c>
    </row>
    <row r="9" spans="1:16" ht="17.25" customHeight="1">
      <c r="A9" s="4">
        <v>3</v>
      </c>
      <c r="C9" t="s">
        <v>78</v>
      </c>
      <c r="D9" s="6">
        <f>D7-D8</f>
        <v>3.6935681576330808</v>
      </c>
      <c r="E9" s="6">
        <f aca="true" t="shared" si="0" ref="E9:P9">E7-E8</f>
        <v>-0.05776206645475668</v>
      </c>
      <c r="F9" s="6">
        <f t="shared" si="0"/>
        <v>-4.990049542983485</v>
      </c>
      <c r="G9" s="6">
        <f t="shared" si="0"/>
        <v>-8.422672743374278</v>
      </c>
      <c r="H9" s="6">
        <f t="shared" si="0"/>
        <v>-6.749981355714226</v>
      </c>
      <c r="I9" s="6">
        <f t="shared" si="0"/>
        <v>-2.7809829689539924</v>
      </c>
      <c r="J9" s="6">
        <f t="shared" si="0"/>
        <v>0.08347407683794472</v>
      </c>
      <c r="K9" s="6">
        <f t="shared" si="0"/>
        <v>2.0112563224336313</v>
      </c>
      <c r="L9" s="6">
        <f t="shared" si="0"/>
        <v>3.866581174736403</v>
      </c>
      <c r="M9" s="6">
        <f t="shared" si="0"/>
        <v>4.6589492618413715</v>
      </c>
      <c r="N9" s="6">
        <f t="shared" si="0"/>
        <v>4.899230912650104</v>
      </c>
      <c r="O9" s="6">
        <f t="shared" si="0"/>
        <v>4.696496390687251</v>
      </c>
      <c r="P9" s="6">
        <f t="shared" si="0"/>
        <v>0.9081076193390345</v>
      </c>
    </row>
    <row r="10" spans="4:16" ht="17.25" customHeight="1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4:16" ht="17.25" customHeight="1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ht="12.75">
      <c r="C12" t="s">
        <v>124</v>
      </c>
    </row>
    <row r="13" spans="1:3" ht="12.75">
      <c r="A13" s="4"/>
      <c r="C13" s="87" t="s">
        <v>41</v>
      </c>
    </row>
    <row r="14" ht="12.75">
      <c r="A14" s="4"/>
    </row>
    <row r="15" spans="1:16" s="10" customFormat="1" ht="25.5">
      <c r="A15" s="238" t="s">
        <v>79</v>
      </c>
      <c r="C15" s="80" t="s">
        <v>40</v>
      </c>
      <c r="D15" s="80" t="s">
        <v>77</v>
      </c>
      <c r="E15" s="80" t="s">
        <v>67</v>
      </c>
      <c r="F15" s="80" t="s">
        <v>68</v>
      </c>
      <c r="G15" s="80" t="s">
        <v>69</v>
      </c>
      <c r="H15" s="80" t="s">
        <v>70</v>
      </c>
      <c r="I15" s="80" t="s">
        <v>71</v>
      </c>
      <c r="J15" s="80" t="s">
        <v>72</v>
      </c>
      <c r="K15" s="80" t="s">
        <v>34</v>
      </c>
      <c r="L15" s="80" t="s">
        <v>73</v>
      </c>
      <c r="M15" s="80" t="s">
        <v>74</v>
      </c>
      <c r="N15" s="80" t="s">
        <v>75</v>
      </c>
      <c r="O15" s="80" t="s">
        <v>76</v>
      </c>
      <c r="P15" s="61" t="s">
        <v>29</v>
      </c>
    </row>
    <row r="16" spans="1:16" ht="12.75">
      <c r="A16" s="4">
        <v>1</v>
      </c>
      <c r="C16" t="s">
        <v>108</v>
      </c>
      <c r="D16" s="6">
        <v>7.206130488516165</v>
      </c>
      <c r="E16" s="6">
        <v>9.709107829167468</v>
      </c>
      <c r="F16" s="6">
        <v>13.000048123375112</v>
      </c>
      <c r="G16" s="6">
        <v>15.290376507264924</v>
      </c>
      <c r="H16" s="6">
        <v>14.174316765487948</v>
      </c>
      <c r="I16" s="6">
        <v>11.52610601524451</v>
      </c>
      <c r="J16" s="6">
        <v>9.614871692857024</v>
      </c>
      <c r="K16" s="6">
        <v>8.328609223226227</v>
      </c>
      <c r="L16" s="6">
        <v>7.090692061190664</v>
      </c>
      <c r="M16" s="6">
        <v>6.562005102430261</v>
      </c>
      <c r="N16" s="6">
        <v>6.401683432136684</v>
      </c>
      <c r="O16" s="6">
        <v>6.536952759103011</v>
      </c>
      <c r="P16" s="6">
        <v>115.44089999999998</v>
      </c>
    </row>
    <row r="17" spans="1:16" ht="12.75">
      <c r="A17" s="4">
        <v>2</v>
      </c>
      <c r="C17" t="s">
        <v>109</v>
      </c>
      <c r="D17" s="6">
        <v>12.47633109997145</v>
      </c>
      <c r="E17" s="6">
        <v>20.95864319884531</v>
      </c>
      <c r="F17" s="6">
        <v>32.111274195882324</v>
      </c>
      <c r="G17" s="6">
        <v>39.872942607953355</v>
      </c>
      <c r="H17" s="6">
        <v>36.090740149709156</v>
      </c>
      <c r="I17" s="6">
        <v>27.11624816277306</v>
      </c>
      <c r="J17" s="6">
        <v>20.63928740357103</v>
      </c>
      <c r="K17" s="6">
        <v>16.280286812044437</v>
      </c>
      <c r="L17" s="6">
        <v>12.085123096257245</v>
      </c>
      <c r="M17" s="6">
        <v>10.29346173601366</v>
      </c>
      <c r="N17" s="6">
        <v>9.750149408907648</v>
      </c>
      <c r="O17" s="6">
        <v>10.208562128071316</v>
      </c>
      <c r="P17" s="6">
        <v>247.88305000000003</v>
      </c>
    </row>
    <row r="18" spans="1:16" ht="12.75">
      <c r="A18" s="4">
        <v>3</v>
      </c>
      <c r="C18" t="s">
        <v>110</v>
      </c>
      <c r="D18" s="6">
        <v>17.418063394247664</v>
      </c>
      <c r="E18" s="6">
        <v>31.507044736180436</v>
      </c>
      <c r="F18" s="6">
        <v>50.03138199224257</v>
      </c>
      <c r="G18" s="6">
        <v>62.92338598422678</v>
      </c>
      <c r="H18" s="6">
        <v>56.64120970440216</v>
      </c>
      <c r="I18" s="6">
        <v>41.734725636920764</v>
      </c>
      <c r="J18" s="6">
        <v>30.976599995570762</v>
      </c>
      <c r="K18" s="6">
        <v>23.73637147207119</v>
      </c>
      <c r="L18" s="6">
        <v>16.768273313324332</v>
      </c>
      <c r="M18" s="6">
        <v>13.792353165457442</v>
      </c>
      <c r="N18" s="6">
        <v>12.889920296893818</v>
      </c>
      <c r="O18" s="6">
        <v>13.651336308462062</v>
      </c>
      <c r="P18" s="6">
        <v>372.07066599999996</v>
      </c>
    </row>
    <row r="19" spans="1:16" ht="12.75">
      <c r="A19" s="4">
        <v>4</v>
      </c>
      <c r="C19" t="s">
        <v>111</v>
      </c>
      <c r="D19" s="6">
        <v>22.26664795678652</v>
      </c>
      <c r="E19" s="6">
        <v>41.85661727628404</v>
      </c>
      <c r="F19" s="6">
        <v>67.61370997894922</v>
      </c>
      <c r="G19" s="6">
        <v>85.53934679686013</v>
      </c>
      <c r="H19" s="6">
        <v>76.80431921788568</v>
      </c>
      <c r="I19" s="6">
        <v>56.07765641264703</v>
      </c>
      <c r="J19" s="6">
        <v>41.119062449427645</v>
      </c>
      <c r="K19" s="6">
        <v>31.051914853783945</v>
      </c>
      <c r="L19" s="6">
        <v>21.363149865585587</v>
      </c>
      <c r="M19" s="6">
        <v>17.22529326835417</v>
      </c>
      <c r="N19" s="6">
        <v>15.970508995523105</v>
      </c>
      <c r="O19" s="6">
        <v>17.0292169279129</v>
      </c>
      <c r="P19" s="6">
        <v>493.917444</v>
      </c>
    </row>
    <row r="20" spans="1:16" ht="12.75">
      <c r="A20" s="4">
        <v>5</v>
      </c>
      <c r="C20" t="s">
        <v>112</v>
      </c>
      <c r="D20" s="6">
        <v>27.208380251062735</v>
      </c>
      <c r="E20" s="6">
        <v>52.40501881361918</v>
      </c>
      <c r="F20" s="6">
        <v>85.53381777530947</v>
      </c>
      <c r="G20" s="6">
        <v>108.58979017313357</v>
      </c>
      <c r="H20" s="6">
        <v>97.35478877257867</v>
      </c>
      <c r="I20" s="6">
        <v>70.69613388679473</v>
      </c>
      <c r="J20" s="6">
        <v>51.456375041427385</v>
      </c>
      <c r="K20" s="6">
        <v>38.507999513810695</v>
      </c>
      <c r="L20" s="6">
        <v>26.046300082652678</v>
      </c>
      <c r="M20" s="6">
        <v>20.724184697797952</v>
      </c>
      <c r="N20" s="6">
        <v>19.11027988350928</v>
      </c>
      <c r="O20" s="6">
        <v>20.471991108303648</v>
      </c>
      <c r="P20" s="6">
        <v>618.1050600000001</v>
      </c>
    </row>
    <row r="21" spans="1:16" ht="12.75">
      <c r="A21" s="4">
        <v>6</v>
      </c>
      <c r="C21" t="s">
        <v>113</v>
      </c>
      <c r="D21" s="6">
        <v>32.056964813601596</v>
      </c>
      <c r="E21" s="6">
        <v>62.75459135372279</v>
      </c>
      <c r="F21" s="6">
        <v>103.11614576201609</v>
      </c>
      <c r="G21" s="6">
        <v>131.2057509857669</v>
      </c>
      <c r="H21" s="6">
        <v>117.51789828606218</v>
      </c>
      <c r="I21" s="6">
        <v>85.039064662521</v>
      </c>
      <c r="J21" s="6">
        <v>61.59883749528426</v>
      </c>
      <c r="K21" s="6">
        <v>45.823542895523445</v>
      </c>
      <c r="L21" s="6">
        <v>30.641176634913933</v>
      </c>
      <c r="M21" s="6">
        <v>24.15712480069468</v>
      </c>
      <c r="N21" s="6">
        <v>22.190868582138563</v>
      </c>
      <c r="O21" s="6">
        <v>23.849871727754486</v>
      </c>
      <c r="P21" s="6">
        <v>739.951838</v>
      </c>
    </row>
    <row r="22" spans="1:16" ht="12.75">
      <c r="A22" s="4">
        <v>7</v>
      </c>
      <c r="C22" t="s">
        <v>114</v>
      </c>
      <c r="D22" s="6">
        <v>36.900646863943756</v>
      </c>
      <c r="E22" s="6">
        <v>73.0936992097616</v>
      </c>
      <c r="F22" s="6">
        <v>120.68069586400412</v>
      </c>
      <c r="G22" s="6">
        <v>153.7988442950508</v>
      </c>
      <c r="H22" s="6">
        <v>137.66062042895572</v>
      </c>
      <c r="I22" s="6">
        <v>99.36749298043563</v>
      </c>
      <c r="J22" s="6">
        <v>71.73104467871258</v>
      </c>
      <c r="K22" s="6">
        <v>53.13168936785126</v>
      </c>
      <c r="L22" s="6">
        <v>35.23140720481699</v>
      </c>
      <c r="M22" s="6">
        <v>27.586593781141566</v>
      </c>
      <c r="N22" s="6">
        <v>25.268342428696435</v>
      </c>
      <c r="O22" s="6">
        <v>27.224336896629545</v>
      </c>
      <c r="P22" s="6">
        <v>861.675414</v>
      </c>
    </row>
    <row r="23" spans="1:16" ht="12.75">
      <c r="A23" s="4">
        <v>8</v>
      </c>
      <c r="C23" t="s">
        <v>115</v>
      </c>
      <c r="D23" s="6">
        <v>41.67079123133538</v>
      </c>
      <c r="E23" s="6">
        <v>83.27583680482813</v>
      </c>
      <c r="F23" s="6">
        <v>137.97857769521298</v>
      </c>
      <c r="G23" s="6">
        <v>176.0489250540925</v>
      </c>
      <c r="H23" s="6">
        <v>157.49753201299967</v>
      </c>
      <c r="I23" s="6">
        <v>113.47838443117541</v>
      </c>
      <c r="J23" s="6">
        <v>81.70942280571232</v>
      </c>
      <c r="K23" s="6">
        <v>60.32888219940486</v>
      </c>
      <c r="L23" s="6">
        <v>39.75194803934702</v>
      </c>
      <c r="M23" s="6">
        <v>30.963995924840773</v>
      </c>
      <c r="N23" s="6">
        <v>28.299093494183087</v>
      </c>
      <c r="O23" s="6">
        <v>30.547570306867833</v>
      </c>
      <c r="P23" s="6">
        <v>981.55096</v>
      </c>
    </row>
    <row r="24" spans="1:16" ht="12.75">
      <c r="A24" s="4">
        <v>9</v>
      </c>
      <c r="C24" t="s">
        <v>116</v>
      </c>
      <c r="D24" s="6">
        <v>46.57820594023467</v>
      </c>
      <c r="E24" s="6">
        <v>93.75098555370954</v>
      </c>
      <c r="F24" s="6">
        <v>155.77424029854296</v>
      </c>
      <c r="G24" s="6">
        <v>198.9392959069196</v>
      </c>
      <c r="H24" s="6">
        <v>177.90528997356284</v>
      </c>
      <c r="I24" s="6">
        <v>127.99534470064154</v>
      </c>
      <c r="J24" s="6">
        <v>91.97494850471205</v>
      </c>
      <c r="K24" s="6">
        <v>67.73318849373698</v>
      </c>
      <c r="L24" s="6">
        <v>44.40257637990669</v>
      </c>
      <c r="M24" s="6">
        <v>34.43858949713564</v>
      </c>
      <c r="N24" s="6">
        <v>31.417060417669354</v>
      </c>
      <c r="O24" s="6">
        <v>33.96643633322809</v>
      </c>
      <c r="P24" s="6">
        <v>1104.8761619999998</v>
      </c>
    </row>
    <row r="25" spans="1:16" ht="12.75">
      <c r="A25" s="4">
        <v>10</v>
      </c>
      <c r="C25" t="s">
        <v>117</v>
      </c>
      <c r="D25" s="6">
        <v>51.436595527166936</v>
      </c>
      <c r="E25" s="6">
        <v>104.12148746194279</v>
      </c>
      <c r="F25" s="6">
        <v>173.3921240546868</v>
      </c>
      <c r="G25" s="6">
        <v>221.60099172625192</v>
      </c>
      <c r="H25" s="6">
        <v>198.10917422822632</v>
      </c>
      <c r="I25" s="6">
        <v>142.36728039199113</v>
      </c>
      <c r="J25" s="6">
        <v>102.13792149942608</v>
      </c>
      <c r="K25" s="6">
        <v>75.06352569421962</v>
      </c>
      <c r="L25" s="6">
        <v>49.006744896884356</v>
      </c>
      <c r="M25" s="6">
        <v>37.87847184493206</v>
      </c>
      <c r="N25" s="6">
        <v>34.50387882044147</v>
      </c>
      <c r="O25" s="6">
        <v>37.3511478538305</v>
      </c>
      <c r="P25" s="6">
        <v>1226.969344</v>
      </c>
    </row>
    <row r="26" spans="1:16" ht="12.75">
      <c r="A26" s="4">
        <v>11</v>
      </c>
      <c r="C26" t="s">
        <v>118</v>
      </c>
      <c r="D26" s="6">
        <v>56.29008260190251</v>
      </c>
      <c r="E26" s="6">
        <v>114.48152468611121</v>
      </c>
      <c r="F26" s="6">
        <v>190.9922299261121</v>
      </c>
      <c r="G26" s="6">
        <v>244.23982004223473</v>
      </c>
      <c r="H26" s="6">
        <v>218.29267111229981</v>
      </c>
      <c r="I26" s="6">
        <v>156.72471362552903</v>
      </c>
      <c r="J26" s="6">
        <v>112.29063922371155</v>
      </c>
      <c r="K26" s="6">
        <v>82.38646598531733</v>
      </c>
      <c r="L26" s="6">
        <v>53.60626743150381</v>
      </c>
      <c r="M26" s="6">
        <v>41.31488307027863</v>
      </c>
      <c r="N26" s="6">
        <v>37.587582371142176</v>
      </c>
      <c r="O26" s="6">
        <v>40.73244392385712</v>
      </c>
      <c r="P26" s="6">
        <v>1348.939324</v>
      </c>
    </row>
    <row r="27" spans="1:16" ht="12.75">
      <c r="A27" s="4">
        <v>12</v>
      </c>
      <c r="C27" t="s">
        <v>119</v>
      </c>
      <c r="D27" s="6">
        <v>61.182789774211685</v>
      </c>
      <c r="E27" s="6">
        <v>124.92527938279818</v>
      </c>
      <c r="F27" s="6">
        <v>208.73455887528618</v>
      </c>
      <c r="G27" s="6">
        <v>267.06158838501335</v>
      </c>
      <c r="H27" s="6">
        <v>238.63926696109303</v>
      </c>
      <c r="I27" s="6">
        <v>171.19816652156015</v>
      </c>
      <c r="J27" s="6">
        <v>122.52539911142556</v>
      </c>
      <c r="K27" s="6">
        <v>89.7685815514946</v>
      </c>
      <c r="L27" s="6">
        <v>58.242957824988885</v>
      </c>
      <c r="M27" s="6">
        <v>44.77906327522396</v>
      </c>
      <c r="N27" s="6">
        <v>40.696204738414195</v>
      </c>
      <c r="O27" s="6">
        <v>44.14106359849002</v>
      </c>
      <c r="P27" s="6">
        <v>1471.8949199999997</v>
      </c>
    </row>
    <row r="28" spans="1:16" ht="12.75">
      <c r="A28" s="4">
        <v>13</v>
      </c>
      <c r="C28" t="s">
        <v>120</v>
      </c>
      <c r="D28" s="6">
        <v>80.27317226817158</v>
      </c>
      <c r="E28" s="6">
        <v>165.67475913119398</v>
      </c>
      <c r="F28" s="6">
        <v>277.9616419695588</v>
      </c>
      <c r="G28" s="6">
        <v>356.1076464278792</v>
      </c>
      <c r="H28" s="6">
        <v>318.0276880384488</v>
      </c>
      <c r="I28" s="6">
        <v>227.67073724014267</v>
      </c>
      <c r="J28" s="6">
        <v>162.4594221602817</v>
      </c>
      <c r="K28" s="6">
        <v>118.5721466964789</v>
      </c>
      <c r="L28" s="6">
        <v>76.33441312782543</v>
      </c>
      <c r="M28" s="6">
        <v>58.29561409492049</v>
      </c>
      <c r="N28" s="6">
        <v>52.82543870450363</v>
      </c>
      <c r="O28" s="6">
        <v>57.440828140594746</v>
      </c>
      <c r="P28" s="6">
        <v>1951.6435079999999</v>
      </c>
    </row>
    <row r="29" spans="1:16" ht="12.75">
      <c r="A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4"/>
      <c r="C30" s="5" t="s">
        <v>42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2.75">
      <c r="A31" s="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10" customFormat="1" ht="12.75">
      <c r="A32" s="238"/>
      <c r="C32" s="80" t="s">
        <v>40</v>
      </c>
      <c r="D32" s="88" t="s">
        <v>77</v>
      </c>
      <c r="E32" s="88" t="s">
        <v>67</v>
      </c>
      <c r="F32" s="88" t="s">
        <v>68</v>
      </c>
      <c r="G32" s="88" t="s">
        <v>69</v>
      </c>
      <c r="H32" s="88" t="s">
        <v>70</v>
      </c>
      <c r="I32" s="88" t="s">
        <v>71</v>
      </c>
      <c r="J32" s="88" t="s">
        <v>72</v>
      </c>
      <c r="K32" s="88" t="s">
        <v>34</v>
      </c>
      <c r="L32" s="88" t="s">
        <v>73</v>
      </c>
      <c r="M32" s="88" t="s">
        <v>74</v>
      </c>
      <c r="N32" s="88" t="s">
        <v>75</v>
      </c>
      <c r="O32" s="88" t="s">
        <v>76</v>
      </c>
      <c r="P32" s="88" t="s">
        <v>29</v>
      </c>
    </row>
    <row r="33" spans="1:16" ht="12.75">
      <c r="A33" s="4">
        <v>14</v>
      </c>
      <c r="C33" t="s">
        <v>108</v>
      </c>
      <c r="D33" s="6">
        <v>14.147385176713986</v>
      </c>
      <c r="E33" s="6">
        <v>16.583712704457234</v>
      </c>
      <c r="F33" s="6">
        <v>19.78702114066195</v>
      </c>
      <c r="G33" s="6">
        <v>22.01636217328611</v>
      </c>
      <c r="H33" s="6">
        <v>20.93002110765356</v>
      </c>
      <c r="I33" s="6">
        <v>18.352327476434017</v>
      </c>
      <c r="J33" s="6">
        <v>16.49198590802465</v>
      </c>
      <c r="K33" s="6">
        <v>15.239974308970744</v>
      </c>
      <c r="L33" s="6">
        <v>14.035020668380351</v>
      </c>
      <c r="M33" s="6">
        <v>13.520411698387973</v>
      </c>
      <c r="N33" s="6">
        <v>13.364359107624853</v>
      </c>
      <c r="O33" s="6">
        <v>13.496026454186453</v>
      </c>
      <c r="P33" s="6">
        <v>197.9646079247819</v>
      </c>
    </row>
    <row r="34" spans="1:16" ht="12.75">
      <c r="A34" s="4">
        <v>15</v>
      </c>
      <c r="C34" t="s">
        <v>109</v>
      </c>
      <c r="D34" s="6">
        <v>19.27724976553073</v>
      </c>
      <c r="E34" s="6">
        <v>27.533693053993964</v>
      </c>
      <c r="F34" s="6">
        <v>38.38934942113215</v>
      </c>
      <c r="G34" s="6">
        <v>45.94433847613627</v>
      </c>
      <c r="H34" s="6">
        <v>42.26284930927039</v>
      </c>
      <c r="I34" s="6">
        <v>33.52733200347083</v>
      </c>
      <c r="J34" s="6">
        <v>27.2228411327502</v>
      </c>
      <c r="K34" s="6">
        <v>22.979912935956413</v>
      </c>
      <c r="L34" s="6">
        <v>18.896458931733413</v>
      </c>
      <c r="M34" s="6">
        <v>17.152506311203688</v>
      </c>
      <c r="N34" s="6">
        <v>16.623661420284222</v>
      </c>
      <c r="O34" s="6">
        <v>17.069867428076314</v>
      </c>
      <c r="P34" s="6">
        <v>326.88006018953854</v>
      </c>
    </row>
    <row r="35" spans="1:16" ht="12.75">
      <c r="A35" s="4">
        <v>16</v>
      </c>
      <c r="C35" t="s">
        <v>110</v>
      </c>
      <c r="D35" s="6">
        <v>24.08739256137006</v>
      </c>
      <c r="E35" s="6">
        <v>37.80120951197817</v>
      </c>
      <c r="F35" s="6">
        <v>55.832276776214925</v>
      </c>
      <c r="G35" s="6">
        <v>68.38098974429715</v>
      </c>
      <c r="H35" s="6">
        <v>62.266096590414364</v>
      </c>
      <c r="I35" s="6">
        <v>47.75654555068303</v>
      </c>
      <c r="J35" s="6">
        <v>37.28488956672541</v>
      </c>
      <c r="K35" s="6">
        <v>30.237455388050883</v>
      </c>
      <c r="L35" s="6">
        <v>23.4549052289054</v>
      </c>
      <c r="M35" s="6">
        <v>20.558228515592745</v>
      </c>
      <c r="N35" s="6">
        <v>19.679825821363895</v>
      </c>
      <c r="O35" s="6">
        <v>20.42096668545397</v>
      </c>
      <c r="P35" s="6">
        <v>447.76078194105</v>
      </c>
    </row>
    <row r="36" spans="1:16" ht="12.75">
      <c r="A36" s="4">
        <v>17</v>
      </c>
      <c r="C36" t="s">
        <v>111</v>
      </c>
      <c r="D36" s="6">
        <v>28.80686798308146</v>
      </c>
      <c r="E36" s="6">
        <v>47.87519143355196</v>
      </c>
      <c r="F36" s="6">
        <v>72.9464187942475</v>
      </c>
      <c r="G36" s="6">
        <v>90.3947279429193</v>
      </c>
      <c r="H36" s="6">
        <v>81.89229853590186</v>
      </c>
      <c r="I36" s="6">
        <v>61.717549715556885</v>
      </c>
      <c r="J36" s="6">
        <v>47.157276373472925</v>
      </c>
      <c r="K36" s="6">
        <v>37.3581989248777</v>
      </c>
      <c r="L36" s="6">
        <v>27.927428431190215</v>
      </c>
      <c r="M36" s="6">
        <v>23.8997555593832</v>
      </c>
      <c r="N36" s="6">
        <v>22.678383949010517</v>
      </c>
      <c r="O36" s="6">
        <v>23.708900381432642</v>
      </c>
      <c r="P36" s="6">
        <v>566.3629980246262</v>
      </c>
    </row>
    <row r="37" spans="1:16" ht="12.75">
      <c r="A37" s="4">
        <v>18</v>
      </c>
      <c r="C37" t="s">
        <v>112</v>
      </c>
      <c r="D37" s="6">
        <v>33.617010778920786</v>
      </c>
      <c r="E37" s="6">
        <v>58.14270789153617</v>
      </c>
      <c r="F37" s="6">
        <v>90.38934614933028</v>
      </c>
      <c r="G37" s="6">
        <v>112.83137921108019</v>
      </c>
      <c r="H37" s="6">
        <v>101.89554581704581</v>
      </c>
      <c r="I37" s="6">
        <v>75.94676326276908</v>
      </c>
      <c r="J37" s="6">
        <v>57.21932480744814</v>
      </c>
      <c r="K37" s="6">
        <v>44.61574137697217</v>
      </c>
      <c r="L37" s="6">
        <v>32.485874728362205</v>
      </c>
      <c r="M37" s="6">
        <v>27.30547776377226</v>
      </c>
      <c r="N37" s="6">
        <v>25.734548350090186</v>
      </c>
      <c r="O37" s="6">
        <v>27.059999638810297</v>
      </c>
      <c r="P37" s="6">
        <v>687.2437197761377</v>
      </c>
    </row>
    <row r="38" spans="1:16" ht="12.75">
      <c r="A38" s="4">
        <v>19</v>
      </c>
      <c r="C38" t="s">
        <v>113</v>
      </c>
      <c r="D38" s="6">
        <v>38.33648620063219</v>
      </c>
      <c r="E38" s="6">
        <v>68.21668981310995</v>
      </c>
      <c r="F38" s="6">
        <v>107.50348816736287</v>
      </c>
      <c r="G38" s="6">
        <v>134.84511740970234</v>
      </c>
      <c r="H38" s="6">
        <v>121.5217477625333</v>
      </c>
      <c r="I38" s="6">
        <v>89.90776742764295</v>
      </c>
      <c r="J38" s="6">
        <v>67.09171161419563</v>
      </c>
      <c r="K38" s="6">
        <v>51.736484913798975</v>
      </c>
      <c r="L38" s="6">
        <v>36.958397930647024</v>
      </c>
      <c r="M38" s="6">
        <v>30.647004807562713</v>
      </c>
      <c r="N38" s="6">
        <v>28.733106477736808</v>
      </c>
      <c r="O38" s="6">
        <v>30.34793333478897</v>
      </c>
      <c r="P38" s="6">
        <v>805.8459358597139</v>
      </c>
    </row>
    <row r="39" spans="1:16" ht="12.75">
      <c r="A39" s="4">
        <v>20</v>
      </c>
      <c r="C39" t="s">
        <v>114</v>
      </c>
      <c r="D39" s="6">
        <v>43.05118965528423</v>
      </c>
      <c r="E39" s="6">
        <v>78.28048570645163</v>
      </c>
      <c r="F39" s="6">
        <v>124.60032569397177</v>
      </c>
      <c r="G39" s="6">
        <v>156.8365970257172</v>
      </c>
      <c r="H39" s="6">
        <v>141.12810521667046</v>
      </c>
      <c r="I39" s="6">
        <v>103.85465530923587</v>
      </c>
      <c r="J39" s="6">
        <v>76.95411623003642</v>
      </c>
      <c r="K39" s="6">
        <v>58.85002850771697</v>
      </c>
      <c r="L39" s="6">
        <v>41.426398864779884</v>
      </c>
      <c r="M39" s="6">
        <v>33.98515315869009</v>
      </c>
      <c r="N39" s="6">
        <v>31.728632696255374</v>
      </c>
      <c r="O39" s="6">
        <v>33.63254252753612</v>
      </c>
      <c r="P39" s="6">
        <v>924.328230592346</v>
      </c>
    </row>
    <row r="40" spans="1:16" ht="12.75">
      <c r="A40" s="4">
        <v>21</v>
      </c>
      <c r="C40" t="s">
        <v>115</v>
      </c>
      <c r="D40" s="6">
        <v>47.6943136040458</v>
      </c>
      <c r="E40" s="6">
        <v>88.19149117631139</v>
      </c>
      <c r="F40" s="6">
        <v>141.4375958492253</v>
      </c>
      <c r="G40" s="6">
        <v>178.4941979026225</v>
      </c>
      <c r="H40" s="6">
        <v>160.4367953005525</v>
      </c>
      <c r="I40" s="6">
        <v>117.5897989416143</v>
      </c>
      <c r="J40" s="6">
        <v>86.66678798227639</v>
      </c>
      <c r="K40" s="6">
        <v>65.8555729580026</v>
      </c>
      <c r="L40" s="6">
        <v>45.826565776633394</v>
      </c>
      <c r="M40" s="6">
        <v>37.27262111987119</v>
      </c>
      <c r="N40" s="6">
        <v>34.67868027785312</v>
      </c>
      <c r="O40" s="6">
        <v>36.86728417181038</v>
      </c>
      <c r="P40" s="6">
        <v>1041.011705060819</v>
      </c>
    </row>
    <row r="41" spans="1:16" ht="12.75">
      <c r="A41" s="4">
        <v>22</v>
      </c>
      <c r="C41" t="s">
        <v>116</v>
      </c>
      <c r="D41" s="6">
        <v>52.471052630469586</v>
      </c>
      <c r="E41" s="6">
        <v>98.3877054366707</v>
      </c>
      <c r="F41" s="6">
        <v>158.75939176434218</v>
      </c>
      <c r="G41" s="6">
        <v>200.77503909253224</v>
      </c>
      <c r="H41" s="6">
        <v>180.30113114224406</v>
      </c>
      <c r="I41" s="6">
        <v>131.72019850585974</v>
      </c>
      <c r="J41" s="6">
        <v>96.65896107990454</v>
      </c>
      <c r="K41" s="6">
        <v>73.06271580973531</v>
      </c>
      <c r="L41" s="6">
        <v>50.353356196741686</v>
      </c>
      <c r="M41" s="6">
        <v>40.65469247561866</v>
      </c>
      <c r="N41" s="6">
        <v>37.7136213150364</v>
      </c>
      <c r="O41" s="6">
        <v>40.19511190656736</v>
      </c>
      <c r="P41" s="6">
        <v>1161.0529773557223</v>
      </c>
    </row>
    <row r="42" spans="1:16" ht="12.75">
      <c r="A42" s="4">
        <v>23</v>
      </c>
      <c r="C42" t="s">
        <v>117</v>
      </c>
      <c r="D42" s="6">
        <v>57.20007198629972</v>
      </c>
      <c r="E42" s="6">
        <v>108.48205941470874</v>
      </c>
      <c r="F42" s="6">
        <v>175.90814276522215</v>
      </c>
      <c r="G42" s="6">
        <v>222.833294456369</v>
      </c>
      <c r="H42" s="6">
        <v>199.96702207043222</v>
      </c>
      <c r="I42" s="6">
        <v>145.70943523729554</v>
      </c>
      <c r="J42" s="6">
        <v>106.55131226846551</v>
      </c>
      <c r="K42" s="6">
        <v>80.19785923237977</v>
      </c>
      <c r="L42" s="6">
        <v>54.83492393533042</v>
      </c>
      <c r="M42" s="6">
        <v>44.002976904735284</v>
      </c>
      <c r="N42" s="6">
        <v>40.71824326093913</v>
      </c>
      <c r="O42" s="6">
        <v>43.48969460900908</v>
      </c>
      <c r="P42" s="6">
        <v>1279.8950361411867</v>
      </c>
    </row>
    <row r="43" spans="1:16" ht="12.75">
      <c r="A43" s="4">
        <v>24</v>
      </c>
      <c r="C43" t="s">
        <v>118</v>
      </c>
      <c r="D43" s="6">
        <v>61.92431937507049</v>
      </c>
      <c r="E43" s="6">
        <v>118.56622736451465</v>
      </c>
      <c r="F43" s="6">
        <v>193.03958927467846</v>
      </c>
      <c r="G43" s="6">
        <v>244.86929123759845</v>
      </c>
      <c r="H43" s="6">
        <v>219.6130685072701</v>
      </c>
      <c r="I43" s="6">
        <v>159.6845556854504</v>
      </c>
      <c r="J43" s="6">
        <v>116.43368126611975</v>
      </c>
      <c r="K43" s="6">
        <v>87.3258027121154</v>
      </c>
      <c r="L43" s="6">
        <v>59.31196940576719</v>
      </c>
      <c r="M43" s="6">
        <v>47.347882641188825</v>
      </c>
      <c r="N43" s="6">
        <v>43.719833297713805</v>
      </c>
      <c r="O43" s="6">
        <v>46.78095280821928</v>
      </c>
      <c r="P43" s="6">
        <v>1398.6171735757068</v>
      </c>
    </row>
    <row r="44" spans="1:16" ht="12.75">
      <c r="A44" s="4">
        <v>25</v>
      </c>
      <c r="C44" t="s">
        <v>119</v>
      </c>
      <c r="D44" s="6">
        <v>66.68674250031617</v>
      </c>
      <c r="E44" s="6">
        <v>128.7318835401776</v>
      </c>
      <c r="F44" s="6">
        <v>210.30947171552427</v>
      </c>
      <c r="G44" s="6">
        <v>267.0833566796863</v>
      </c>
      <c r="H44" s="6">
        <v>239.4178708749106</v>
      </c>
      <c r="I44" s="6">
        <v>173.7726063998529</v>
      </c>
      <c r="J44" s="6">
        <v>126.39590779102772</v>
      </c>
      <c r="K44" s="6">
        <v>94.51134573512164</v>
      </c>
      <c r="L44" s="6">
        <v>63.825193021419615</v>
      </c>
      <c r="M44" s="6">
        <v>50.719817918947044</v>
      </c>
      <c r="N44" s="6">
        <v>46.74567860751292</v>
      </c>
      <c r="O44" s="6">
        <v>50.09880703328167</v>
      </c>
      <c r="P44" s="6">
        <v>1518.2986818177783</v>
      </c>
    </row>
    <row r="45" spans="1:16" ht="12.75">
      <c r="A45" s="4">
        <v>26</v>
      </c>
      <c r="C45" t="s">
        <v>120</v>
      </c>
      <c r="D45" s="6">
        <v>85.26878222948119</v>
      </c>
      <c r="E45" s="6">
        <v>168.39627747608085</v>
      </c>
      <c r="F45" s="6">
        <v>277.6931613193857</v>
      </c>
      <c r="G45" s="6">
        <v>353.75827735252216</v>
      </c>
      <c r="H45" s="6">
        <v>316.69232019313944</v>
      </c>
      <c r="I45" s="6">
        <v>228.7414134959286</v>
      </c>
      <c r="J45" s="6">
        <v>165.26655918180103</v>
      </c>
      <c r="K45" s="6">
        <v>122.54792342208182</v>
      </c>
      <c r="L45" s="6">
        <v>81.4349052051376</v>
      </c>
      <c r="M45" s="6">
        <v>63.876447148997634</v>
      </c>
      <c r="N45" s="6">
        <v>58.55193275215999</v>
      </c>
      <c r="O45" s="6">
        <v>63.044422616841786</v>
      </c>
      <c r="P45" s="6">
        <v>1985.2724223935577</v>
      </c>
    </row>
    <row r="46" spans="4:15" ht="12.7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3" ht="12.75">
      <c r="A47" s="4"/>
      <c r="C47" s="5" t="s">
        <v>183</v>
      </c>
    </row>
    <row r="48" ht="12.75">
      <c r="A48" s="4"/>
    </row>
    <row r="49" spans="1:3" ht="12.75">
      <c r="A49" s="238"/>
      <c r="B49" s="10"/>
      <c r="C49" s="80" t="s">
        <v>40</v>
      </c>
    </row>
    <row r="50" spans="1:16" ht="12.75">
      <c r="A50" s="4">
        <f>A45+1</f>
        <v>27</v>
      </c>
      <c r="C50" t="s">
        <v>108</v>
      </c>
      <c r="D50" s="239">
        <f>(D33-D16)/D16</f>
        <v>0.9632429914028817</v>
      </c>
      <c r="E50" s="239">
        <f aca="true" t="shared" si="1" ref="E50:P50">(E33-E16)/E16</f>
        <v>0.7080573206363541</v>
      </c>
      <c r="F50" s="239">
        <f t="shared" si="1"/>
        <v>0.522072914875086</v>
      </c>
      <c r="G50" s="239">
        <f t="shared" si="1"/>
        <v>0.43988358709319336</v>
      </c>
      <c r="H50" s="239">
        <f t="shared" si="1"/>
        <v>0.4766158717868224</v>
      </c>
      <c r="I50" s="239">
        <f t="shared" si="1"/>
        <v>0.5922400377162155</v>
      </c>
      <c r="J50" s="239">
        <f t="shared" si="1"/>
        <v>0.7152580330610855</v>
      </c>
      <c r="K50" s="239">
        <f t="shared" si="1"/>
        <v>0.8298342376864793</v>
      </c>
      <c r="L50" s="239">
        <f t="shared" si="1"/>
        <v>0.9793583683034179</v>
      </c>
      <c r="M50" s="239">
        <f t="shared" si="1"/>
        <v>1.0604085926999116</v>
      </c>
      <c r="N50" s="239">
        <f t="shared" si="1"/>
        <v>1.0876319876323912</v>
      </c>
      <c r="O50" s="239">
        <f t="shared" si="1"/>
        <v>1.064574573434481</v>
      </c>
      <c r="P50" s="239">
        <f t="shared" si="1"/>
        <v>0.7148567615531576</v>
      </c>
    </row>
    <row r="51" spans="1:16" ht="12.75">
      <c r="A51" s="4">
        <f>A50+1</f>
        <v>28</v>
      </c>
      <c r="C51" t="s">
        <v>109</v>
      </c>
      <c r="D51" s="239">
        <f aca="true" t="shared" si="2" ref="D51:P62">(D34-D17)/D17</f>
        <v>0.5451056573494465</v>
      </c>
      <c r="E51" s="239">
        <f t="shared" si="2"/>
        <v>0.31371543438035626</v>
      </c>
      <c r="F51" s="239">
        <f t="shared" si="2"/>
        <v>0.19551000022462128</v>
      </c>
      <c r="G51" s="239">
        <f t="shared" si="2"/>
        <v>0.15226856788271917</v>
      </c>
      <c r="H51" s="239">
        <f t="shared" si="2"/>
        <v>0.17101641955688673</v>
      </c>
      <c r="I51" s="239">
        <f t="shared" si="2"/>
        <v>0.236429604944364</v>
      </c>
      <c r="J51" s="239">
        <f t="shared" si="2"/>
        <v>0.3189816392614446</v>
      </c>
      <c r="K51" s="239">
        <f t="shared" si="2"/>
        <v>0.41151769629485135</v>
      </c>
      <c r="L51" s="239">
        <f t="shared" si="2"/>
        <v>0.5636132773513606</v>
      </c>
      <c r="M51" s="239">
        <f t="shared" si="2"/>
        <v>0.6663496451531304</v>
      </c>
      <c r="N51" s="239">
        <f t="shared" si="2"/>
        <v>0.7049647880366834</v>
      </c>
      <c r="O51" s="239">
        <f t="shared" si="2"/>
        <v>0.6721128023639987</v>
      </c>
      <c r="P51" s="239">
        <f t="shared" si="2"/>
        <v>0.31868661527901365</v>
      </c>
    </row>
    <row r="52" spans="1:16" ht="12.75">
      <c r="A52" s="4">
        <f aca="true" t="shared" si="3" ref="A52:A62">A51+1</f>
        <v>29</v>
      </c>
      <c r="C52" t="s">
        <v>110</v>
      </c>
      <c r="D52" s="239">
        <f t="shared" si="2"/>
        <v>0.382897284053114</v>
      </c>
      <c r="E52" s="239">
        <f t="shared" si="2"/>
        <v>0.19977007772391828</v>
      </c>
      <c r="F52" s="239">
        <f t="shared" si="2"/>
        <v>0.11594512389987127</v>
      </c>
      <c r="G52" s="239">
        <f t="shared" si="2"/>
        <v>0.08673410806974764</v>
      </c>
      <c r="H52" s="239">
        <f t="shared" si="2"/>
        <v>0.09930732262547422</v>
      </c>
      <c r="I52" s="239">
        <f t="shared" si="2"/>
        <v>0.14428799571249706</v>
      </c>
      <c r="J52" s="239">
        <f t="shared" si="2"/>
        <v>0.20364693258965316</v>
      </c>
      <c r="K52" s="239">
        <f t="shared" si="2"/>
        <v>0.27388701443390495</v>
      </c>
      <c r="L52" s="239">
        <f t="shared" si="2"/>
        <v>0.39876687304874525</v>
      </c>
      <c r="M52" s="239">
        <f t="shared" si="2"/>
        <v>0.4905526467434322</v>
      </c>
      <c r="N52" s="239">
        <f t="shared" si="2"/>
        <v>0.5267608618267634</v>
      </c>
      <c r="O52" s="239">
        <f t="shared" si="2"/>
        <v>0.495895070198777</v>
      </c>
      <c r="P52" s="239">
        <f t="shared" si="2"/>
        <v>0.20342940967308096</v>
      </c>
    </row>
    <row r="53" spans="1:16" ht="12.75">
      <c r="A53" s="4">
        <f t="shared" si="3"/>
        <v>30</v>
      </c>
      <c r="C53" t="s">
        <v>111</v>
      </c>
      <c r="D53" s="239">
        <f t="shared" si="2"/>
        <v>0.2937227030753672</v>
      </c>
      <c r="E53" s="239">
        <f t="shared" si="2"/>
        <v>0.14379026660327004</v>
      </c>
      <c r="F53" s="239">
        <f t="shared" si="2"/>
        <v>0.07887022938038113</v>
      </c>
      <c r="G53" s="239">
        <f t="shared" si="2"/>
        <v>0.056761961926010386</v>
      </c>
      <c r="H53" s="239">
        <f t="shared" si="2"/>
        <v>0.06624600504018693</v>
      </c>
      <c r="I53" s="239">
        <f t="shared" si="2"/>
        <v>0.10057291377173004</v>
      </c>
      <c r="J53" s="239">
        <f t="shared" si="2"/>
        <v>0.14684707199906813</v>
      </c>
      <c r="K53" s="239">
        <f t="shared" si="2"/>
        <v>0.20308841180289652</v>
      </c>
      <c r="L53" s="239">
        <f t="shared" si="2"/>
        <v>0.30727110032491894</v>
      </c>
      <c r="M53" s="239">
        <f t="shared" si="2"/>
        <v>0.3874803283199342</v>
      </c>
      <c r="N53" s="239">
        <f t="shared" si="2"/>
        <v>0.4200163536032434</v>
      </c>
      <c r="O53" s="239">
        <f t="shared" si="2"/>
        <v>0.3922484211573436</v>
      </c>
      <c r="P53" s="239">
        <f t="shared" si="2"/>
        <v>0.14667543109618586</v>
      </c>
    </row>
    <row r="54" spans="1:16" ht="12.75">
      <c r="A54" s="4">
        <f t="shared" si="3"/>
        <v>31</v>
      </c>
      <c r="C54" t="s">
        <v>112</v>
      </c>
      <c r="D54" s="239">
        <f t="shared" si="2"/>
        <v>0.2355388475434048</v>
      </c>
      <c r="E54" s="239">
        <f t="shared" si="2"/>
        <v>0.10948739658549386</v>
      </c>
      <c r="F54" s="239">
        <f t="shared" si="2"/>
        <v>0.05676735237956867</v>
      </c>
      <c r="G54" s="239">
        <f t="shared" si="2"/>
        <v>0.03906066151508271</v>
      </c>
      <c r="H54" s="239">
        <f t="shared" si="2"/>
        <v>0.04664133220066222</v>
      </c>
      <c r="I54" s="239">
        <f t="shared" si="2"/>
        <v>0.0742703891613388</v>
      </c>
      <c r="J54" s="239">
        <f t="shared" si="2"/>
        <v>0.11199680819686615</v>
      </c>
      <c r="K54" s="239">
        <f t="shared" si="2"/>
        <v>0.15860968994172137</v>
      </c>
      <c r="L54" s="239">
        <f t="shared" si="2"/>
        <v>0.2472356774388238</v>
      </c>
      <c r="M54" s="239">
        <f t="shared" si="2"/>
        <v>0.3175658373028109</v>
      </c>
      <c r="N54" s="239">
        <f t="shared" si="2"/>
        <v>0.3466337754842172</v>
      </c>
      <c r="O54" s="239">
        <f t="shared" si="2"/>
        <v>0.3218059491943842</v>
      </c>
      <c r="P54" s="239">
        <f t="shared" si="2"/>
        <v>0.11185583851414775</v>
      </c>
    </row>
    <row r="55" spans="1:16" ht="12.75">
      <c r="A55" s="4">
        <f t="shared" si="3"/>
        <v>32</v>
      </c>
      <c r="C55" t="s">
        <v>113</v>
      </c>
      <c r="D55" s="239">
        <f t="shared" si="2"/>
        <v>0.195886336200058</v>
      </c>
      <c r="E55" s="239">
        <f t="shared" si="2"/>
        <v>0.08703902521808289</v>
      </c>
      <c r="F55" s="239">
        <f t="shared" si="2"/>
        <v>0.042547579459306255</v>
      </c>
      <c r="G55" s="239">
        <f t="shared" si="2"/>
        <v>0.027737857499327324</v>
      </c>
      <c r="H55" s="239">
        <f t="shared" si="2"/>
        <v>0.03407012493301185</v>
      </c>
      <c r="I55" s="239">
        <f t="shared" si="2"/>
        <v>0.057252543692048866</v>
      </c>
      <c r="J55" s="239">
        <f t="shared" si="2"/>
        <v>0.08917171723138256</v>
      </c>
      <c r="K55" s="239">
        <f t="shared" si="2"/>
        <v>0.12903720761524032</v>
      </c>
      <c r="L55" s="239">
        <f t="shared" si="2"/>
        <v>0.20616771251972635</v>
      </c>
      <c r="M55" s="239">
        <f t="shared" si="2"/>
        <v>0.268652832669946</v>
      </c>
      <c r="N55" s="239">
        <f t="shared" si="2"/>
        <v>0.29481666620585073</v>
      </c>
      <c r="O55" s="239">
        <f t="shared" si="2"/>
        <v>0.2724568786452877</v>
      </c>
      <c r="P55" s="239">
        <f t="shared" si="2"/>
        <v>0.08905187402171702</v>
      </c>
    </row>
    <row r="56" spans="1:16" ht="12.75">
      <c r="A56" s="4">
        <f t="shared" si="3"/>
        <v>33</v>
      </c>
      <c r="C56" t="s">
        <v>114</v>
      </c>
      <c r="D56" s="239">
        <f t="shared" si="2"/>
        <v>0.16667845455441802</v>
      </c>
      <c r="E56" s="239">
        <f t="shared" si="2"/>
        <v>0.07096078804009064</v>
      </c>
      <c r="F56" s="239">
        <f t="shared" si="2"/>
        <v>0.032479343957253146</v>
      </c>
      <c r="G56" s="239">
        <f t="shared" si="2"/>
        <v>0.01975146656394057</v>
      </c>
      <c r="H56" s="239">
        <f t="shared" si="2"/>
        <v>0.025188647101182054</v>
      </c>
      <c r="I56" s="239">
        <f t="shared" si="2"/>
        <v>0.045157246039041275</v>
      </c>
      <c r="J56" s="239">
        <f t="shared" si="2"/>
        <v>0.07281465890700846</v>
      </c>
      <c r="K56" s="239">
        <f t="shared" si="2"/>
        <v>0.10762577301608907</v>
      </c>
      <c r="L56" s="239">
        <f t="shared" si="2"/>
        <v>0.17583719049166702</v>
      </c>
      <c r="M56" s="239">
        <f t="shared" si="2"/>
        <v>0.231944524514753</v>
      </c>
      <c r="N56" s="239">
        <f t="shared" si="2"/>
        <v>0.255667354745921</v>
      </c>
      <c r="O56" s="239">
        <f t="shared" si="2"/>
        <v>0.2353851869831925</v>
      </c>
      <c r="P56" s="239">
        <f t="shared" si="2"/>
        <v>0.07271046100933079</v>
      </c>
    </row>
    <row r="57" spans="1:16" ht="12.75">
      <c r="A57" s="4">
        <f t="shared" si="3"/>
        <v>34</v>
      </c>
      <c r="C57" t="s">
        <v>115</v>
      </c>
      <c r="D57" s="239">
        <f t="shared" si="2"/>
        <v>0.14455022798273356</v>
      </c>
      <c r="E57" s="239">
        <f t="shared" si="2"/>
        <v>0.05902857971879616</v>
      </c>
      <c r="F57" s="239">
        <f t="shared" si="2"/>
        <v>0.025069240542927553</v>
      </c>
      <c r="G57" s="239">
        <f t="shared" si="2"/>
        <v>0.013889734616548502</v>
      </c>
      <c r="H57" s="239">
        <f t="shared" si="2"/>
        <v>0.018662281560768938</v>
      </c>
      <c r="I57" s="239">
        <f t="shared" si="2"/>
        <v>0.03623081638893495</v>
      </c>
      <c r="J57" s="239">
        <f t="shared" si="2"/>
        <v>0.06067066693582735</v>
      </c>
      <c r="K57" s="239">
        <f t="shared" si="2"/>
        <v>0.09160936780380556</v>
      </c>
      <c r="L57" s="239">
        <f t="shared" si="2"/>
        <v>0.15281308305378227</v>
      </c>
      <c r="M57" s="239">
        <f t="shared" si="2"/>
        <v>0.2037406673978193</v>
      </c>
      <c r="N57" s="239">
        <f t="shared" si="2"/>
        <v>0.22543431594306593</v>
      </c>
      <c r="O57" s="239">
        <f t="shared" si="2"/>
        <v>0.20688106456446145</v>
      </c>
      <c r="P57" s="239">
        <f t="shared" si="2"/>
        <v>0.06057835760337793</v>
      </c>
    </row>
    <row r="58" spans="1:16" ht="12.75">
      <c r="A58" s="4">
        <f t="shared" si="3"/>
        <v>35</v>
      </c>
      <c r="C58" t="s">
        <v>116</v>
      </c>
      <c r="D58" s="239">
        <f t="shared" si="2"/>
        <v>0.12651510661007717</v>
      </c>
      <c r="E58" s="239">
        <f t="shared" si="2"/>
        <v>0.04945782548925635</v>
      </c>
      <c r="F58" s="239">
        <f t="shared" si="2"/>
        <v>0.019163319044780098</v>
      </c>
      <c r="G58" s="239">
        <f t="shared" si="2"/>
        <v>0.009227654985124489</v>
      </c>
      <c r="H58" s="239">
        <f t="shared" si="2"/>
        <v>0.01346694732369815</v>
      </c>
      <c r="I58" s="239">
        <f t="shared" si="2"/>
        <v>0.029101478760262544</v>
      </c>
      <c r="J58" s="239">
        <f t="shared" si="2"/>
        <v>0.050927047542217725</v>
      </c>
      <c r="K58" s="239">
        <f t="shared" si="2"/>
        <v>0.07868413453607215</v>
      </c>
      <c r="L58" s="239">
        <f t="shared" si="2"/>
        <v>0.1340187957996031</v>
      </c>
      <c r="M58" s="239">
        <f t="shared" si="2"/>
        <v>0.1804981873313956</v>
      </c>
      <c r="N58" s="239">
        <f t="shared" si="2"/>
        <v>0.20041852463783588</v>
      </c>
      <c r="O58" s="239">
        <f t="shared" si="2"/>
        <v>0.18337736441447036</v>
      </c>
      <c r="P58" s="239">
        <f t="shared" si="2"/>
        <v>0.050844445095125985</v>
      </c>
    </row>
    <row r="59" spans="1:16" ht="12.75">
      <c r="A59" s="4">
        <f t="shared" si="3"/>
        <v>36</v>
      </c>
      <c r="C59" t="s">
        <v>117</v>
      </c>
      <c r="D59" s="239">
        <f t="shared" si="2"/>
        <v>0.11205011529366721</v>
      </c>
      <c r="E59" s="239">
        <f t="shared" si="2"/>
        <v>0.04187965480573618</v>
      </c>
      <c r="F59" s="239">
        <f t="shared" si="2"/>
        <v>0.014510570905410974</v>
      </c>
      <c r="G59" s="239">
        <f t="shared" si="2"/>
        <v>0.0055609080109143725</v>
      </c>
      <c r="H59" s="239">
        <f t="shared" si="2"/>
        <v>0.009377899077332056</v>
      </c>
      <c r="I59" s="239">
        <f t="shared" si="2"/>
        <v>0.023475582564351772</v>
      </c>
      <c r="J59" s="239">
        <f t="shared" si="2"/>
        <v>0.04321010947010727</v>
      </c>
      <c r="K59" s="239">
        <f t="shared" si="2"/>
        <v>0.06839984520678498</v>
      </c>
      <c r="L59" s="239">
        <f t="shared" si="2"/>
        <v>0.1189260590702199</v>
      </c>
      <c r="M59" s="239">
        <f t="shared" si="2"/>
        <v>0.16168828259164983</v>
      </c>
      <c r="N59" s="239">
        <f t="shared" si="2"/>
        <v>0.18010625625128338</v>
      </c>
      <c r="O59" s="239">
        <f t="shared" si="2"/>
        <v>0.16434693732040287</v>
      </c>
      <c r="P59" s="239">
        <f t="shared" si="2"/>
        <v>0.0431353011385316</v>
      </c>
    </row>
    <row r="60" spans="1:16" ht="12.75">
      <c r="A60" s="4">
        <f t="shared" si="3"/>
        <v>37</v>
      </c>
      <c r="C60" t="s">
        <v>118</v>
      </c>
      <c r="D60" s="239">
        <f t="shared" si="2"/>
        <v>0.10009288515376151</v>
      </c>
      <c r="E60" s="239">
        <f t="shared" si="2"/>
        <v>0.035680016400925725</v>
      </c>
      <c r="F60" s="239">
        <f t="shared" si="2"/>
        <v>0.010719594977023005</v>
      </c>
      <c r="G60" s="239">
        <f t="shared" si="2"/>
        <v>0.002577266865226441</v>
      </c>
      <c r="H60" s="239">
        <f t="shared" si="2"/>
        <v>0.00604874817025356</v>
      </c>
      <c r="I60" s="239">
        <f t="shared" si="2"/>
        <v>0.01888561153790633</v>
      </c>
      <c r="J60" s="239">
        <f t="shared" si="2"/>
        <v>0.03689570271440171</v>
      </c>
      <c r="K60" s="239">
        <f t="shared" si="2"/>
        <v>0.059953254065763045</v>
      </c>
      <c r="L60" s="239">
        <f t="shared" si="2"/>
        <v>0.10643721802779724</v>
      </c>
      <c r="M60" s="239">
        <f t="shared" si="2"/>
        <v>0.14602484922074607</v>
      </c>
      <c r="N60" s="239">
        <f t="shared" si="2"/>
        <v>0.16314565980917298</v>
      </c>
      <c r="O60" s="239">
        <f t="shared" si="2"/>
        <v>0.1484936404913218</v>
      </c>
      <c r="P60" s="239">
        <f t="shared" si="2"/>
        <v>0.036827341817271306</v>
      </c>
    </row>
    <row r="61" spans="1:16" ht="12.75">
      <c r="A61" s="4">
        <f t="shared" si="3"/>
        <v>38</v>
      </c>
      <c r="C61" t="s">
        <v>119</v>
      </c>
      <c r="D61" s="239">
        <f t="shared" si="2"/>
        <v>0.08995916574605727</v>
      </c>
      <c r="E61" s="239">
        <f t="shared" si="2"/>
        <v>0.03047104778301235</v>
      </c>
      <c r="F61" s="239">
        <f t="shared" si="2"/>
        <v>0.007545050751174638</v>
      </c>
      <c r="G61" s="239">
        <f t="shared" si="2"/>
        <v>8.151039168371789E-05</v>
      </c>
      <c r="H61" s="239">
        <f t="shared" si="2"/>
        <v>0.003262681467859619</v>
      </c>
      <c r="I61" s="239">
        <f t="shared" si="2"/>
        <v>0.015037777159655033</v>
      </c>
      <c r="J61" s="239">
        <f t="shared" si="2"/>
        <v>0.03158943947680837</v>
      </c>
      <c r="K61" s="239">
        <f t="shared" si="2"/>
        <v>0.0528332307546422</v>
      </c>
      <c r="L61" s="239">
        <f t="shared" si="2"/>
        <v>0.09584395100957076</v>
      </c>
      <c r="M61" s="239">
        <f t="shared" si="2"/>
        <v>0.13266813124717758</v>
      </c>
      <c r="N61" s="239">
        <f t="shared" si="2"/>
        <v>0.14864958312411064</v>
      </c>
      <c r="O61" s="239">
        <f t="shared" si="2"/>
        <v>0.13497054554425042</v>
      </c>
      <c r="P61" s="239">
        <f t="shared" si="2"/>
        <v>0.031526545263012774</v>
      </c>
    </row>
    <row r="62" spans="1:16" ht="12.75">
      <c r="A62" s="4">
        <f t="shared" si="3"/>
        <v>39</v>
      </c>
      <c r="C62" t="s">
        <v>120</v>
      </c>
      <c r="D62" s="239">
        <f t="shared" si="2"/>
        <v>0.06223262168611689</v>
      </c>
      <c r="E62" s="239">
        <f t="shared" si="2"/>
        <v>0.016426873708213857</v>
      </c>
      <c r="F62" s="239">
        <f t="shared" si="2"/>
        <v>-0.0009658910066537385</v>
      </c>
      <c r="G62" s="239">
        <f t="shared" si="2"/>
        <v>-0.006597356442422999</v>
      </c>
      <c r="H62" s="239">
        <f t="shared" si="2"/>
        <v>-0.004198904358125908</v>
      </c>
      <c r="I62" s="239">
        <f t="shared" si="2"/>
        <v>0.004702739881131988</v>
      </c>
      <c r="J62" s="239">
        <f t="shared" si="2"/>
        <v>0.017279004099558043</v>
      </c>
      <c r="K62" s="239">
        <f t="shared" si="2"/>
        <v>0.03353044400705778</v>
      </c>
      <c r="L62" s="239">
        <f t="shared" si="2"/>
        <v>0.06681772831306325</v>
      </c>
      <c r="M62" s="239">
        <f t="shared" si="2"/>
        <v>0.0957333264384194</v>
      </c>
      <c r="N62" s="239">
        <f t="shared" si="2"/>
        <v>0.10840409825442959</v>
      </c>
      <c r="O62" s="239">
        <f t="shared" si="2"/>
        <v>0.09755420765403017</v>
      </c>
      <c r="P62" s="239">
        <f t="shared" si="2"/>
        <v>0.017231074351288653</v>
      </c>
    </row>
  </sheetData>
  <sheetProtection/>
  <mergeCells count="3">
    <mergeCell ref="C3:P3"/>
    <mergeCell ref="C2:P2"/>
    <mergeCell ref="C1:P1"/>
  </mergeCells>
  <printOptions/>
  <pageMargins left="0.58" right="0.46" top="0.82" bottom="0.76" header="0.75" footer="0.5"/>
  <pageSetup horizontalDpi="600" verticalDpi="600" orientation="landscape" scale="74" r:id="rId1"/>
  <rowBreaks count="1" manualBreakCount="1">
    <brk id="1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/>
  <dimension ref="A1:R157"/>
  <sheetViews>
    <sheetView zoomScalePageLayoutView="0" workbookViewId="0" topLeftCell="A1">
      <selection activeCell="H11" sqref="H11"/>
    </sheetView>
  </sheetViews>
  <sheetFormatPr defaultColWidth="9.140625" defaultRowHeight="12" customHeight="1"/>
  <cols>
    <col min="1" max="1" width="4.421875" style="3" bestFit="1" customWidth="1"/>
    <col min="2" max="2" width="1.28515625" style="3" customWidth="1"/>
    <col min="3" max="3" width="24.7109375" style="3" customWidth="1"/>
    <col min="4" max="4" width="11.28125" style="3" customWidth="1"/>
    <col min="5" max="5" width="12.7109375" style="3" customWidth="1"/>
    <col min="6" max="6" width="18.7109375" style="3" customWidth="1"/>
    <col min="7" max="7" width="19.421875" style="3" customWidth="1"/>
    <col min="8" max="8" width="12.140625" style="3" bestFit="1" customWidth="1"/>
    <col min="9" max="10" width="11.7109375" style="3" customWidth="1"/>
    <col min="11" max="16" width="12.7109375" style="3" customWidth="1"/>
    <col min="17" max="16384" width="9.140625" style="3" customWidth="1"/>
  </cols>
  <sheetData>
    <row r="1" spans="1:12" ht="12" customHeight="1">
      <c r="A1" s="240" t="s">
        <v>106</v>
      </c>
      <c r="B1" s="240"/>
      <c r="C1" s="240"/>
      <c r="D1" s="240"/>
      <c r="E1" s="240"/>
      <c r="F1" s="240"/>
      <c r="G1" s="240"/>
      <c r="H1" s="240"/>
      <c r="I1" s="11"/>
      <c r="J1" s="11"/>
      <c r="K1" s="11"/>
      <c r="L1" s="11"/>
    </row>
    <row r="2" spans="1:12" ht="12" customHeight="1">
      <c r="A2" s="240" t="s">
        <v>56</v>
      </c>
      <c r="B2" s="240"/>
      <c r="C2" s="240"/>
      <c r="D2" s="240"/>
      <c r="E2" s="240"/>
      <c r="F2" s="240"/>
      <c r="G2" s="240"/>
      <c r="H2" s="240"/>
      <c r="I2" s="7"/>
      <c r="J2" s="11"/>
      <c r="K2" s="11"/>
      <c r="L2" s="11"/>
    </row>
    <row r="3" spans="1:12" ht="15.75">
      <c r="A3" s="241" t="s">
        <v>170</v>
      </c>
      <c r="B3" s="241"/>
      <c r="C3" s="241"/>
      <c r="D3" s="241"/>
      <c r="E3" s="241"/>
      <c r="F3" s="241"/>
      <c r="G3" s="241"/>
      <c r="H3" s="241"/>
      <c r="I3" s="56"/>
      <c r="J3" s="56"/>
      <c r="K3" s="53"/>
      <c r="L3" s="53"/>
    </row>
    <row r="4" spans="1:12" ht="12.75">
      <c r="A4" s="55"/>
      <c r="B4" s="53"/>
      <c r="C4" s="11"/>
      <c r="D4" s="57"/>
      <c r="E4" s="57"/>
      <c r="F4" s="57"/>
      <c r="G4" s="57"/>
      <c r="H4" s="57"/>
      <c r="I4" s="57"/>
      <c r="J4" s="57"/>
      <c r="K4" s="53"/>
      <c r="L4" s="53"/>
    </row>
    <row r="5" spans="1:8" ht="41.25" customHeight="1">
      <c r="A5" s="4" t="s">
        <v>79</v>
      </c>
      <c r="D5" s="69" t="s">
        <v>103</v>
      </c>
      <c r="E5" s="69" t="s">
        <v>35</v>
      </c>
      <c r="F5" s="69" t="s">
        <v>101</v>
      </c>
      <c r="G5" s="70" t="s">
        <v>102</v>
      </c>
      <c r="H5" s="70"/>
    </row>
    <row r="6" spans="1:8" ht="13.5" customHeight="1">
      <c r="A6">
        <v>1</v>
      </c>
      <c r="C6" t="s">
        <v>108</v>
      </c>
      <c r="D6" s="8">
        <v>1674</v>
      </c>
      <c r="E6" s="223">
        <v>0.028401282638570773</v>
      </c>
      <c r="F6" s="49">
        <v>6.876962500000001</v>
      </c>
      <c r="G6" s="49">
        <v>0.3145953601509544</v>
      </c>
      <c r="H6" s="6"/>
    </row>
    <row r="7" spans="1:8" ht="13.5" customHeight="1">
      <c r="A7">
        <v>2</v>
      </c>
      <c r="C7" t="s">
        <v>109</v>
      </c>
      <c r="D7" s="8">
        <v>1839</v>
      </c>
      <c r="E7" s="223">
        <v>0.03120069221764137</v>
      </c>
      <c r="F7" s="49">
        <v>6.583039583333336</v>
      </c>
      <c r="G7" s="49">
        <v>1.0661287205115617</v>
      </c>
      <c r="H7" s="6"/>
    </row>
    <row r="8" spans="1:8" ht="13.5" customHeight="1">
      <c r="A8">
        <v>3</v>
      </c>
      <c r="C8" t="s">
        <v>110</v>
      </c>
      <c r="D8" s="8">
        <v>2724</v>
      </c>
      <c r="E8" s="223">
        <v>0.04621570723265638</v>
      </c>
      <c r="F8" s="49">
        <v>6.30743558333333</v>
      </c>
      <c r="G8" s="49">
        <v>1.7708223272497037</v>
      </c>
      <c r="H8" s="6"/>
    </row>
    <row r="9" spans="1:8" ht="13.5" customHeight="1">
      <c r="A9">
        <v>4</v>
      </c>
      <c r="C9" t="s">
        <v>111</v>
      </c>
      <c r="D9" s="8">
        <v>3479</v>
      </c>
      <c r="E9" s="32">
        <v>0.05902512682173699</v>
      </c>
      <c r="F9" s="49">
        <v>6.0370265000000005</v>
      </c>
      <c r="G9" s="49">
        <v>2.462233018781466</v>
      </c>
      <c r="H9" s="6"/>
    </row>
    <row r="10" spans="1:8" ht="13.5" customHeight="1">
      <c r="A10">
        <v>5</v>
      </c>
      <c r="C10" t="s">
        <v>112</v>
      </c>
      <c r="D10" s="8">
        <v>5017</v>
      </c>
      <c r="E10" s="32">
        <v>0.08511901732240715</v>
      </c>
      <c r="F10" s="49">
        <v>5.76142249999999</v>
      </c>
      <c r="G10" s="49">
        <v>3.1669266255195887</v>
      </c>
      <c r="H10" s="6"/>
    </row>
    <row r="11" spans="1:8" ht="13.5" customHeight="1">
      <c r="A11">
        <v>6</v>
      </c>
      <c r="C11" t="s">
        <v>113</v>
      </c>
      <c r="D11" s="8">
        <v>7140</v>
      </c>
      <c r="E11" s="32">
        <v>0.12113808723978216</v>
      </c>
      <c r="F11" s="49">
        <v>5.491013416666675</v>
      </c>
      <c r="G11" s="49">
        <v>3.8583373170513653</v>
      </c>
      <c r="H11" s="6"/>
    </row>
    <row r="12" spans="1:8" ht="13.5" customHeight="1">
      <c r="A12">
        <v>7</v>
      </c>
      <c r="C12" t="s">
        <v>114</v>
      </c>
      <c r="D12" s="8">
        <v>8381</v>
      </c>
      <c r="E12" s="32">
        <v>0.14219304049812526</v>
      </c>
      <c r="F12" s="49">
        <v>5.22087775</v>
      </c>
      <c r="G12" s="49">
        <v>4.549048907782786</v>
      </c>
      <c r="H12" s="6"/>
    </row>
    <row r="13" spans="1:8" s="12" customFormat="1" ht="13.5" customHeight="1">
      <c r="A13">
        <v>8</v>
      </c>
      <c r="C13" s="12" t="s">
        <v>115</v>
      </c>
      <c r="D13" s="39">
        <v>7988</v>
      </c>
      <c r="E13" s="224">
        <v>0.13552535586433892</v>
      </c>
      <c r="F13" s="216">
        <v>4.954843333333334</v>
      </c>
      <c r="G13" s="216">
        <v>5.229273986509175</v>
      </c>
      <c r="H13" s="13"/>
    </row>
    <row r="14" spans="1:8" ht="13.5" customHeight="1">
      <c r="A14">
        <v>9</v>
      </c>
      <c r="C14" t="s">
        <v>116</v>
      </c>
      <c r="D14" s="8">
        <v>6631</v>
      </c>
      <c r="E14" s="223">
        <v>0.11250233284131589</v>
      </c>
      <c r="F14" s="49">
        <v>4.681153250000004</v>
      </c>
      <c r="G14" s="49">
        <v>5.92907388764498</v>
      </c>
      <c r="H14" s="6"/>
    </row>
    <row r="15" spans="1:8" ht="13.5" customHeight="1">
      <c r="A15">
        <v>10</v>
      </c>
      <c r="C15" t="s">
        <v>117</v>
      </c>
      <c r="D15" s="8">
        <v>4757</v>
      </c>
      <c r="E15" s="223">
        <v>0.08070782647053834</v>
      </c>
      <c r="F15" s="49">
        <v>4.4101973333333335</v>
      </c>
      <c r="G15" s="49">
        <v>6.621882780777393</v>
      </c>
      <c r="H15" s="6"/>
    </row>
    <row r="16" spans="1:8" ht="13.5" customHeight="1">
      <c r="A16">
        <v>11</v>
      </c>
      <c r="C16" t="s">
        <v>118</v>
      </c>
      <c r="D16" s="8">
        <v>3216</v>
      </c>
      <c r="E16" s="223">
        <v>0.05456303761388507</v>
      </c>
      <c r="F16" s="49">
        <v>4.139514833333351</v>
      </c>
      <c r="G16" s="49">
        <v>7.313992573109506</v>
      </c>
      <c r="H16" s="6"/>
    </row>
    <row r="17" spans="1:8" ht="13.5" customHeight="1">
      <c r="A17">
        <v>12</v>
      </c>
      <c r="C17" t="s">
        <v>119</v>
      </c>
      <c r="D17" s="8">
        <v>2057</v>
      </c>
      <c r="E17" s="223">
        <v>0.03489930608574676</v>
      </c>
      <c r="F17" s="49">
        <v>3.8666450000000245</v>
      </c>
      <c r="G17" s="49">
        <v>8.01169517184428</v>
      </c>
      <c r="H17" s="6"/>
    </row>
    <row r="18" spans="1:8" ht="13.5" customHeight="1">
      <c r="A18">
        <v>13</v>
      </c>
      <c r="C18" t="s">
        <v>120</v>
      </c>
      <c r="D18" s="8">
        <v>4038</v>
      </c>
      <c r="E18" s="223">
        <v>0.06850918715325495</v>
      </c>
      <c r="F18" s="49">
        <v>2.801960499999988</v>
      </c>
      <c r="G18" s="49">
        <v>10.733993688350532</v>
      </c>
      <c r="H18" s="6"/>
    </row>
    <row r="19" spans="4:8" ht="13.5" customHeight="1">
      <c r="D19" s="8"/>
      <c r="E19" s="32"/>
      <c r="F19" s="8"/>
      <c r="G19" s="6"/>
      <c r="H19" s="6"/>
    </row>
    <row r="20" spans="1:18" ht="12.75">
      <c r="A20">
        <v>14</v>
      </c>
      <c r="C20" t="s">
        <v>105</v>
      </c>
      <c r="D20" s="8">
        <f>SUM(D6:D19)</f>
        <v>58941</v>
      </c>
      <c r="E20" s="32">
        <f>SUM(E6:E19)</f>
        <v>0.9999999999999999</v>
      </c>
      <c r="F20" s="8"/>
      <c r="G20" s="6"/>
      <c r="H20" s="6"/>
      <c r="R20" s="9"/>
    </row>
    <row r="21" spans="4:18" ht="12.75">
      <c r="D21" s="8"/>
      <c r="E21" s="32"/>
      <c r="F21" s="8"/>
      <c r="G21" s="6"/>
      <c r="H21" s="6"/>
      <c r="R21" s="9"/>
    </row>
    <row r="22" spans="4:18" ht="12.75">
      <c r="D22" s="8"/>
      <c r="E22" s="32"/>
      <c r="F22" s="8"/>
      <c r="G22" s="6"/>
      <c r="H22" s="6"/>
      <c r="R22" s="9"/>
    </row>
    <row r="23" spans="4:18" ht="12.75">
      <c r="D23" s="8"/>
      <c r="E23" s="32"/>
      <c r="F23" s="8"/>
      <c r="G23" s="6"/>
      <c r="H23" s="6"/>
      <c r="R23" s="9"/>
    </row>
    <row r="24" spans="4:18" ht="12.75">
      <c r="D24" s="8"/>
      <c r="E24" s="32"/>
      <c r="F24" s="8"/>
      <c r="G24" s="6"/>
      <c r="H24" s="6"/>
      <c r="R24" s="9"/>
    </row>
    <row r="25" spans="4:8" ht="12.75">
      <c r="D25" s="8"/>
      <c r="E25" s="32"/>
      <c r="F25" s="8"/>
      <c r="G25" s="6"/>
      <c r="H25" s="6"/>
    </row>
    <row r="26" spans="4:5" ht="12.75">
      <c r="D26" s="8"/>
      <c r="E26" s="8"/>
    </row>
    <row r="27" spans="4:5" ht="12.75">
      <c r="D27" s="8"/>
      <c r="E27" s="8"/>
    </row>
    <row r="28" spans="4:5" ht="12.75">
      <c r="D28" s="8"/>
      <c r="E28" s="8"/>
    </row>
    <row r="29" spans="4:5" ht="12.75">
      <c r="D29" s="8"/>
      <c r="E29" s="8"/>
    </row>
    <row r="30" spans="4:5" ht="12.75">
      <c r="D30" s="8"/>
      <c r="E30" s="8"/>
    </row>
    <row r="31" spans="4:5" ht="12.75">
      <c r="D31" s="8"/>
      <c r="E31" s="8"/>
    </row>
    <row r="32" spans="4:5" ht="12.75">
      <c r="D32" s="8"/>
      <c r="E32" s="8"/>
    </row>
    <row r="33" spans="4:5" ht="12.75">
      <c r="D33" s="8"/>
      <c r="E33" s="8"/>
    </row>
    <row r="34" spans="4:5" ht="12.75">
      <c r="D34" s="8"/>
      <c r="E34" s="8"/>
    </row>
    <row r="35" spans="4:5" ht="12.75">
      <c r="D35" s="8"/>
      <c r="E35" s="8"/>
    </row>
    <row r="36" spans="4:5" ht="12.75">
      <c r="D36" s="8"/>
      <c r="E36" s="8"/>
    </row>
    <row r="37" spans="4:5" ht="12.75">
      <c r="D37" s="8"/>
      <c r="E37" s="8"/>
    </row>
    <row r="38" spans="4:5" ht="12.75">
      <c r="D38" s="8"/>
      <c r="E38" s="8"/>
    </row>
    <row r="39" spans="4:5" ht="12.75">
      <c r="D39" s="8"/>
      <c r="E39" s="8"/>
    </row>
    <row r="40" spans="4:5" ht="12.75">
      <c r="D40" s="8"/>
      <c r="E40" s="8"/>
    </row>
    <row r="41" spans="4:5" ht="12.75">
      <c r="D41" s="8"/>
      <c r="E41" s="8"/>
    </row>
    <row r="42" spans="4:5" ht="12.75">
      <c r="D42" s="8"/>
      <c r="E42" s="8"/>
    </row>
    <row r="43" spans="4:5" ht="12.75">
      <c r="D43" s="8"/>
      <c r="E43" s="8"/>
    </row>
    <row r="44" spans="4:5" ht="12.75">
      <c r="D44" s="8"/>
      <c r="E44" s="8"/>
    </row>
    <row r="45" spans="4:5" ht="12.75">
      <c r="D45" s="8"/>
      <c r="E45" s="8"/>
    </row>
    <row r="46" spans="4:5" ht="12.75">
      <c r="D46" s="8"/>
      <c r="E46" s="8"/>
    </row>
    <row r="47" spans="4:5" ht="12.75">
      <c r="D47" s="8"/>
      <c r="E47" s="8"/>
    </row>
    <row r="48" spans="4:5" ht="12.75">
      <c r="D48" s="8"/>
      <c r="E48" s="8"/>
    </row>
    <row r="49" spans="4:5" ht="12.75">
      <c r="D49" s="8"/>
      <c r="E49" s="8"/>
    </row>
    <row r="50" spans="4:5" ht="12.75">
      <c r="D50" s="8"/>
      <c r="E50" s="8"/>
    </row>
    <row r="51" spans="4:5" ht="12.75">
      <c r="D51" s="8"/>
      <c r="E51" s="8"/>
    </row>
    <row r="52" spans="4:5" ht="12.75">
      <c r="D52" s="8"/>
      <c r="E52" s="8"/>
    </row>
    <row r="53" spans="4:5" ht="12.75">
      <c r="D53" s="8"/>
      <c r="E53" s="8"/>
    </row>
    <row r="54" spans="4:5" ht="12.75">
      <c r="D54" s="8"/>
      <c r="E54" s="8"/>
    </row>
    <row r="55" spans="4:5" ht="12.75">
      <c r="D55" s="8"/>
      <c r="E55" s="8"/>
    </row>
    <row r="56" spans="4:5" ht="12.75">
      <c r="D56" s="8"/>
      <c r="E56" s="8"/>
    </row>
    <row r="57" spans="4:5" ht="12.75">
      <c r="D57" s="8"/>
      <c r="E57" s="8"/>
    </row>
    <row r="58" spans="4:5" ht="12.75">
      <c r="D58" s="8"/>
      <c r="E58" s="8"/>
    </row>
    <row r="59" spans="4:5" ht="12.75">
      <c r="D59" s="8"/>
      <c r="E59" s="8"/>
    </row>
    <row r="60" spans="4:5" ht="12.75">
      <c r="D60" s="8"/>
      <c r="E60" s="8"/>
    </row>
    <row r="61" spans="4:5" ht="12.75">
      <c r="D61" s="8"/>
      <c r="E61" s="8"/>
    </row>
    <row r="62" spans="4:5" ht="12.75">
      <c r="D62" s="8"/>
      <c r="E62" s="8"/>
    </row>
    <row r="63" spans="4:5" ht="12.75">
      <c r="D63" s="8"/>
      <c r="E63" s="8"/>
    </row>
    <row r="64" spans="4:5" ht="12.75">
      <c r="D64" s="8"/>
      <c r="E64" s="8"/>
    </row>
    <row r="65" spans="4:5" ht="12.75">
      <c r="D65" s="8"/>
      <c r="E65" s="8"/>
    </row>
    <row r="66" spans="4:5" ht="12.75">
      <c r="D66" s="8"/>
      <c r="E66" s="8"/>
    </row>
    <row r="67" spans="4:5" ht="12.75">
      <c r="D67" s="8"/>
      <c r="E67" s="8"/>
    </row>
    <row r="68" spans="4:5" ht="12.75">
      <c r="D68" s="8"/>
      <c r="E68" s="8"/>
    </row>
    <row r="69" spans="4:5" ht="12.75">
      <c r="D69" s="8"/>
      <c r="E69" s="8"/>
    </row>
    <row r="70" spans="4:5" ht="12.75">
      <c r="D70" s="8"/>
      <c r="E70" s="8"/>
    </row>
    <row r="71" spans="4:5" ht="12.75">
      <c r="D71" s="8"/>
      <c r="E71" s="8"/>
    </row>
    <row r="72" spans="4:5" ht="12.75">
      <c r="D72" s="8"/>
      <c r="E72" s="8"/>
    </row>
    <row r="73" spans="4:5" ht="12.75">
      <c r="D73" s="8"/>
      <c r="E73" s="8"/>
    </row>
    <row r="74" spans="4:5" ht="12.75">
      <c r="D74" s="8"/>
      <c r="E74" s="8"/>
    </row>
    <row r="75" spans="4:5" ht="12.75">
      <c r="D75" s="8"/>
      <c r="E75" s="8"/>
    </row>
    <row r="76" spans="4:5" ht="12.75">
      <c r="D76" s="8"/>
      <c r="E76" s="8"/>
    </row>
    <row r="77" spans="4:5" ht="12.75">
      <c r="D77" s="8"/>
      <c r="E77" s="8"/>
    </row>
    <row r="78" spans="4:5" ht="12.75">
      <c r="D78" s="8"/>
      <c r="E78" s="8"/>
    </row>
    <row r="79" spans="4:5" ht="12.75">
      <c r="D79" s="8"/>
      <c r="E79" s="8"/>
    </row>
    <row r="80" spans="4:5" ht="12.75">
      <c r="D80" s="8"/>
      <c r="E80" s="8"/>
    </row>
    <row r="81" spans="4:5" ht="12.75">
      <c r="D81" s="8"/>
      <c r="E81" s="8"/>
    </row>
    <row r="82" spans="4:5" ht="12.75">
      <c r="D82" s="8"/>
      <c r="E82" s="8"/>
    </row>
    <row r="83" spans="4:5" ht="12.75">
      <c r="D83" s="8"/>
      <c r="E83" s="8"/>
    </row>
    <row r="84" spans="4:5" ht="12.75">
      <c r="D84" s="8"/>
      <c r="E84" s="8"/>
    </row>
    <row r="85" spans="4:5" ht="12.75">
      <c r="D85" s="8"/>
      <c r="E85" s="8"/>
    </row>
    <row r="86" spans="4:5" ht="12.75">
      <c r="D86" s="8"/>
      <c r="E86" s="8"/>
    </row>
    <row r="87" spans="4:5" ht="12.75">
      <c r="D87" s="8"/>
      <c r="E87" s="8"/>
    </row>
    <row r="88" spans="4:5" ht="12.75">
      <c r="D88" s="8"/>
      <c r="E88" s="8"/>
    </row>
    <row r="89" spans="4:5" ht="12.75">
      <c r="D89" s="8"/>
      <c r="E89" s="8"/>
    </row>
    <row r="90" spans="4:5" ht="12.75">
      <c r="D90" s="8"/>
      <c r="E90" s="8"/>
    </row>
    <row r="91" spans="4:5" ht="12.75">
      <c r="D91" s="8"/>
      <c r="E91" s="8"/>
    </row>
    <row r="92" spans="4:5" ht="12.75">
      <c r="D92" s="8"/>
      <c r="E92" s="8"/>
    </row>
    <row r="93" spans="4:5" ht="12.75">
      <c r="D93" s="8"/>
      <c r="E93" s="8"/>
    </row>
    <row r="94" spans="4:5" ht="12.75">
      <c r="D94" s="8"/>
      <c r="E94" s="8"/>
    </row>
    <row r="95" spans="4:5" ht="12.75">
      <c r="D95" s="8"/>
      <c r="E95" s="8"/>
    </row>
    <row r="96" spans="4:5" ht="12.75">
      <c r="D96" s="8"/>
      <c r="E96" s="8"/>
    </row>
    <row r="97" spans="4:5" ht="12.75">
      <c r="D97" s="8"/>
      <c r="E97" s="8"/>
    </row>
    <row r="98" spans="4:5" ht="12.75">
      <c r="D98" s="8"/>
      <c r="E98" s="8"/>
    </row>
    <row r="99" spans="4:5" ht="12.75">
      <c r="D99" s="8"/>
      <c r="E99" s="8"/>
    </row>
    <row r="100" spans="4:5" ht="12.75">
      <c r="D100" s="8"/>
      <c r="E100" s="8"/>
    </row>
    <row r="101" spans="4:5" ht="12.75">
      <c r="D101" s="8"/>
      <c r="E101" s="8"/>
    </row>
    <row r="102" spans="4:5" ht="12.75">
      <c r="D102" s="8"/>
      <c r="E102" s="8"/>
    </row>
    <row r="103" spans="4:5" ht="12.75">
      <c r="D103" s="8"/>
      <c r="E103" s="8"/>
    </row>
    <row r="104" spans="4:5" ht="12.75">
      <c r="D104" s="8"/>
      <c r="E104" s="8"/>
    </row>
    <row r="105" spans="4:5" ht="12.75">
      <c r="D105" s="8"/>
      <c r="E105" s="8"/>
    </row>
    <row r="106" spans="4:5" ht="12.75">
      <c r="D106" s="8"/>
      <c r="E106" s="8"/>
    </row>
    <row r="107" spans="4:5" ht="12.75">
      <c r="D107" s="8"/>
      <c r="E107" s="8"/>
    </row>
    <row r="108" spans="4:5" ht="12.75">
      <c r="D108" s="8"/>
      <c r="E108" s="8"/>
    </row>
    <row r="109" spans="4:5" ht="13.5" thickBot="1">
      <c r="D109" s="8"/>
      <c r="E109" s="8"/>
    </row>
    <row r="110" spans="4:6" ht="13.5" thickBot="1">
      <c r="D110" s="34" t="s">
        <v>90</v>
      </c>
      <c r="E110" s="250" t="s">
        <v>91</v>
      </c>
      <c r="F110" s="251"/>
    </row>
    <row r="111" spans="3:6" ht="26.25" thickBot="1">
      <c r="C111" s="40"/>
      <c r="D111" s="41" t="s">
        <v>92</v>
      </c>
      <c r="E111" s="42" t="s">
        <v>81</v>
      </c>
      <c r="F111" s="43" t="s">
        <v>93</v>
      </c>
    </row>
    <row r="112" spans="4:7" ht="12.75">
      <c r="D112" s="74" t="s">
        <v>94</v>
      </c>
      <c r="E112" s="83">
        <v>0</v>
      </c>
      <c r="F112" s="82">
        <v>0</v>
      </c>
      <c r="G112" s="12"/>
    </row>
    <row r="113" spans="4:7" ht="12.75">
      <c r="D113" s="44" t="s">
        <v>95</v>
      </c>
      <c r="E113" s="83">
        <v>0</v>
      </c>
      <c r="F113" s="82">
        <f>SUM(E6:E8)</f>
        <v>0.10581768208886852</v>
      </c>
      <c r="G113" s="12"/>
    </row>
    <row r="114" spans="4:7" ht="12.75">
      <c r="D114" s="44" t="s">
        <v>96</v>
      </c>
      <c r="E114" s="222">
        <f>SUM(E17:E18)</f>
        <v>0.10340849323900171</v>
      </c>
      <c r="F114" s="82">
        <f>SUM(E9:E11)</f>
        <v>0.2652822313839263</v>
      </c>
      <c r="G114" s="12"/>
    </row>
    <row r="115" spans="4:7" ht="12.75">
      <c r="D115" s="72" t="s">
        <v>36</v>
      </c>
      <c r="E115" s="222">
        <f>SUM(E10:E16)</f>
        <v>0.7317486978503926</v>
      </c>
      <c r="F115" s="82">
        <f>SUM(E12:E14)</f>
        <v>0.3902207292037801</v>
      </c>
      <c r="G115" s="12"/>
    </row>
    <row r="116" spans="4:7" ht="12.75">
      <c r="D116" s="73" t="s">
        <v>37</v>
      </c>
      <c r="E116" s="83">
        <f>SUM(E6:E9)</f>
        <v>0.16484280891060551</v>
      </c>
      <c r="F116" s="82">
        <f>SUM(E15:E17)</f>
        <v>0.17017017017017017</v>
      </c>
      <c r="G116" s="12"/>
    </row>
    <row r="117" spans="4:7" ht="12.75">
      <c r="D117" s="75" t="s">
        <v>97</v>
      </c>
      <c r="E117" s="83">
        <v>0</v>
      </c>
      <c r="F117" s="82">
        <f>E18</f>
        <v>0.06850918715325495</v>
      </c>
      <c r="G117" s="12"/>
    </row>
    <row r="118" spans="4:7" ht="12.75">
      <c r="D118" s="75" t="s">
        <v>98</v>
      </c>
      <c r="E118" s="83">
        <v>0</v>
      </c>
      <c r="F118" s="82">
        <v>0</v>
      </c>
      <c r="G118" s="12"/>
    </row>
    <row r="119" spans="5:6" ht="13.5" thickBot="1">
      <c r="E119" s="33">
        <f>SUM(E112:E118)</f>
        <v>0.9999999999999999</v>
      </c>
      <c r="F119" s="33">
        <f>SUM(F112:F118)</f>
        <v>0.9999999999999999</v>
      </c>
    </row>
    <row r="120" spans="3:8" ht="13.5" customHeight="1" thickTop="1">
      <c r="C120"/>
      <c r="D120"/>
      <c r="E120" s="23"/>
      <c r="F120" s="23"/>
      <c r="G120"/>
      <c r="H120"/>
    </row>
    <row r="121" spans="3:4" ht="72.75" customHeight="1">
      <c r="C121" s="3" t="s">
        <v>104</v>
      </c>
      <c r="D121" s="76">
        <v>5.05</v>
      </c>
    </row>
    <row r="122" ht="13.5" customHeight="1"/>
    <row r="123" ht="13.5" customHeight="1"/>
    <row r="124" ht="13.5" customHeight="1"/>
    <row r="125" ht="13.5" customHeight="1"/>
    <row r="126" ht="13.5" customHeight="1"/>
    <row r="127" ht="13.5" customHeight="1">
      <c r="C127" s="24"/>
    </row>
    <row r="128" spans="4:7" ht="50.25" customHeight="1">
      <c r="D128" s="77"/>
      <c r="E128" s="77"/>
      <c r="F128" s="77"/>
      <c r="G128" s="78"/>
    </row>
    <row r="129" spans="4:7" ht="13.5" customHeight="1">
      <c r="D129" s="18"/>
      <c r="E129" s="219"/>
      <c r="F129" s="76"/>
      <c r="G129" s="68"/>
    </row>
    <row r="130" spans="4:7" ht="13.5" customHeight="1">
      <c r="D130" s="18"/>
      <c r="E130" s="219"/>
      <c r="F130" s="76"/>
      <c r="G130" s="68"/>
    </row>
    <row r="131" spans="4:7" ht="13.5" customHeight="1">
      <c r="D131" s="18"/>
      <c r="E131" s="219"/>
      <c r="F131" s="76"/>
      <c r="G131" s="68"/>
    </row>
    <row r="132" spans="4:7" ht="13.5" customHeight="1">
      <c r="D132" s="18"/>
      <c r="E132" s="219"/>
      <c r="F132" s="76"/>
      <c r="G132" s="68"/>
    </row>
    <row r="133" spans="4:7" ht="13.5" customHeight="1">
      <c r="D133" s="18"/>
      <c r="E133" s="219"/>
      <c r="F133" s="76"/>
      <c r="G133" s="68"/>
    </row>
    <row r="134" spans="4:7" ht="13.5" customHeight="1">
      <c r="D134" s="18"/>
      <c r="E134" s="219"/>
      <c r="F134" s="76"/>
      <c r="G134" s="68"/>
    </row>
    <row r="135" spans="4:7" ht="13.5" customHeight="1">
      <c r="D135" s="18"/>
      <c r="E135" s="219"/>
      <c r="F135" s="76"/>
      <c r="G135" s="68"/>
    </row>
    <row r="136" spans="4:7" ht="13.5" customHeight="1">
      <c r="D136" s="18"/>
      <c r="E136" s="219"/>
      <c r="F136" s="76"/>
      <c r="G136" s="68"/>
    </row>
    <row r="137" spans="4:7" ht="13.5" customHeight="1">
      <c r="D137" s="18"/>
      <c r="E137" s="219"/>
      <c r="F137" s="76"/>
      <c r="G137" s="68"/>
    </row>
    <row r="138" spans="4:12" ht="13.5" customHeight="1">
      <c r="D138" s="18"/>
      <c r="E138" s="219"/>
      <c r="F138" s="76"/>
      <c r="G138" s="68"/>
      <c r="I138"/>
      <c r="J138"/>
      <c r="K138"/>
      <c r="L138"/>
    </row>
    <row r="139" spans="4:12" ht="13.5" customHeight="1">
      <c r="D139" s="18"/>
      <c r="E139" s="219"/>
      <c r="F139" s="76"/>
      <c r="G139" s="68"/>
      <c r="I139"/>
      <c r="J139"/>
      <c r="K139"/>
      <c r="L139"/>
    </row>
    <row r="140" spans="4:12" ht="12.75">
      <c r="D140" s="18"/>
      <c r="E140" s="219"/>
      <c r="F140" s="76"/>
      <c r="G140" s="68"/>
      <c r="I140"/>
      <c r="J140"/>
      <c r="K140"/>
      <c r="L140"/>
    </row>
    <row r="141" spans="4:12" ht="12.75">
      <c r="D141" s="18"/>
      <c r="E141" s="219"/>
      <c r="F141" s="76"/>
      <c r="G141" s="68"/>
      <c r="I141"/>
      <c r="J141"/>
      <c r="K141"/>
      <c r="L141"/>
    </row>
    <row r="142" spans="4:12" ht="12.75">
      <c r="D142" s="18"/>
      <c r="E142" s="219"/>
      <c r="F142" s="18"/>
      <c r="G142" s="68"/>
      <c r="I142"/>
      <c r="J142"/>
      <c r="K142"/>
      <c r="L142"/>
    </row>
    <row r="143" spans="4:12" ht="12.75">
      <c r="D143" s="18"/>
      <c r="E143" s="219"/>
      <c r="F143" s="18"/>
      <c r="G143" s="68"/>
      <c r="I143"/>
      <c r="J143"/>
      <c r="K143"/>
      <c r="L143"/>
    </row>
    <row r="144" spans="4:12" ht="12.75">
      <c r="D144" s="18"/>
      <c r="E144" s="219"/>
      <c r="F144" s="18"/>
      <c r="G144" s="68"/>
      <c r="I144"/>
      <c r="J144"/>
      <c r="K144"/>
      <c r="L144"/>
    </row>
    <row r="145" spans="4:12" ht="12.75">
      <c r="D145" s="18"/>
      <c r="E145" s="18"/>
      <c r="I145"/>
      <c r="J145"/>
      <c r="K145"/>
      <c r="L145"/>
    </row>
    <row r="146" spans="4:12" ht="12.75">
      <c r="D146" s="67"/>
      <c r="E146" s="252"/>
      <c r="F146" s="252"/>
      <c r="I146"/>
      <c r="J146"/>
      <c r="K146"/>
      <c r="L146"/>
    </row>
    <row r="147" spans="3:12" ht="12.75">
      <c r="C147" s="14"/>
      <c r="D147" s="67"/>
      <c r="E147" s="79"/>
      <c r="F147" s="79"/>
      <c r="I147"/>
      <c r="J147"/>
      <c r="K147"/>
      <c r="L147"/>
    </row>
    <row r="148" spans="4:12" ht="12.75">
      <c r="D148" s="71"/>
      <c r="E148" s="220"/>
      <c r="F148" s="220"/>
      <c r="G148" s="37"/>
      <c r="I148"/>
      <c r="J148"/>
      <c r="K148"/>
      <c r="L148"/>
    </row>
    <row r="149" spans="4:12" ht="12.75">
      <c r="D149" s="72"/>
      <c r="E149" s="220"/>
      <c r="F149" s="220"/>
      <c r="G149" s="37"/>
      <c r="I149"/>
      <c r="J149"/>
      <c r="K149"/>
      <c r="L149"/>
    </row>
    <row r="150" spans="4:7" ht="12" customHeight="1">
      <c r="D150" s="72"/>
      <c r="E150" s="220"/>
      <c r="F150" s="220"/>
      <c r="G150" s="37"/>
    </row>
    <row r="151" spans="4:7" ht="12" customHeight="1">
      <c r="D151" s="72"/>
      <c r="E151" s="220"/>
      <c r="F151" s="220"/>
      <c r="G151" s="37"/>
    </row>
    <row r="152" spans="4:7" ht="12" customHeight="1">
      <c r="D152" s="73"/>
      <c r="E152" s="220"/>
      <c r="F152" s="220"/>
      <c r="G152" s="37"/>
    </row>
    <row r="153" spans="4:7" ht="12" customHeight="1">
      <c r="D153" s="73"/>
      <c r="E153" s="220"/>
      <c r="F153" s="220"/>
      <c r="G153" s="37"/>
    </row>
    <row r="154" spans="4:7" ht="12" customHeight="1">
      <c r="D154" s="73"/>
      <c r="E154" s="220"/>
      <c r="F154" s="220"/>
      <c r="G154" s="37"/>
    </row>
    <row r="155" spans="5:6" ht="12" customHeight="1">
      <c r="E155" s="23"/>
      <c r="F155" s="23"/>
    </row>
    <row r="156" spans="5:6" ht="12" customHeight="1">
      <c r="E156" s="23"/>
      <c r="F156" s="23"/>
    </row>
    <row r="157" ht="12" customHeight="1">
      <c r="D157" s="76"/>
    </row>
  </sheetData>
  <sheetProtection/>
  <mergeCells count="5">
    <mergeCell ref="E110:F110"/>
    <mergeCell ref="E146:F146"/>
    <mergeCell ref="A1:H1"/>
    <mergeCell ref="A3:H3"/>
    <mergeCell ref="A2:H2"/>
  </mergeCells>
  <printOptions horizontalCentered="1"/>
  <pageMargins left="0.75" right="0.75" top="1" bottom="0.25" header="0.25" footer="0.25"/>
  <pageSetup fitToHeight="0" horizontalDpi="300" verticalDpi="300" orientation="portrait" scale="82" r:id="rId2"/>
  <rowBreaks count="2" manualBreakCount="2">
    <brk id="50" max="7" man="1"/>
    <brk id="118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1:L69"/>
  <sheetViews>
    <sheetView zoomScalePageLayoutView="0" workbookViewId="0" topLeftCell="A1">
      <selection activeCell="F14" sqref="F14"/>
    </sheetView>
  </sheetViews>
  <sheetFormatPr defaultColWidth="9.140625" defaultRowHeight="12" customHeight="1"/>
  <cols>
    <col min="1" max="1" width="4.421875" style="2" bestFit="1" customWidth="1"/>
    <col min="2" max="2" width="1.28515625" style="3" customWidth="1"/>
    <col min="3" max="3" width="24.7109375" style="3" customWidth="1"/>
    <col min="4" max="4" width="13.7109375" style="3" customWidth="1"/>
    <col min="5" max="5" width="14.7109375" style="3" customWidth="1"/>
    <col min="6" max="6" width="18.7109375" style="3" customWidth="1"/>
    <col min="7" max="7" width="19.421875" style="3" customWidth="1"/>
    <col min="8" max="8" width="12.140625" style="3" bestFit="1" customWidth="1"/>
    <col min="9" max="10" width="11.7109375" style="3" customWidth="1"/>
    <col min="11" max="16" width="12.7109375" style="3" customWidth="1"/>
    <col min="17" max="16384" width="9.140625" style="3" customWidth="1"/>
  </cols>
  <sheetData>
    <row r="1" spans="1:12" ht="12" customHeight="1">
      <c r="A1" s="240" t="s">
        <v>106</v>
      </c>
      <c r="B1" s="240"/>
      <c r="C1" s="240"/>
      <c r="D1" s="240"/>
      <c r="E1" s="240"/>
      <c r="F1" s="240"/>
      <c r="G1" s="240"/>
      <c r="H1" s="240"/>
      <c r="I1" s="11"/>
      <c r="J1" s="11"/>
      <c r="K1" s="11"/>
      <c r="L1" s="11"/>
    </row>
    <row r="2" spans="1:12" ht="12" customHeight="1">
      <c r="A2" s="240" t="s">
        <v>55</v>
      </c>
      <c r="B2" s="240"/>
      <c r="C2" s="240"/>
      <c r="D2" s="240"/>
      <c r="E2" s="240"/>
      <c r="F2" s="240"/>
      <c r="G2" s="240"/>
      <c r="H2" s="240"/>
      <c r="I2" s="11"/>
      <c r="J2" s="11"/>
      <c r="K2" s="11"/>
      <c r="L2" s="11"/>
    </row>
    <row r="3" spans="1:12" ht="15.75">
      <c r="A3" s="241" t="s">
        <v>0</v>
      </c>
      <c r="B3" s="241"/>
      <c r="C3" s="241"/>
      <c r="D3" s="241"/>
      <c r="E3" s="241"/>
      <c r="F3" s="241"/>
      <c r="G3" s="241"/>
      <c r="H3" s="241"/>
      <c r="I3" s="56"/>
      <c r="J3" s="56"/>
      <c r="K3" s="53"/>
      <c r="L3" s="53"/>
    </row>
    <row r="4" ht="13.5" customHeight="1">
      <c r="C4" s="24"/>
    </row>
    <row r="5" spans="1:8" ht="50.25" customHeight="1">
      <c r="A5" s="35" t="s">
        <v>79</v>
      </c>
      <c r="B5" s="3"/>
      <c r="D5" s="69" t="s">
        <v>103</v>
      </c>
      <c r="E5" s="69" t="s">
        <v>35</v>
      </c>
      <c r="F5" s="69" t="s">
        <v>101</v>
      </c>
      <c r="G5" s="70" t="s">
        <v>102</v>
      </c>
      <c r="H5" s="3"/>
    </row>
    <row r="6" spans="1:8" ht="13.5" customHeight="1">
      <c r="A6" s="2">
        <v>1</v>
      </c>
      <c r="B6" s="3"/>
      <c r="C6" t="s">
        <v>108</v>
      </c>
      <c r="D6" s="8">
        <v>117</v>
      </c>
      <c r="E6" s="32">
        <v>0.1482889733840304</v>
      </c>
      <c r="F6" s="49">
        <v>6.859190416666666</v>
      </c>
      <c r="G6" s="221">
        <v>0.3600369121727572</v>
      </c>
      <c r="H6" s="3"/>
    </row>
    <row r="7" spans="1:8" ht="13.5" customHeight="1">
      <c r="A7" s="2">
        <v>2</v>
      </c>
      <c r="B7" s="3"/>
      <c r="C7" t="s">
        <v>109</v>
      </c>
      <c r="D7" s="8">
        <v>155</v>
      </c>
      <c r="E7" s="32">
        <v>0.1964512040557668</v>
      </c>
      <c r="F7" s="49">
        <v>6.5956167500000005</v>
      </c>
      <c r="G7" s="221">
        <v>1.0339700836961327</v>
      </c>
      <c r="H7" s="3"/>
    </row>
    <row r="8" spans="1:8" ht="13.5" customHeight="1">
      <c r="A8" s="2">
        <v>3</v>
      </c>
      <c r="B8" s="3"/>
      <c r="C8" t="s">
        <v>110</v>
      </c>
      <c r="D8" s="8">
        <v>126</v>
      </c>
      <c r="E8" s="32">
        <v>0.1596958174904943</v>
      </c>
      <c r="F8" s="49">
        <v>6.329308916666666</v>
      </c>
      <c r="G8" s="221">
        <v>1.7148942632228643</v>
      </c>
      <c r="H8" s="3"/>
    </row>
    <row r="9" spans="1:8" ht="13.5" customHeight="1">
      <c r="A9" s="2">
        <v>4</v>
      </c>
      <c r="B9" s="3"/>
      <c r="C9" t="s">
        <v>111</v>
      </c>
      <c r="D9" s="8">
        <v>86</v>
      </c>
      <c r="E9" s="32">
        <v>0.10899873257287707</v>
      </c>
      <c r="F9" s="49">
        <v>6.034565750000003</v>
      </c>
      <c r="G9" s="221">
        <v>2.4685249259844873</v>
      </c>
      <c r="H9" s="3"/>
    </row>
    <row r="10" spans="1:8" ht="13.5" customHeight="1">
      <c r="A10" s="2">
        <v>5</v>
      </c>
      <c r="B10" s="3"/>
      <c r="C10" t="s">
        <v>112</v>
      </c>
      <c r="D10" s="8">
        <v>76</v>
      </c>
      <c r="E10" s="32">
        <v>0.09632446134347275</v>
      </c>
      <c r="F10" s="49">
        <v>5.784389500000003</v>
      </c>
      <c r="G10" s="221">
        <v>3.10820215829141</v>
      </c>
      <c r="H10" s="3"/>
    </row>
    <row r="11" spans="1:8" ht="13.5" customHeight="1">
      <c r="A11" s="2">
        <v>6</v>
      </c>
      <c r="B11" s="3"/>
      <c r="C11" t="s">
        <v>113</v>
      </c>
      <c r="D11" s="8">
        <v>63</v>
      </c>
      <c r="E11" s="32">
        <v>0.07984790874524715</v>
      </c>
      <c r="F11" s="49">
        <v>5.499215916666675</v>
      </c>
      <c r="G11" s="221">
        <v>3.837364293041304</v>
      </c>
      <c r="H11" s="3"/>
    </row>
    <row r="12" spans="1:8" ht="13.5" customHeight="1">
      <c r="A12" s="2">
        <v>7</v>
      </c>
      <c r="B12" s="3"/>
      <c r="C12" t="s">
        <v>114</v>
      </c>
      <c r="D12" s="8">
        <v>48</v>
      </c>
      <c r="E12" s="32">
        <v>0.060836501901140684</v>
      </c>
      <c r="F12" s="49">
        <v>5.211308166666659</v>
      </c>
      <c r="G12" s="221">
        <v>4.573517435794524</v>
      </c>
      <c r="H12" s="3"/>
    </row>
    <row r="13" spans="1:8" ht="13.5" customHeight="1">
      <c r="A13" s="2">
        <v>8</v>
      </c>
      <c r="B13" s="3"/>
      <c r="C13" t="s">
        <v>115</v>
      </c>
      <c r="D13" s="8">
        <v>49</v>
      </c>
      <c r="E13" s="32">
        <v>0.062103929024081114</v>
      </c>
      <c r="F13" s="49">
        <v>4.960311666666655</v>
      </c>
      <c r="G13" s="221">
        <v>5.215291970502487</v>
      </c>
      <c r="H13" s="3"/>
    </row>
    <row r="14" spans="1:8" ht="13.5" customHeight="1">
      <c r="A14" s="2">
        <v>9</v>
      </c>
      <c r="B14" s="3"/>
      <c r="C14" t="s">
        <v>116</v>
      </c>
      <c r="D14" s="8">
        <v>27</v>
      </c>
      <c r="E14" s="32">
        <v>0.034220532319391636</v>
      </c>
      <c r="F14" s="49">
        <v>4.684981083333336</v>
      </c>
      <c r="G14" s="221">
        <v>5.919286476440277</v>
      </c>
      <c r="H14" s="3"/>
    </row>
    <row r="15" spans="1:12" ht="13.5" customHeight="1">
      <c r="A15" s="2">
        <v>10</v>
      </c>
      <c r="C15" t="s">
        <v>117</v>
      </c>
      <c r="D15" s="8">
        <v>23</v>
      </c>
      <c r="E15" s="32">
        <v>0.029150823827629912</v>
      </c>
      <c r="F15" s="49">
        <v>4.425235250000014</v>
      </c>
      <c r="G15" s="221">
        <v>6.583432236758957</v>
      </c>
      <c r="I15"/>
      <c r="J15"/>
      <c r="K15"/>
      <c r="L15"/>
    </row>
    <row r="16" spans="1:12" ht="13.5" customHeight="1">
      <c r="A16" s="2">
        <v>11</v>
      </c>
      <c r="C16" t="s">
        <v>118</v>
      </c>
      <c r="D16" s="8">
        <v>8</v>
      </c>
      <c r="E16" s="32">
        <v>0.010139416983523447</v>
      </c>
      <c r="F16" s="49">
        <v>4.145530000000008</v>
      </c>
      <c r="G16" s="221">
        <v>7.298612355502125</v>
      </c>
      <c r="I16"/>
      <c r="J16"/>
      <c r="K16"/>
      <c r="L16"/>
    </row>
    <row r="17" spans="1:12" ht="12.75">
      <c r="A17" s="2">
        <v>12</v>
      </c>
      <c r="C17" t="s">
        <v>119</v>
      </c>
      <c r="D17" s="8">
        <v>4</v>
      </c>
      <c r="E17" s="32">
        <v>0.005069708491761723</v>
      </c>
      <c r="F17" s="49">
        <v>3.929530833333331</v>
      </c>
      <c r="G17" s="221">
        <v>7.850901987767126</v>
      </c>
      <c r="I17"/>
      <c r="J17"/>
      <c r="K17"/>
      <c r="L17"/>
    </row>
    <row r="18" spans="1:12" ht="12.75">
      <c r="A18" s="2">
        <v>13</v>
      </c>
      <c r="C18" t="s">
        <v>120</v>
      </c>
      <c r="D18" s="8">
        <v>7</v>
      </c>
      <c r="E18" s="32">
        <v>0.008871989860583017</v>
      </c>
      <c r="F18" s="49">
        <v>3.378322833333319</v>
      </c>
      <c r="G18" s="221">
        <v>9.2602892012434</v>
      </c>
      <c r="I18"/>
      <c r="J18"/>
      <c r="K18"/>
      <c r="L18"/>
    </row>
    <row r="19" spans="3:12" ht="12.75">
      <c r="C19"/>
      <c r="D19" s="8"/>
      <c r="E19" s="32"/>
      <c r="F19" s="8"/>
      <c r="G19" s="6"/>
      <c r="I19"/>
      <c r="J19"/>
      <c r="K19"/>
      <c r="L19"/>
    </row>
    <row r="20" spans="1:12" ht="12.75">
      <c r="A20" s="51">
        <v>14</v>
      </c>
      <c r="C20" t="s">
        <v>105</v>
      </c>
      <c r="D20" s="8">
        <f>SUM(D6:D19)</f>
        <v>789</v>
      </c>
      <c r="E20" s="32">
        <f>SUM(E6:E19)</f>
        <v>1</v>
      </c>
      <c r="F20" s="8"/>
      <c r="G20" s="6"/>
      <c r="I20"/>
      <c r="J20"/>
      <c r="K20"/>
      <c r="L20"/>
    </row>
    <row r="21" spans="3:12" ht="12.75">
      <c r="C21"/>
      <c r="D21" s="8"/>
      <c r="E21" s="32"/>
      <c r="F21" s="8"/>
      <c r="G21" s="6"/>
      <c r="I21"/>
      <c r="J21"/>
      <c r="K21"/>
      <c r="L21"/>
    </row>
    <row r="22" spans="3:12" ht="12.75">
      <c r="C22"/>
      <c r="D22" s="8"/>
      <c r="E22" s="32"/>
      <c r="F22" s="8"/>
      <c r="G22" s="6"/>
      <c r="I22"/>
      <c r="J22"/>
      <c r="K22"/>
      <c r="L22"/>
    </row>
    <row r="23" spans="3:12" ht="12.75">
      <c r="C23"/>
      <c r="D23" s="8"/>
      <c r="E23" s="32"/>
      <c r="F23" s="8"/>
      <c r="G23" s="6"/>
      <c r="I23"/>
      <c r="J23"/>
      <c r="K23"/>
      <c r="L23"/>
    </row>
    <row r="24" spans="3:12" ht="12.75">
      <c r="C24"/>
      <c r="D24" s="8"/>
      <c r="E24" s="32"/>
      <c r="F24" s="8"/>
      <c r="G24" s="6"/>
      <c r="I24"/>
      <c r="J24"/>
      <c r="K24"/>
      <c r="L24"/>
    </row>
    <row r="25" spans="3:12" ht="12.75">
      <c r="C25"/>
      <c r="D25" s="8"/>
      <c r="E25" s="32"/>
      <c r="F25" s="8"/>
      <c r="G25" s="6"/>
      <c r="I25"/>
      <c r="J25"/>
      <c r="K25"/>
      <c r="L25"/>
    </row>
    <row r="26" spans="3:12" ht="12.75">
      <c r="C26"/>
      <c r="D26" s="8"/>
      <c r="E26" s="8"/>
      <c r="F26"/>
      <c r="G26"/>
      <c r="I26"/>
      <c r="J26"/>
      <c r="K26"/>
      <c r="L26"/>
    </row>
    <row r="27" spans="3:12" ht="12.75">
      <c r="C27"/>
      <c r="D27" s="8"/>
      <c r="E27" s="8"/>
      <c r="F27"/>
      <c r="G27"/>
      <c r="I27"/>
      <c r="J27"/>
      <c r="K27"/>
      <c r="L27"/>
    </row>
    <row r="28" spans="3:12" ht="12.75">
      <c r="C28"/>
      <c r="D28" s="8"/>
      <c r="E28" s="8"/>
      <c r="F28"/>
      <c r="G28"/>
      <c r="I28"/>
      <c r="J28"/>
      <c r="K28"/>
      <c r="L28"/>
    </row>
    <row r="29" spans="3:12" ht="12.75">
      <c r="C29"/>
      <c r="D29" s="8"/>
      <c r="E29" s="8"/>
      <c r="F29"/>
      <c r="G29"/>
      <c r="I29"/>
      <c r="J29"/>
      <c r="K29"/>
      <c r="L29"/>
    </row>
    <row r="30" spans="3:12" ht="12.75">
      <c r="C30"/>
      <c r="D30" s="8"/>
      <c r="E30" s="8"/>
      <c r="F30"/>
      <c r="G30"/>
      <c r="I30"/>
      <c r="J30"/>
      <c r="K30"/>
      <c r="L30"/>
    </row>
    <row r="31" spans="3:12" ht="12.75">
      <c r="C31"/>
      <c r="D31" s="8"/>
      <c r="E31" s="8"/>
      <c r="F31"/>
      <c r="G31"/>
      <c r="I31"/>
      <c r="J31"/>
      <c r="K31"/>
      <c r="L31"/>
    </row>
    <row r="32" spans="3:12" ht="12.75">
      <c r="C32"/>
      <c r="D32" s="8"/>
      <c r="E32" s="8"/>
      <c r="F32"/>
      <c r="G32"/>
      <c r="I32"/>
      <c r="J32"/>
      <c r="K32"/>
      <c r="L32"/>
    </row>
    <row r="33" spans="3:12" ht="12.75">
      <c r="C33"/>
      <c r="D33" s="8"/>
      <c r="E33" s="8"/>
      <c r="F33"/>
      <c r="G33"/>
      <c r="I33"/>
      <c r="J33"/>
      <c r="K33"/>
      <c r="L33"/>
    </row>
    <row r="34" spans="3:12" ht="12.75">
      <c r="C34"/>
      <c r="D34" s="8"/>
      <c r="E34" s="8"/>
      <c r="F34"/>
      <c r="G34"/>
      <c r="I34"/>
      <c r="J34"/>
      <c r="K34"/>
      <c r="L34"/>
    </row>
    <row r="35" spans="3:12" ht="12.75">
      <c r="C35"/>
      <c r="D35" s="8"/>
      <c r="E35" s="8"/>
      <c r="F35"/>
      <c r="G35"/>
      <c r="I35"/>
      <c r="J35"/>
      <c r="K35"/>
      <c r="L35"/>
    </row>
    <row r="36" spans="3:12" ht="12.75">
      <c r="C36"/>
      <c r="D36" s="8"/>
      <c r="E36" s="8"/>
      <c r="F36"/>
      <c r="G36"/>
      <c r="I36"/>
      <c r="J36"/>
      <c r="K36"/>
      <c r="L36"/>
    </row>
    <row r="37" spans="3:12" ht="12.75">
      <c r="C37"/>
      <c r="D37" s="8"/>
      <c r="E37" s="8"/>
      <c r="F37"/>
      <c r="G37"/>
      <c r="I37"/>
      <c r="J37"/>
      <c r="K37"/>
      <c r="L37"/>
    </row>
    <row r="38" spans="3:12" ht="12.75">
      <c r="C38"/>
      <c r="D38" s="8"/>
      <c r="E38" s="8"/>
      <c r="F38"/>
      <c r="G38"/>
      <c r="I38"/>
      <c r="J38"/>
      <c r="K38"/>
      <c r="L38"/>
    </row>
    <row r="39" spans="3:12" ht="12.75">
      <c r="C39"/>
      <c r="D39" s="8"/>
      <c r="E39" s="8"/>
      <c r="F39"/>
      <c r="G39"/>
      <c r="I39"/>
      <c r="J39"/>
      <c r="K39"/>
      <c r="L39"/>
    </row>
    <row r="40" spans="3:12" ht="12.75">
      <c r="C40"/>
      <c r="D40" s="8"/>
      <c r="E40" s="8"/>
      <c r="F40"/>
      <c r="G40"/>
      <c r="I40"/>
      <c r="J40"/>
      <c r="K40"/>
      <c r="L40"/>
    </row>
    <row r="41" spans="3:12" ht="12.75">
      <c r="C41"/>
      <c r="D41" s="8"/>
      <c r="E41" s="8"/>
      <c r="F41"/>
      <c r="G41"/>
      <c r="I41"/>
      <c r="J41"/>
      <c r="K41"/>
      <c r="L41"/>
    </row>
    <row r="42" spans="3:12" ht="12.75">
      <c r="C42"/>
      <c r="D42" s="8"/>
      <c r="E42" s="8"/>
      <c r="F42"/>
      <c r="G42"/>
      <c r="I42"/>
      <c r="J42"/>
      <c r="K42"/>
      <c r="L42"/>
    </row>
    <row r="43" spans="3:12" ht="12.75">
      <c r="C43"/>
      <c r="D43" s="8"/>
      <c r="E43" s="8"/>
      <c r="F43"/>
      <c r="G43"/>
      <c r="I43"/>
      <c r="J43"/>
      <c r="K43"/>
      <c r="L43"/>
    </row>
    <row r="44" spans="3:12" ht="12.75">
      <c r="C44"/>
      <c r="D44" s="8"/>
      <c r="E44" s="8"/>
      <c r="F44"/>
      <c r="G44"/>
      <c r="I44"/>
      <c r="J44"/>
      <c r="K44"/>
      <c r="L44"/>
    </row>
    <row r="45" spans="3:12" ht="12.75">
      <c r="C45"/>
      <c r="D45" s="8"/>
      <c r="E45" s="8"/>
      <c r="F45"/>
      <c r="G45"/>
      <c r="I45"/>
      <c r="J45"/>
      <c r="K45"/>
      <c r="L45"/>
    </row>
    <row r="46" spans="3:12" ht="12.75">
      <c r="C46"/>
      <c r="D46" s="8"/>
      <c r="E46" s="8"/>
      <c r="F46"/>
      <c r="G46"/>
      <c r="I46"/>
      <c r="J46"/>
      <c r="K46"/>
      <c r="L46"/>
    </row>
    <row r="47" spans="3:12" ht="12.75">
      <c r="C47"/>
      <c r="D47" s="8"/>
      <c r="E47" s="8"/>
      <c r="F47"/>
      <c r="G47"/>
      <c r="I47"/>
      <c r="J47"/>
      <c r="K47"/>
      <c r="L47"/>
    </row>
    <row r="48" spans="3:12" ht="12.75">
      <c r="C48"/>
      <c r="D48" s="8"/>
      <c r="E48" s="8"/>
      <c r="F48"/>
      <c r="G48"/>
      <c r="I48"/>
      <c r="J48"/>
      <c r="K48"/>
      <c r="L48"/>
    </row>
    <row r="49" spans="3:12" ht="12.75">
      <c r="C49"/>
      <c r="D49" s="8"/>
      <c r="E49" s="8"/>
      <c r="F49"/>
      <c r="G49"/>
      <c r="I49"/>
      <c r="J49"/>
      <c r="K49"/>
      <c r="L49"/>
    </row>
    <row r="50" spans="3:12" ht="12.75">
      <c r="C50"/>
      <c r="D50" s="8"/>
      <c r="E50" s="8"/>
      <c r="F50"/>
      <c r="G50"/>
      <c r="I50"/>
      <c r="J50"/>
      <c r="K50"/>
      <c r="L50"/>
    </row>
    <row r="51" spans="3:12" ht="12.75">
      <c r="C51"/>
      <c r="D51" s="8"/>
      <c r="E51" s="8"/>
      <c r="F51"/>
      <c r="G51"/>
      <c r="I51"/>
      <c r="J51"/>
      <c r="K51"/>
      <c r="L51"/>
    </row>
    <row r="52" spans="3:12" ht="12.75">
      <c r="C52"/>
      <c r="D52" s="8"/>
      <c r="E52" s="8"/>
      <c r="F52"/>
      <c r="G52"/>
      <c r="I52"/>
      <c r="J52"/>
      <c r="K52"/>
      <c r="L52"/>
    </row>
    <row r="53" spans="3:12" ht="12.75">
      <c r="C53"/>
      <c r="D53" s="8"/>
      <c r="E53" s="8"/>
      <c r="F53"/>
      <c r="G53"/>
      <c r="I53"/>
      <c r="J53"/>
      <c r="K53"/>
      <c r="L53"/>
    </row>
    <row r="54" spans="3:12" ht="12.75">
      <c r="C54"/>
      <c r="D54" s="8"/>
      <c r="E54" s="8"/>
      <c r="F54"/>
      <c r="G54"/>
      <c r="I54"/>
      <c r="J54"/>
      <c r="K54"/>
      <c r="L54"/>
    </row>
    <row r="55" spans="3:12" ht="12.75">
      <c r="C55"/>
      <c r="D55" s="8"/>
      <c r="E55" s="8"/>
      <c r="F55"/>
      <c r="G55"/>
      <c r="I55"/>
      <c r="J55"/>
      <c r="K55"/>
      <c r="L55"/>
    </row>
    <row r="56" spans="3:12" ht="12.75">
      <c r="C56"/>
      <c r="D56" s="8"/>
      <c r="E56" s="8"/>
      <c r="F56"/>
      <c r="G56"/>
      <c r="I56"/>
      <c r="J56"/>
      <c r="K56"/>
      <c r="L56"/>
    </row>
    <row r="57" spans="3:12" ht="13.5" thickBot="1">
      <c r="C57"/>
      <c r="D57" s="8"/>
      <c r="E57" s="8"/>
      <c r="F57"/>
      <c r="G57"/>
      <c r="I57"/>
      <c r="J57"/>
      <c r="K57"/>
      <c r="L57"/>
    </row>
    <row r="58" spans="3:12" ht="13.5" thickBot="1">
      <c r="C58"/>
      <c r="D58" s="34" t="s">
        <v>90</v>
      </c>
      <c r="E58" s="250" t="s">
        <v>91</v>
      </c>
      <c r="F58" s="251"/>
      <c r="G58"/>
      <c r="I58"/>
      <c r="J58"/>
      <c r="K58"/>
      <c r="L58"/>
    </row>
    <row r="59" spans="3:12" ht="26.25" thickBot="1">
      <c r="C59" s="40"/>
      <c r="D59" s="41" t="s">
        <v>92</v>
      </c>
      <c r="E59" s="42" t="s">
        <v>81</v>
      </c>
      <c r="F59" s="43" t="s">
        <v>93</v>
      </c>
      <c r="G59"/>
      <c r="I59"/>
      <c r="J59"/>
      <c r="K59"/>
      <c r="L59"/>
    </row>
    <row r="60" spans="3:12" ht="12.75">
      <c r="C60"/>
      <c r="D60" s="89" t="s">
        <v>45</v>
      </c>
      <c r="E60" s="83">
        <v>0</v>
      </c>
      <c r="F60" s="83">
        <f>E6</f>
        <v>0.1482889733840304</v>
      </c>
      <c r="G60" s="12"/>
      <c r="I60"/>
      <c r="J60"/>
      <c r="K60"/>
      <c r="L60"/>
    </row>
    <row r="61" spans="3:12" ht="12.75">
      <c r="C61"/>
      <c r="D61" s="44" t="s">
        <v>46</v>
      </c>
      <c r="E61" s="83">
        <v>0</v>
      </c>
      <c r="F61" s="83">
        <f>SUM(E7:E9)</f>
        <v>0.46514575411913817</v>
      </c>
      <c r="G61" s="12"/>
      <c r="I61"/>
      <c r="J61"/>
      <c r="K61"/>
      <c r="L61"/>
    </row>
    <row r="62" spans="3:7" ht="12" customHeight="1">
      <c r="C62"/>
      <c r="D62" s="44" t="s">
        <v>43</v>
      </c>
      <c r="E62" s="83">
        <f>SUM(E13:E18)</f>
        <v>0.14955640050697083</v>
      </c>
      <c r="F62" s="83">
        <f>SUM(E10:E12)</f>
        <v>0.23700887198986056</v>
      </c>
      <c r="G62" s="12"/>
    </row>
    <row r="63" spans="3:7" ht="12" customHeight="1">
      <c r="C63"/>
      <c r="D63" s="72" t="s">
        <v>44</v>
      </c>
      <c r="E63" s="83">
        <f>SUM(E6:E12)</f>
        <v>0.8504435994930292</v>
      </c>
      <c r="F63" s="83">
        <f>SUM(E13:E15)</f>
        <v>0.12547528517110265</v>
      </c>
      <c r="G63" s="12"/>
    </row>
    <row r="64" spans="3:7" ht="12" customHeight="1">
      <c r="C64"/>
      <c r="D64" s="73" t="s">
        <v>47</v>
      </c>
      <c r="E64" s="83">
        <v>0</v>
      </c>
      <c r="F64" s="83">
        <f>SUM(E16:E18)</f>
        <v>0.024081115335868188</v>
      </c>
      <c r="G64" s="12"/>
    </row>
    <row r="65" spans="3:7" ht="12" customHeight="1" thickBot="1">
      <c r="C65"/>
      <c r="D65"/>
      <c r="E65" s="33">
        <f>SUM(E60:E64)</f>
        <v>1</v>
      </c>
      <c r="F65" s="33">
        <f>SUM(F60:F64)</f>
        <v>1</v>
      </c>
      <c r="G65" s="12"/>
    </row>
    <row r="66" spans="3:7" ht="12" customHeight="1" thickTop="1">
      <c r="C66"/>
      <c r="D66"/>
      <c r="E66" s="23"/>
      <c r="F66" s="23"/>
      <c r="G66"/>
    </row>
    <row r="67" spans="3:7" ht="12" customHeight="1">
      <c r="C67"/>
      <c r="G67"/>
    </row>
    <row r="68" ht="12" customHeight="1">
      <c r="C68"/>
    </row>
    <row r="69" spans="3:4" ht="12" customHeight="1">
      <c r="C69" s="3" t="s">
        <v>104</v>
      </c>
      <c r="D69" s="76">
        <v>5.98</v>
      </c>
    </row>
  </sheetData>
  <sheetProtection/>
  <mergeCells count="4">
    <mergeCell ref="E58:F58"/>
    <mergeCell ref="A1:H1"/>
    <mergeCell ref="A2:H2"/>
    <mergeCell ref="A3:H3"/>
  </mergeCells>
  <printOptions horizontalCentered="1"/>
  <pageMargins left="0.75" right="0.75" top="1" bottom="0.25" header="0.25" footer="0.25"/>
  <pageSetup fitToHeight="0" horizontalDpi="300" verticalDpi="300" orientation="portrait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8"/>
  <dimension ref="A1:I248"/>
  <sheetViews>
    <sheetView zoomScalePageLayoutView="0" workbookViewId="0" topLeftCell="A1">
      <selection activeCell="A27" sqref="A27:A35"/>
    </sheetView>
  </sheetViews>
  <sheetFormatPr defaultColWidth="9.140625" defaultRowHeight="12" customHeight="1"/>
  <cols>
    <col min="1" max="1" width="4.421875" style="3" bestFit="1" customWidth="1"/>
    <col min="2" max="2" width="2.7109375" style="3" customWidth="1"/>
    <col min="3" max="3" width="24.7109375" style="3" customWidth="1"/>
    <col min="4" max="4" width="8.7109375" style="3" customWidth="1"/>
    <col min="5" max="5" width="12.7109375" style="3" customWidth="1"/>
    <col min="6" max="6" width="16.57421875" style="3" customWidth="1"/>
    <col min="7" max="7" width="15.57421875" style="3" customWidth="1"/>
    <col min="8" max="9" width="11.7109375" style="3" customWidth="1"/>
    <col min="10" max="10" width="12.7109375" style="3" customWidth="1"/>
    <col min="11" max="16384" width="9.140625" style="3" customWidth="1"/>
  </cols>
  <sheetData>
    <row r="1" spans="1:9" ht="12" customHeight="1">
      <c r="A1" s="53" t="s">
        <v>106</v>
      </c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53" t="s">
        <v>107</v>
      </c>
      <c r="B2" s="11"/>
      <c r="C2" s="11"/>
      <c r="D2" s="11"/>
      <c r="E2" s="11"/>
      <c r="F2" s="11"/>
      <c r="G2" s="11"/>
      <c r="H2" s="11"/>
      <c r="I2" s="11"/>
    </row>
    <row r="3" spans="1:9" ht="15.75">
      <c r="A3" s="55" t="s">
        <v>121</v>
      </c>
      <c r="B3" s="53"/>
      <c r="C3" s="11"/>
      <c r="D3" s="11"/>
      <c r="E3" s="56"/>
      <c r="F3" s="56"/>
      <c r="G3" s="56"/>
      <c r="H3" s="56"/>
      <c r="I3" s="56"/>
    </row>
    <row r="4" spans="1:9" ht="12.75">
      <c r="A4" s="55"/>
      <c r="B4" s="53"/>
      <c r="C4" s="11"/>
      <c r="D4" s="57"/>
      <c r="E4" s="57"/>
      <c r="F4" s="57"/>
      <c r="G4" s="57"/>
      <c r="H4" s="57"/>
      <c r="I4" s="57"/>
    </row>
    <row r="5" spans="1:9" ht="12.75">
      <c r="A5" s="55"/>
      <c r="B5" s="53"/>
      <c r="C5" s="11"/>
      <c r="D5" s="57"/>
      <c r="E5" s="57"/>
      <c r="F5" s="57"/>
      <c r="G5" s="57"/>
      <c r="H5" s="57"/>
      <c r="I5" s="57"/>
    </row>
    <row r="6" spans="1:9" ht="12.75">
      <c r="A6" s="55"/>
      <c r="B6" s="53"/>
      <c r="C6" s="24" t="s">
        <v>53</v>
      </c>
      <c r="D6" s="57"/>
      <c r="E6" s="57"/>
      <c r="F6" s="57"/>
      <c r="G6" s="57"/>
      <c r="H6" s="57"/>
      <c r="I6" s="57"/>
    </row>
    <row r="7" spans="1:9" ht="12.75">
      <c r="A7" s="55"/>
      <c r="B7" s="53"/>
      <c r="C7" s="11"/>
      <c r="D7" s="57"/>
      <c r="F7" s="1" t="s">
        <v>122</v>
      </c>
      <c r="G7" s="1" t="s">
        <v>122</v>
      </c>
      <c r="H7" s="52"/>
      <c r="I7" s="52"/>
    </row>
    <row r="8" spans="1:9" ht="12.75">
      <c r="A8" s="54" t="s">
        <v>82</v>
      </c>
      <c r="B8" s="36"/>
      <c r="C8" s="52"/>
      <c r="D8" s="64"/>
      <c r="E8" s="59" t="s">
        <v>99</v>
      </c>
      <c r="F8" s="59" t="s">
        <v>51</v>
      </c>
      <c r="G8" s="59" t="s">
        <v>52</v>
      </c>
      <c r="H8" s="60"/>
      <c r="I8" s="60"/>
    </row>
    <row r="9" spans="1:9" ht="12.75">
      <c r="A9" s="65" t="s">
        <v>83</v>
      </c>
      <c r="B9" s="36"/>
      <c r="C9" s="58" t="s">
        <v>30</v>
      </c>
      <c r="D9" s="57"/>
      <c r="E9" s="61" t="s">
        <v>24</v>
      </c>
      <c r="F9" s="62" t="s">
        <v>48</v>
      </c>
      <c r="G9" s="63" t="s">
        <v>49</v>
      </c>
      <c r="H9" s="63" t="s">
        <v>78</v>
      </c>
      <c r="I9" s="61" t="s">
        <v>66</v>
      </c>
    </row>
    <row r="10" spans="1:9" ht="12.75">
      <c r="A10" s="55"/>
      <c r="B10" s="53"/>
      <c r="C10" s="66" t="s">
        <v>84</v>
      </c>
      <c r="D10" s="55"/>
      <c r="E10" s="54" t="s">
        <v>86</v>
      </c>
      <c r="F10" s="54" t="s">
        <v>87</v>
      </c>
      <c r="G10" s="54" t="s">
        <v>88</v>
      </c>
      <c r="H10" s="54" t="s">
        <v>89</v>
      </c>
      <c r="I10" s="54" t="s">
        <v>100</v>
      </c>
    </row>
    <row r="11" spans="3:9" ht="12.75">
      <c r="C11" s="24"/>
      <c r="E11" s="22"/>
      <c r="F11" s="22"/>
      <c r="G11" s="23"/>
      <c r="H11" s="22"/>
      <c r="I11" s="28"/>
    </row>
    <row r="12" spans="1:9" ht="12.75">
      <c r="A12" s="3">
        <v>1</v>
      </c>
      <c r="C12" s="38"/>
      <c r="D12" s="44" t="s">
        <v>6</v>
      </c>
      <c r="E12" s="82">
        <v>0.10526315789473684</v>
      </c>
      <c r="F12" s="29">
        <v>10095.710560738364</v>
      </c>
      <c r="G12" s="29">
        <v>8089.441781969173</v>
      </c>
      <c r="H12" s="30">
        <f aca="true" t="shared" si="0" ref="H12:H19">+F12-G12</f>
        <v>2006.2687787691912</v>
      </c>
      <c r="I12" s="31">
        <f aca="true" t="shared" si="1" ref="I12:I19">H12/G12</f>
        <v>0.24801078156480844</v>
      </c>
    </row>
    <row r="13" spans="1:9" ht="12.75">
      <c r="A13" s="3">
        <v>2</v>
      </c>
      <c r="C13" s="38"/>
      <c r="D13" s="44" t="s">
        <v>7</v>
      </c>
      <c r="E13" s="82">
        <v>0.3815789473684211</v>
      </c>
      <c r="F13" s="29">
        <v>11845.056677361157</v>
      </c>
      <c r="G13" s="29">
        <v>10087.557087908874</v>
      </c>
      <c r="H13" s="30">
        <f t="shared" si="0"/>
        <v>1757.4995894522835</v>
      </c>
      <c r="I13" s="31">
        <f t="shared" si="1"/>
        <v>0.17422449995934636</v>
      </c>
    </row>
    <row r="14" spans="1:9" ht="12.75" customHeight="1">
      <c r="A14" s="3">
        <v>3</v>
      </c>
      <c r="C14" s="38"/>
      <c r="D14" s="44" t="s">
        <v>8</v>
      </c>
      <c r="E14" s="82">
        <v>0.19736842105263158</v>
      </c>
      <c r="F14" s="29">
        <v>15470.155903364137</v>
      </c>
      <c r="G14" s="29">
        <v>14271.824214400001</v>
      </c>
      <c r="H14" s="30">
        <f t="shared" si="0"/>
        <v>1198.3316889641355</v>
      </c>
      <c r="I14" s="31">
        <f t="shared" si="1"/>
        <v>0.08396485767776214</v>
      </c>
    </row>
    <row r="15" spans="1:9" ht="12.75">
      <c r="A15" s="3">
        <v>4</v>
      </c>
      <c r="C15" s="38"/>
      <c r="D15" s="44" t="s">
        <v>9</v>
      </c>
      <c r="E15" s="82">
        <v>0.05263157894736842</v>
      </c>
      <c r="F15" s="29">
        <v>18920.092411697467</v>
      </c>
      <c r="G15" s="29">
        <v>18277.39578</v>
      </c>
      <c r="H15" s="30">
        <f t="shared" si="0"/>
        <v>642.6966316974685</v>
      </c>
      <c r="I15" s="31">
        <f t="shared" si="1"/>
        <v>0.035163468550631155</v>
      </c>
    </row>
    <row r="16" spans="1:9" ht="12.75">
      <c r="A16" s="3">
        <v>5</v>
      </c>
      <c r="C16" s="38"/>
      <c r="D16" s="44" t="s">
        <v>10</v>
      </c>
      <c r="E16" s="82">
        <v>0.10526315789473684</v>
      </c>
      <c r="F16" s="29">
        <v>21578.241161697468</v>
      </c>
      <c r="G16" s="29">
        <v>21363.656939999997</v>
      </c>
      <c r="H16" s="30">
        <f t="shared" si="0"/>
        <v>214.58422169747064</v>
      </c>
      <c r="I16" s="48">
        <f t="shared" si="1"/>
        <v>0.010044358149924059</v>
      </c>
    </row>
    <row r="17" spans="1:9" ht="12.75">
      <c r="A17" s="3">
        <v>6</v>
      </c>
      <c r="C17" s="45"/>
      <c r="D17" s="46" t="s">
        <v>11</v>
      </c>
      <c r="E17" s="47">
        <v>0.06578947368421052</v>
      </c>
      <c r="F17" s="29">
        <v>24271.858836697473</v>
      </c>
      <c r="G17" s="29">
        <v>24491.099529600004</v>
      </c>
      <c r="H17" s="30">
        <f t="shared" si="0"/>
        <v>-219.240692902531</v>
      </c>
      <c r="I17" s="31">
        <f t="shared" si="1"/>
        <v>-0.008951851779359933</v>
      </c>
    </row>
    <row r="18" spans="1:9" ht="12.75">
      <c r="A18" s="3">
        <v>7</v>
      </c>
      <c r="C18" s="38"/>
      <c r="D18" s="44" t="s">
        <v>12</v>
      </c>
      <c r="E18" s="82">
        <v>0.02631578947368421</v>
      </c>
      <c r="F18" s="29">
        <v>27792.352036697466</v>
      </c>
      <c r="G18" s="29">
        <v>28578.591407999997</v>
      </c>
      <c r="H18" s="30">
        <f t="shared" si="0"/>
        <v>-786.2393713025303</v>
      </c>
      <c r="I18" s="31">
        <f t="shared" si="1"/>
        <v>-0.027511480887138427</v>
      </c>
    </row>
    <row r="19" spans="1:9" ht="12.75">
      <c r="A19" s="3">
        <v>8</v>
      </c>
      <c r="C19" s="225"/>
      <c r="D19" s="72" t="s">
        <v>13</v>
      </c>
      <c r="E19" s="226">
        <v>0.06578947368421052</v>
      </c>
      <c r="F19" s="227">
        <v>31567.854736697467</v>
      </c>
      <c r="G19" s="227">
        <v>32962.1637504</v>
      </c>
      <c r="H19" s="227">
        <f t="shared" si="0"/>
        <v>-1394.3090137025356</v>
      </c>
      <c r="I19" s="228">
        <f t="shared" si="1"/>
        <v>-0.0423002878166824</v>
      </c>
    </row>
    <row r="20" spans="3:9" ht="12.75">
      <c r="C20"/>
      <c r="D20"/>
      <c r="E20" s="23"/>
      <c r="F20"/>
      <c r="G20"/>
      <c r="H20"/>
      <c r="I20"/>
    </row>
    <row r="21" spans="3:9" ht="12.75">
      <c r="C21" s="24" t="s">
        <v>54</v>
      </c>
      <c r="E21" s="22"/>
      <c r="F21" s="22"/>
      <c r="G21" s="23"/>
      <c r="H21" s="22"/>
      <c r="I21" s="28"/>
    </row>
    <row r="22" spans="1:9" ht="12.75">
      <c r="A22" s="55"/>
      <c r="B22" s="53"/>
      <c r="C22" s="11"/>
      <c r="D22" s="57"/>
      <c r="F22" s="1" t="s">
        <v>122</v>
      </c>
      <c r="G22" s="1" t="s">
        <v>122</v>
      </c>
      <c r="H22" s="52"/>
      <c r="I22" s="52"/>
    </row>
    <row r="23" spans="1:9" ht="12.75">
      <c r="A23" s="54" t="s">
        <v>82</v>
      </c>
      <c r="B23" s="36"/>
      <c r="C23" s="52"/>
      <c r="D23" s="64"/>
      <c r="E23" s="59" t="s">
        <v>99</v>
      </c>
      <c r="F23" s="59" t="s">
        <v>51</v>
      </c>
      <c r="G23" s="59" t="s">
        <v>52</v>
      </c>
      <c r="H23" s="60"/>
      <c r="I23" s="60"/>
    </row>
    <row r="24" spans="1:9" ht="12.75">
      <c r="A24" s="65" t="s">
        <v>83</v>
      </c>
      <c r="B24" s="36"/>
      <c r="C24" s="58" t="s">
        <v>30</v>
      </c>
      <c r="D24" s="57"/>
      <c r="E24" s="61" t="s">
        <v>24</v>
      </c>
      <c r="F24" s="62" t="s">
        <v>50</v>
      </c>
      <c r="G24" s="63" t="s">
        <v>49</v>
      </c>
      <c r="H24" s="63" t="s">
        <v>78</v>
      </c>
      <c r="I24" s="61" t="s">
        <v>66</v>
      </c>
    </row>
    <row r="25" spans="1:9" ht="12.75">
      <c r="A25" s="55"/>
      <c r="B25" s="53"/>
      <c r="C25" s="66" t="s">
        <v>84</v>
      </c>
      <c r="D25" s="55"/>
      <c r="E25" s="54" t="s">
        <v>86</v>
      </c>
      <c r="F25" s="54" t="s">
        <v>87</v>
      </c>
      <c r="G25" s="54" t="s">
        <v>88</v>
      </c>
      <c r="H25" s="54" t="s">
        <v>89</v>
      </c>
      <c r="I25" s="54" t="s">
        <v>100</v>
      </c>
    </row>
    <row r="26" spans="1:9" ht="12.75">
      <c r="A26" s="55"/>
      <c r="B26" s="53"/>
      <c r="C26" s="66"/>
      <c r="D26" s="55"/>
      <c r="E26" s="54"/>
      <c r="F26" s="54"/>
      <c r="G26" s="54"/>
      <c r="H26" s="54"/>
      <c r="I26" s="54"/>
    </row>
    <row r="27" spans="1:9" ht="12.75">
      <c r="A27" s="3">
        <v>9</v>
      </c>
      <c r="C27" s="38"/>
      <c r="D27" s="44" t="s">
        <v>14</v>
      </c>
      <c r="E27" s="82">
        <v>0.08433734939759036</v>
      </c>
      <c r="F27" s="29">
        <v>2330.738788671428</v>
      </c>
      <c r="G27" s="29">
        <v>2651.6957108699066</v>
      </c>
      <c r="H27" s="29">
        <f aca="true" t="shared" si="2" ref="H27:H35">+F27-G27</f>
        <v>-320.9569221984784</v>
      </c>
      <c r="I27" s="31">
        <f aca="true" t="shared" si="3" ref="I27:I35">H27/G27</f>
        <v>-0.12103836834777183</v>
      </c>
    </row>
    <row r="28" spans="1:9" ht="12.75">
      <c r="A28" s="3">
        <v>10</v>
      </c>
      <c r="C28" s="38"/>
      <c r="D28" s="44" t="s">
        <v>15</v>
      </c>
      <c r="E28" s="82">
        <v>0.10843373493975904</v>
      </c>
      <c r="F28" s="29">
        <v>3275.8816478111107</v>
      </c>
      <c r="G28" s="29">
        <v>3119.7930375083492</v>
      </c>
      <c r="H28" s="30">
        <f t="shared" si="2"/>
        <v>156.08861030276148</v>
      </c>
      <c r="I28" s="31">
        <f t="shared" si="3"/>
        <v>0.05003171954875028</v>
      </c>
    </row>
    <row r="29" spans="1:9" ht="12.75" customHeight="1">
      <c r="A29" s="3">
        <v>11</v>
      </c>
      <c r="C29" s="38"/>
      <c r="D29" s="44" t="s">
        <v>16</v>
      </c>
      <c r="E29" s="82">
        <v>0.0963855421686747</v>
      </c>
      <c r="F29" s="29">
        <v>3902.1359183875</v>
      </c>
      <c r="G29" s="29">
        <v>3532.2586695236337</v>
      </c>
      <c r="H29" s="30">
        <f t="shared" si="2"/>
        <v>369.8772488638665</v>
      </c>
      <c r="I29" s="31">
        <f t="shared" si="3"/>
        <v>0.10471408904879233</v>
      </c>
    </row>
    <row r="30" spans="1:9" ht="12.75">
      <c r="A30" s="3">
        <v>12</v>
      </c>
      <c r="C30" s="38"/>
      <c r="D30" s="44" t="s">
        <v>17</v>
      </c>
      <c r="E30" s="82">
        <v>0.1927710843373494</v>
      </c>
      <c r="F30" s="29">
        <v>4707.954153075</v>
      </c>
      <c r="G30" s="29">
        <v>4175.069886</v>
      </c>
      <c r="H30" s="30">
        <f t="shared" si="2"/>
        <v>532.884267075</v>
      </c>
      <c r="I30" s="31">
        <f t="shared" si="3"/>
        <v>0.12763481369782273</v>
      </c>
    </row>
    <row r="31" spans="1:9" ht="12.75">
      <c r="A31" s="3">
        <v>13</v>
      </c>
      <c r="C31" s="38"/>
      <c r="D31" s="44" t="s">
        <v>6</v>
      </c>
      <c r="E31" s="82">
        <v>0.18072289156626506</v>
      </c>
      <c r="F31" s="29">
        <v>5387.558401346666</v>
      </c>
      <c r="G31" s="29">
        <v>4737.529003733334</v>
      </c>
      <c r="H31" s="30">
        <f t="shared" si="2"/>
        <v>650.0293976133316</v>
      </c>
      <c r="I31" s="31">
        <f t="shared" si="3"/>
        <v>0.13720853151528706</v>
      </c>
    </row>
    <row r="32" spans="1:9" ht="12.75">
      <c r="A32" s="3">
        <v>14</v>
      </c>
      <c r="C32" s="45"/>
      <c r="D32" s="46" t="s">
        <v>18</v>
      </c>
      <c r="E32" s="47">
        <v>0.12048192771084337</v>
      </c>
      <c r="F32" s="29">
        <v>6383.882594949999</v>
      </c>
      <c r="G32" s="29">
        <v>5562.1142359999985</v>
      </c>
      <c r="H32" s="30">
        <f t="shared" si="2"/>
        <v>821.7683589500002</v>
      </c>
      <c r="I32" s="48">
        <f t="shared" si="3"/>
        <v>0.1477438837252246</v>
      </c>
    </row>
    <row r="33" spans="1:9" ht="12.75">
      <c r="A33" s="3">
        <v>15</v>
      </c>
      <c r="C33" s="38"/>
      <c r="D33" s="44" t="s">
        <v>19</v>
      </c>
      <c r="E33" s="82">
        <v>0.10843373493975904</v>
      </c>
      <c r="F33" s="29">
        <v>7121.8523884999995</v>
      </c>
      <c r="G33" s="29">
        <v>6163.476184830227</v>
      </c>
      <c r="H33" s="30">
        <f t="shared" si="2"/>
        <v>958.3762036697726</v>
      </c>
      <c r="I33" s="31">
        <f t="shared" si="3"/>
        <v>0.15549280550942393</v>
      </c>
    </row>
    <row r="34" spans="1:9" ht="12.75">
      <c r="A34" s="3">
        <v>16</v>
      </c>
      <c r="C34" s="38"/>
      <c r="D34" s="44" t="s">
        <v>20</v>
      </c>
      <c r="E34" s="82">
        <v>0.060240963855421686</v>
      </c>
      <c r="F34" s="29">
        <v>8260.94286</v>
      </c>
      <c r="G34" s="29">
        <v>7077.222623972409</v>
      </c>
      <c r="H34" s="30">
        <f t="shared" si="2"/>
        <v>1183.7202360275905</v>
      </c>
      <c r="I34" s="31">
        <f t="shared" si="3"/>
        <v>0.1672577363919597</v>
      </c>
    </row>
    <row r="35" spans="1:9" ht="12.75">
      <c r="A35" s="3">
        <v>17</v>
      </c>
      <c r="C35" s="225"/>
      <c r="D35" s="72" t="s">
        <v>21</v>
      </c>
      <c r="E35" s="226">
        <v>0.04819277108433735</v>
      </c>
      <c r="F35" s="227">
        <v>8672.554355049997</v>
      </c>
      <c r="G35" s="227">
        <v>7403.509811784976</v>
      </c>
      <c r="H35" s="229">
        <f t="shared" si="2"/>
        <v>1269.0445432650213</v>
      </c>
      <c r="I35" s="228">
        <f t="shared" si="3"/>
        <v>0.17141120570205018</v>
      </c>
    </row>
    <row r="36" spans="8:9" ht="12" customHeight="1">
      <c r="H36" s="11"/>
      <c r="I36" s="11"/>
    </row>
    <row r="37" spans="4:9" ht="12" customHeight="1">
      <c r="D37" s="14"/>
      <c r="E37" s="25"/>
      <c r="F37" s="14"/>
      <c r="G37" s="14"/>
      <c r="H37" s="15"/>
      <c r="I37" s="15"/>
    </row>
    <row r="38" spans="4:9" ht="12" customHeight="1">
      <c r="D38" s="26"/>
      <c r="E38" s="27"/>
      <c r="F38" s="27"/>
      <c r="G38" s="27"/>
      <c r="H38" s="27"/>
      <c r="I38" s="27"/>
    </row>
    <row r="39" spans="5:9" ht="12" customHeight="1">
      <c r="E39" s="17"/>
      <c r="F39" s="17"/>
      <c r="G39" s="17"/>
      <c r="H39" s="17"/>
      <c r="I39" s="17"/>
    </row>
    <row r="40" spans="4:9" ht="12" customHeight="1">
      <c r="D40" s="18"/>
      <c r="E40" s="19"/>
      <c r="F40" s="19"/>
      <c r="G40" s="20"/>
      <c r="H40" s="19"/>
      <c r="I40" s="19"/>
    </row>
    <row r="41" spans="4:9" ht="12" customHeight="1">
      <c r="D41" s="18"/>
      <c r="E41" s="19"/>
      <c r="F41" s="19"/>
      <c r="G41" s="20"/>
      <c r="H41" s="19"/>
      <c r="I41" s="19"/>
    </row>
    <row r="42" spans="4:9" ht="12" customHeight="1">
      <c r="D42" s="18"/>
      <c r="E42" s="19"/>
      <c r="F42" s="19"/>
      <c r="G42" s="20"/>
      <c r="H42" s="19"/>
      <c r="I42" s="19"/>
    </row>
    <row r="43" spans="4:9" ht="12" customHeight="1">
      <c r="D43" s="18"/>
      <c r="E43" s="19"/>
      <c r="F43" s="19"/>
      <c r="G43" s="20"/>
      <c r="H43" s="19"/>
      <c r="I43" s="19"/>
    </row>
    <row r="44" spans="4:9" ht="12" customHeight="1">
      <c r="D44" s="18"/>
      <c r="E44" s="19"/>
      <c r="F44" s="19"/>
      <c r="G44" s="20"/>
      <c r="H44" s="19"/>
      <c r="I44" s="19"/>
    </row>
    <row r="45" spans="3:9" ht="12" customHeight="1">
      <c r="C45" s="14"/>
      <c r="D45" s="21"/>
      <c r="E45" s="22"/>
      <c r="F45" s="22"/>
      <c r="G45" s="23"/>
      <c r="H45" s="22"/>
      <c r="I45" s="22"/>
    </row>
    <row r="46" spans="4:9" ht="12" customHeight="1">
      <c r="D46" s="18"/>
      <c r="E46" s="19"/>
      <c r="F46" s="19"/>
      <c r="G46" s="20"/>
      <c r="H46" s="19"/>
      <c r="I46" s="19"/>
    </row>
    <row r="47" spans="4:9" ht="12" customHeight="1">
      <c r="D47" s="18"/>
      <c r="E47" s="19"/>
      <c r="F47" s="19"/>
      <c r="G47" s="20"/>
      <c r="H47" s="19"/>
      <c r="I47" s="19"/>
    </row>
    <row r="48" spans="4:9" ht="12" customHeight="1">
      <c r="D48" s="18"/>
      <c r="E48" s="19"/>
      <c r="F48" s="19"/>
      <c r="G48" s="20"/>
      <c r="H48" s="19"/>
      <c r="I48" s="19"/>
    </row>
    <row r="49" spans="4:9" ht="12" customHeight="1">
      <c r="D49" s="18"/>
      <c r="E49" s="19"/>
      <c r="F49" s="19"/>
      <c r="G49" s="20"/>
      <c r="H49" s="19"/>
      <c r="I49" s="19"/>
    </row>
    <row r="50" spans="4:9" ht="12" customHeight="1">
      <c r="D50" s="18"/>
      <c r="E50" s="19"/>
      <c r="F50" s="19"/>
      <c r="G50" s="20"/>
      <c r="H50" s="19"/>
      <c r="I50" s="19"/>
    </row>
    <row r="51" ht="12" customHeight="1">
      <c r="D51" s="18"/>
    </row>
    <row r="54" spans="8:9" ht="12" customHeight="1">
      <c r="H54" s="253"/>
      <c r="I54" s="253"/>
    </row>
    <row r="55" spans="5:9" ht="12" customHeight="1">
      <c r="E55" s="14"/>
      <c r="F55" s="14"/>
      <c r="G55" s="14"/>
      <c r="H55" s="254"/>
      <c r="I55" s="254"/>
    </row>
    <row r="56" spans="5:9" ht="12" customHeight="1">
      <c r="E56" s="16"/>
      <c r="F56" s="16"/>
      <c r="G56" s="14"/>
      <c r="H56" s="14"/>
      <c r="I56" s="14"/>
    </row>
    <row r="57" spans="5:9" ht="12" customHeight="1">
      <c r="E57" s="17"/>
      <c r="F57" s="17"/>
      <c r="G57" s="17"/>
      <c r="H57" s="17"/>
      <c r="I57" s="17"/>
    </row>
    <row r="58" spans="4:9" ht="12" customHeight="1">
      <c r="D58" s="18"/>
      <c r="E58" s="19"/>
      <c r="F58" s="19"/>
      <c r="G58" s="20"/>
      <c r="H58" s="19"/>
      <c r="I58" s="19"/>
    </row>
    <row r="59" spans="4:9" ht="12" customHeight="1">
      <c r="D59" s="18"/>
      <c r="E59" s="19"/>
      <c r="F59" s="19"/>
      <c r="G59" s="20"/>
      <c r="H59" s="19"/>
      <c r="I59" s="19"/>
    </row>
    <row r="60" spans="4:9" ht="12" customHeight="1">
      <c r="D60" s="18"/>
      <c r="E60" s="19"/>
      <c r="F60" s="19"/>
      <c r="G60" s="20"/>
      <c r="H60" s="19"/>
      <c r="I60" s="19"/>
    </row>
    <row r="61" spans="4:9" ht="12" customHeight="1">
      <c r="D61" s="18"/>
      <c r="E61" s="19"/>
      <c r="F61" s="19"/>
      <c r="G61" s="20"/>
      <c r="H61" s="19"/>
      <c r="I61" s="19"/>
    </row>
    <row r="62" spans="4:9" ht="12" customHeight="1">
      <c r="D62" s="18"/>
      <c r="E62" s="19"/>
      <c r="F62" s="19"/>
      <c r="G62" s="20"/>
      <c r="H62" s="19"/>
      <c r="I62" s="19"/>
    </row>
    <row r="63" spans="4:9" ht="12" customHeight="1">
      <c r="D63" s="21"/>
      <c r="E63" s="22"/>
      <c r="F63" s="22"/>
      <c r="G63" s="23"/>
      <c r="H63" s="22"/>
      <c r="I63" s="22"/>
    </row>
    <row r="64" spans="4:9" ht="12" customHeight="1">
      <c r="D64" s="18"/>
      <c r="E64" s="19"/>
      <c r="F64" s="19"/>
      <c r="G64" s="20"/>
      <c r="H64" s="19"/>
      <c r="I64" s="19"/>
    </row>
    <row r="65" spans="4:9" ht="12" customHeight="1">
      <c r="D65" s="18"/>
      <c r="E65" s="19"/>
      <c r="F65" s="19"/>
      <c r="G65" s="20"/>
      <c r="H65" s="19"/>
      <c r="I65" s="19"/>
    </row>
    <row r="66" spans="4:9" ht="12" customHeight="1">
      <c r="D66" s="18"/>
      <c r="E66" s="19"/>
      <c r="F66" s="19"/>
      <c r="G66" s="20"/>
      <c r="H66" s="19"/>
      <c r="I66" s="19"/>
    </row>
    <row r="67" spans="4:9" ht="12" customHeight="1">
      <c r="D67" s="18"/>
      <c r="E67" s="19"/>
      <c r="F67" s="19"/>
      <c r="G67" s="20"/>
      <c r="H67" s="19"/>
      <c r="I67" s="19"/>
    </row>
    <row r="68" spans="4:9" ht="12" customHeight="1">
      <c r="D68" s="18"/>
      <c r="E68" s="19"/>
      <c r="F68" s="19"/>
      <c r="G68" s="20"/>
      <c r="H68" s="19"/>
      <c r="I68" s="19"/>
    </row>
    <row r="71" ht="12" customHeight="1">
      <c r="C71" s="24"/>
    </row>
    <row r="72" spans="8:9" ht="12" customHeight="1">
      <c r="H72" s="11"/>
      <c r="I72" s="11"/>
    </row>
    <row r="73" spans="4:9" ht="12" customHeight="1">
      <c r="D73" s="14"/>
      <c r="E73" s="25"/>
      <c r="F73" s="14"/>
      <c r="G73" s="14"/>
      <c r="H73" s="15"/>
      <c r="I73" s="15"/>
    </row>
    <row r="74" spans="4:9" ht="12" customHeight="1">
      <c r="D74" s="26"/>
      <c r="E74" s="27"/>
      <c r="F74" s="27"/>
      <c r="G74" s="27"/>
      <c r="H74" s="27"/>
      <c r="I74" s="27"/>
    </row>
    <row r="75" spans="5:9" ht="12" customHeight="1">
      <c r="E75" s="17"/>
      <c r="F75" s="17"/>
      <c r="G75" s="17"/>
      <c r="H75" s="17"/>
      <c r="I75" s="17"/>
    </row>
    <row r="76" spans="4:9" ht="12" customHeight="1">
      <c r="D76" s="18"/>
      <c r="E76" s="19"/>
      <c r="F76" s="19"/>
      <c r="G76" s="20"/>
      <c r="H76" s="19"/>
      <c r="I76" s="19"/>
    </row>
    <row r="77" spans="4:9" ht="12" customHeight="1">
      <c r="D77" s="18"/>
      <c r="E77" s="19"/>
      <c r="F77" s="19"/>
      <c r="G77" s="20"/>
      <c r="H77" s="19"/>
      <c r="I77" s="19"/>
    </row>
    <row r="78" spans="4:9" ht="12" customHeight="1">
      <c r="D78" s="18"/>
      <c r="E78" s="19"/>
      <c r="F78" s="19"/>
      <c r="G78" s="20"/>
      <c r="H78" s="19"/>
      <c r="I78" s="19"/>
    </row>
    <row r="79" spans="4:9" ht="12" customHeight="1">
      <c r="D79" s="18"/>
      <c r="E79" s="19"/>
      <c r="F79" s="19"/>
      <c r="G79" s="20"/>
      <c r="H79" s="19"/>
      <c r="I79" s="19"/>
    </row>
    <row r="80" spans="4:9" ht="12" customHeight="1">
      <c r="D80" s="18"/>
      <c r="E80" s="19"/>
      <c r="F80" s="19"/>
      <c r="G80" s="20"/>
      <c r="H80" s="19"/>
      <c r="I80" s="19"/>
    </row>
    <row r="81" spans="3:9" ht="12" customHeight="1">
      <c r="C81" s="14"/>
      <c r="D81" s="21"/>
      <c r="E81" s="22"/>
      <c r="F81" s="22"/>
      <c r="G81" s="23"/>
      <c r="H81" s="22"/>
      <c r="I81" s="22"/>
    </row>
    <row r="82" spans="4:9" ht="12" customHeight="1">
      <c r="D82" s="18"/>
      <c r="E82" s="19"/>
      <c r="F82" s="19"/>
      <c r="G82" s="20"/>
      <c r="H82" s="19"/>
      <c r="I82" s="19"/>
    </row>
    <row r="83" spans="4:9" ht="12" customHeight="1">
      <c r="D83" s="18"/>
      <c r="E83" s="19"/>
      <c r="F83" s="19"/>
      <c r="G83" s="20"/>
      <c r="H83" s="19"/>
      <c r="I83" s="19"/>
    </row>
    <row r="84" spans="4:9" ht="12" customHeight="1">
      <c r="D84" s="18"/>
      <c r="E84" s="19"/>
      <c r="F84" s="19"/>
      <c r="G84" s="20"/>
      <c r="H84" s="19"/>
      <c r="I84" s="19"/>
    </row>
    <row r="85" spans="4:9" ht="12" customHeight="1">
      <c r="D85" s="18"/>
      <c r="E85" s="19"/>
      <c r="F85" s="19"/>
      <c r="G85" s="20"/>
      <c r="H85" s="19"/>
      <c r="I85" s="19"/>
    </row>
    <row r="86" spans="4:9" ht="12" customHeight="1">
      <c r="D86" s="18"/>
      <c r="E86" s="19"/>
      <c r="F86" s="19"/>
      <c r="G86" s="20"/>
      <c r="H86" s="19"/>
      <c r="I86" s="19"/>
    </row>
    <row r="87" ht="12" customHeight="1">
      <c r="D87" s="18"/>
    </row>
    <row r="90" spans="8:9" ht="12" customHeight="1">
      <c r="H90" s="253"/>
      <c r="I90" s="253"/>
    </row>
    <row r="91" spans="5:9" ht="12" customHeight="1">
      <c r="E91" s="14"/>
      <c r="F91" s="14"/>
      <c r="G91" s="14"/>
      <c r="H91" s="254"/>
      <c r="I91" s="254"/>
    </row>
    <row r="92" spans="5:9" ht="12" customHeight="1">
      <c r="E92" s="16"/>
      <c r="F92" s="16"/>
      <c r="G92" s="14"/>
      <c r="H92" s="14"/>
      <c r="I92" s="14"/>
    </row>
    <row r="93" spans="5:9" ht="12" customHeight="1">
      <c r="E93" s="17"/>
      <c r="F93" s="17"/>
      <c r="G93" s="17"/>
      <c r="H93" s="17"/>
      <c r="I93" s="17"/>
    </row>
    <row r="94" spans="4:9" ht="12" customHeight="1">
      <c r="D94" s="18"/>
      <c r="E94" s="19"/>
      <c r="F94" s="19"/>
      <c r="G94" s="20"/>
      <c r="H94" s="19"/>
      <c r="I94" s="19"/>
    </row>
    <row r="95" spans="4:9" ht="12" customHeight="1">
      <c r="D95" s="18"/>
      <c r="E95" s="19"/>
      <c r="F95" s="19"/>
      <c r="G95" s="20"/>
      <c r="H95" s="19"/>
      <c r="I95" s="19"/>
    </row>
    <row r="96" spans="4:9" ht="12" customHeight="1">
      <c r="D96" s="18"/>
      <c r="E96" s="19"/>
      <c r="F96" s="19"/>
      <c r="G96" s="20"/>
      <c r="H96" s="19"/>
      <c r="I96" s="19"/>
    </row>
    <row r="97" spans="4:9" ht="12" customHeight="1">
      <c r="D97" s="18"/>
      <c r="E97" s="19"/>
      <c r="F97" s="19"/>
      <c r="G97" s="20"/>
      <c r="H97" s="19"/>
      <c r="I97" s="19"/>
    </row>
    <row r="98" spans="4:9" ht="12" customHeight="1">
      <c r="D98" s="18"/>
      <c r="E98" s="19"/>
      <c r="F98" s="19"/>
      <c r="G98" s="20"/>
      <c r="H98" s="19"/>
      <c r="I98" s="19"/>
    </row>
    <row r="99" spans="4:9" ht="12" customHeight="1">
      <c r="D99" s="21"/>
      <c r="E99" s="22"/>
      <c r="F99" s="22"/>
      <c r="G99" s="23"/>
      <c r="H99" s="22"/>
      <c r="I99" s="22"/>
    </row>
    <row r="100" spans="4:9" ht="12" customHeight="1">
      <c r="D100" s="18"/>
      <c r="E100" s="19"/>
      <c r="F100" s="19"/>
      <c r="G100" s="20"/>
      <c r="H100" s="19"/>
      <c r="I100" s="19"/>
    </row>
    <row r="101" spans="4:9" ht="12" customHeight="1">
      <c r="D101" s="18"/>
      <c r="E101" s="19"/>
      <c r="F101" s="19"/>
      <c r="G101" s="20"/>
      <c r="H101" s="19"/>
      <c r="I101" s="19"/>
    </row>
    <row r="102" spans="4:9" ht="12" customHeight="1">
      <c r="D102" s="18"/>
      <c r="E102" s="19"/>
      <c r="F102" s="19"/>
      <c r="G102" s="20"/>
      <c r="H102" s="19"/>
      <c r="I102" s="19"/>
    </row>
    <row r="103" spans="4:9" ht="12" customHeight="1">
      <c r="D103" s="18"/>
      <c r="E103" s="19"/>
      <c r="F103" s="19"/>
      <c r="G103" s="20"/>
      <c r="H103" s="19"/>
      <c r="I103" s="19"/>
    </row>
    <row r="104" spans="4:9" ht="12" customHeight="1">
      <c r="D104" s="18"/>
      <c r="E104" s="19"/>
      <c r="F104" s="19"/>
      <c r="G104" s="20"/>
      <c r="H104" s="19"/>
      <c r="I104" s="19"/>
    </row>
    <row r="107" ht="12" customHeight="1">
      <c r="C107" s="24"/>
    </row>
    <row r="108" spans="8:9" ht="12" customHeight="1">
      <c r="H108" s="11"/>
      <c r="I108" s="11"/>
    </row>
    <row r="109" spans="4:9" ht="12" customHeight="1">
      <c r="D109" s="14"/>
      <c r="E109" s="25"/>
      <c r="F109" s="14"/>
      <c r="G109" s="14"/>
      <c r="H109" s="15"/>
      <c r="I109" s="15"/>
    </row>
    <row r="110" spans="4:9" ht="12" customHeight="1">
      <c r="D110" s="26"/>
      <c r="E110" s="27"/>
      <c r="F110" s="27"/>
      <c r="G110" s="27"/>
      <c r="H110" s="27"/>
      <c r="I110" s="27"/>
    </row>
    <row r="111" spans="5:9" ht="12" customHeight="1">
      <c r="E111" s="17"/>
      <c r="F111" s="17"/>
      <c r="G111" s="17"/>
      <c r="H111" s="17"/>
      <c r="I111" s="17"/>
    </row>
    <row r="112" spans="4:9" ht="12" customHeight="1">
      <c r="D112" s="18"/>
      <c r="E112" s="19"/>
      <c r="F112" s="19"/>
      <c r="G112" s="20"/>
      <c r="H112" s="19"/>
      <c r="I112" s="19"/>
    </row>
    <row r="113" spans="4:9" ht="12" customHeight="1">
      <c r="D113" s="18"/>
      <c r="E113" s="19"/>
      <c r="F113" s="19"/>
      <c r="G113" s="20"/>
      <c r="H113" s="19"/>
      <c r="I113" s="19"/>
    </row>
    <row r="114" spans="4:9" ht="12" customHeight="1">
      <c r="D114" s="18"/>
      <c r="E114" s="19"/>
      <c r="F114" s="19"/>
      <c r="G114" s="20"/>
      <c r="H114" s="19"/>
      <c r="I114" s="19"/>
    </row>
    <row r="115" spans="4:9" ht="12" customHeight="1">
      <c r="D115" s="18"/>
      <c r="E115" s="19"/>
      <c r="F115" s="19"/>
      <c r="G115" s="20"/>
      <c r="H115" s="19"/>
      <c r="I115" s="19"/>
    </row>
    <row r="116" spans="4:9" ht="12" customHeight="1">
      <c r="D116" s="18"/>
      <c r="E116" s="19"/>
      <c r="F116" s="19"/>
      <c r="G116" s="20"/>
      <c r="H116" s="19"/>
      <c r="I116" s="19"/>
    </row>
    <row r="117" spans="3:9" ht="12" customHeight="1">
      <c r="C117" s="14"/>
      <c r="D117" s="21"/>
      <c r="E117" s="22"/>
      <c r="F117" s="22"/>
      <c r="G117" s="23"/>
      <c r="H117" s="22"/>
      <c r="I117" s="22"/>
    </row>
    <row r="118" spans="4:9" ht="12" customHeight="1">
      <c r="D118" s="18"/>
      <c r="E118" s="19"/>
      <c r="F118" s="19"/>
      <c r="G118" s="20"/>
      <c r="H118" s="19"/>
      <c r="I118" s="19"/>
    </row>
    <row r="119" spans="4:9" ht="12" customHeight="1">
      <c r="D119" s="18"/>
      <c r="E119" s="19"/>
      <c r="F119" s="19"/>
      <c r="G119" s="20"/>
      <c r="H119" s="19"/>
      <c r="I119" s="19"/>
    </row>
    <row r="120" spans="4:9" ht="12" customHeight="1">
      <c r="D120" s="18"/>
      <c r="E120" s="19"/>
      <c r="F120" s="19"/>
      <c r="G120" s="20"/>
      <c r="H120" s="19"/>
      <c r="I120" s="19"/>
    </row>
    <row r="121" spans="4:9" ht="12" customHeight="1">
      <c r="D121" s="18"/>
      <c r="E121" s="19"/>
      <c r="F121" s="19"/>
      <c r="G121" s="20"/>
      <c r="H121" s="19"/>
      <c r="I121" s="19"/>
    </row>
    <row r="122" spans="4:9" ht="12" customHeight="1">
      <c r="D122" s="18"/>
      <c r="E122" s="19"/>
      <c r="F122" s="19"/>
      <c r="G122" s="20"/>
      <c r="H122" s="19"/>
      <c r="I122" s="19"/>
    </row>
    <row r="123" ht="12" customHeight="1">
      <c r="D123" s="18"/>
    </row>
    <row r="126" spans="8:9" ht="12" customHeight="1">
      <c r="H126" s="253"/>
      <c r="I126" s="253"/>
    </row>
    <row r="127" spans="5:9" ht="12" customHeight="1">
      <c r="E127" s="14"/>
      <c r="F127" s="14"/>
      <c r="G127" s="14"/>
      <c r="H127" s="254"/>
      <c r="I127" s="254"/>
    </row>
    <row r="128" spans="5:9" ht="12" customHeight="1">
      <c r="E128" s="16"/>
      <c r="F128" s="16"/>
      <c r="G128" s="14"/>
      <c r="H128" s="14"/>
      <c r="I128" s="14"/>
    </row>
    <row r="129" spans="5:9" ht="12" customHeight="1">
      <c r="E129" s="17"/>
      <c r="F129" s="17"/>
      <c r="G129" s="17"/>
      <c r="H129" s="17"/>
      <c r="I129" s="17"/>
    </row>
    <row r="130" spans="4:9" ht="12" customHeight="1">
      <c r="D130" s="18"/>
      <c r="E130" s="19"/>
      <c r="F130" s="19"/>
      <c r="G130" s="20"/>
      <c r="H130" s="19"/>
      <c r="I130" s="19"/>
    </row>
    <row r="131" spans="4:9" ht="12" customHeight="1">
      <c r="D131" s="18"/>
      <c r="E131" s="19"/>
      <c r="F131" s="19"/>
      <c r="G131" s="20"/>
      <c r="H131" s="19"/>
      <c r="I131" s="19"/>
    </row>
    <row r="132" spans="4:9" ht="12" customHeight="1">
      <c r="D132" s="18"/>
      <c r="E132" s="19"/>
      <c r="F132" s="19"/>
      <c r="G132" s="20"/>
      <c r="H132" s="19"/>
      <c r="I132" s="19"/>
    </row>
    <row r="133" spans="4:9" ht="12" customHeight="1">
      <c r="D133" s="18"/>
      <c r="E133" s="19"/>
      <c r="F133" s="19"/>
      <c r="G133" s="20"/>
      <c r="H133" s="19"/>
      <c r="I133" s="19"/>
    </row>
    <row r="134" spans="4:9" ht="12" customHeight="1">
      <c r="D134" s="18"/>
      <c r="E134" s="19"/>
      <c r="F134" s="19"/>
      <c r="G134" s="20"/>
      <c r="H134" s="19"/>
      <c r="I134" s="19"/>
    </row>
    <row r="135" spans="4:9" ht="12" customHeight="1">
      <c r="D135" s="21"/>
      <c r="E135" s="22"/>
      <c r="F135" s="22"/>
      <c r="G135" s="23"/>
      <c r="H135" s="22"/>
      <c r="I135" s="22"/>
    </row>
    <row r="136" spans="4:9" ht="12" customHeight="1">
      <c r="D136" s="18"/>
      <c r="E136" s="19"/>
      <c r="F136" s="19"/>
      <c r="G136" s="20"/>
      <c r="H136" s="19"/>
      <c r="I136" s="19"/>
    </row>
    <row r="137" spans="4:9" ht="12" customHeight="1">
      <c r="D137" s="18"/>
      <c r="E137" s="19"/>
      <c r="F137" s="19"/>
      <c r="G137" s="20"/>
      <c r="H137" s="19"/>
      <c r="I137" s="19"/>
    </row>
    <row r="138" spans="4:9" ht="12" customHeight="1">
      <c r="D138" s="18"/>
      <c r="E138" s="19"/>
      <c r="F138" s="19"/>
      <c r="G138" s="20"/>
      <c r="H138" s="19"/>
      <c r="I138" s="19"/>
    </row>
    <row r="139" spans="4:9" ht="12" customHeight="1">
      <c r="D139" s="18"/>
      <c r="E139" s="19"/>
      <c r="F139" s="19"/>
      <c r="G139" s="20"/>
      <c r="H139" s="19"/>
      <c r="I139" s="19"/>
    </row>
    <row r="140" spans="4:9" ht="12" customHeight="1">
      <c r="D140" s="18"/>
      <c r="E140" s="19"/>
      <c r="F140" s="19"/>
      <c r="G140" s="20"/>
      <c r="H140" s="19"/>
      <c r="I140" s="19"/>
    </row>
    <row r="143" ht="12" customHeight="1">
      <c r="C143" s="24"/>
    </row>
    <row r="144" spans="8:9" ht="12" customHeight="1">
      <c r="H144" s="11"/>
      <c r="I144" s="11"/>
    </row>
    <row r="145" spans="4:9" ht="12" customHeight="1">
      <c r="D145" s="14"/>
      <c r="E145" s="25"/>
      <c r="F145" s="14"/>
      <c r="G145" s="14"/>
      <c r="H145" s="15"/>
      <c r="I145" s="15"/>
    </row>
    <row r="146" spans="4:9" ht="12" customHeight="1">
      <c r="D146" s="26"/>
      <c r="E146" s="27"/>
      <c r="F146" s="27"/>
      <c r="G146" s="27"/>
      <c r="H146" s="27"/>
      <c r="I146" s="27"/>
    </row>
    <row r="147" spans="5:9" ht="12" customHeight="1">
      <c r="E147" s="17"/>
      <c r="F147" s="17"/>
      <c r="G147" s="17"/>
      <c r="H147" s="17"/>
      <c r="I147" s="17"/>
    </row>
    <row r="148" spans="4:9" ht="12" customHeight="1">
      <c r="D148" s="18"/>
      <c r="E148" s="19"/>
      <c r="F148" s="19"/>
      <c r="G148" s="20"/>
      <c r="H148" s="19"/>
      <c r="I148" s="19"/>
    </row>
    <row r="149" spans="4:9" ht="12" customHeight="1">
      <c r="D149" s="18"/>
      <c r="E149" s="19"/>
      <c r="F149" s="19"/>
      <c r="G149" s="20"/>
      <c r="H149" s="19"/>
      <c r="I149" s="19"/>
    </row>
    <row r="150" spans="4:9" ht="12" customHeight="1">
      <c r="D150" s="18"/>
      <c r="E150" s="19"/>
      <c r="F150" s="19"/>
      <c r="G150" s="20"/>
      <c r="H150" s="19"/>
      <c r="I150" s="19"/>
    </row>
    <row r="151" spans="4:9" ht="12" customHeight="1">
      <c r="D151" s="18"/>
      <c r="E151" s="19"/>
      <c r="F151" s="19"/>
      <c r="G151" s="20"/>
      <c r="H151" s="19"/>
      <c r="I151" s="19"/>
    </row>
    <row r="152" spans="4:9" ht="12" customHeight="1">
      <c r="D152" s="18"/>
      <c r="E152" s="19"/>
      <c r="F152" s="19"/>
      <c r="G152" s="20"/>
      <c r="H152" s="19"/>
      <c r="I152" s="19"/>
    </row>
    <row r="153" spans="3:9" ht="12" customHeight="1">
      <c r="C153" s="14"/>
      <c r="D153" s="21"/>
      <c r="E153" s="22"/>
      <c r="F153" s="22"/>
      <c r="G153" s="23"/>
      <c r="H153" s="22"/>
      <c r="I153" s="22"/>
    </row>
    <row r="154" spans="4:9" ht="12" customHeight="1">
      <c r="D154" s="18"/>
      <c r="E154" s="19"/>
      <c r="F154" s="19"/>
      <c r="G154" s="20"/>
      <c r="H154" s="19"/>
      <c r="I154" s="19"/>
    </row>
    <row r="155" spans="4:9" ht="12" customHeight="1">
      <c r="D155" s="18"/>
      <c r="E155" s="19"/>
      <c r="F155" s="19"/>
      <c r="G155" s="20"/>
      <c r="H155" s="19"/>
      <c r="I155" s="19"/>
    </row>
    <row r="156" spans="4:9" ht="12" customHeight="1">
      <c r="D156" s="18"/>
      <c r="E156" s="19"/>
      <c r="F156" s="19"/>
      <c r="G156" s="20"/>
      <c r="H156" s="19"/>
      <c r="I156" s="19"/>
    </row>
    <row r="157" spans="4:9" ht="12" customHeight="1">
      <c r="D157" s="18"/>
      <c r="E157" s="19"/>
      <c r="F157" s="19"/>
      <c r="G157" s="20"/>
      <c r="H157" s="19"/>
      <c r="I157" s="19"/>
    </row>
    <row r="158" spans="4:9" ht="12" customHeight="1">
      <c r="D158" s="18"/>
      <c r="E158" s="19"/>
      <c r="F158" s="19"/>
      <c r="G158" s="20"/>
      <c r="H158" s="19"/>
      <c r="I158" s="19"/>
    </row>
    <row r="159" ht="12" customHeight="1">
      <c r="D159" s="18"/>
    </row>
    <row r="162" spans="8:9" ht="12" customHeight="1">
      <c r="H162" s="253"/>
      <c r="I162" s="253"/>
    </row>
    <row r="163" spans="5:9" ht="12" customHeight="1">
      <c r="E163" s="14"/>
      <c r="F163" s="14"/>
      <c r="G163" s="14"/>
      <c r="H163" s="254"/>
      <c r="I163" s="254"/>
    </row>
    <row r="164" spans="5:9" ht="12" customHeight="1">
      <c r="E164" s="16"/>
      <c r="F164" s="16"/>
      <c r="G164" s="14"/>
      <c r="H164" s="14"/>
      <c r="I164" s="14"/>
    </row>
    <row r="165" spans="5:9" ht="12" customHeight="1">
      <c r="E165" s="17"/>
      <c r="F165" s="17"/>
      <c r="G165" s="17"/>
      <c r="H165" s="17"/>
      <c r="I165" s="17"/>
    </row>
    <row r="166" spans="4:9" ht="12" customHeight="1">
      <c r="D166" s="18"/>
      <c r="E166" s="19"/>
      <c r="F166" s="19"/>
      <c r="G166" s="20"/>
      <c r="H166" s="19"/>
      <c r="I166" s="19"/>
    </row>
    <row r="167" spans="4:9" ht="12" customHeight="1">
      <c r="D167" s="18"/>
      <c r="E167" s="19"/>
      <c r="F167" s="19"/>
      <c r="G167" s="20"/>
      <c r="H167" s="19"/>
      <c r="I167" s="19"/>
    </row>
    <row r="168" spans="4:9" ht="12" customHeight="1">
      <c r="D168" s="18"/>
      <c r="E168" s="19"/>
      <c r="F168" s="19"/>
      <c r="G168" s="20"/>
      <c r="H168" s="19"/>
      <c r="I168" s="19"/>
    </row>
    <row r="169" spans="4:9" ht="12" customHeight="1">
      <c r="D169" s="18"/>
      <c r="E169" s="19"/>
      <c r="F169" s="19"/>
      <c r="G169" s="20"/>
      <c r="H169" s="19"/>
      <c r="I169" s="19"/>
    </row>
    <row r="170" spans="4:9" ht="12" customHeight="1">
      <c r="D170" s="18"/>
      <c r="E170" s="19"/>
      <c r="F170" s="19"/>
      <c r="G170" s="20"/>
      <c r="H170" s="19"/>
      <c r="I170" s="19"/>
    </row>
    <row r="171" spans="4:9" ht="12" customHeight="1">
      <c r="D171" s="21"/>
      <c r="E171" s="22"/>
      <c r="F171" s="22"/>
      <c r="G171" s="23"/>
      <c r="H171" s="22"/>
      <c r="I171" s="22"/>
    </row>
    <row r="172" spans="4:9" ht="12" customHeight="1">
      <c r="D172" s="18"/>
      <c r="E172" s="19"/>
      <c r="F172" s="19"/>
      <c r="G172" s="20"/>
      <c r="H172" s="19"/>
      <c r="I172" s="19"/>
    </row>
    <row r="173" spans="4:9" ht="12" customHeight="1">
      <c r="D173" s="18"/>
      <c r="E173" s="19"/>
      <c r="F173" s="19"/>
      <c r="G173" s="20"/>
      <c r="H173" s="19"/>
      <c r="I173" s="19"/>
    </row>
    <row r="174" spans="4:9" ht="12" customHeight="1">
      <c r="D174" s="18"/>
      <c r="E174" s="19"/>
      <c r="F174" s="19"/>
      <c r="G174" s="20"/>
      <c r="H174" s="19"/>
      <c r="I174" s="19"/>
    </row>
    <row r="175" spans="4:9" ht="12" customHeight="1">
      <c r="D175" s="18"/>
      <c r="E175" s="19"/>
      <c r="F175" s="19"/>
      <c r="G175" s="20"/>
      <c r="H175" s="19"/>
      <c r="I175" s="19"/>
    </row>
    <row r="176" spans="4:9" ht="12" customHeight="1">
      <c r="D176" s="18"/>
      <c r="E176" s="19"/>
      <c r="F176" s="19"/>
      <c r="G176" s="20"/>
      <c r="H176" s="19"/>
      <c r="I176" s="19"/>
    </row>
    <row r="179" ht="12" customHeight="1">
      <c r="C179" s="24"/>
    </row>
    <row r="180" spans="8:9" ht="12" customHeight="1">
      <c r="H180" s="11"/>
      <c r="I180" s="11"/>
    </row>
    <row r="181" spans="4:9" ht="12" customHeight="1">
      <c r="D181" s="14"/>
      <c r="E181" s="25"/>
      <c r="F181" s="14"/>
      <c r="G181" s="14"/>
      <c r="H181" s="15"/>
      <c r="I181" s="15"/>
    </row>
    <row r="182" spans="4:9" ht="12" customHeight="1">
      <c r="D182" s="26"/>
      <c r="E182" s="27"/>
      <c r="F182" s="27"/>
      <c r="G182" s="27"/>
      <c r="H182" s="27"/>
      <c r="I182" s="27"/>
    </row>
    <row r="183" spans="5:9" ht="12" customHeight="1">
      <c r="E183" s="17"/>
      <c r="F183" s="17"/>
      <c r="G183" s="17"/>
      <c r="H183" s="17"/>
      <c r="I183" s="17"/>
    </row>
    <row r="184" spans="4:9" ht="12" customHeight="1">
      <c r="D184" s="18"/>
      <c r="E184" s="19"/>
      <c r="F184" s="19"/>
      <c r="G184" s="20"/>
      <c r="H184" s="19"/>
      <c r="I184" s="19"/>
    </row>
    <row r="185" spans="4:9" ht="12" customHeight="1">
      <c r="D185" s="18"/>
      <c r="E185" s="19"/>
      <c r="F185" s="19"/>
      <c r="G185" s="20"/>
      <c r="H185" s="19"/>
      <c r="I185" s="19"/>
    </row>
    <row r="186" spans="4:9" ht="12" customHeight="1">
      <c r="D186" s="18"/>
      <c r="E186" s="19"/>
      <c r="F186" s="19"/>
      <c r="G186" s="20"/>
      <c r="H186" s="19"/>
      <c r="I186" s="19"/>
    </row>
    <row r="187" spans="4:9" ht="12" customHeight="1">
      <c r="D187" s="18"/>
      <c r="E187" s="19"/>
      <c r="F187" s="19"/>
      <c r="G187" s="20"/>
      <c r="H187" s="19"/>
      <c r="I187" s="19"/>
    </row>
    <row r="188" spans="4:9" ht="12" customHeight="1">
      <c r="D188" s="18"/>
      <c r="E188" s="19"/>
      <c r="F188" s="19"/>
      <c r="G188" s="20"/>
      <c r="H188" s="19"/>
      <c r="I188" s="19"/>
    </row>
    <row r="189" spans="3:9" ht="12" customHeight="1">
      <c r="C189" s="14"/>
      <c r="D189" s="21"/>
      <c r="E189" s="22"/>
      <c r="F189" s="22"/>
      <c r="G189" s="23"/>
      <c r="H189" s="22"/>
      <c r="I189" s="22"/>
    </row>
    <row r="190" spans="4:9" ht="12" customHeight="1">
      <c r="D190" s="18"/>
      <c r="E190" s="19"/>
      <c r="F190" s="19"/>
      <c r="G190" s="20"/>
      <c r="H190" s="19"/>
      <c r="I190" s="19"/>
    </row>
    <row r="191" spans="4:9" ht="12" customHeight="1">
      <c r="D191" s="18"/>
      <c r="E191" s="19"/>
      <c r="F191" s="19"/>
      <c r="G191" s="20"/>
      <c r="H191" s="19"/>
      <c r="I191" s="19"/>
    </row>
    <row r="192" spans="4:9" ht="12" customHeight="1">
      <c r="D192" s="18"/>
      <c r="E192" s="19"/>
      <c r="F192" s="19"/>
      <c r="G192" s="20"/>
      <c r="H192" s="19"/>
      <c r="I192" s="19"/>
    </row>
    <row r="193" spans="4:9" ht="12" customHeight="1">
      <c r="D193" s="18"/>
      <c r="E193" s="19"/>
      <c r="F193" s="19"/>
      <c r="G193" s="20"/>
      <c r="H193" s="19"/>
      <c r="I193" s="19"/>
    </row>
    <row r="194" spans="4:9" ht="12" customHeight="1">
      <c r="D194" s="18"/>
      <c r="E194" s="19"/>
      <c r="F194" s="19"/>
      <c r="G194" s="20"/>
      <c r="H194" s="19"/>
      <c r="I194" s="19"/>
    </row>
    <row r="195" ht="12" customHeight="1">
      <c r="D195" s="18"/>
    </row>
    <row r="198" spans="8:9" ht="12" customHeight="1">
      <c r="H198" s="253"/>
      <c r="I198" s="253"/>
    </row>
    <row r="199" spans="5:9" ht="12" customHeight="1">
      <c r="E199" s="14"/>
      <c r="F199" s="14"/>
      <c r="G199" s="14"/>
      <c r="H199" s="254"/>
      <c r="I199" s="254"/>
    </row>
    <row r="200" spans="5:9" ht="12" customHeight="1">
      <c r="E200" s="16"/>
      <c r="F200" s="16"/>
      <c r="G200" s="14"/>
      <c r="H200" s="14"/>
      <c r="I200" s="14"/>
    </row>
    <row r="201" spans="5:9" ht="12" customHeight="1">
      <c r="E201" s="17"/>
      <c r="F201" s="17"/>
      <c r="G201" s="17"/>
      <c r="H201" s="17"/>
      <c r="I201" s="17"/>
    </row>
    <row r="202" spans="4:9" ht="12" customHeight="1">
      <c r="D202" s="18"/>
      <c r="E202" s="19"/>
      <c r="F202" s="19"/>
      <c r="G202" s="20"/>
      <c r="H202" s="19"/>
      <c r="I202" s="19"/>
    </row>
    <row r="203" spans="4:9" ht="12" customHeight="1">
      <c r="D203" s="18"/>
      <c r="E203" s="19"/>
      <c r="F203" s="19"/>
      <c r="G203" s="20"/>
      <c r="H203" s="19"/>
      <c r="I203" s="19"/>
    </row>
    <row r="204" spans="4:9" ht="12" customHeight="1">
      <c r="D204" s="18"/>
      <c r="E204" s="19"/>
      <c r="F204" s="19"/>
      <c r="G204" s="20"/>
      <c r="H204" s="19"/>
      <c r="I204" s="19"/>
    </row>
    <row r="205" spans="4:9" ht="12" customHeight="1">
      <c r="D205" s="18"/>
      <c r="E205" s="19"/>
      <c r="F205" s="19"/>
      <c r="G205" s="20"/>
      <c r="H205" s="19"/>
      <c r="I205" s="19"/>
    </row>
    <row r="206" spans="4:9" ht="12" customHeight="1">
      <c r="D206" s="18"/>
      <c r="E206" s="19"/>
      <c r="F206" s="19"/>
      <c r="G206" s="20"/>
      <c r="H206" s="19"/>
      <c r="I206" s="19"/>
    </row>
    <row r="207" spans="4:9" ht="12" customHeight="1">
      <c r="D207" s="21"/>
      <c r="E207" s="22"/>
      <c r="F207" s="22"/>
      <c r="G207" s="23"/>
      <c r="H207" s="22"/>
      <c r="I207" s="22"/>
    </row>
    <row r="208" spans="4:9" ht="12" customHeight="1">
      <c r="D208" s="18"/>
      <c r="E208" s="19"/>
      <c r="F208" s="19"/>
      <c r="G208" s="20"/>
      <c r="H208" s="19"/>
      <c r="I208" s="19"/>
    </row>
    <row r="209" spans="4:9" ht="12" customHeight="1">
      <c r="D209" s="18"/>
      <c r="E209" s="19"/>
      <c r="F209" s="19"/>
      <c r="G209" s="20"/>
      <c r="H209" s="19"/>
      <c r="I209" s="19"/>
    </row>
    <row r="210" spans="4:9" ht="12" customHeight="1">
      <c r="D210" s="18"/>
      <c r="E210" s="19"/>
      <c r="F210" s="19"/>
      <c r="G210" s="20"/>
      <c r="H210" s="19"/>
      <c r="I210" s="19"/>
    </row>
    <row r="211" spans="4:9" ht="12" customHeight="1">
      <c r="D211" s="18"/>
      <c r="E211" s="19"/>
      <c r="F211" s="19"/>
      <c r="G211" s="20"/>
      <c r="H211" s="19"/>
      <c r="I211" s="19"/>
    </row>
    <row r="212" spans="4:9" ht="12" customHeight="1">
      <c r="D212" s="18"/>
      <c r="E212" s="19"/>
      <c r="F212" s="19"/>
      <c r="G212" s="20"/>
      <c r="H212" s="19"/>
      <c r="I212" s="19"/>
    </row>
    <row r="215" ht="12" customHeight="1">
      <c r="C215" s="24"/>
    </row>
    <row r="216" spans="8:9" ht="12" customHeight="1">
      <c r="H216" s="11"/>
      <c r="I216" s="11"/>
    </row>
    <row r="217" spans="4:9" ht="12" customHeight="1">
      <c r="D217" s="14"/>
      <c r="E217" s="25"/>
      <c r="F217" s="14"/>
      <c r="G217" s="14"/>
      <c r="H217" s="15"/>
      <c r="I217" s="15"/>
    </row>
    <row r="218" spans="4:9" ht="12" customHeight="1">
      <c r="D218" s="26"/>
      <c r="E218" s="27"/>
      <c r="F218" s="27"/>
      <c r="G218" s="27"/>
      <c r="H218" s="27"/>
      <c r="I218" s="27"/>
    </row>
    <row r="219" spans="5:9" ht="12" customHeight="1">
      <c r="E219" s="17"/>
      <c r="F219" s="17"/>
      <c r="G219" s="17"/>
      <c r="H219" s="17"/>
      <c r="I219" s="17"/>
    </row>
    <row r="220" spans="4:9" ht="12" customHeight="1">
      <c r="D220" s="18"/>
      <c r="E220" s="19"/>
      <c r="F220" s="19"/>
      <c r="G220" s="20"/>
      <c r="H220" s="19"/>
      <c r="I220" s="19"/>
    </row>
    <row r="221" spans="4:9" ht="12" customHeight="1">
      <c r="D221" s="18"/>
      <c r="E221" s="19"/>
      <c r="F221" s="19"/>
      <c r="G221" s="20"/>
      <c r="H221" s="19"/>
      <c r="I221" s="19"/>
    </row>
    <row r="222" spans="4:9" ht="12" customHeight="1">
      <c r="D222" s="18"/>
      <c r="E222" s="19"/>
      <c r="F222" s="19"/>
      <c r="G222" s="20"/>
      <c r="H222" s="19"/>
      <c r="I222" s="19"/>
    </row>
    <row r="223" spans="4:9" ht="12" customHeight="1">
      <c r="D223" s="18"/>
      <c r="E223" s="19"/>
      <c r="F223" s="19"/>
      <c r="G223" s="20"/>
      <c r="H223" s="19"/>
      <c r="I223" s="19"/>
    </row>
    <row r="224" spans="4:9" ht="12" customHeight="1">
      <c r="D224" s="18"/>
      <c r="E224" s="19"/>
      <c r="F224" s="19"/>
      <c r="G224" s="20"/>
      <c r="H224" s="19"/>
      <c r="I224" s="19"/>
    </row>
    <row r="225" spans="3:9" ht="12" customHeight="1">
      <c r="C225" s="14"/>
      <c r="D225" s="21"/>
      <c r="E225" s="22"/>
      <c r="F225" s="22"/>
      <c r="G225" s="23"/>
      <c r="H225" s="22"/>
      <c r="I225" s="22"/>
    </row>
    <row r="226" spans="4:9" ht="12" customHeight="1">
      <c r="D226" s="18"/>
      <c r="E226" s="19"/>
      <c r="F226" s="19"/>
      <c r="G226" s="20"/>
      <c r="H226" s="19"/>
      <c r="I226" s="19"/>
    </row>
    <row r="227" spans="4:9" ht="12" customHeight="1">
      <c r="D227" s="18"/>
      <c r="E227" s="19"/>
      <c r="F227" s="19"/>
      <c r="G227" s="20"/>
      <c r="H227" s="19"/>
      <c r="I227" s="19"/>
    </row>
    <row r="228" spans="4:9" ht="12" customHeight="1">
      <c r="D228" s="18"/>
      <c r="E228" s="19"/>
      <c r="F228" s="19"/>
      <c r="G228" s="20"/>
      <c r="H228" s="19"/>
      <c r="I228" s="19"/>
    </row>
    <row r="229" spans="4:9" ht="12" customHeight="1">
      <c r="D229" s="18"/>
      <c r="E229" s="19"/>
      <c r="F229" s="19"/>
      <c r="G229" s="20"/>
      <c r="H229" s="19"/>
      <c r="I229" s="19"/>
    </row>
    <row r="230" spans="4:9" ht="12" customHeight="1">
      <c r="D230" s="18"/>
      <c r="E230" s="19"/>
      <c r="F230" s="19"/>
      <c r="G230" s="20"/>
      <c r="H230" s="19"/>
      <c r="I230" s="19"/>
    </row>
    <row r="231" ht="12" customHeight="1">
      <c r="D231" s="18"/>
    </row>
    <row r="234" spans="8:9" ht="12" customHeight="1">
      <c r="H234" s="253"/>
      <c r="I234" s="253"/>
    </row>
    <row r="235" spans="5:9" ht="12" customHeight="1">
      <c r="E235" s="14"/>
      <c r="F235" s="14"/>
      <c r="G235" s="14"/>
      <c r="H235" s="254"/>
      <c r="I235" s="254"/>
    </row>
    <row r="236" spans="5:9" ht="12" customHeight="1">
      <c r="E236" s="16"/>
      <c r="F236" s="16"/>
      <c r="G236" s="14"/>
      <c r="H236" s="14"/>
      <c r="I236" s="14"/>
    </row>
    <row r="237" spans="5:9" ht="12" customHeight="1">
      <c r="E237" s="17"/>
      <c r="F237" s="17"/>
      <c r="G237" s="17"/>
      <c r="H237" s="17"/>
      <c r="I237" s="17"/>
    </row>
    <row r="238" spans="4:9" ht="12" customHeight="1">
      <c r="D238" s="18"/>
      <c r="E238" s="19"/>
      <c r="F238" s="19"/>
      <c r="G238" s="20"/>
      <c r="H238" s="19"/>
      <c r="I238" s="19"/>
    </row>
    <row r="239" spans="4:9" ht="12" customHeight="1">
      <c r="D239" s="18"/>
      <c r="E239" s="19"/>
      <c r="F239" s="19"/>
      <c r="G239" s="20"/>
      <c r="H239" s="19"/>
      <c r="I239" s="19"/>
    </row>
    <row r="240" spans="4:9" ht="12" customHeight="1">
      <c r="D240" s="18"/>
      <c r="E240" s="19"/>
      <c r="F240" s="19"/>
      <c r="G240" s="20"/>
      <c r="H240" s="19"/>
      <c r="I240" s="19"/>
    </row>
    <row r="241" spans="4:9" ht="12" customHeight="1">
      <c r="D241" s="18"/>
      <c r="E241" s="19"/>
      <c r="F241" s="19"/>
      <c r="G241" s="20"/>
      <c r="H241" s="19"/>
      <c r="I241" s="19"/>
    </row>
    <row r="242" spans="4:9" ht="12" customHeight="1">
      <c r="D242" s="18"/>
      <c r="E242" s="19"/>
      <c r="F242" s="19"/>
      <c r="G242" s="20"/>
      <c r="H242" s="19"/>
      <c r="I242" s="19"/>
    </row>
    <row r="243" spans="4:9" ht="12" customHeight="1">
      <c r="D243" s="21"/>
      <c r="E243" s="22"/>
      <c r="F243" s="22"/>
      <c r="G243" s="23"/>
      <c r="H243" s="22"/>
      <c r="I243" s="22"/>
    </row>
    <row r="244" spans="4:9" ht="12" customHeight="1">
      <c r="D244" s="18"/>
      <c r="E244" s="19"/>
      <c r="F244" s="19"/>
      <c r="G244" s="20"/>
      <c r="H244" s="19"/>
      <c r="I244" s="19"/>
    </row>
    <row r="245" spans="4:9" ht="12" customHeight="1">
      <c r="D245" s="18"/>
      <c r="E245" s="19"/>
      <c r="F245" s="19"/>
      <c r="G245" s="20"/>
      <c r="H245" s="19"/>
      <c r="I245" s="19"/>
    </row>
    <row r="246" spans="4:9" ht="12" customHeight="1">
      <c r="D246" s="18"/>
      <c r="E246" s="19"/>
      <c r="F246" s="19"/>
      <c r="G246" s="20"/>
      <c r="H246" s="19"/>
      <c r="I246" s="19"/>
    </row>
    <row r="247" spans="4:9" ht="12" customHeight="1">
      <c r="D247" s="18"/>
      <c r="E247" s="19"/>
      <c r="F247" s="19"/>
      <c r="G247" s="20"/>
      <c r="H247" s="19"/>
      <c r="I247" s="19"/>
    </row>
    <row r="248" spans="4:9" ht="12" customHeight="1">
      <c r="D248" s="18"/>
      <c r="E248" s="19"/>
      <c r="F248" s="19"/>
      <c r="G248" s="20"/>
      <c r="H248" s="19"/>
      <c r="I248" s="19"/>
    </row>
  </sheetData>
  <sheetProtection/>
  <mergeCells count="12">
    <mergeCell ref="H234:I234"/>
    <mergeCell ref="H91:I91"/>
    <mergeCell ref="H54:I54"/>
    <mergeCell ref="H55:I55"/>
    <mergeCell ref="H162:I162"/>
    <mergeCell ref="H235:I235"/>
    <mergeCell ref="H198:I198"/>
    <mergeCell ref="H199:I199"/>
    <mergeCell ref="H90:I90"/>
    <mergeCell ref="H127:I127"/>
    <mergeCell ref="H163:I163"/>
    <mergeCell ref="H126:I126"/>
  </mergeCells>
  <printOptions horizontalCentered="1"/>
  <pageMargins left="0.75" right="0.75" top="1" bottom="0.25" header="0.75" footer="0.25"/>
  <pageSetup fitToHeight="0" horizontalDpi="300" verticalDpi="300" orientation="landscape" scale="70" r:id="rId1"/>
  <rowBreaks count="3" manualBreakCount="3">
    <brk id="106" max="255" man="1"/>
    <brk id="178" max="255" man="1"/>
    <brk id="2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Concentric Energy Advisors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Heintz</dc:creator>
  <cp:keywords/>
  <dc:description/>
  <cp:lastModifiedBy>jocarlson</cp:lastModifiedBy>
  <cp:lastPrinted>2008-03-24T15:54:49Z</cp:lastPrinted>
  <dcterms:created xsi:type="dcterms:W3CDTF">2008-02-14T20:03:25Z</dcterms:created>
  <dcterms:modified xsi:type="dcterms:W3CDTF">2008-03-28T18:06:00Z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080546</vt:lpwstr>
  </property>
  <property fmtid="{D5CDD505-2E9C-101B-9397-08002B2CF9AE}" pid="6" name="IsConfidenti">
    <vt:lpwstr>0</vt:lpwstr>
  </property>
  <property fmtid="{D5CDD505-2E9C-101B-9397-08002B2CF9AE}" pid="7" name="Dat">
    <vt:lpwstr>2008-03-28T00:00:00Z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2008-03-28T00:00:00Z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