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1 IRP\4 - Projects\WA CEIP\_REFILING\_Data Disk\not clean\Public\"/>
    </mc:Choice>
  </mc:AlternateContent>
  <xr:revisionPtr revIDLastSave="0" documentId="13_ncr:1_{11517B01-C019-4830-9B5E-7BFD9FED2AD8}" xr6:coauthVersionLast="47" xr6:coauthVersionMax="47" xr10:uidLastSave="{00000000-0000-0000-0000-000000000000}"/>
  <bookViews>
    <workbookView xWindow="-28920" yWindow="-7170" windowWidth="29040" windowHeight="15840" activeTab="3" xr2:uid="{46B5B250-171D-4412-973E-EC87D544183B}"/>
  </bookViews>
  <sheets>
    <sheet name="WA CETA Summary" sheetId="1" r:id="rId1"/>
    <sheet name="Graphs - Interim Targets" sheetId="2" r:id="rId2"/>
    <sheet name="Table - Interim Targets" sheetId="3" r:id="rId3"/>
    <sheet name="Table - Renewable Energy Targe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DeltaRetirements">'[1]Data Check'!$N$4</definedName>
    <definedName name="Discount_Rate">'[2]ST Cost Summary'!$C$2</definedName>
    <definedName name="Discount_Rate___2021_IRP">'[3]Summary $ Portfolio'!$M$68</definedName>
    <definedName name="DiscountRate">'[4]Control Panel'!$F$31</definedName>
    <definedName name="Dynamic_EmissionsData">OFFSET('[5]Emissions Data'!$AF$1,0,0,COUNTA('[5]Emissions Data'!$AF:$AF),COUNTA('[5]Emissions Data'!$AF$1:$BS$1))</definedName>
    <definedName name="Dynamic_TransmissionData">OFFSET('[5]Transmission Annual Data'!$AF$1,0,0,COUNTA('[5]Transmission Annual Data'!$AF:$AF),COUNTA('[5]Transmission Annual Data'!$AF$1:$BG$1))</definedName>
    <definedName name="FileName">'[1]Control Form'!$B$3</definedName>
    <definedName name="HYS_LIST">'[1]Automation Support'!$M$102</definedName>
    <definedName name="NewGasError">'[1]Portfolio by Category'!$G$58</definedName>
    <definedName name="NPVCost">'[4]PVRR Table'!$X$54</definedName>
    <definedName name="NUC_LIST">'[1]Automation Support'!$L$102</definedName>
    <definedName name="OutputLocation">'[4]Control Panel'!$B$7</definedName>
    <definedName name="ResourceTbl">'[6]Proj Attrib List'!$A$1:$E$442</definedName>
    <definedName name="RetireCompareCol">'[1]Data Check'!$D$21</definedName>
    <definedName name="RunName">'[1]Control Form'!$B$7</definedName>
    <definedName name="StudyName">'[4]Control Panel'!$B$6</definedName>
    <definedName name="StudySaveName">'[4]Control Panel'!$B$8</definedName>
    <definedName name="StudyType">'[1]Data Check'!$M$3</definedName>
    <definedName name="Tbl_Coal_EndofLife">[4]CoalPlants!$O$77:$T$103</definedName>
    <definedName name="TBL_DSMFactor">'[4]EPM Tables'!$L$38:$M$44</definedName>
    <definedName name="Tbl_MasterResource">[4]TBL_ResourceMaster!$A:$W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E6" i="1"/>
  <c r="F6" i="1"/>
  <c r="G6" i="1"/>
  <c r="H6" i="1"/>
  <c r="I6" i="1"/>
  <c r="J6" i="1"/>
  <c r="K6" i="1"/>
  <c r="L6" i="1"/>
  <c r="M6" i="1"/>
  <c r="N6" i="1"/>
  <c r="O6" i="1"/>
  <c r="P6" i="1"/>
  <c r="X6" i="1" s="1"/>
  <c r="Q6" i="1"/>
  <c r="R6" i="1"/>
  <c r="S6" i="1"/>
  <c r="T6" i="1"/>
  <c r="U6" i="1"/>
  <c r="V6" i="1"/>
  <c r="W6" i="1"/>
  <c r="D6" i="1"/>
  <c r="I6" i="4"/>
  <c r="G6" i="4"/>
  <c r="F6" i="4"/>
  <c r="H6" i="4"/>
  <c r="X3" i="1" l="1"/>
  <c r="AB3" i="1"/>
  <c r="AF3" i="1"/>
  <c r="AA3" i="1"/>
  <c r="Z3" i="1"/>
  <c r="Y3" i="1"/>
  <c r="J6" i="4"/>
  <c r="G38" i="1"/>
  <c r="P38" i="1"/>
  <c r="R57" i="1"/>
  <c r="R7" i="1" s="1"/>
  <c r="O38" i="1"/>
  <c r="I38" i="1"/>
  <c r="S38" i="1"/>
  <c r="U38" i="1"/>
  <c r="J38" i="1"/>
  <c r="F43" i="1"/>
  <c r="L38" i="1"/>
  <c r="V38" i="1"/>
  <c r="L43" i="1"/>
  <c r="F38" i="1"/>
  <c r="L57" i="1"/>
  <c r="L7" i="1" s="1"/>
  <c r="D38" i="1"/>
  <c r="M38" i="1"/>
  <c r="R43" i="1"/>
  <c r="F57" i="1"/>
  <c r="E38" i="1"/>
  <c r="K38" i="1"/>
  <c r="Q38" i="1"/>
  <c r="W38" i="1"/>
  <c r="G43" i="1"/>
  <c r="M43" i="1"/>
  <c r="S43" i="1"/>
  <c r="G57" i="1"/>
  <c r="G7" i="1" s="1"/>
  <c r="H7" i="4" s="1"/>
  <c r="M57" i="1"/>
  <c r="M7" i="1" s="1"/>
  <c r="S57" i="1"/>
  <c r="S7" i="1" s="1"/>
  <c r="R38" i="1"/>
  <c r="H43" i="1"/>
  <c r="N43" i="1"/>
  <c r="T43" i="1"/>
  <c r="H57" i="1"/>
  <c r="H7" i="1" s="1"/>
  <c r="I7" i="4" s="1"/>
  <c r="I8" i="4" s="1"/>
  <c r="N57" i="1"/>
  <c r="N7" i="1" s="1"/>
  <c r="T57" i="1"/>
  <c r="T7" i="1" s="1"/>
  <c r="I43" i="1"/>
  <c r="O43" i="1"/>
  <c r="U43" i="1"/>
  <c r="I57" i="1"/>
  <c r="I7" i="1" s="1"/>
  <c r="O57" i="1"/>
  <c r="O7" i="1" s="1"/>
  <c r="U57" i="1"/>
  <c r="U7" i="1" s="1"/>
  <c r="H38" i="1"/>
  <c r="N38" i="1"/>
  <c r="N45" i="1" s="1"/>
  <c r="T38" i="1"/>
  <c r="D43" i="1"/>
  <c r="J43" i="1"/>
  <c r="P43" i="1"/>
  <c r="V43" i="1"/>
  <c r="D57" i="1"/>
  <c r="D7" i="1" s="1"/>
  <c r="J57" i="1"/>
  <c r="J7" i="1" s="1"/>
  <c r="P57" i="1"/>
  <c r="P7" i="1" s="1"/>
  <c r="V57" i="1"/>
  <c r="V7" i="1" s="1"/>
  <c r="E43" i="1"/>
  <c r="K43" i="1"/>
  <c r="Q43" i="1"/>
  <c r="W43" i="1"/>
  <c r="E57" i="1"/>
  <c r="K57" i="1"/>
  <c r="K7" i="1" s="1"/>
  <c r="Q57" i="1"/>
  <c r="Q7" i="1" s="1"/>
  <c r="W57" i="1"/>
  <c r="W7" i="1" s="1"/>
  <c r="G6" i="3"/>
  <c r="H6" i="3"/>
  <c r="I6" i="3"/>
  <c r="F6" i="3"/>
  <c r="E7" i="1" l="1"/>
  <c r="F7" i="4" s="1"/>
  <c r="F8" i="4" s="1"/>
  <c r="T45" i="1"/>
  <c r="X7" i="1"/>
  <c r="X8" i="1" s="1"/>
  <c r="X11" i="1" s="1"/>
  <c r="H9" i="4"/>
  <c r="F7" i="1"/>
  <c r="G7" i="4" s="1"/>
  <c r="G9" i="4" s="1"/>
  <c r="T8" i="1"/>
  <c r="H8" i="1"/>
  <c r="I7" i="3" s="1"/>
  <c r="AA6" i="1"/>
  <c r="Y6" i="1"/>
  <c r="Z6" i="1"/>
  <c r="AB6" i="1"/>
  <c r="AA7" i="1"/>
  <c r="AB7" i="1"/>
  <c r="Y7" i="1"/>
  <c r="Z7" i="1"/>
  <c r="W8" i="1"/>
  <c r="M45" i="1"/>
  <c r="I9" i="4"/>
  <c r="H8" i="4"/>
  <c r="D8" i="1"/>
  <c r="D11" i="1" s="1"/>
  <c r="J7" i="4"/>
  <c r="J6" i="3"/>
  <c r="J45" i="1"/>
  <c r="I8" i="1"/>
  <c r="F45" i="1"/>
  <c r="L45" i="1"/>
  <c r="U45" i="1"/>
  <c r="O45" i="1"/>
  <c r="G45" i="1"/>
  <c r="Q45" i="1"/>
  <c r="P8" i="1"/>
  <c r="L8" i="1"/>
  <c r="M8" i="1"/>
  <c r="Q8" i="1"/>
  <c r="V45" i="1"/>
  <c r="F8" i="1"/>
  <c r="G7" i="3" s="1"/>
  <c r="G9" i="3" s="1"/>
  <c r="G10" i="3" s="1"/>
  <c r="U8" i="1"/>
  <c r="I45" i="1"/>
  <c r="P45" i="1"/>
  <c r="K45" i="1"/>
  <c r="O8" i="1"/>
  <c r="G8" i="1"/>
  <c r="H7" i="3" s="1"/>
  <c r="H9" i="3" s="1"/>
  <c r="H10" i="3" s="1"/>
  <c r="K8" i="1"/>
  <c r="N8" i="1"/>
  <c r="E8" i="1"/>
  <c r="R8" i="1"/>
  <c r="W45" i="1"/>
  <c r="E45" i="1"/>
  <c r="S8" i="1"/>
  <c r="H45" i="1"/>
  <c r="R45" i="1"/>
  <c r="D45" i="1"/>
  <c r="V8" i="1"/>
  <c r="J8" i="1"/>
  <c r="S45" i="1"/>
  <c r="AG3" i="1"/>
  <c r="AH3" i="1"/>
  <c r="AI3" i="1"/>
  <c r="AJ3" i="1"/>
  <c r="G8" i="4" l="1"/>
  <c r="J8" i="4" s="1"/>
  <c r="I8" i="3"/>
  <c r="I9" i="3"/>
  <c r="AB8" i="1"/>
  <c r="Z8" i="1"/>
  <c r="X14" i="1"/>
  <c r="X15" i="1" s="1"/>
  <c r="X16" i="1" s="1"/>
  <c r="Y8" i="1"/>
  <c r="AA8" i="1"/>
  <c r="F9" i="4"/>
  <c r="F7" i="3"/>
  <c r="H8" i="3"/>
  <c r="G8" i="3"/>
  <c r="I10" i="3"/>
  <c r="E11" i="1"/>
  <c r="K11" i="1"/>
  <c r="AB14" i="1" l="1"/>
  <c r="AB15" i="1" s="1"/>
  <c r="AB16" i="1" s="1"/>
  <c r="AB11" i="1"/>
  <c r="J7" i="3"/>
  <c r="F8" i="3"/>
  <c r="J8" i="3" s="1"/>
  <c r="AA11" i="1"/>
  <c r="AA14" i="1" s="1"/>
  <c r="AA15" i="1" s="1"/>
  <c r="AA16" i="1" s="1"/>
  <c r="Y11" i="1"/>
  <c r="Y14" i="1" s="1"/>
  <c r="Y15" i="1" s="1"/>
  <c r="Y16" i="1" s="1"/>
  <c r="Z11" i="1"/>
  <c r="Z14" i="1" s="1"/>
  <c r="Z15" i="1" s="1"/>
  <c r="Z16" i="1" s="1"/>
  <c r="F9" i="3"/>
  <c r="F10" i="3" s="1"/>
  <c r="J10" i="3" s="1"/>
  <c r="U11" i="1"/>
  <c r="T11" i="1"/>
  <c r="S11" i="1"/>
  <c r="W11" i="1"/>
  <c r="G11" i="1"/>
  <c r="R11" i="1"/>
  <c r="AJ6" i="1"/>
  <c r="AF6" i="1"/>
  <c r="AH6" i="1"/>
  <c r="AI6" i="1"/>
  <c r="AG6" i="1"/>
  <c r="J11" i="1"/>
  <c r="I11" i="1"/>
  <c r="P11" i="1"/>
  <c r="F11" i="1"/>
  <c r="N11" i="1"/>
  <c r="Q11" i="1"/>
  <c r="O11" i="1"/>
  <c r="M11" i="1"/>
  <c r="L11" i="1"/>
  <c r="V11" i="1"/>
  <c r="H11" i="1"/>
  <c r="AI7" i="1" l="1"/>
  <c r="AI8" i="1" s="1"/>
  <c r="AI11" i="1" s="1"/>
  <c r="AI14" i="1" s="1"/>
  <c r="AI15" i="1" s="1"/>
  <c r="AI16" i="1" s="1"/>
  <c r="AJ7" i="1"/>
  <c r="AJ8" i="1" s="1"/>
  <c r="AJ11" i="1" s="1"/>
  <c r="AJ14" i="1" s="1"/>
  <c r="AJ15" i="1" s="1"/>
  <c r="AJ16" i="1" s="1"/>
  <c r="AF7" i="1"/>
  <c r="AF8" i="1" s="1"/>
  <c r="AF11" i="1" s="1"/>
  <c r="AF14" i="1" s="1"/>
  <c r="AF15" i="1" s="1"/>
  <c r="AF16" i="1" s="1"/>
  <c r="AH7" i="1"/>
  <c r="AH8" i="1" s="1"/>
  <c r="AH11" i="1" s="1"/>
  <c r="AH14" i="1" s="1"/>
  <c r="AH15" i="1" s="1"/>
  <c r="AH16" i="1" s="1"/>
  <c r="AG7" i="1"/>
  <c r="AG8" i="1" s="1"/>
  <c r="AG11" i="1" s="1"/>
  <c r="AG14" i="1" s="1"/>
  <c r="AG15" i="1" s="1"/>
  <c r="AG16" i="1" s="1"/>
  <c r="S14" i="1" l="1"/>
  <c r="S12" i="1"/>
  <c r="S13" i="1" s="1"/>
  <c r="N12" i="1"/>
  <c r="N13" i="1" s="1"/>
  <c r="N14" i="1"/>
  <c r="M12" i="1"/>
  <c r="M13" i="1" s="1"/>
  <c r="M14" i="1"/>
  <c r="W14" i="1"/>
  <c r="W12" i="1"/>
  <c r="W13" i="1" s="1"/>
  <c r="O12" i="1"/>
  <c r="O13" i="1" s="1"/>
  <c r="O14" i="1"/>
  <c r="P14" i="1"/>
  <c r="P12" i="1"/>
  <c r="P13" i="1" s="1"/>
  <c r="T12" i="1"/>
  <c r="T13" i="1" s="1"/>
  <c r="T14" i="1"/>
  <c r="U12" i="1"/>
  <c r="U13" i="1" s="1"/>
  <c r="U14" i="1"/>
  <c r="Q14" i="1"/>
  <c r="Q12" i="1"/>
  <c r="Q13" i="1" s="1"/>
  <c r="V12" i="1"/>
  <c r="V13" i="1" s="1"/>
  <c r="V14" i="1"/>
  <c r="R14" i="1"/>
  <c r="R12" i="1"/>
  <c r="R13" i="1" s="1"/>
  <c r="M15" i="1" l="1"/>
  <c r="M16" i="1" s="1"/>
  <c r="P15" i="1"/>
  <c r="P16" i="1" s="1"/>
  <c r="U15" i="1"/>
  <c r="U16" i="1" s="1"/>
  <c r="O15" i="1"/>
  <c r="O16" i="1" s="1"/>
  <c r="N15" i="1"/>
  <c r="N16" i="1" s="1"/>
  <c r="R15" i="1"/>
  <c r="R16" i="1" s="1"/>
  <c r="Q15" i="1"/>
  <c r="Q16" i="1" s="1"/>
  <c r="V15" i="1"/>
  <c r="V16" i="1" s="1"/>
  <c r="T15" i="1"/>
  <c r="T16" i="1" s="1"/>
  <c r="W15" i="1"/>
  <c r="W16" i="1" s="1"/>
  <c r="S15" i="1"/>
  <c r="S16" i="1" s="1"/>
  <c r="H5" i="1" l="1"/>
  <c r="G5" i="1"/>
  <c r="I5" i="1" l="1"/>
  <c r="E5" i="1"/>
  <c r="F5" i="1"/>
  <c r="D5" i="1"/>
  <c r="J5" i="1" l="1"/>
  <c r="K5" i="1" l="1"/>
  <c r="L5" i="1" l="1"/>
  <c r="M5" i="1" l="1"/>
  <c r="N5" i="1" l="1"/>
  <c r="O5" i="1" l="1"/>
  <c r="P5" i="1" l="1"/>
  <c r="Q5" i="1" l="1"/>
  <c r="R5" i="1" l="1"/>
  <c r="S5" i="1" l="1"/>
  <c r="T5" i="1" l="1"/>
  <c r="U5" i="1"/>
  <c r="V5" i="1" l="1"/>
  <c r="X4" i="1"/>
  <c r="W5" i="1" l="1"/>
  <c r="AJ4" i="1"/>
  <c r="AG4" i="1"/>
  <c r="AH4" i="1"/>
  <c r="AF4" i="1"/>
  <c r="AI4" i="1"/>
  <c r="Y4" i="1"/>
  <c r="AB4" i="1"/>
  <c r="Z4" i="1"/>
  <c r="AA4" i="1"/>
</calcChain>
</file>

<file path=xl/sharedStrings.xml><?xml version="1.0" encoding="utf-8"?>
<sst xmlns="http://schemas.openxmlformats.org/spreadsheetml/2006/main" count="73" uniqueCount="62">
  <si>
    <t>Notes</t>
  </si>
  <si>
    <t>WA Allocation of System Energy</t>
  </si>
  <si>
    <t>Proxy Market (allocation to Load)</t>
  </si>
  <si>
    <t>Assumed to be the source of energy covering the gap between allocaiton and load</t>
  </si>
  <si>
    <t>WA Non-emitting (MWh)</t>
  </si>
  <si>
    <t>Includes Hydro, Nuclear, Non-emitting peakers</t>
  </si>
  <si>
    <t>WA REC Generating Resources (MWh)</t>
  </si>
  <si>
    <t>Excludes Hydro RECs</t>
  </si>
  <si>
    <t>Total CETA compliant</t>
  </si>
  <si>
    <t>Alt Compliance</t>
  </si>
  <si>
    <t>% shortfall from 80% bundled target</t>
  </si>
  <si>
    <t>MWh Shortfall / (Long Position)</t>
  </si>
  <si>
    <t>Capacity shortfall / (Long Position)</t>
  </si>
  <si>
    <t xml:space="preserve"> -----------------------------------------------------------------------------  Input data below ----------------------------------------------------------------------------</t>
  </si>
  <si>
    <t>Extrapolating on 2030 to 2040</t>
  </si>
  <si>
    <t>Extrapolating on 2021 to 2040</t>
  </si>
  <si>
    <t>existing and new proxy resources</t>
  </si>
  <si>
    <t>CETA compliant energy as % of WA Load: annual compliance period</t>
  </si>
  <si>
    <t>2022-2030 Interim Targets for 100% GHG Neutrality</t>
  </si>
  <si>
    <t>2031-2045 Interim Targets for 100% Renewable energy</t>
  </si>
  <si>
    <t>Extrapolated Targets</t>
  </si>
  <si>
    <t>Targets through IRP Horizon</t>
  </si>
  <si>
    <t>Neutrality Targets through 2030</t>
  </si>
  <si>
    <t>Coal</t>
  </si>
  <si>
    <t>Contract</t>
  </si>
  <si>
    <t>Contract Exchange</t>
  </si>
  <si>
    <t>Contract Interruptible</t>
  </si>
  <si>
    <t>Contract NonOwned Reserve</t>
  </si>
  <si>
    <t>Contracts Small QF</t>
  </si>
  <si>
    <t>Gas</t>
  </si>
  <si>
    <t>Geothermal</t>
  </si>
  <si>
    <t>Hydro</t>
  </si>
  <si>
    <t>New Hydro Storage</t>
  </si>
  <si>
    <t>New Non-emitting Peaking</t>
  </si>
  <si>
    <t>New Nuclear</t>
  </si>
  <si>
    <t>New Solar, Solar + Storage</t>
  </si>
  <si>
    <t>New Wind, Wind + Storage</t>
  </si>
  <si>
    <t>Solar</t>
  </si>
  <si>
    <t>Wind</t>
  </si>
  <si>
    <t>Total (Generation, no storage)</t>
  </si>
  <si>
    <t>Batteries</t>
  </si>
  <si>
    <t>New Nuclear Storage</t>
  </si>
  <si>
    <t>New PVS Batteries</t>
  </si>
  <si>
    <t>New Stand Alone</t>
  </si>
  <si>
    <t>Total (only storage)</t>
  </si>
  <si>
    <t>Grand Total</t>
  </si>
  <si>
    <t>REC Accounting</t>
  </si>
  <si>
    <t>New Geothermal</t>
  </si>
  <si>
    <t>Washington Retail Sales</t>
  </si>
  <si>
    <t>% of Retail Sales</t>
  </si>
  <si>
    <t>% of Retail Sales wt Alt Compliance</t>
  </si>
  <si>
    <t>Retail Electric Sales</t>
  </si>
  <si>
    <t>Projected Renewable and Nonemitting Energy</t>
  </si>
  <si>
    <t>Net Retail Sales</t>
  </si>
  <si>
    <t>Total</t>
  </si>
  <si>
    <t xml:space="preserve">Target Percentage      </t>
  </si>
  <si>
    <t>Interim Compliance Target</t>
  </si>
  <si>
    <t>Generation Category (no REC Accounting)</t>
  </si>
  <si>
    <t>Projected Renewable Energy*</t>
  </si>
  <si>
    <t>*includes "REC" generating renewables and hydro generation</t>
  </si>
  <si>
    <t>Table 1.1 -- Interim Compliance Targets (MWh)</t>
  </si>
  <si>
    <t>Table 1.4 - Renewable Energy Specific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</si>
</sst>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wrapText="1"/>
    </xf>
    <xf numFmtId="9" fontId="3" fillId="0" borderId="0" xfId="2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/>
    <xf numFmtId="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0B4D2"/>
      <color rgb="FF598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2030 - 2040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'WA CETA Summary'!$D$11:$AB$11</c:f>
              <c:numCache>
                <c:formatCode>0%</c:formatCode>
                <c:ptCount val="25"/>
                <c:pt idx="0">
                  <c:v>0.5049124443805677</c:v>
                </c:pt>
                <c:pt idx="1">
                  <c:v>0.31154549725900404</c:v>
                </c:pt>
                <c:pt idx="2">
                  <c:v>0.30690180561194247</c:v>
                </c:pt>
                <c:pt idx="3">
                  <c:v>0.40019099134850605</c:v>
                </c:pt>
                <c:pt idx="4">
                  <c:v>0.60220612219498981</c:v>
                </c:pt>
                <c:pt idx="5">
                  <c:v>0.66887641551041399</c:v>
                </c:pt>
                <c:pt idx="6">
                  <c:v>0.67061280999256079</c:v>
                </c:pt>
                <c:pt idx="7">
                  <c:v>0.72788265433055999</c:v>
                </c:pt>
                <c:pt idx="8">
                  <c:v>0.72868936390828132</c:v>
                </c:pt>
                <c:pt idx="9">
                  <c:v>0.83995583001218932</c:v>
                </c:pt>
                <c:pt idx="10">
                  <c:v>0.84087237732396891</c:v>
                </c:pt>
                <c:pt idx="11">
                  <c:v>0.86223366518398514</c:v>
                </c:pt>
                <c:pt idx="12">
                  <c:v>0.88753325849533282</c:v>
                </c:pt>
                <c:pt idx="13">
                  <c:v>0.88545885911086164</c:v>
                </c:pt>
                <c:pt idx="14">
                  <c:v>0.88291415068748369</c:v>
                </c:pt>
                <c:pt idx="15">
                  <c:v>0.8746937522495456</c:v>
                </c:pt>
                <c:pt idx="16">
                  <c:v>0.87452727971445898</c:v>
                </c:pt>
                <c:pt idx="17">
                  <c:v>0.9371453646736424</c:v>
                </c:pt>
                <c:pt idx="18">
                  <c:v>0.93955177770147302</c:v>
                </c:pt>
                <c:pt idx="19">
                  <c:v>1.0058863653260002</c:v>
                </c:pt>
                <c:pt idx="20">
                  <c:v>0.97016110366958441</c:v>
                </c:pt>
                <c:pt idx="21">
                  <c:v>0.98274021193313066</c:v>
                </c:pt>
                <c:pt idx="22">
                  <c:v>0.99528027682964959</c:v>
                </c:pt>
                <c:pt idx="23">
                  <c:v>1.0077814798532241</c:v>
                </c:pt>
                <c:pt idx="24">
                  <c:v>1.0202440013747687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4-480A-956D-49AA2441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2021 - 2040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('WA CETA Summary'!$D$11:$W$11,'WA CETA Summary'!$AF$11:$AJ$11)</c:f>
              <c:numCache>
                <c:formatCode>0%</c:formatCode>
                <c:ptCount val="25"/>
                <c:pt idx="0">
                  <c:v>0.5049124443805677</c:v>
                </c:pt>
                <c:pt idx="1">
                  <c:v>0.31154549725900404</c:v>
                </c:pt>
                <c:pt idx="2">
                  <c:v>0.30690180561194247</c:v>
                </c:pt>
                <c:pt idx="3">
                  <c:v>0.40019099134850605</c:v>
                </c:pt>
                <c:pt idx="4">
                  <c:v>0.60220612219498981</c:v>
                </c:pt>
                <c:pt idx="5">
                  <c:v>0.66887641551041399</c:v>
                </c:pt>
                <c:pt idx="6">
                  <c:v>0.67061280999256079</c:v>
                </c:pt>
                <c:pt idx="7">
                  <c:v>0.72788265433055999</c:v>
                </c:pt>
                <c:pt idx="8">
                  <c:v>0.72868936390828132</c:v>
                </c:pt>
                <c:pt idx="9">
                  <c:v>0.83995583001218932</c:v>
                </c:pt>
                <c:pt idx="10">
                  <c:v>0.84087237732396891</c:v>
                </c:pt>
                <c:pt idx="11">
                  <c:v>0.86223366518398514</c:v>
                </c:pt>
                <c:pt idx="12">
                  <c:v>0.88753325849533282</c:v>
                </c:pt>
                <c:pt idx="13">
                  <c:v>0.88545885911086164</c:v>
                </c:pt>
                <c:pt idx="14">
                  <c:v>0.88291415068748369</c:v>
                </c:pt>
                <c:pt idx="15">
                  <c:v>0.8746937522495456</c:v>
                </c:pt>
                <c:pt idx="16">
                  <c:v>0.87452727971445898</c:v>
                </c:pt>
                <c:pt idx="17">
                  <c:v>0.9371453646736424</c:v>
                </c:pt>
                <c:pt idx="18">
                  <c:v>0.93955177770147302</c:v>
                </c:pt>
                <c:pt idx="19">
                  <c:v>1.0058863653260002</c:v>
                </c:pt>
                <c:pt idx="20">
                  <c:v>1.1002028147056107</c:v>
                </c:pt>
                <c:pt idx="21">
                  <c:v>1.1356643626433967</c:v>
                </c:pt>
                <c:pt idx="22">
                  <c:v>1.1711241685592721</c:v>
                </c:pt>
                <c:pt idx="23">
                  <c:v>1.2065822325816105</c:v>
                </c:pt>
                <c:pt idx="24">
                  <c:v>1.2420385548387476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F-442E-AEFA-FA002B8A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100% Non-emitting</a:t>
            </a:r>
            <a:r>
              <a:rPr lang="en-US" sz="1200" b="0" baseline="0"/>
              <a:t> or Renewable Energy</a:t>
            </a:r>
            <a:endParaRPr lang="en-US" sz="1200" b="0"/>
          </a:p>
        </c:rich>
      </c:tx>
      <c:layout>
        <c:manualLayout>
          <c:xMode val="edge"/>
          <c:yMode val="edge"/>
          <c:x val="0.13690953391314073"/>
          <c:y val="3.53170199878861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78520680588094E-2"/>
          <c:y val="0.15901892042421314"/>
          <c:w val="0.94508563527016232"/>
          <c:h val="0.74309960319569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4A3-42A0-8536-32B9118E9B5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A3-42A0-8536-32B9118E9B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A3-42A0-8536-32B9118E9B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A3-42A0-8536-32B9118E9B5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4A3-42A0-8536-32B9118E9B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  <c:extLst/>
            </c:numRef>
          </c:cat>
          <c:val>
            <c:numRef>
              <c:f>'WA CETA Summary'!$N$11:$AB$11</c:f>
              <c:numCache>
                <c:formatCode>0%</c:formatCode>
                <c:ptCount val="15"/>
                <c:pt idx="0">
                  <c:v>0.84087237732396891</c:v>
                </c:pt>
                <c:pt idx="1">
                  <c:v>0.86223366518398514</c:v>
                </c:pt>
                <c:pt idx="2">
                  <c:v>0.88753325849533282</c:v>
                </c:pt>
                <c:pt idx="3">
                  <c:v>0.88545885911086164</c:v>
                </c:pt>
                <c:pt idx="4">
                  <c:v>0.88291415068748369</c:v>
                </c:pt>
                <c:pt idx="5">
                  <c:v>0.8746937522495456</c:v>
                </c:pt>
                <c:pt idx="6">
                  <c:v>0.87452727971445898</c:v>
                </c:pt>
                <c:pt idx="7">
                  <c:v>0.9371453646736424</c:v>
                </c:pt>
                <c:pt idx="8">
                  <c:v>0.93955177770147302</c:v>
                </c:pt>
                <c:pt idx="9">
                  <c:v>1.0058863653260002</c:v>
                </c:pt>
                <c:pt idx="10">
                  <c:v>0.97016110366958441</c:v>
                </c:pt>
                <c:pt idx="11">
                  <c:v>0.98274021193313066</c:v>
                </c:pt>
                <c:pt idx="12">
                  <c:v>0.99528027682964959</c:v>
                </c:pt>
                <c:pt idx="13">
                  <c:v>1.0077814798532241</c:v>
                </c:pt>
                <c:pt idx="14">
                  <c:v>1.0202440013747687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Percentage Clean Energy</c:v>
                </c15:tx>
              </c15:filteredSeriesTitle>
            </c:ext>
            <c:ext xmlns:c16="http://schemas.microsoft.com/office/drawing/2014/chart" uri="{C3380CC4-5D6E-409C-BE32-E72D297353CC}">
              <c16:uniqueId val="{0000000B-F4A3-42A0-8536-32B9118E9B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100000000000000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659036288"/>
        <c:crosses val="autoZero"/>
        <c:crossBetween val="between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100% GHG Neutrality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3522675403800184"/>
          <c:y val="4.3847891712970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71410623298667"/>
          <c:y val="0.16104458060268551"/>
          <c:w val="0.72582505216640336"/>
          <c:h val="0.73982708127030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B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0.31154549725900404</c:v>
                </c:pt>
                <c:pt idx="1">
                  <c:v>0.30690180561194247</c:v>
                </c:pt>
                <c:pt idx="2">
                  <c:v>0.40019099134850605</c:v>
                </c:pt>
                <c:pt idx="3">
                  <c:v>0.60220612219498981</c:v>
                </c:pt>
                <c:pt idx="4">
                  <c:v>0.66887641551041399</c:v>
                </c:pt>
                <c:pt idx="5">
                  <c:v>0.67061280999256079</c:v>
                </c:pt>
                <c:pt idx="6">
                  <c:v>0.72788265433055999</c:v>
                </c:pt>
                <c:pt idx="7">
                  <c:v>0.72868936390828132</c:v>
                </c:pt>
                <c:pt idx="8">
                  <c:v>0.83995583001218932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Percentage Clean Energy</c:v>
                </c15:tx>
              </c15:filteredSeriesTitle>
            </c:ext>
            <c:ext xmlns:c16="http://schemas.microsoft.com/office/drawing/2014/chart" uri="{C3380CC4-5D6E-409C-BE32-E72D297353CC}">
              <c16:uniqueId val="{00000000-B3E6-477A-AE6B-75B6BEA55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</a:t>
            </a:r>
            <a:r>
              <a:rPr lang="en-US" baseline="0"/>
              <a:t> to Achieve GHG Neutrality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0.31154549725900404</c:v>
                </c:pt>
                <c:pt idx="1">
                  <c:v>0.30690180561194247</c:v>
                </c:pt>
                <c:pt idx="2">
                  <c:v>0.40019099134850605</c:v>
                </c:pt>
                <c:pt idx="3">
                  <c:v>0.60220612219498981</c:v>
                </c:pt>
                <c:pt idx="4">
                  <c:v>0.66887641551041399</c:v>
                </c:pt>
                <c:pt idx="5">
                  <c:v>0.67061280999256079</c:v>
                </c:pt>
                <c:pt idx="6">
                  <c:v>0.72788265433055999</c:v>
                </c:pt>
                <c:pt idx="7">
                  <c:v>0.72868936390828132</c:v>
                </c:pt>
                <c:pt idx="8">
                  <c:v>0.83995583001218932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FC3-8AE8-94EF31DAC2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 to Achieve 100%</a:t>
            </a:r>
            <a:r>
              <a:rPr lang="en-US" baseline="0"/>
              <a:t> Renewble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Summary'!$N$11:$AB$11</c:f>
              <c:numCache>
                <c:formatCode>0%</c:formatCode>
                <c:ptCount val="15"/>
                <c:pt idx="0">
                  <c:v>0.84087237732396891</c:v>
                </c:pt>
                <c:pt idx="1">
                  <c:v>0.86223366518398514</c:v>
                </c:pt>
                <c:pt idx="2">
                  <c:v>0.88753325849533282</c:v>
                </c:pt>
                <c:pt idx="3">
                  <c:v>0.88545885911086164</c:v>
                </c:pt>
                <c:pt idx="4">
                  <c:v>0.88291415068748369</c:v>
                </c:pt>
                <c:pt idx="5">
                  <c:v>0.8746937522495456</c:v>
                </c:pt>
                <c:pt idx="6">
                  <c:v>0.87452727971445898</c:v>
                </c:pt>
                <c:pt idx="7">
                  <c:v>0.9371453646736424</c:v>
                </c:pt>
                <c:pt idx="8">
                  <c:v>0.93955177770147302</c:v>
                </c:pt>
                <c:pt idx="9">
                  <c:v>1.0058863653260002</c:v>
                </c:pt>
                <c:pt idx="10">
                  <c:v>0.97016110366958441</c:v>
                </c:pt>
                <c:pt idx="11">
                  <c:v>0.98274021193313066</c:v>
                </c:pt>
                <c:pt idx="12">
                  <c:v>0.99528027682964959</c:v>
                </c:pt>
                <c:pt idx="13">
                  <c:v>1.0077814798532241</c:v>
                </c:pt>
                <c:pt idx="14">
                  <c:v>1.0202440013747687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730-9DBA-2CEABF6F2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413810</xdr:colOff>
      <xdr:row>17</xdr:row>
      <xdr:rowOff>0</xdr:rowOff>
    </xdr:from>
    <xdr:to>
      <xdr:col>31</xdr:col>
      <xdr:colOff>639763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78EC-6603-469A-93E6-75CDF439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47626</xdr:colOff>
      <xdr:row>17</xdr:row>
      <xdr:rowOff>0</xdr:rowOff>
    </xdr:from>
    <xdr:to>
      <xdr:col>39</xdr:col>
      <xdr:colOff>166423</xdr:colOff>
      <xdr:row>33</xdr:row>
      <xdr:rowOff>43128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46D7A8-892D-4AD6-805C-DC5088976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181431</xdr:colOff>
      <xdr:row>24</xdr:row>
      <xdr:rowOff>81644</xdr:rowOff>
    </xdr:from>
    <xdr:to>
      <xdr:col>16</xdr:col>
      <xdr:colOff>254000</xdr:colOff>
      <xdr:row>47</xdr:row>
      <xdr:rowOff>18144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D0F5AC-E319-4358-B05F-02F21A639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199570</xdr:colOff>
      <xdr:row>24</xdr:row>
      <xdr:rowOff>90715</xdr:rowOff>
    </xdr:from>
    <xdr:to>
      <xdr:col>9</xdr:col>
      <xdr:colOff>63501</xdr:colOff>
      <xdr:row>46</xdr:row>
      <xdr:rowOff>136070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F37FAC9-B9E9-4379-A2BF-2620E81B1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6350</xdr:colOff>
      <xdr:row>3</xdr:row>
      <xdr:rowOff>0</xdr:rowOff>
    </xdr:from>
    <xdr:to>
      <xdr:col>10</xdr:col>
      <xdr:colOff>600076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463B9-E73A-4075-900A-DEC736FA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85725</xdr:colOff>
      <xdr:row>3</xdr:row>
      <xdr:rowOff>9525</xdr:rowOff>
    </xdr:from>
    <xdr:to>
      <xdr:col>20</xdr:col>
      <xdr:colOff>590550</xdr:colOff>
      <xdr:row>19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52BE0-AC4C-490A-973D-BFD6C010A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24</xdr:row>
      <xdr:rowOff>171450</xdr:rowOff>
    </xdr:from>
    <xdr:to>
      <xdr:col>16</xdr:col>
      <xdr:colOff>552450</xdr:colOff>
      <xdr:row>50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208B3B0C-3232-45AE-84EA-CA246F2B96E2}"/>
            </a:ext>
          </a:extLst>
        </xdr:cNvPr>
        <xdr:cNvSpPr/>
      </xdr:nvSpPr>
      <xdr:spPr>
        <a:xfrm>
          <a:off x="2431143" y="4580164"/>
          <a:ext cx="7845878" cy="4563836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152401</xdr:colOff>
      <xdr:row>25</xdr:row>
      <xdr:rowOff>104775</xdr:rowOff>
    </xdr:from>
    <xdr:to>
      <xdr:col>9</xdr:col>
      <xdr:colOff>152401</xdr:colOff>
      <xdr:row>47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FA8D69F-4313-4ECD-911F-B01DC4039DAC}"/>
            </a:ext>
          </a:extLst>
        </xdr:cNvPr>
        <xdr:cNvCxnSpPr/>
      </xdr:nvCxnSpPr>
      <xdr:spPr>
        <a:xfrm>
          <a:off x="5638801" y="4343400"/>
          <a:ext cx="0" cy="41243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48</xdr:row>
      <xdr:rowOff>9525</xdr:rowOff>
    </xdr:from>
    <xdr:to>
      <xdr:col>5</xdr:col>
      <xdr:colOff>552450</xdr:colOff>
      <xdr:row>49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8A9C8B-8344-454C-8C3F-37BBB3C03BF7}"/>
            </a:ext>
          </a:extLst>
        </xdr:cNvPr>
        <xdr:cNvSpPr/>
      </xdr:nvSpPr>
      <xdr:spPr>
        <a:xfrm>
          <a:off x="3400425" y="9210675"/>
          <a:ext cx="200025" cy="200025"/>
        </a:xfrm>
        <a:prstGeom prst="rect">
          <a:avLst/>
        </a:prstGeom>
        <a:solidFill>
          <a:srgbClr val="70B4D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381000</xdr:colOff>
      <xdr:row>48</xdr:row>
      <xdr:rowOff>0</xdr:rowOff>
    </xdr:from>
    <xdr:to>
      <xdr:col>9</xdr:col>
      <xdr:colOff>581025</xdr:colOff>
      <xdr:row>49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AAAE6D3-07B3-4543-83BF-E0F4CBF9A0D4}"/>
            </a:ext>
          </a:extLst>
        </xdr:cNvPr>
        <xdr:cNvSpPr/>
      </xdr:nvSpPr>
      <xdr:spPr>
        <a:xfrm>
          <a:off x="5867400" y="9201150"/>
          <a:ext cx="200025" cy="200025"/>
        </a:xfrm>
        <a:prstGeom prst="rect">
          <a:avLst/>
        </a:prstGeom>
        <a:solidFill>
          <a:srgbClr val="5982C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361950</xdr:colOff>
      <xdr:row>48</xdr:row>
      <xdr:rowOff>9525</xdr:rowOff>
    </xdr:from>
    <xdr:to>
      <xdr:col>13</xdr:col>
      <xdr:colOff>561975</xdr:colOff>
      <xdr:row>49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C258918-D70A-4DD7-85BF-A600631854A1}"/>
            </a:ext>
          </a:extLst>
        </xdr:cNvPr>
        <xdr:cNvSpPr/>
      </xdr:nvSpPr>
      <xdr:spPr>
        <a:xfrm>
          <a:off x="8286750" y="9210675"/>
          <a:ext cx="200025" cy="20002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498929</xdr:colOff>
      <xdr:row>27</xdr:row>
      <xdr:rowOff>99786</xdr:rowOff>
    </xdr:from>
    <xdr:to>
      <xdr:col>16</xdr:col>
      <xdr:colOff>54429</xdr:colOff>
      <xdr:row>27</xdr:row>
      <xdr:rowOff>99787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1A19D4B-A962-4E8C-BB72-9CBA48B0BB12}"/>
            </a:ext>
          </a:extLst>
        </xdr:cNvPr>
        <xdr:cNvCxnSpPr/>
      </xdr:nvCxnSpPr>
      <xdr:spPr>
        <a:xfrm flipH="1" flipV="1">
          <a:off x="9007929" y="5070929"/>
          <a:ext cx="771071" cy="1"/>
        </a:xfrm>
        <a:prstGeom prst="line">
          <a:avLst/>
        </a:prstGeom>
        <a:ln w="412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326570</xdr:colOff>
      <xdr:row>26</xdr:row>
      <xdr:rowOff>72572</xdr:rowOff>
    </xdr:from>
    <xdr:to>
      <xdr:col>16</xdr:col>
      <xdr:colOff>169640</xdr:colOff>
      <xdr:row>27</xdr:row>
      <xdr:rowOff>58964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98DC95C-4F8C-4951-B4E4-9DF53B3F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35570" y="4862286"/>
          <a:ext cx="1058641" cy="167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75AF-03B2-41B4-A1F2-EF2D6F1A1337}">
  <sheetPr codeName="Sheet1"/>
  <dimension ref="A1:AJ79"/>
  <sheetViews>
    <sheetView zoomScaleNormal="100" workbookViewId="0"/>
  </sheetViews>
  <sheetFormatPr defaultColWidth="9.1796875" defaultRowHeight="14" x14ac:dyDescent="0.3"/>
  <cols>
    <col min="1" max="1" width="4.26953125" style="4" customWidth="1"/>
    <col min="2" max="2" width="80.54296875" style="4" bestFit="1" customWidth="1"/>
    <col min="3" max="3" width="34" style="4" customWidth="1"/>
    <col min="4" max="5" width="14.81640625" style="7" bestFit="1" customWidth="1"/>
    <col min="6" max="21" width="15" style="7" bestFit="1" customWidth="1"/>
    <col min="22" max="22" width="14.81640625" style="7" bestFit="1" customWidth="1"/>
    <col min="23" max="23" width="14.54296875" style="7" bestFit="1" customWidth="1"/>
    <col min="24" max="24" width="30" style="7" bestFit="1" customWidth="1"/>
    <col min="25" max="28" width="15" style="4" bestFit="1" customWidth="1"/>
    <col min="29" max="31" width="9.1796875" style="4"/>
    <col min="32" max="32" width="29.54296875" style="4" bestFit="1" customWidth="1"/>
    <col min="33" max="36" width="12.453125" style="4" bestFit="1" customWidth="1"/>
    <col min="37" max="16384" width="9.1796875" style="4"/>
  </cols>
  <sheetData>
    <row r="1" spans="2:36" x14ac:dyDescent="0.3">
      <c r="X1" s="7" t="s">
        <v>14</v>
      </c>
      <c r="AF1" s="4" t="s">
        <v>15</v>
      </c>
    </row>
    <row r="2" spans="2:36" x14ac:dyDescent="0.3">
      <c r="C2" s="4" t="s">
        <v>0</v>
      </c>
      <c r="D2" s="8">
        <v>2021</v>
      </c>
      <c r="E2" s="8">
        <v>2022</v>
      </c>
      <c r="F2" s="8">
        <v>2023</v>
      </c>
      <c r="G2" s="8">
        <v>2024</v>
      </c>
      <c r="H2" s="8">
        <v>2025</v>
      </c>
      <c r="I2" s="8">
        <v>2026</v>
      </c>
      <c r="J2" s="8">
        <v>2027</v>
      </c>
      <c r="K2" s="8">
        <v>2028</v>
      </c>
      <c r="L2" s="8">
        <v>2029</v>
      </c>
      <c r="M2" s="8">
        <v>2030</v>
      </c>
      <c r="N2" s="8">
        <v>2031</v>
      </c>
      <c r="O2" s="8">
        <v>2032</v>
      </c>
      <c r="P2" s="8">
        <v>2033</v>
      </c>
      <c r="Q2" s="8">
        <v>2034</v>
      </c>
      <c r="R2" s="8">
        <v>2035</v>
      </c>
      <c r="S2" s="8">
        <v>2036</v>
      </c>
      <c r="T2" s="8">
        <v>2037</v>
      </c>
      <c r="U2" s="8">
        <v>2038</v>
      </c>
      <c r="V2" s="8">
        <v>2039</v>
      </c>
      <c r="W2" s="8">
        <v>2040</v>
      </c>
      <c r="X2" s="8">
        <v>2041</v>
      </c>
      <c r="Y2" s="8">
        <v>2042</v>
      </c>
      <c r="Z2" s="8">
        <v>2043</v>
      </c>
      <c r="AA2" s="8">
        <v>2044</v>
      </c>
      <c r="AB2" s="8">
        <v>2045</v>
      </c>
      <c r="AF2" s="8">
        <v>2041</v>
      </c>
      <c r="AG2" s="8">
        <v>2042</v>
      </c>
      <c r="AH2" s="8">
        <v>2043</v>
      </c>
      <c r="AI2" s="8">
        <v>2044</v>
      </c>
      <c r="AJ2" s="8">
        <v>2045</v>
      </c>
    </row>
    <row r="3" spans="2:36" x14ac:dyDescent="0.3">
      <c r="B3" s="9" t="s">
        <v>48</v>
      </c>
      <c r="D3" s="10">
        <v>4007053.7225526078</v>
      </c>
      <c r="E3" s="10">
        <v>4051127.9006054234</v>
      </c>
      <c r="F3" s="10">
        <v>4076593.6678983839</v>
      </c>
      <c r="G3" s="10">
        <v>4091629.8656561114</v>
      </c>
      <c r="H3" s="10">
        <v>4069087.7818143978</v>
      </c>
      <c r="I3" s="10">
        <v>4052789.5628033895</v>
      </c>
      <c r="J3" s="10">
        <v>4037306.3989228066</v>
      </c>
      <c r="K3" s="10">
        <v>4038962.6386377849</v>
      </c>
      <c r="L3" s="10">
        <v>4019009.0420466126</v>
      </c>
      <c r="M3" s="10">
        <v>4014041.1303301887</v>
      </c>
      <c r="N3" s="10">
        <v>4005400.8439729926</v>
      </c>
      <c r="O3" s="10">
        <v>4022271.9077162119</v>
      </c>
      <c r="P3" s="10">
        <v>4016208.0156876454</v>
      </c>
      <c r="Q3" s="10">
        <v>4019437.7688921434</v>
      </c>
      <c r="R3" s="10">
        <v>4028704.4685109369</v>
      </c>
      <c r="S3" s="10">
        <v>4074774.9706709143</v>
      </c>
      <c r="T3" s="10">
        <v>4069045.312837759</v>
      </c>
      <c r="U3" s="10">
        <v>4063286.1759637254</v>
      </c>
      <c r="V3" s="10">
        <v>4054538.6017573583</v>
      </c>
      <c r="W3" s="10">
        <v>4057541.7120917062</v>
      </c>
      <c r="X3" s="6">
        <f>_xlfn.FORECAST.LINEAR(X$2,$M3:$W3,$M$2:$W$2)</f>
        <v>4076737.821171958</v>
      </c>
      <c r="Y3" s="6">
        <f t="shared" ref="Y3:AB4" si="0">_xlfn.FORECAST.LINEAR(Y$2,$M3:$W3,$M$2:$W$2)</f>
        <v>4083084.2624516543</v>
      </c>
      <c r="Z3" s="6">
        <f t="shared" si="0"/>
        <v>4089430.7037313506</v>
      </c>
      <c r="AA3" s="6">
        <f t="shared" si="0"/>
        <v>4095777.1450110469</v>
      </c>
      <c r="AB3" s="6">
        <f t="shared" si="0"/>
        <v>4102123.5862907432</v>
      </c>
      <c r="AF3" s="6">
        <f>_xlfn.FORECAST.LINEAR(AF$2,$D3:$W3,$D$2:$W$2)</f>
        <v>4044483.7073866907</v>
      </c>
      <c r="AG3" s="6">
        <f t="shared" ref="AG3:AJ7" si="1">_xlfn.FORECAST.LINEAR(AG$2,$D3:$W3,$D$2:$W$2)</f>
        <v>4044583.0533789038</v>
      </c>
      <c r="AH3" s="6">
        <f t="shared" si="1"/>
        <v>4044682.3993711164</v>
      </c>
      <c r="AI3" s="6">
        <f t="shared" si="1"/>
        <v>4044781.7453633295</v>
      </c>
      <c r="AJ3" s="6">
        <f t="shared" si="1"/>
        <v>4044881.0913555427</v>
      </c>
    </row>
    <row r="4" spans="2:36" ht="42.75" customHeight="1" x14ac:dyDescent="0.3">
      <c r="B4" s="9" t="s">
        <v>1</v>
      </c>
      <c r="C4" s="1" t="s">
        <v>16</v>
      </c>
      <c r="D4" s="10">
        <v>2888404.1094231117</v>
      </c>
      <c r="E4" s="10">
        <v>3023941.4536288991</v>
      </c>
      <c r="F4" s="10">
        <v>2820123.9543281291</v>
      </c>
      <c r="G4" s="10">
        <v>4869586.3441915857</v>
      </c>
      <c r="H4" s="10">
        <v>5545571.2065691454</v>
      </c>
      <c r="I4" s="10">
        <v>5786716.5821240777</v>
      </c>
      <c r="J4" s="10">
        <v>5690211.9164525904</v>
      </c>
      <c r="K4" s="10">
        <v>5843693.4303345652</v>
      </c>
      <c r="L4" s="10">
        <v>5883818.5117799975</v>
      </c>
      <c r="M4" s="10">
        <v>6017446.8964253329</v>
      </c>
      <c r="N4" s="10">
        <v>6022006.4752361812</v>
      </c>
      <c r="O4" s="10">
        <v>5964773.7060948359</v>
      </c>
      <c r="P4" s="10">
        <v>6049774.0086513544</v>
      </c>
      <c r="Q4" s="10">
        <v>6064766.2726115212</v>
      </c>
      <c r="R4" s="10">
        <v>6106603.7144186497</v>
      </c>
      <c r="S4" s="10">
        <v>6208762.8235193714</v>
      </c>
      <c r="T4" s="10">
        <v>6306150.5745556243</v>
      </c>
      <c r="U4" s="10">
        <v>6422678.332425327</v>
      </c>
      <c r="V4" s="10">
        <v>6566125.8921124386</v>
      </c>
      <c r="W4" s="10">
        <v>6943032.7739870399</v>
      </c>
      <c r="X4" s="6">
        <f>_xlfn.FORECAST.LINEAR(X$2,$M4:$W4,$M$2:$W$2)</f>
        <v>6724822.1672954857</v>
      </c>
      <c r="Y4" s="6">
        <f t="shared" si="0"/>
        <v>6805139.1729047894</v>
      </c>
      <c r="Z4" s="6">
        <f t="shared" si="0"/>
        <v>6885456.1785140634</v>
      </c>
      <c r="AA4" s="6">
        <f t="shared" si="0"/>
        <v>6965773.1841233373</v>
      </c>
      <c r="AB4" s="6">
        <f t="shared" si="0"/>
        <v>7046090.189732641</v>
      </c>
      <c r="AF4" s="6">
        <f>_xlfn.FORECAST.LINEAR(AF$2,$D4:$W4,$D$2:$W$2)</f>
        <v>7319966.274764657</v>
      </c>
      <c r="AG4" s="6">
        <f t="shared" si="1"/>
        <v>7488419.3057952523</v>
      </c>
      <c r="AH4" s="6">
        <f t="shared" si="1"/>
        <v>7656872.3368258476</v>
      </c>
      <c r="AI4" s="6">
        <f t="shared" si="1"/>
        <v>7825325.3678564429</v>
      </c>
      <c r="AJ4" s="6">
        <f>_xlfn.FORECAST.LINEAR(AJ$2,$D4:$W4,$D$2:$W$2)</f>
        <v>7993778.3988869786</v>
      </c>
    </row>
    <row r="5" spans="2:36" x14ac:dyDescent="0.3">
      <c r="B5" s="9" t="s">
        <v>2</v>
      </c>
      <c r="C5" s="4" t="s">
        <v>3</v>
      </c>
      <c r="D5" s="10">
        <f>IF(D3-D4&gt;0, D3-D4,0)</f>
        <v>1118649.6131294961</v>
      </c>
      <c r="E5" s="10">
        <f>IF(E3-E4&gt;0, E3-E4,0)</f>
        <v>1027186.4469765243</v>
      </c>
      <c r="F5" s="10">
        <f>IF(F3-F4&gt;0, F3-F4,0)</f>
        <v>1256469.7135702549</v>
      </c>
      <c r="G5" s="10">
        <f t="shared" ref="G5:W5" si="2">IF(G3-G4&gt;0, G3-G4,0)</f>
        <v>0</v>
      </c>
      <c r="H5" s="10">
        <f t="shared" si="2"/>
        <v>0</v>
      </c>
      <c r="I5" s="10">
        <f t="shared" si="2"/>
        <v>0</v>
      </c>
      <c r="J5" s="10">
        <f t="shared" si="2"/>
        <v>0</v>
      </c>
      <c r="K5" s="10">
        <f t="shared" si="2"/>
        <v>0</v>
      </c>
      <c r="L5" s="10">
        <f t="shared" si="2"/>
        <v>0</v>
      </c>
      <c r="M5" s="10">
        <f t="shared" si="2"/>
        <v>0</v>
      </c>
      <c r="N5" s="10">
        <f t="shared" si="2"/>
        <v>0</v>
      </c>
      <c r="O5" s="10">
        <f t="shared" si="2"/>
        <v>0</v>
      </c>
      <c r="P5" s="10">
        <f t="shared" si="2"/>
        <v>0</v>
      </c>
      <c r="Q5" s="10">
        <f t="shared" si="2"/>
        <v>0</v>
      </c>
      <c r="R5" s="10">
        <f t="shared" si="2"/>
        <v>0</v>
      </c>
      <c r="S5" s="10">
        <f t="shared" si="2"/>
        <v>0</v>
      </c>
      <c r="T5" s="10">
        <f t="shared" si="2"/>
        <v>0</v>
      </c>
      <c r="U5" s="10">
        <f t="shared" si="2"/>
        <v>0</v>
      </c>
      <c r="V5" s="10">
        <f t="shared" si="2"/>
        <v>0</v>
      </c>
      <c r="W5" s="10">
        <f t="shared" si="2"/>
        <v>0</v>
      </c>
      <c r="X5" s="6"/>
      <c r="Y5" s="6"/>
      <c r="Z5" s="6"/>
      <c r="AA5" s="6"/>
      <c r="AB5" s="6"/>
      <c r="AF5" s="6"/>
      <c r="AG5" s="6"/>
      <c r="AH5" s="6"/>
      <c r="AI5" s="6"/>
      <c r="AJ5" s="6"/>
    </row>
    <row r="6" spans="2:36" ht="28" x14ac:dyDescent="0.3">
      <c r="B6" s="9" t="s">
        <v>4</v>
      </c>
      <c r="C6" s="1" t="s">
        <v>5</v>
      </c>
      <c r="D6" s="10">
        <f>D30+D32+D33</f>
        <v>325080.30403624009</v>
      </c>
      <c r="E6" s="10">
        <f t="shared" ref="E6:W6" si="3">E30+E32+E33</f>
        <v>319862.87647456973</v>
      </c>
      <c r="F6" s="10">
        <f t="shared" si="3"/>
        <v>277078.33222920063</v>
      </c>
      <c r="G6" s="10">
        <f t="shared" si="3"/>
        <v>273870.90556302766</v>
      </c>
      <c r="H6" s="10">
        <f t="shared" si="3"/>
        <v>271320.91950918635</v>
      </c>
      <c r="I6" s="10">
        <f t="shared" si="3"/>
        <v>274130.300449086</v>
      </c>
      <c r="J6" s="10">
        <f t="shared" si="3"/>
        <v>275697.14739814028</v>
      </c>
      <c r="K6" s="10">
        <f t="shared" si="3"/>
        <v>484840.53514652414</v>
      </c>
      <c r="L6" s="10">
        <f t="shared" si="3"/>
        <v>486352.69995800417</v>
      </c>
      <c r="M6" s="10">
        <f t="shared" si="3"/>
        <v>485713.87875158235</v>
      </c>
      <c r="N6" s="10">
        <f t="shared" si="3"/>
        <v>483094.71481867635</v>
      </c>
      <c r="O6" s="10">
        <f t="shared" si="3"/>
        <v>486068.65707410447</v>
      </c>
      <c r="P6" s="10">
        <f t="shared" si="3"/>
        <v>486530.94229894667</v>
      </c>
      <c r="Q6" s="10">
        <f t="shared" si="3"/>
        <v>480703.46985755139</v>
      </c>
      <c r="R6" s="10">
        <f t="shared" si="3"/>
        <v>479948.8421390641</v>
      </c>
      <c r="S6" s="10">
        <f t="shared" si="3"/>
        <v>480297.43862198817</v>
      </c>
      <c r="T6" s="10">
        <f t="shared" si="3"/>
        <v>484830.07112401095</v>
      </c>
      <c r="U6" s="10">
        <f t="shared" si="3"/>
        <v>758926.51509156008</v>
      </c>
      <c r="V6" s="10">
        <f t="shared" si="3"/>
        <v>763794.18421017518</v>
      </c>
      <c r="W6" s="10">
        <f t="shared" si="3"/>
        <v>761948.19582377002</v>
      </c>
      <c r="X6" s="6">
        <f>_xlfn.FORECAST.LINEAR(X$2,$M6:$W6,$M$2:$W$2)</f>
        <v>740281.64253161103</v>
      </c>
      <c r="Y6" s="6">
        <f t="shared" ref="Y6:AB7" si="4">_xlfn.FORECAST.LINEAR(Y$2,$M6:$W6,$M$2:$W$2)</f>
        <v>770451.96310792118</v>
      </c>
      <c r="Z6" s="6">
        <f t="shared" si="4"/>
        <v>800622.28368423134</v>
      </c>
      <c r="AA6" s="6">
        <f t="shared" si="4"/>
        <v>830792.60426053405</v>
      </c>
      <c r="AB6" s="6">
        <f t="shared" si="4"/>
        <v>860962.92483684421</v>
      </c>
      <c r="AF6" s="6">
        <f>_xlfn.FORECAST.LINEAR(AF$2,$D6:$W6,$D$2:$W$2)</f>
        <v>704967.5543435663</v>
      </c>
      <c r="AG6" s="6">
        <f t="shared" si="1"/>
        <v>728583.07889735699</v>
      </c>
      <c r="AH6" s="6">
        <f t="shared" si="1"/>
        <v>752198.60345114768</v>
      </c>
      <c r="AI6" s="6">
        <f t="shared" si="1"/>
        <v>775814.12800493091</v>
      </c>
      <c r="AJ6" s="6">
        <f t="shared" si="1"/>
        <v>799429.6525587216</v>
      </c>
    </row>
    <row r="7" spans="2:36" x14ac:dyDescent="0.3">
      <c r="B7" s="9" t="s">
        <v>6</v>
      </c>
      <c r="C7" s="4" t="s">
        <v>7</v>
      </c>
      <c r="D7" s="11">
        <f>D34+D35+D57-D53</f>
        <v>929646.90103433281</v>
      </c>
      <c r="E7" s="11">
        <f t="shared" ref="E7:W7" si="5">E34+E35+E57-E53</f>
        <v>942247.77977937204</v>
      </c>
      <c r="F7" s="11">
        <f t="shared" si="5"/>
        <v>974035.62519502477</v>
      </c>
      <c r="G7" s="11">
        <f t="shared" si="5"/>
        <v>1363562.5066050463</v>
      </c>
      <c r="H7" s="11">
        <f t="shared" si="5"/>
        <v>2179108.654448275</v>
      </c>
      <c r="I7" s="11">
        <f t="shared" si="5"/>
        <v>2436685.0551368631</v>
      </c>
      <c r="J7" s="11">
        <f t="shared" si="5"/>
        <v>2431772.2415844295</v>
      </c>
      <c r="K7" s="11">
        <f t="shared" si="5"/>
        <v>2455050.311007109</v>
      </c>
      <c r="L7" s="11">
        <f t="shared" si="5"/>
        <v>2442256.4424325731</v>
      </c>
      <c r="M7" s="11">
        <f t="shared" si="5"/>
        <v>2885903.370577978</v>
      </c>
      <c r="N7" s="11">
        <f t="shared" si="5"/>
        <v>2884936.2149883253</v>
      </c>
      <c r="O7" s="11">
        <f t="shared" si="5"/>
        <v>2982069.5922826249</v>
      </c>
      <c r="P7" s="11">
        <f t="shared" si="5"/>
        <v>3077987.2446593842</v>
      </c>
      <c r="Q7" s="11">
        <f t="shared" si="5"/>
        <v>3078343.3112527933</v>
      </c>
      <c r="R7" s="11">
        <f t="shared" si="5"/>
        <v>3077051.3420471405</v>
      </c>
      <c r="S7" s="11">
        <f t="shared" si="5"/>
        <v>3083882.7700466863</v>
      </c>
      <c r="T7" s="11">
        <f t="shared" si="5"/>
        <v>3073661.0573468646</v>
      </c>
      <c r="U7" s="11">
        <f t="shared" si="5"/>
        <v>3048963.290055335</v>
      </c>
      <c r="V7" s="11">
        <f t="shared" si="5"/>
        <v>3045654.7668301957</v>
      </c>
      <c r="W7" s="11">
        <f t="shared" si="5"/>
        <v>3319477.6891107922</v>
      </c>
      <c r="X7" s="6">
        <f>_xlfn.FORECAST.LINEAR(X$2,$M7:$W7,$M$2:$W$2)</f>
        <v>3214810.8214281127</v>
      </c>
      <c r="Y7" s="6">
        <f t="shared" si="4"/>
        <v>3242159.1303146482</v>
      </c>
      <c r="Z7" s="6">
        <f t="shared" si="4"/>
        <v>3269507.4392011762</v>
      </c>
      <c r="AA7" s="6">
        <f t="shared" si="4"/>
        <v>3296855.7480877116</v>
      </c>
      <c r="AB7" s="6">
        <f t="shared" si="4"/>
        <v>3324204.0569742396</v>
      </c>
      <c r="AF7" s="6">
        <f>_xlfn.FORECAST.LINEAR(AF$2,$D7:$W7,$D$2:$W$2)</f>
        <v>3744784.8045542538</v>
      </c>
      <c r="AG7" s="6">
        <f t="shared" si="1"/>
        <v>3864705.7565764785</v>
      </c>
      <c r="AH7" s="6">
        <f t="shared" si="1"/>
        <v>3984626.7085986733</v>
      </c>
      <c r="AI7" s="6">
        <f t="shared" si="1"/>
        <v>4104547.660620898</v>
      </c>
      <c r="AJ7" s="6">
        <f t="shared" si="1"/>
        <v>4224468.6126430929</v>
      </c>
    </row>
    <row r="8" spans="2:36" s="9" customFormat="1" x14ac:dyDescent="0.3">
      <c r="B8" s="9" t="s">
        <v>8</v>
      </c>
      <c r="D8" s="12">
        <f>D29+D31+D32+D34+D33+D50+D51+D56+D57</f>
        <v>2023211.2898182902</v>
      </c>
      <c r="E8" s="12">
        <f t="shared" ref="E8:L8" si="6">E6+E7</f>
        <v>1262110.6562539418</v>
      </c>
      <c r="F8" s="12">
        <f t="shared" si="6"/>
        <v>1251113.9574242253</v>
      </c>
      <c r="G8" s="12">
        <f t="shared" si="6"/>
        <v>1637433.4121680739</v>
      </c>
      <c r="H8" s="12">
        <f t="shared" si="6"/>
        <v>2450429.5739574614</v>
      </c>
      <c r="I8" s="12">
        <f t="shared" si="6"/>
        <v>2710815.355585949</v>
      </c>
      <c r="J8" s="12">
        <f t="shared" si="6"/>
        <v>2707469.3889825698</v>
      </c>
      <c r="K8" s="12">
        <f t="shared" si="6"/>
        <v>2939890.8461536332</v>
      </c>
      <c r="L8" s="12">
        <f t="shared" si="6"/>
        <v>2928609.1423905771</v>
      </c>
      <c r="M8" s="12">
        <f t="shared" ref="M8:W8" si="7">M6+M7</f>
        <v>3371617.2493295604</v>
      </c>
      <c r="N8" s="12">
        <f t="shared" si="7"/>
        <v>3368030.9298070017</v>
      </c>
      <c r="O8" s="12">
        <f t="shared" si="7"/>
        <v>3468138.2493567294</v>
      </c>
      <c r="P8" s="12">
        <f t="shared" si="7"/>
        <v>3564518.1869583307</v>
      </c>
      <c r="Q8" s="12">
        <f t="shared" si="7"/>
        <v>3559046.7811103445</v>
      </c>
      <c r="R8" s="12">
        <f t="shared" si="7"/>
        <v>3557000.1841862043</v>
      </c>
      <c r="S8" s="12">
        <f t="shared" si="7"/>
        <v>3564180.2086686743</v>
      </c>
      <c r="T8" s="12">
        <f t="shared" si="7"/>
        <v>3558491.1284708753</v>
      </c>
      <c r="U8" s="12">
        <f t="shared" si="7"/>
        <v>3807889.8051468953</v>
      </c>
      <c r="V8" s="12">
        <f t="shared" si="7"/>
        <v>3809448.9510403709</v>
      </c>
      <c r="W8" s="12">
        <f t="shared" si="7"/>
        <v>4081425.8849345623</v>
      </c>
      <c r="X8" s="6">
        <f>SUM(X6:X7)</f>
        <v>3955092.4639597237</v>
      </c>
      <c r="Y8" s="6">
        <f>SUM(Y6:Y7)</f>
        <v>4012611.0934225693</v>
      </c>
      <c r="Z8" s="6">
        <f>SUM(Z6:Z7)</f>
        <v>4070129.7228854075</v>
      </c>
      <c r="AA8" s="6">
        <f>SUM(AA6:AA7)</f>
        <v>4127648.3523482457</v>
      </c>
      <c r="AB8" s="6">
        <f>SUM(AB6:AB7)</f>
        <v>4185166.9818110839</v>
      </c>
      <c r="AF8" s="6">
        <f>SUM(AF6:AF7)</f>
        <v>4449752.3588978201</v>
      </c>
      <c r="AG8" s="6">
        <f>SUM(AG6:AG7)</f>
        <v>4593288.8354738355</v>
      </c>
      <c r="AH8" s="6">
        <f>SUM(AH6:AH7)</f>
        <v>4736825.312049821</v>
      </c>
      <c r="AI8" s="6">
        <f>SUM(AI6:AI7)</f>
        <v>4880361.7886258289</v>
      </c>
      <c r="AJ8" s="6">
        <f>SUM(AJ6:AJ7)</f>
        <v>5023898.2652018145</v>
      </c>
    </row>
    <row r="9" spans="2:36" s="9" customFormat="1" x14ac:dyDescent="0.3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6"/>
      <c r="Y9" s="6"/>
      <c r="Z9" s="6"/>
      <c r="AA9" s="6"/>
      <c r="AB9" s="6"/>
      <c r="AF9" s="6"/>
      <c r="AG9" s="6"/>
      <c r="AH9" s="6"/>
      <c r="AI9" s="6"/>
      <c r="AJ9" s="6"/>
    </row>
    <row r="10" spans="2:36" s="9" customFormat="1" x14ac:dyDescent="0.3">
      <c r="B10" s="9" t="s">
        <v>17</v>
      </c>
      <c r="D10" s="12"/>
      <c r="E10" s="12"/>
      <c r="F10" s="12"/>
      <c r="G10" s="12"/>
      <c r="H10" s="12"/>
      <c r="I10" s="12"/>
      <c r="J10" s="12"/>
      <c r="K10" s="12"/>
      <c r="L10" s="1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  <c r="Y10" s="6"/>
      <c r="Z10" s="6"/>
      <c r="AA10" s="6"/>
      <c r="AB10" s="6"/>
      <c r="AF10" s="6"/>
      <c r="AG10" s="6"/>
      <c r="AH10" s="6"/>
      <c r="AI10" s="6"/>
      <c r="AJ10" s="6"/>
    </row>
    <row r="11" spans="2:36" ht="15" x14ac:dyDescent="0.3">
      <c r="B11" s="4" t="s">
        <v>49</v>
      </c>
      <c r="D11" s="2">
        <f>D8/D3</f>
        <v>0.5049124443805677</v>
      </c>
      <c r="E11" s="2">
        <f t="shared" ref="E11:W11" si="8">E8/E3</f>
        <v>0.31154549725900404</v>
      </c>
      <c r="F11" s="2">
        <f t="shared" si="8"/>
        <v>0.30690180561194247</v>
      </c>
      <c r="G11" s="2">
        <f t="shared" si="8"/>
        <v>0.40019099134850605</v>
      </c>
      <c r="H11" s="2">
        <f t="shared" si="8"/>
        <v>0.60220612219498981</v>
      </c>
      <c r="I11" s="2">
        <f t="shared" si="8"/>
        <v>0.66887641551041399</v>
      </c>
      <c r="J11" s="2">
        <f t="shared" si="8"/>
        <v>0.67061280999256079</v>
      </c>
      <c r="K11" s="2">
        <f t="shared" si="8"/>
        <v>0.72788265433055999</v>
      </c>
      <c r="L11" s="2">
        <f t="shared" si="8"/>
        <v>0.72868936390828132</v>
      </c>
      <c r="M11" s="2">
        <f>M8/M3</f>
        <v>0.83995583001218932</v>
      </c>
      <c r="N11" s="2">
        <f t="shared" si="8"/>
        <v>0.84087237732396891</v>
      </c>
      <c r="O11" s="2">
        <f t="shared" si="8"/>
        <v>0.86223366518398514</v>
      </c>
      <c r="P11" s="2">
        <f t="shared" si="8"/>
        <v>0.88753325849533282</v>
      </c>
      <c r="Q11" s="2">
        <f t="shared" si="8"/>
        <v>0.88545885911086164</v>
      </c>
      <c r="R11" s="2">
        <f t="shared" si="8"/>
        <v>0.88291415068748369</v>
      </c>
      <c r="S11" s="2">
        <f t="shared" si="8"/>
        <v>0.8746937522495456</v>
      </c>
      <c r="T11" s="2">
        <f t="shared" si="8"/>
        <v>0.87452727971445898</v>
      </c>
      <c r="U11" s="2">
        <f t="shared" si="8"/>
        <v>0.9371453646736424</v>
      </c>
      <c r="V11" s="2">
        <f t="shared" si="8"/>
        <v>0.93955177770147302</v>
      </c>
      <c r="W11" s="2">
        <f t="shared" si="8"/>
        <v>1.0058863653260002</v>
      </c>
      <c r="X11" s="13">
        <f>X8/X3</f>
        <v>0.97016110366958441</v>
      </c>
      <c r="Y11" s="13">
        <f>Y8/Y3</f>
        <v>0.98274021193313066</v>
      </c>
      <c r="Z11" s="13">
        <f>Z8/Z3</f>
        <v>0.99528027682964959</v>
      </c>
      <c r="AA11" s="13">
        <f>AA8/AA3</f>
        <v>1.0077814798532241</v>
      </c>
      <c r="AB11" s="13">
        <f>AB8/AB3</f>
        <v>1.0202440013747687</v>
      </c>
      <c r="AF11" s="13">
        <f>AF8/AF3</f>
        <v>1.1002028147056107</v>
      </c>
      <c r="AG11" s="13">
        <f>AG8/AG3</f>
        <v>1.1356643626433967</v>
      </c>
      <c r="AH11" s="13">
        <f>AH8/AH3</f>
        <v>1.1711241685592721</v>
      </c>
      <c r="AI11" s="13">
        <f>AI8/AI3</f>
        <v>1.2065822325816105</v>
      </c>
      <c r="AJ11" s="13">
        <f>AJ8/AJ3</f>
        <v>1.2420385548387476</v>
      </c>
    </row>
    <row r="12" spans="2:36" x14ac:dyDescent="0.3">
      <c r="B12" s="4" t="s">
        <v>9</v>
      </c>
      <c r="D12" s="10"/>
      <c r="M12" s="5">
        <f>1-M11</f>
        <v>0.16004416998781068</v>
      </c>
      <c r="N12" s="5">
        <f t="shared" ref="N12:W12" si="9">1-N11</f>
        <v>0.15912762267603109</v>
      </c>
      <c r="O12" s="5">
        <f t="shared" si="9"/>
        <v>0.13776633481601486</v>
      </c>
      <c r="P12" s="5">
        <f t="shared" si="9"/>
        <v>0.11246674150466718</v>
      </c>
      <c r="Q12" s="5">
        <f t="shared" si="9"/>
        <v>0.11454114088913836</v>
      </c>
      <c r="R12" s="5">
        <f t="shared" si="9"/>
        <v>0.11708584931251631</v>
      </c>
      <c r="S12" s="5">
        <f t="shared" si="9"/>
        <v>0.1253062477504544</v>
      </c>
      <c r="T12" s="5">
        <f t="shared" si="9"/>
        <v>0.12547272028554102</v>
      </c>
      <c r="U12" s="5">
        <f t="shared" si="9"/>
        <v>6.28546353263576E-2</v>
      </c>
      <c r="V12" s="5">
        <f t="shared" si="9"/>
        <v>6.0448222298526977E-2</v>
      </c>
      <c r="W12" s="5">
        <f t="shared" si="9"/>
        <v>-5.8863653260001758E-3</v>
      </c>
      <c r="X12" s="5"/>
      <c r="Y12" s="5"/>
      <c r="Z12" s="5"/>
      <c r="AA12" s="5"/>
      <c r="AB12" s="5"/>
      <c r="AF12" s="5"/>
      <c r="AG12" s="5"/>
      <c r="AH12" s="5"/>
      <c r="AI12" s="5"/>
      <c r="AJ12" s="5"/>
    </row>
    <row r="13" spans="2:36" x14ac:dyDescent="0.3">
      <c r="B13" s="4" t="s">
        <v>50</v>
      </c>
      <c r="D13" s="10"/>
      <c r="M13" s="3">
        <f>M11+M12</f>
        <v>1</v>
      </c>
      <c r="N13" s="3">
        <f>N11+N12</f>
        <v>1</v>
      </c>
      <c r="O13" s="3">
        <f t="shared" ref="O13:W13" si="10">O11+O12</f>
        <v>1</v>
      </c>
      <c r="P13" s="3">
        <f t="shared" si="10"/>
        <v>1</v>
      </c>
      <c r="Q13" s="3">
        <f t="shared" si="10"/>
        <v>1</v>
      </c>
      <c r="R13" s="3">
        <f t="shared" si="10"/>
        <v>1</v>
      </c>
      <c r="S13" s="3">
        <f t="shared" si="10"/>
        <v>1</v>
      </c>
      <c r="T13" s="3">
        <f t="shared" si="10"/>
        <v>1</v>
      </c>
      <c r="U13" s="3">
        <f t="shared" si="10"/>
        <v>1</v>
      </c>
      <c r="V13" s="3">
        <f t="shared" si="10"/>
        <v>1</v>
      </c>
      <c r="W13" s="3">
        <f t="shared" si="10"/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</row>
    <row r="14" spans="2:36" x14ac:dyDescent="0.3">
      <c r="B14" s="4" t="s">
        <v>10</v>
      </c>
      <c r="D14" s="10"/>
      <c r="M14" s="5">
        <f>M11-0.8</f>
        <v>3.9955830012189275E-2</v>
      </c>
      <c r="N14" s="5">
        <f t="shared" ref="N14:W14" si="11">N11-0.8</f>
        <v>4.0872377323968867E-2</v>
      </c>
      <c r="O14" s="5">
        <f t="shared" si="11"/>
        <v>6.2233665183985099E-2</v>
      </c>
      <c r="P14" s="5">
        <f t="shared" si="11"/>
        <v>8.7533258495332777E-2</v>
      </c>
      <c r="Q14" s="5">
        <f t="shared" si="11"/>
        <v>8.5458859110861596E-2</v>
      </c>
      <c r="R14" s="5">
        <f t="shared" si="11"/>
        <v>8.2914150687483645E-2</v>
      </c>
      <c r="S14" s="5">
        <f t="shared" si="11"/>
        <v>7.4693752249545553E-2</v>
      </c>
      <c r="T14" s="5">
        <f t="shared" si="11"/>
        <v>7.4527279714458938E-2</v>
      </c>
      <c r="U14" s="5">
        <f t="shared" si="11"/>
        <v>0.13714536467364236</v>
      </c>
      <c r="V14" s="5">
        <f t="shared" si="11"/>
        <v>0.13955177770147298</v>
      </c>
      <c r="W14" s="5">
        <f t="shared" si="11"/>
        <v>0.20588636532600013</v>
      </c>
      <c r="X14" s="5">
        <f t="shared" ref="X14:AA14" si="12">X13-X11</f>
        <v>2.9838896330415587E-2</v>
      </c>
      <c r="Y14" s="5">
        <f t="shared" si="12"/>
        <v>1.7259788066869342E-2</v>
      </c>
      <c r="Z14" s="5">
        <f t="shared" si="12"/>
        <v>4.7197231703504094E-3</v>
      </c>
      <c r="AA14" s="5">
        <f t="shared" si="12"/>
        <v>-7.7814798532240825E-3</v>
      </c>
      <c r="AB14" s="5">
        <f>AB13-AB11</f>
        <v>-2.0244001374768672E-2</v>
      </c>
      <c r="AF14" s="5">
        <f t="shared" ref="AF14:AI14" si="13">AF13-AF11</f>
        <v>-0.10020281470561065</v>
      </c>
      <c r="AG14" s="5">
        <f t="shared" si="13"/>
        <v>-0.13566436264339665</v>
      </c>
      <c r="AH14" s="5">
        <f t="shared" si="13"/>
        <v>-0.17112416855927215</v>
      </c>
      <c r="AI14" s="5">
        <f t="shared" si="13"/>
        <v>-0.20658223258161046</v>
      </c>
      <c r="AJ14" s="5">
        <f>AJ13-AJ11</f>
        <v>-0.24203855483874759</v>
      </c>
    </row>
    <row r="15" spans="2:36" x14ac:dyDescent="0.3">
      <c r="B15" s="4" t="s">
        <v>11</v>
      </c>
      <c r="D15" s="10"/>
      <c r="M15" s="6">
        <f t="shared" ref="M15:W15" si="14">M3*(-M14)</f>
        <v>-160384.34506540911</v>
      </c>
      <c r="N15" s="6">
        <f t="shared" si="14"/>
        <v>-163710.25462860751</v>
      </c>
      <c r="O15" s="6">
        <f t="shared" si="14"/>
        <v>-250320.72318375975</v>
      </c>
      <c r="P15" s="6">
        <f t="shared" si="14"/>
        <v>-351551.7744082142</v>
      </c>
      <c r="Q15" s="6">
        <f t="shared" si="14"/>
        <v>-343496.56599662954</v>
      </c>
      <c r="R15" s="6">
        <f t="shared" si="14"/>
        <v>-334036.60937745456</v>
      </c>
      <c r="S15" s="6">
        <f t="shared" si="14"/>
        <v>-304360.23213194252</v>
      </c>
      <c r="T15" s="6">
        <f t="shared" si="14"/>
        <v>-303254.87820066774</v>
      </c>
      <c r="U15" s="6">
        <f t="shared" si="14"/>
        <v>-557260.8643759148</v>
      </c>
      <c r="V15" s="6">
        <f t="shared" si="14"/>
        <v>-565818.06963448389</v>
      </c>
      <c r="W15" s="6">
        <f t="shared" si="14"/>
        <v>-835392.51526119711</v>
      </c>
      <c r="X15" s="6">
        <f>X14*X3</f>
        <v>121645.35721223438</v>
      </c>
      <c r="Y15" s="6">
        <f>Y14*Y3</f>
        <v>70473.169029085067</v>
      </c>
      <c r="Z15" s="6">
        <f>Z14*Z3</f>
        <v>19300.980845943235</v>
      </c>
      <c r="AA15" s="6">
        <f>AA14*AA3</f>
        <v>-31871.207337199114</v>
      </c>
      <c r="AB15" s="6">
        <f>AB14*AB3</f>
        <v>-83043.395520340797</v>
      </c>
      <c r="AF15" s="6">
        <f>AF14*AF3</f>
        <v>-405268.65151112981</v>
      </c>
      <c r="AG15" s="6">
        <f>AG14*AG3</f>
        <v>-548705.78209493216</v>
      </c>
      <c r="AH15" s="6">
        <f>AH14*AH3</f>
        <v>-692142.91267870425</v>
      </c>
      <c r="AI15" s="6">
        <f>AI14*AI3</f>
        <v>-835580.04326249962</v>
      </c>
      <c r="AJ15" s="6">
        <f>AJ14*AJ3</f>
        <v>-979017.1738462717</v>
      </c>
    </row>
    <row r="16" spans="2:36" x14ac:dyDescent="0.3">
      <c r="B16" s="4" t="s">
        <v>12</v>
      </c>
      <c r="D16" s="10"/>
      <c r="M16" s="14">
        <f>(M15)/8760</f>
        <v>-18.308715190115194</v>
      </c>
      <c r="N16" s="14">
        <f t="shared" ref="N16:W16" si="15">(N15)/8760</f>
        <v>-18.688385231576198</v>
      </c>
      <c r="O16" s="14">
        <f t="shared" si="15"/>
        <v>-28.575425020977139</v>
      </c>
      <c r="P16" s="14">
        <f t="shared" si="15"/>
        <v>-40.131481096828104</v>
      </c>
      <c r="Q16" s="14">
        <f t="shared" si="15"/>
        <v>-39.211936757606111</v>
      </c>
      <c r="R16" s="14">
        <f t="shared" si="15"/>
        <v>-38.132033033955999</v>
      </c>
      <c r="S16" s="14">
        <f t="shared" si="15"/>
        <v>-34.74431873652312</v>
      </c>
      <c r="T16" s="14">
        <f t="shared" si="15"/>
        <v>-34.618136780898141</v>
      </c>
      <c r="U16" s="14">
        <f t="shared" si="15"/>
        <v>-63.614253924191189</v>
      </c>
      <c r="V16" s="14">
        <f t="shared" si="15"/>
        <v>-64.591103839552957</v>
      </c>
      <c r="W16" s="14">
        <f t="shared" si="15"/>
        <v>-95.364442381415202</v>
      </c>
      <c r="X16" s="6">
        <f t="shared" ref="X16:AA16" si="16">X15/8760</f>
        <v>13.886456302766481</v>
      </c>
      <c r="Y16" s="6">
        <f t="shared" si="16"/>
        <v>8.0448823092562858</v>
      </c>
      <c r="Z16" s="6">
        <f t="shared" si="16"/>
        <v>2.2033083157469449</v>
      </c>
      <c r="AA16" s="6">
        <f t="shared" si="16"/>
        <v>-3.638265677762456</v>
      </c>
      <c r="AB16" s="6">
        <f>AB15/8760</f>
        <v>-9.4798396712717796</v>
      </c>
      <c r="AF16" s="6">
        <f t="shared" ref="AF16:AI16" si="17">AF15/8760</f>
        <v>-46.263544693051351</v>
      </c>
      <c r="AG16" s="6">
        <f t="shared" si="17"/>
        <v>-62.637646357868967</v>
      </c>
      <c r="AH16" s="6">
        <f t="shared" si="17"/>
        <v>-79.011748022683136</v>
      </c>
      <c r="AI16" s="6">
        <f t="shared" si="17"/>
        <v>-95.385849687499956</v>
      </c>
      <c r="AJ16" s="6">
        <f>AJ15/8760</f>
        <v>-111.75995135231412</v>
      </c>
    </row>
    <row r="17" spans="2:24" x14ac:dyDescent="0.3">
      <c r="D17" s="1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x14ac:dyDescent="0.3">
      <c r="B18" s="15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6"/>
    </row>
    <row r="19" spans="2:24" x14ac:dyDescent="0.3">
      <c r="X19" s="6"/>
    </row>
    <row r="20" spans="2:24" ht="17.5" x14ac:dyDescent="0.35">
      <c r="B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6"/>
    </row>
    <row r="21" spans="2:24" ht="17.5" x14ac:dyDescent="0.35">
      <c r="B21" s="16" t="s">
        <v>57</v>
      </c>
      <c r="D21" s="8">
        <v>2021</v>
      </c>
      <c r="E21" s="8">
        <v>2022</v>
      </c>
      <c r="F21" s="8">
        <v>2023</v>
      </c>
      <c r="G21" s="8">
        <v>2024</v>
      </c>
      <c r="H21" s="8">
        <v>2025</v>
      </c>
      <c r="I21" s="8">
        <v>2026</v>
      </c>
      <c r="J21" s="8">
        <v>2027</v>
      </c>
      <c r="K21" s="8">
        <v>2028</v>
      </c>
      <c r="L21" s="8">
        <v>2029</v>
      </c>
      <c r="M21" s="8">
        <v>2030</v>
      </c>
      <c r="N21" s="8">
        <v>2031</v>
      </c>
      <c r="O21" s="8">
        <v>2032</v>
      </c>
      <c r="P21" s="8">
        <v>2033</v>
      </c>
      <c r="Q21" s="8">
        <v>2034</v>
      </c>
      <c r="R21" s="8">
        <v>2035</v>
      </c>
      <c r="S21" s="8">
        <v>2036</v>
      </c>
      <c r="T21" s="8">
        <v>2037</v>
      </c>
      <c r="U21" s="8">
        <v>2038</v>
      </c>
      <c r="V21" s="8">
        <v>2039</v>
      </c>
      <c r="W21" s="8">
        <v>2040</v>
      </c>
      <c r="X21" s="6"/>
    </row>
    <row r="22" spans="2:24" x14ac:dyDescent="0.3">
      <c r="B22" s="17" t="s">
        <v>23</v>
      </c>
      <c r="D22" s="6">
        <v>657502.72022283345</v>
      </c>
      <c r="E22" s="6">
        <v>692946.70554178639</v>
      </c>
      <c r="F22" s="6">
        <v>523823.60190858471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/>
    </row>
    <row r="23" spans="2:24" x14ac:dyDescent="0.3">
      <c r="B23" s="17" t="s">
        <v>24</v>
      </c>
      <c r="D23" s="6">
        <v>2608.5865105754074</v>
      </c>
      <c r="E23" s="6">
        <v>6403.1232930022252</v>
      </c>
      <c r="F23" s="6">
        <v>6524.3224549222041</v>
      </c>
      <c r="G23" s="6">
        <v>18208.166445931391</v>
      </c>
      <c r="H23" s="6">
        <v>-29975.251668683628</v>
      </c>
      <c r="I23" s="6">
        <v>-29975.251668683628</v>
      </c>
      <c r="J23" s="6">
        <v>-29975.251668683628</v>
      </c>
      <c r="K23" s="6">
        <v>-29972.622715465899</v>
      </c>
      <c r="L23" s="6">
        <v>-29975.251668683628</v>
      </c>
      <c r="M23" s="6">
        <v>-29975.251668683628</v>
      </c>
      <c r="N23" s="6">
        <v>-29975.251668683628</v>
      </c>
      <c r="O23" s="6">
        <v>-30071.456004900894</v>
      </c>
      <c r="P23" s="6">
        <v>-29975.251668683628</v>
      </c>
      <c r="Q23" s="6">
        <v>-29876.418379248626</v>
      </c>
      <c r="R23" s="6">
        <v>-29975.251668683628</v>
      </c>
      <c r="S23" s="6">
        <v>-30071.456004900894</v>
      </c>
      <c r="T23" s="6">
        <v>-29975.251668683628</v>
      </c>
      <c r="U23" s="6">
        <v>-29975.251668683628</v>
      </c>
      <c r="V23" s="6">
        <v>-29975.251668683628</v>
      </c>
      <c r="W23" s="6">
        <v>-29879.047332466358</v>
      </c>
      <c r="X23" s="6"/>
    </row>
    <row r="24" spans="2:24" x14ac:dyDescent="0.3">
      <c r="B24" s="17" t="s">
        <v>25</v>
      </c>
      <c r="D24" s="6">
        <v>-27394.919995257405</v>
      </c>
      <c r="E24" s="6">
        <v>-4958.4002661117274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/>
    </row>
    <row r="25" spans="2:24" x14ac:dyDescent="0.3">
      <c r="B25" s="17" t="s">
        <v>26</v>
      </c>
      <c r="D25" s="6">
        <v>4.0953063058660941</v>
      </c>
      <c r="E25" s="6">
        <v>3.8237014964869105</v>
      </c>
      <c r="F25" s="6">
        <v>4.1285467387704697</v>
      </c>
      <c r="G25" s="6">
        <v>3.8380128811190533</v>
      </c>
      <c r="H25" s="6">
        <v>3.838021984109437</v>
      </c>
      <c r="I25" s="6">
        <v>3.8380116434002041</v>
      </c>
      <c r="J25" s="6">
        <v>3.837980759596376</v>
      </c>
      <c r="K25" s="6">
        <v>3.8380053980371902</v>
      </c>
      <c r="L25" s="6">
        <v>3.8380083484135237</v>
      </c>
      <c r="M25" s="6">
        <v>3.8379892901018149</v>
      </c>
      <c r="N25" s="6">
        <v>3.837989613124047</v>
      </c>
      <c r="O25" s="6">
        <v>3.837967236638415</v>
      </c>
      <c r="P25" s="6">
        <v>3.837971023354485</v>
      </c>
      <c r="Q25" s="6">
        <v>3.8379837867304625</v>
      </c>
      <c r="R25" s="6">
        <v>3.8379687150248225</v>
      </c>
      <c r="S25" s="6">
        <v>3.837963840907177</v>
      </c>
      <c r="T25" s="6">
        <v>3.8379770512371838</v>
      </c>
      <c r="U25" s="6">
        <v>3.8379745502135596</v>
      </c>
      <c r="V25" s="6">
        <v>3.8379848621386392</v>
      </c>
      <c r="W25" s="6">
        <v>3.8379567072330247</v>
      </c>
      <c r="X25" s="6"/>
    </row>
    <row r="26" spans="2:24" x14ac:dyDescent="0.3">
      <c r="B26" s="17" t="s">
        <v>27</v>
      </c>
      <c r="D26" s="6">
        <v>-54446.77500966924</v>
      </c>
      <c r="E26" s="6">
        <v>-54289.054008522638</v>
      </c>
      <c r="F26" s="6">
        <v>-54108.529745533888</v>
      </c>
      <c r="G26" s="6">
        <v>-54641.545316941541</v>
      </c>
      <c r="H26" s="6">
        <v>-54492.25147727775</v>
      </c>
      <c r="I26" s="6">
        <v>-54492.25147727775</v>
      </c>
      <c r="J26" s="6">
        <v>-54492.25147727775</v>
      </c>
      <c r="K26" s="6">
        <v>-54641.545316941541</v>
      </c>
      <c r="L26" s="6">
        <v>-54492.25147727775</v>
      </c>
      <c r="M26" s="6">
        <v>-54492.25147727775</v>
      </c>
      <c r="N26" s="6">
        <v>-54492.25147727775</v>
      </c>
      <c r="O26" s="6">
        <v>-54641.545316941541</v>
      </c>
      <c r="P26" s="6">
        <v>-54492.25147727775</v>
      </c>
      <c r="Q26" s="6">
        <v>-54492.25147727775</v>
      </c>
      <c r="R26" s="6">
        <v>-54492.25147727775</v>
      </c>
      <c r="S26" s="6">
        <v>-54641.545316941541</v>
      </c>
      <c r="T26" s="6">
        <v>-54492.25147727775</v>
      </c>
      <c r="U26" s="6">
        <v>-54492.25147727775</v>
      </c>
      <c r="V26" s="6">
        <v>-54492.25147727775</v>
      </c>
      <c r="W26" s="6">
        <v>-54342.957637613988</v>
      </c>
      <c r="X26" s="6"/>
    </row>
    <row r="27" spans="2:24" x14ac:dyDescent="0.3">
      <c r="B27" s="17" t="s">
        <v>28</v>
      </c>
      <c r="D27" s="6">
        <v>16994.359874546684</v>
      </c>
      <c r="E27" s="6">
        <v>16875.967150553606</v>
      </c>
      <c r="F27" s="6">
        <v>16857.799272802651</v>
      </c>
      <c r="G27" s="6">
        <v>17053.458286827052</v>
      </c>
      <c r="H27" s="6">
        <v>17053.75243021427</v>
      </c>
      <c r="I27" s="6">
        <v>17053.75243021427</v>
      </c>
      <c r="J27" s="6">
        <v>17053.75243021427</v>
      </c>
      <c r="K27" s="6">
        <v>17053.458286827052</v>
      </c>
      <c r="L27" s="6">
        <v>17053.75243021427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/>
    </row>
    <row r="28" spans="2:24" x14ac:dyDescent="0.3">
      <c r="B28" s="17" t="s">
        <v>29</v>
      </c>
      <c r="D28" s="6">
        <v>891506.42756294459</v>
      </c>
      <c r="E28" s="6">
        <v>1002635.2017422729</v>
      </c>
      <c r="F28" s="6">
        <v>974262.41560779151</v>
      </c>
      <c r="G28" s="6">
        <v>3059481.9424080062</v>
      </c>
      <c r="H28" s="6">
        <v>2943286.7485692017</v>
      </c>
      <c r="I28" s="6">
        <v>2834124.1831184831</v>
      </c>
      <c r="J28" s="6">
        <v>2742286.5536269112</v>
      </c>
      <c r="K28" s="6">
        <v>2583109.2055023536</v>
      </c>
      <c r="L28" s="6">
        <v>2634520.9836314162</v>
      </c>
      <c r="M28" s="6">
        <v>2199051.2217149348</v>
      </c>
      <c r="N28" s="6">
        <v>2193484.1475962745</v>
      </c>
      <c r="O28" s="6">
        <v>2037145.3375042721</v>
      </c>
      <c r="P28" s="6">
        <v>1976101.7294074418</v>
      </c>
      <c r="Q28" s="6">
        <v>1994169.3048922627</v>
      </c>
      <c r="R28" s="6">
        <v>2036805.0719027328</v>
      </c>
      <c r="S28" s="6">
        <v>2135664.8255556929</v>
      </c>
      <c r="T28" s="6">
        <v>2240256.9572849032</v>
      </c>
      <c r="U28" s="6">
        <v>2097635.9541641949</v>
      </c>
      <c r="V28" s="6">
        <v>2280111.399404773</v>
      </c>
      <c r="W28" s="6">
        <v>2284482.843032544</v>
      </c>
      <c r="X28" s="6"/>
    </row>
    <row r="29" spans="2:24" x14ac:dyDescent="0.3">
      <c r="B29" s="17" t="s">
        <v>30</v>
      </c>
      <c r="D29" s="6">
        <v>21783.040002349673</v>
      </c>
      <c r="E29" s="6">
        <v>21722.177444320663</v>
      </c>
      <c r="F29" s="6">
        <v>21647.714997003499</v>
      </c>
      <c r="G29" s="6">
        <v>21862.83230694928</v>
      </c>
      <c r="H29" s="6">
        <v>21749.558644432316</v>
      </c>
      <c r="I29" s="6">
        <v>21668.675156748155</v>
      </c>
      <c r="J29" s="6">
        <v>20377.315938023603</v>
      </c>
      <c r="K29" s="6">
        <v>21795.429400545807</v>
      </c>
      <c r="L29" s="6">
        <v>21765.458337268141</v>
      </c>
      <c r="M29" s="6">
        <v>21722.597481870933</v>
      </c>
      <c r="N29" s="6">
        <v>21397.005366554105</v>
      </c>
      <c r="O29" s="6">
        <v>21442.687523700981</v>
      </c>
      <c r="P29" s="6">
        <v>20931.573041747572</v>
      </c>
      <c r="Q29" s="6">
        <v>20271.763913835879</v>
      </c>
      <c r="R29" s="6">
        <v>21580.893481304192</v>
      </c>
      <c r="S29" s="6">
        <v>21711.683407931974</v>
      </c>
      <c r="T29" s="6">
        <v>21751.026872490904</v>
      </c>
      <c r="U29" s="6">
        <v>0</v>
      </c>
      <c r="V29" s="6">
        <v>0</v>
      </c>
      <c r="W29" s="6">
        <v>0</v>
      </c>
      <c r="X29" s="6"/>
    </row>
    <row r="30" spans="2:24" x14ac:dyDescent="0.3">
      <c r="B30" s="17" t="s">
        <v>31</v>
      </c>
      <c r="D30" s="6">
        <v>325080.30403624009</v>
      </c>
      <c r="E30" s="6">
        <v>319862.87647456973</v>
      </c>
      <c r="F30" s="6">
        <v>277078.33222920063</v>
      </c>
      <c r="G30" s="6">
        <v>273870.90556302766</v>
      </c>
      <c r="H30" s="6">
        <v>271320.91950918635</v>
      </c>
      <c r="I30" s="6">
        <v>274130.300449086</v>
      </c>
      <c r="J30" s="6">
        <v>275697.14739814028</v>
      </c>
      <c r="K30" s="6">
        <v>275460.48731958662</v>
      </c>
      <c r="L30" s="6">
        <v>277590.29239014327</v>
      </c>
      <c r="M30" s="6">
        <v>276922.72484861489</v>
      </c>
      <c r="N30" s="6">
        <v>274314.45531865774</v>
      </c>
      <c r="O30" s="6">
        <v>276668.67555957945</v>
      </c>
      <c r="P30" s="6">
        <v>277768.53473108576</v>
      </c>
      <c r="Q30" s="6">
        <v>277769.65466794366</v>
      </c>
      <c r="R30" s="6">
        <v>276406.19136661047</v>
      </c>
      <c r="S30" s="6">
        <v>274917.00905000931</v>
      </c>
      <c r="T30" s="6">
        <v>275960.04170691787</v>
      </c>
      <c r="U30" s="6">
        <v>276145.38023515418</v>
      </c>
      <c r="V30" s="6">
        <v>277709.46531105938</v>
      </c>
      <c r="W30" s="6">
        <v>274393.85588505823</v>
      </c>
      <c r="X30" s="6"/>
    </row>
    <row r="31" spans="2:24" x14ac:dyDescent="0.3">
      <c r="B31" s="17" t="s">
        <v>32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42870.826972802912</v>
      </c>
      <c r="X31" s="6"/>
    </row>
    <row r="32" spans="2:24" x14ac:dyDescent="0.3">
      <c r="B32" s="17" t="s">
        <v>33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28.746335106492626</v>
      </c>
      <c r="N32" s="6">
        <v>17.851932157663501</v>
      </c>
      <c r="O32" s="6">
        <v>19.933687587509432</v>
      </c>
      <c r="P32" s="6">
        <v>0</v>
      </c>
      <c r="Q32" s="6">
        <v>0</v>
      </c>
      <c r="R32" s="6">
        <v>0</v>
      </c>
      <c r="S32" s="6">
        <v>0</v>
      </c>
      <c r="T32" s="6">
        <v>2119.2420381313318</v>
      </c>
      <c r="U32" s="6">
        <v>4171.4215963446259</v>
      </c>
      <c r="V32" s="6">
        <v>6807.3692152966896</v>
      </c>
      <c r="W32" s="6">
        <v>7438.0107323871962</v>
      </c>
      <c r="X32" s="6"/>
    </row>
    <row r="33" spans="1:28" x14ac:dyDescent="0.3">
      <c r="B33" s="17" t="s">
        <v>34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209380.04782693752</v>
      </c>
      <c r="L33" s="6">
        <v>208762.40756786094</v>
      </c>
      <c r="M33" s="6">
        <v>208762.40756786094</v>
      </c>
      <c r="N33" s="6">
        <v>208762.40756786094</v>
      </c>
      <c r="O33" s="6">
        <v>209380.04782693752</v>
      </c>
      <c r="P33" s="6">
        <v>208762.40756786094</v>
      </c>
      <c r="Q33" s="6">
        <v>202933.81518960773</v>
      </c>
      <c r="R33" s="6">
        <v>203542.65077245361</v>
      </c>
      <c r="S33" s="6">
        <v>205380.42957197886</v>
      </c>
      <c r="T33" s="6">
        <v>206750.78737896177</v>
      </c>
      <c r="U33" s="6">
        <v>478609.71326006134</v>
      </c>
      <c r="V33" s="6">
        <v>479277.34968381916</v>
      </c>
      <c r="W33" s="6">
        <v>480116.32920632453</v>
      </c>
      <c r="X33" s="6"/>
    </row>
    <row r="34" spans="1:28" x14ac:dyDescent="0.3">
      <c r="B34" s="17" t="s">
        <v>35</v>
      </c>
      <c r="D34" s="6">
        <v>0</v>
      </c>
      <c r="E34" s="6">
        <v>0</v>
      </c>
      <c r="F34" s="6">
        <v>0</v>
      </c>
      <c r="G34" s="6">
        <v>353374.82708861452</v>
      </c>
      <c r="H34" s="6">
        <v>503538.03260771738</v>
      </c>
      <c r="I34" s="6">
        <v>669157.83778914274</v>
      </c>
      <c r="J34" s="6">
        <v>666647.68427359266</v>
      </c>
      <c r="K34" s="6">
        <v>680676.73977738735</v>
      </c>
      <c r="L34" s="6">
        <v>678371.60968243238</v>
      </c>
      <c r="M34" s="6">
        <v>910267.63092650753</v>
      </c>
      <c r="N34" s="6">
        <v>942975.9257968585</v>
      </c>
      <c r="O34" s="6">
        <v>941105.53867662966</v>
      </c>
      <c r="P34" s="6">
        <v>1047143.2589001593</v>
      </c>
      <c r="Q34" s="6">
        <v>1046779.0592188401</v>
      </c>
      <c r="R34" s="6">
        <v>1044996.9891059145</v>
      </c>
      <c r="S34" s="6">
        <v>1043053.8031706963</v>
      </c>
      <c r="T34" s="6">
        <v>1040718.3058762379</v>
      </c>
      <c r="U34" s="6">
        <v>1037867.9962841433</v>
      </c>
      <c r="V34" s="6">
        <v>1035873.3609577341</v>
      </c>
      <c r="W34" s="6">
        <v>1150445.7182257469</v>
      </c>
      <c r="X34" s="6"/>
    </row>
    <row r="35" spans="1:28" x14ac:dyDescent="0.3">
      <c r="B35" s="17" t="s">
        <v>36</v>
      </c>
      <c r="D35" s="6">
        <v>0</v>
      </c>
      <c r="E35" s="6">
        <v>0</v>
      </c>
      <c r="F35" s="6">
        <v>35774.876383552211</v>
      </c>
      <c r="G35" s="6">
        <v>36582.904372718251</v>
      </c>
      <c r="H35" s="6">
        <v>706634.2243610688</v>
      </c>
      <c r="I35" s="6">
        <v>812680.14728739928</v>
      </c>
      <c r="J35" s="6">
        <v>812668.11782140064</v>
      </c>
      <c r="K35" s="6">
        <v>816322.8840318101</v>
      </c>
      <c r="L35" s="6">
        <v>814227.8583841268</v>
      </c>
      <c r="M35" s="6">
        <v>1156791.8918197511</v>
      </c>
      <c r="N35" s="6">
        <v>1157255.5014347932</v>
      </c>
      <c r="O35" s="6">
        <v>1252630.1797538139</v>
      </c>
      <c r="P35" s="6">
        <v>1247213.0879981313</v>
      </c>
      <c r="Q35" s="6">
        <v>1249980.459341587</v>
      </c>
      <c r="R35" s="6">
        <v>1249579.4908787177</v>
      </c>
      <c r="S35" s="6">
        <v>1254546.0711875032</v>
      </c>
      <c r="T35" s="6">
        <v>1250559.8417558039</v>
      </c>
      <c r="U35" s="6">
        <v>1250739.204599191</v>
      </c>
      <c r="V35" s="6">
        <v>1249637.8297783998</v>
      </c>
      <c r="W35" s="6">
        <v>1408378.53812167</v>
      </c>
      <c r="X35" s="6"/>
    </row>
    <row r="36" spans="1:28" x14ac:dyDescent="0.3">
      <c r="B36" s="17" t="s">
        <v>37</v>
      </c>
      <c r="D36" s="6">
        <v>173696.5486763361</v>
      </c>
      <c r="E36" s="6">
        <v>171721.50181474668</v>
      </c>
      <c r="F36" s="6">
        <v>170193.35244812709</v>
      </c>
      <c r="G36" s="6">
        <v>170621.25279732188</v>
      </c>
      <c r="H36" s="6">
        <v>169494.46279802255</v>
      </c>
      <c r="I36" s="6">
        <v>168369.90320689691</v>
      </c>
      <c r="J36" s="6">
        <v>167252.02799268722</v>
      </c>
      <c r="K36" s="6">
        <v>166146.21383315636</v>
      </c>
      <c r="L36" s="6">
        <v>165044.88264406973</v>
      </c>
      <c r="M36" s="6">
        <v>89168.807419537785</v>
      </c>
      <c r="N36" s="6">
        <v>88683.553801706585</v>
      </c>
      <c r="O36" s="6">
        <v>88202.437822300708</v>
      </c>
      <c r="P36" s="6">
        <v>87723.552251070389</v>
      </c>
      <c r="Q36" s="6">
        <v>87246.919242023694</v>
      </c>
      <c r="R36" s="6">
        <v>86772.516641126989</v>
      </c>
      <c r="S36" s="6">
        <v>86300.418932009197</v>
      </c>
      <c r="T36" s="6">
        <v>85832.384377672512</v>
      </c>
      <c r="U36" s="6">
        <v>85364.349823407902</v>
      </c>
      <c r="V36" s="6">
        <v>84898.545677231639</v>
      </c>
      <c r="W36" s="6">
        <v>84240.15653695137</v>
      </c>
      <c r="X36" s="6"/>
    </row>
    <row r="37" spans="1:28" x14ac:dyDescent="0.3">
      <c r="B37" s="17" t="s">
        <v>38</v>
      </c>
      <c r="D37" s="6">
        <v>874404.01923590666</v>
      </c>
      <c r="E37" s="6">
        <v>844351.8277407859</v>
      </c>
      <c r="F37" s="6">
        <v>841400.23722493893</v>
      </c>
      <c r="G37" s="6">
        <v>876853.36738505331</v>
      </c>
      <c r="H37" s="6">
        <v>872963.4123827091</v>
      </c>
      <c r="I37" s="6">
        <v>860892.81343778642</v>
      </c>
      <c r="J37" s="6">
        <v>859601.25327894243</v>
      </c>
      <c r="K37" s="6">
        <v>865056.76107655733</v>
      </c>
      <c r="L37" s="6">
        <v>857132.85626605235</v>
      </c>
      <c r="M37" s="6">
        <v>819050.69230767642</v>
      </c>
      <c r="N37" s="6">
        <v>781041.24197844963</v>
      </c>
      <c r="O37" s="6">
        <v>785410.02528047119</v>
      </c>
      <c r="P37" s="6">
        <v>778717.20356895518</v>
      </c>
      <c r="Q37" s="6">
        <v>781352.56123859715</v>
      </c>
      <c r="R37" s="6">
        <v>782018.49589611427</v>
      </c>
      <c r="S37" s="6">
        <v>786970.03250817896</v>
      </c>
      <c r="T37" s="6">
        <v>783275.35812366824</v>
      </c>
      <c r="U37" s="6">
        <v>782654.73376039567</v>
      </c>
      <c r="V37" s="6">
        <v>783106.25360464712</v>
      </c>
      <c r="W37" s="6">
        <v>784360.78114289499</v>
      </c>
      <c r="X37" s="6"/>
    </row>
    <row r="38" spans="1:28" x14ac:dyDescent="0.3">
      <c r="B38" s="17"/>
      <c r="C38" s="9" t="s">
        <v>39</v>
      </c>
      <c r="D38" s="18">
        <f>SUM(D22:D37)</f>
        <v>2881738.4064231119</v>
      </c>
      <c r="E38" s="18">
        <f t="shared" ref="E38:W38" si="18">SUM(E22:E37)</f>
        <v>3017275.7506288998</v>
      </c>
      <c r="F38" s="18">
        <f t="shared" si="18"/>
        <v>2813458.2513281284</v>
      </c>
      <c r="G38" s="18">
        <f t="shared" si="18"/>
        <v>4773271.9493503887</v>
      </c>
      <c r="H38" s="18">
        <f t="shared" si="18"/>
        <v>5421577.446178575</v>
      </c>
      <c r="I38" s="18">
        <f t="shared" si="18"/>
        <v>5573613.9477414396</v>
      </c>
      <c r="J38" s="18">
        <f t="shared" si="18"/>
        <v>5477120.1875947108</v>
      </c>
      <c r="K38" s="18">
        <f t="shared" si="18"/>
        <v>5550390.8970281519</v>
      </c>
      <c r="L38" s="18">
        <f t="shared" si="18"/>
        <v>5590006.4361959714</v>
      </c>
      <c r="M38" s="18">
        <f t="shared" si="18"/>
        <v>5597303.0552651891</v>
      </c>
      <c r="N38" s="18">
        <f t="shared" si="18"/>
        <v>5583468.4256369649</v>
      </c>
      <c r="O38" s="18">
        <f t="shared" si="18"/>
        <v>5527295.7002806878</v>
      </c>
      <c r="P38" s="18">
        <f t="shared" si="18"/>
        <v>5559897.6822915142</v>
      </c>
      <c r="Q38" s="18">
        <f t="shared" si="18"/>
        <v>5576138.705831958</v>
      </c>
      <c r="R38" s="18">
        <f t="shared" si="18"/>
        <v>5617238.6348677287</v>
      </c>
      <c r="S38" s="18">
        <f t="shared" si="18"/>
        <v>5723835.1100259991</v>
      </c>
      <c r="T38" s="18">
        <f t="shared" si="18"/>
        <v>5822760.2802458769</v>
      </c>
      <c r="U38" s="18">
        <f t="shared" si="18"/>
        <v>5928725.0885514822</v>
      </c>
      <c r="V38" s="18">
        <f t="shared" si="18"/>
        <v>6112957.9084718619</v>
      </c>
      <c r="W38" s="18">
        <f t="shared" si="18"/>
        <v>6432508.8928430071</v>
      </c>
      <c r="X38" s="6"/>
    </row>
    <row r="39" spans="1:28" x14ac:dyDescent="0.3">
      <c r="B39" s="9" t="s">
        <v>40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6"/>
    </row>
    <row r="40" spans="1:28" x14ac:dyDescent="0.3">
      <c r="A40" s="17"/>
      <c r="B40" s="4" t="s">
        <v>41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36618.643539156372</v>
      </c>
      <c r="L40" s="6">
        <v>36543.949892447745</v>
      </c>
      <c r="M40" s="6">
        <v>36010.799526257833</v>
      </c>
      <c r="N40" s="6">
        <v>35871.380278506942</v>
      </c>
      <c r="O40" s="6">
        <v>36005.039792279145</v>
      </c>
      <c r="P40" s="6">
        <v>33690.753483773828</v>
      </c>
      <c r="Q40" s="6">
        <v>33412.555254891275</v>
      </c>
      <c r="R40" s="6">
        <v>33624.420145718774</v>
      </c>
      <c r="S40" s="6">
        <v>33229.554411157049</v>
      </c>
      <c r="T40" s="6">
        <v>30628.207571978284</v>
      </c>
      <c r="U40" s="6">
        <v>47106.415085081964</v>
      </c>
      <c r="V40" s="6">
        <v>47451.464585421199</v>
      </c>
      <c r="W40" s="6">
        <v>47094.569572116656</v>
      </c>
      <c r="X40" s="17"/>
      <c r="Y40" s="17"/>
      <c r="Z40" s="17"/>
      <c r="AA40" s="17"/>
      <c r="AB40" s="17"/>
    </row>
    <row r="41" spans="1:28" x14ac:dyDescent="0.3">
      <c r="A41" s="17"/>
      <c r="B41" s="17" t="s">
        <v>42</v>
      </c>
      <c r="D41" s="6">
        <v>0</v>
      </c>
      <c r="E41" s="6">
        <v>0</v>
      </c>
      <c r="F41" s="6">
        <v>0</v>
      </c>
      <c r="G41" s="6">
        <v>35129.505769504518</v>
      </c>
      <c r="H41" s="6">
        <v>58439.730244821847</v>
      </c>
      <c r="I41" s="6">
        <v>145588.46577759137</v>
      </c>
      <c r="J41" s="6">
        <v>145879.29958986639</v>
      </c>
      <c r="K41" s="6">
        <v>147855.51446047722</v>
      </c>
      <c r="L41" s="6">
        <v>148237.07230958331</v>
      </c>
      <c r="M41" s="6">
        <v>275368.63590694551</v>
      </c>
      <c r="N41" s="6">
        <v>293152.69184498681</v>
      </c>
      <c r="O41" s="6">
        <v>291917.07592063711</v>
      </c>
      <c r="P41" s="6">
        <v>349654.51354343101</v>
      </c>
      <c r="Q41" s="6">
        <v>349315.35452280112</v>
      </c>
      <c r="R41" s="6">
        <v>350040.16392875114</v>
      </c>
      <c r="S41" s="6">
        <v>346928.0430840255</v>
      </c>
      <c r="T41" s="6">
        <v>331831.67975720688</v>
      </c>
      <c r="U41" s="6">
        <v>329688.82347843016</v>
      </c>
      <c r="V41" s="6">
        <v>336954.3419472134</v>
      </c>
      <c r="W41" s="6">
        <v>393935.23772418941</v>
      </c>
      <c r="X41" s="17"/>
      <c r="Y41" s="17"/>
      <c r="Z41" s="17"/>
      <c r="AA41" s="17"/>
      <c r="AB41" s="17"/>
    </row>
    <row r="42" spans="1:28" x14ac:dyDescent="0.3">
      <c r="A42" s="17"/>
      <c r="B42" s="17" t="s">
        <v>43</v>
      </c>
      <c r="D42" s="6">
        <v>0</v>
      </c>
      <c r="E42" s="6">
        <v>0</v>
      </c>
      <c r="F42" s="6">
        <v>0</v>
      </c>
      <c r="G42" s="6">
        <v>54519.18607168999</v>
      </c>
      <c r="H42" s="6">
        <v>58888.327145746953</v>
      </c>
      <c r="I42" s="6">
        <v>60848.465605046724</v>
      </c>
      <c r="J42" s="6">
        <v>60546.726268012804</v>
      </c>
      <c r="K42" s="6">
        <v>102162.67230677928</v>
      </c>
      <c r="L42" s="6">
        <v>102365.35038199712</v>
      </c>
      <c r="M42" s="6">
        <v>102098.70272693757</v>
      </c>
      <c r="N42" s="6">
        <v>102848.27447572185</v>
      </c>
      <c r="O42" s="6">
        <v>102890.18710123215</v>
      </c>
      <c r="P42" s="6">
        <v>99865.356332635245</v>
      </c>
      <c r="Q42" s="6">
        <v>99233.954001871025</v>
      </c>
      <c r="R42" s="6">
        <v>99034.792476453818</v>
      </c>
      <c r="S42" s="6">
        <v>98104.412998190644</v>
      </c>
      <c r="T42" s="6">
        <v>114264.70398056397</v>
      </c>
      <c r="U42" s="6">
        <v>110492.30231033219</v>
      </c>
      <c r="V42" s="6">
        <v>62096.474107943977</v>
      </c>
      <c r="W42" s="6">
        <v>62828.370847726605</v>
      </c>
      <c r="X42" s="17"/>
      <c r="Y42" s="17"/>
      <c r="Z42" s="17"/>
      <c r="AA42" s="17"/>
      <c r="AB42" s="17"/>
    </row>
    <row r="43" spans="1:28" x14ac:dyDescent="0.3">
      <c r="A43" s="17"/>
      <c r="B43" s="17"/>
      <c r="C43" s="19" t="s">
        <v>44</v>
      </c>
      <c r="D43" s="18">
        <f>SUM(D40:D42)</f>
        <v>0</v>
      </c>
      <c r="E43" s="18">
        <f t="shared" ref="E43:W43" si="19">SUM(E40:E42)</f>
        <v>0</v>
      </c>
      <c r="F43" s="18">
        <f t="shared" si="19"/>
        <v>0</v>
      </c>
      <c r="G43" s="18">
        <f t="shared" si="19"/>
        <v>89648.691841194508</v>
      </c>
      <c r="H43" s="18">
        <f t="shared" si="19"/>
        <v>117328.05739056881</v>
      </c>
      <c r="I43" s="18">
        <f t="shared" si="19"/>
        <v>206436.93138263808</v>
      </c>
      <c r="J43" s="18">
        <f t="shared" si="19"/>
        <v>206426.0258578792</v>
      </c>
      <c r="K43" s="18">
        <f t="shared" si="19"/>
        <v>286636.83030641288</v>
      </c>
      <c r="L43" s="18">
        <f t="shared" si="19"/>
        <v>287146.37258402817</v>
      </c>
      <c r="M43" s="18">
        <f t="shared" si="19"/>
        <v>413478.13816014095</v>
      </c>
      <c r="N43" s="18">
        <f t="shared" si="19"/>
        <v>431872.34659921564</v>
      </c>
      <c r="O43" s="18">
        <f t="shared" si="19"/>
        <v>430812.30281414837</v>
      </c>
      <c r="P43" s="18">
        <f t="shared" si="19"/>
        <v>483210.62335984013</v>
      </c>
      <c r="Q43" s="18">
        <f t="shared" si="19"/>
        <v>481961.86377956346</v>
      </c>
      <c r="R43" s="18">
        <f t="shared" si="19"/>
        <v>482699.37655092374</v>
      </c>
      <c r="S43" s="18">
        <f t="shared" si="19"/>
        <v>478262.01049337315</v>
      </c>
      <c r="T43" s="18">
        <f t="shared" si="19"/>
        <v>476724.59130974911</v>
      </c>
      <c r="U43" s="18">
        <f t="shared" si="19"/>
        <v>487287.54087384429</v>
      </c>
      <c r="V43" s="18">
        <f t="shared" si="19"/>
        <v>446502.2806405786</v>
      </c>
      <c r="W43" s="18">
        <f t="shared" si="19"/>
        <v>503858.17814403266</v>
      </c>
      <c r="X43" s="17"/>
      <c r="Y43" s="17"/>
      <c r="Z43" s="17"/>
      <c r="AA43" s="17"/>
      <c r="AB43" s="17"/>
    </row>
    <row r="44" spans="1:28" x14ac:dyDescent="0.3">
      <c r="A44" s="17"/>
      <c r="B44" s="17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7"/>
      <c r="Y44" s="17"/>
      <c r="Z44" s="17"/>
      <c r="AA44" s="17"/>
      <c r="AB44" s="17"/>
    </row>
    <row r="45" spans="1:28" x14ac:dyDescent="0.3">
      <c r="A45" s="17"/>
      <c r="C45" s="19" t="s">
        <v>45</v>
      </c>
      <c r="D45" s="20">
        <f>D38+D43</f>
        <v>2881738.4064231119</v>
      </c>
      <c r="E45" s="20">
        <f t="shared" ref="E45:W45" si="20">E38+E43</f>
        <v>3017275.7506288998</v>
      </c>
      <c r="F45" s="20">
        <f t="shared" si="20"/>
        <v>2813458.2513281284</v>
      </c>
      <c r="G45" s="20">
        <f t="shared" si="20"/>
        <v>4862920.6411915831</v>
      </c>
      <c r="H45" s="20">
        <f t="shared" si="20"/>
        <v>5538905.5035691438</v>
      </c>
      <c r="I45" s="20">
        <f t="shared" si="20"/>
        <v>5780050.879124078</v>
      </c>
      <c r="J45" s="20">
        <f t="shared" si="20"/>
        <v>5683546.2134525897</v>
      </c>
      <c r="K45" s="20">
        <f t="shared" si="20"/>
        <v>5837027.7273345646</v>
      </c>
      <c r="L45" s="20">
        <f t="shared" si="20"/>
        <v>5877152.8087799996</v>
      </c>
      <c r="M45" s="20">
        <f t="shared" si="20"/>
        <v>6010781.1934253303</v>
      </c>
      <c r="N45" s="20">
        <f t="shared" si="20"/>
        <v>6015340.7722361805</v>
      </c>
      <c r="O45" s="20">
        <f t="shared" si="20"/>
        <v>5958108.0030948361</v>
      </c>
      <c r="P45" s="20">
        <f t="shared" si="20"/>
        <v>6043108.3056513546</v>
      </c>
      <c r="Q45" s="20">
        <f t="shared" si="20"/>
        <v>6058100.5696115214</v>
      </c>
      <c r="R45" s="20">
        <f t="shared" si="20"/>
        <v>6099938.0114186527</v>
      </c>
      <c r="S45" s="20">
        <f t="shared" si="20"/>
        <v>6202097.1205193726</v>
      </c>
      <c r="T45" s="20">
        <f t="shared" si="20"/>
        <v>6299484.8715556264</v>
      </c>
      <c r="U45" s="20">
        <f t="shared" si="20"/>
        <v>6416012.6294253264</v>
      </c>
      <c r="V45" s="20">
        <f t="shared" si="20"/>
        <v>6559460.1891124407</v>
      </c>
      <c r="W45" s="20">
        <f t="shared" si="20"/>
        <v>6936367.0709870402</v>
      </c>
      <c r="X45" s="17"/>
      <c r="Y45" s="17"/>
      <c r="Z45" s="17"/>
      <c r="AA45" s="17"/>
      <c r="AB45" s="17"/>
    </row>
    <row r="46" spans="1:28" x14ac:dyDescent="0.3"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6"/>
    </row>
    <row r="47" spans="1:28" x14ac:dyDescent="0.3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6"/>
    </row>
    <row r="48" spans="1:28" x14ac:dyDescent="0.3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6"/>
    </row>
    <row r="49" spans="2:24" x14ac:dyDescent="0.3">
      <c r="X49" s="6"/>
    </row>
    <row r="50" spans="2:24" ht="17.5" x14ac:dyDescent="0.35">
      <c r="B50" s="16" t="s">
        <v>46</v>
      </c>
      <c r="D50" s="8">
        <v>2021</v>
      </c>
      <c r="E50" s="8">
        <v>2022</v>
      </c>
      <c r="F50" s="8">
        <v>2023</v>
      </c>
      <c r="G50" s="8">
        <v>2024</v>
      </c>
      <c r="H50" s="8">
        <v>2025</v>
      </c>
      <c r="I50" s="8">
        <v>2026</v>
      </c>
      <c r="J50" s="8">
        <v>2027</v>
      </c>
      <c r="K50" s="8">
        <v>2028</v>
      </c>
      <c r="L50" s="8">
        <v>2029</v>
      </c>
      <c r="M50" s="8">
        <v>2030</v>
      </c>
      <c r="N50" s="8">
        <v>2031</v>
      </c>
      <c r="O50" s="8">
        <v>2032</v>
      </c>
      <c r="P50" s="8">
        <v>2033</v>
      </c>
      <c r="Q50" s="8">
        <v>2034</v>
      </c>
      <c r="R50" s="8">
        <v>2035</v>
      </c>
      <c r="S50" s="8">
        <v>2036</v>
      </c>
      <c r="T50" s="8">
        <v>2037</v>
      </c>
      <c r="U50" s="8">
        <v>2038</v>
      </c>
      <c r="V50" s="8">
        <v>2039</v>
      </c>
      <c r="W50" s="8">
        <v>2040</v>
      </c>
      <c r="X50" s="6"/>
    </row>
    <row r="51" spans="2:24" x14ac:dyDescent="0.3">
      <c r="B51" s="17" t="s">
        <v>28</v>
      </c>
      <c r="D51" s="6">
        <v>16994.359874546684</v>
      </c>
      <c r="E51" s="6">
        <v>16875.967150553606</v>
      </c>
      <c r="F51" s="6">
        <v>16857.799272802651</v>
      </c>
      <c r="G51" s="6">
        <v>17053.458286827052</v>
      </c>
      <c r="H51" s="6">
        <v>17053.75243021427</v>
      </c>
      <c r="I51" s="6">
        <v>17053.75243021427</v>
      </c>
      <c r="J51" s="6">
        <v>17053.75243021427</v>
      </c>
      <c r="K51" s="6">
        <v>17053.458286827052</v>
      </c>
      <c r="L51" s="6">
        <v>17053.75243021427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/>
    </row>
    <row r="52" spans="2:24" x14ac:dyDescent="0.3">
      <c r="B52" s="17" t="s">
        <v>30</v>
      </c>
      <c r="D52" s="6">
        <v>21783.040002349673</v>
      </c>
      <c r="E52" s="6">
        <v>21722.177444320663</v>
      </c>
      <c r="F52" s="6">
        <v>21647.714997003499</v>
      </c>
      <c r="G52" s="6">
        <v>21862.83230694928</v>
      </c>
      <c r="H52" s="6">
        <v>21749.558644432316</v>
      </c>
      <c r="I52" s="6">
        <v>21668.675156748155</v>
      </c>
      <c r="J52" s="6">
        <v>20377.315938023603</v>
      </c>
      <c r="K52" s="6">
        <v>21795.429400545807</v>
      </c>
      <c r="L52" s="6">
        <v>21765.458337268141</v>
      </c>
      <c r="M52" s="6">
        <v>21722.597481870933</v>
      </c>
      <c r="N52" s="6">
        <v>21397.005366554105</v>
      </c>
      <c r="O52" s="6">
        <v>21442.687523700981</v>
      </c>
      <c r="P52" s="6">
        <v>20931.573041747572</v>
      </c>
      <c r="Q52" s="6">
        <v>20271.763913835879</v>
      </c>
      <c r="R52" s="6">
        <v>21580.893481304192</v>
      </c>
      <c r="S52" s="6">
        <v>21711.683407931974</v>
      </c>
      <c r="T52" s="6">
        <v>21751.026872490904</v>
      </c>
      <c r="U52" s="6">
        <v>0</v>
      </c>
      <c r="V52" s="6">
        <v>0</v>
      </c>
      <c r="W52" s="6">
        <v>0</v>
      </c>
      <c r="X52" s="6"/>
    </row>
    <row r="53" spans="2:24" x14ac:dyDescent="0.3">
      <c r="B53" s="17" t="s">
        <v>31</v>
      </c>
      <c r="D53" s="6">
        <v>295614.99206017214</v>
      </c>
      <c r="E53" s="6">
        <v>261546.02627215808</v>
      </c>
      <c r="F53" s="6">
        <v>246825.71648462888</v>
      </c>
      <c r="G53" s="6">
        <v>247238.51207722205</v>
      </c>
      <c r="H53" s="6">
        <v>244646.85341350871</v>
      </c>
      <c r="I53" s="6">
        <v>243484.81198535388</v>
      </c>
      <c r="J53" s="6">
        <v>245038.03478976048</v>
      </c>
      <c r="K53" s="6">
        <v>242086.82181967061</v>
      </c>
      <c r="L53" s="6">
        <v>244100.05792032223</v>
      </c>
      <c r="M53" s="6">
        <v>243433.3322038707</v>
      </c>
      <c r="N53" s="6">
        <v>240870.41975417404</v>
      </c>
      <c r="O53" s="6">
        <v>243220.57172419326</v>
      </c>
      <c r="P53" s="6">
        <v>244327.1782993814</v>
      </c>
      <c r="Q53" s="6">
        <v>234780.24655760464</v>
      </c>
      <c r="R53" s="6">
        <v>233416.21044508135</v>
      </c>
      <c r="S53" s="6">
        <v>231918.6176631577</v>
      </c>
      <c r="T53" s="6">
        <v>232970.06072311258</v>
      </c>
      <c r="U53" s="6">
        <v>233155.39923141262</v>
      </c>
      <c r="V53" s="6">
        <v>150175.3621103811</v>
      </c>
      <c r="W53" s="6">
        <v>147447.33566299552</v>
      </c>
      <c r="X53" s="6"/>
    </row>
    <row r="54" spans="2:24" ht="14.25" customHeight="1" x14ac:dyDescent="0.3">
      <c r="B54" s="17" t="s">
        <v>47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</row>
    <row r="55" spans="2:24" x14ac:dyDescent="0.3">
      <c r="B55" s="17" t="s">
        <v>37</v>
      </c>
      <c r="D55" s="6">
        <v>133718.50431054784</v>
      </c>
      <c r="E55" s="6">
        <v>132113.46678814397</v>
      </c>
      <c r="F55" s="6">
        <v>130970.37970352839</v>
      </c>
      <c r="G55" s="6">
        <v>131370.79202106918</v>
      </c>
      <c r="H55" s="6">
        <v>130494.67174265566</v>
      </c>
      <c r="I55" s="6">
        <v>129618.55146426194</v>
      </c>
      <c r="J55" s="6">
        <v>128749.11556277855</v>
      </c>
      <c r="K55" s="6">
        <v>127889.51030784956</v>
      </c>
      <c r="L55" s="6">
        <v>127029.90505300162</v>
      </c>
      <c r="M55" s="6">
        <v>51395.555762694756</v>
      </c>
      <c r="N55" s="6">
        <v>51149.797670946675</v>
      </c>
      <c r="O55" s="6">
        <v>50908.177217647069</v>
      </c>
      <c r="P55" s="6">
        <v>50666.556764369838</v>
      </c>
      <c r="Q55" s="6">
        <v>50424.936311055819</v>
      </c>
      <c r="R55" s="6">
        <v>50183.315857750582</v>
      </c>
      <c r="S55" s="6">
        <v>49944.000296233062</v>
      </c>
      <c r="T55" s="6">
        <v>49706.517481357892</v>
      </c>
      <c r="U55" s="6">
        <v>49469.034666526772</v>
      </c>
      <c r="V55" s="6">
        <v>49231.551851670796</v>
      </c>
      <c r="W55" s="6">
        <v>48883.145780150793</v>
      </c>
    </row>
    <row r="56" spans="2:24" x14ac:dyDescent="0.3">
      <c r="B56" s="17" t="s">
        <v>38</v>
      </c>
      <c r="D56" s="6">
        <v>757150.99684688868</v>
      </c>
      <c r="E56" s="6">
        <v>771536.16839635384</v>
      </c>
      <c r="F56" s="6">
        <v>768784.85483813775</v>
      </c>
      <c r="G56" s="6">
        <v>803317.69252886833</v>
      </c>
      <c r="H56" s="6">
        <v>799638.41466218652</v>
      </c>
      <c r="I56" s="6">
        <v>786506.09100909671</v>
      </c>
      <c r="J56" s="6">
        <v>786276.25555841986</v>
      </c>
      <c r="K56" s="6">
        <v>791312.28920268908</v>
      </c>
      <c r="L56" s="6">
        <v>783807.85854552977</v>
      </c>
      <c r="M56" s="6">
        <v>745725.69458715385</v>
      </c>
      <c r="N56" s="6">
        <v>712157.98471917294</v>
      </c>
      <c r="O56" s="6">
        <v>715983.00911083317</v>
      </c>
      <c r="P56" s="6">
        <v>712032.76795497653</v>
      </c>
      <c r="Q56" s="6">
        <v>710887.09246747417</v>
      </c>
      <c r="R56" s="6">
        <v>710710.65272345359</v>
      </c>
      <c r="S56" s="6">
        <v>714627.21198432182</v>
      </c>
      <c r="T56" s="6">
        <v>710925.36536097364</v>
      </c>
      <c r="U56" s="6">
        <v>710887.05450547347</v>
      </c>
      <c r="V56" s="6">
        <v>710912.02424239134</v>
      </c>
      <c r="W56" s="6">
        <v>711770.28698322421</v>
      </c>
    </row>
    <row r="57" spans="2:24" x14ac:dyDescent="0.3">
      <c r="C57" s="9" t="s">
        <v>45</v>
      </c>
      <c r="D57" s="12">
        <f>SUM(D51:D56)</f>
        <v>1225261.893094505</v>
      </c>
      <c r="E57" s="12">
        <f t="shared" ref="E57:W57" si="21">SUM(E51:E56)</f>
        <v>1203793.8060515302</v>
      </c>
      <c r="F57" s="12">
        <f t="shared" si="21"/>
        <v>1185086.4652961013</v>
      </c>
      <c r="G57" s="12">
        <f t="shared" si="21"/>
        <v>1220843.2872209358</v>
      </c>
      <c r="H57" s="12">
        <f t="shared" si="21"/>
        <v>1213583.2508929975</v>
      </c>
      <c r="I57" s="12">
        <f t="shared" si="21"/>
        <v>1198331.8820456751</v>
      </c>
      <c r="J57" s="12">
        <f t="shared" si="21"/>
        <v>1197494.4742791967</v>
      </c>
      <c r="K57" s="12">
        <f t="shared" si="21"/>
        <v>1200137.5090175821</v>
      </c>
      <c r="L57" s="12">
        <f t="shared" si="21"/>
        <v>1193757.0322863362</v>
      </c>
      <c r="M57" s="12">
        <f t="shared" si="21"/>
        <v>1062277.1800355902</v>
      </c>
      <c r="N57" s="12">
        <f t="shared" si="21"/>
        <v>1025575.2075108478</v>
      </c>
      <c r="O57" s="12">
        <f t="shared" si="21"/>
        <v>1031554.4455763744</v>
      </c>
      <c r="P57" s="12">
        <f t="shared" si="21"/>
        <v>1027958.0760604753</v>
      </c>
      <c r="Q57" s="12">
        <f t="shared" si="21"/>
        <v>1016364.0392499705</v>
      </c>
      <c r="R57" s="12">
        <f t="shared" si="21"/>
        <v>1015891.0725075897</v>
      </c>
      <c r="S57" s="12">
        <f t="shared" si="21"/>
        <v>1018201.5133516446</v>
      </c>
      <c r="T57" s="12">
        <f t="shared" si="21"/>
        <v>1015352.9704379351</v>
      </c>
      <c r="U57" s="12">
        <f t="shared" si="21"/>
        <v>993511.48840341286</v>
      </c>
      <c r="V57" s="12">
        <f t="shared" si="21"/>
        <v>910318.93820444332</v>
      </c>
      <c r="W57" s="12">
        <f t="shared" si="21"/>
        <v>908100.76842637057</v>
      </c>
    </row>
    <row r="58" spans="2:24" x14ac:dyDescent="0.3">
      <c r="B58" s="17"/>
      <c r="C58" s="17"/>
    </row>
    <row r="59" spans="2:24" x14ac:dyDescent="0.3">
      <c r="B59" s="17"/>
      <c r="C59" s="17"/>
    </row>
    <row r="60" spans="2:24" x14ac:dyDescent="0.3">
      <c r="B60" s="17"/>
      <c r="C60" s="17"/>
    </row>
    <row r="61" spans="2:24" x14ac:dyDescent="0.3">
      <c r="B61" s="17"/>
      <c r="C61" s="17"/>
    </row>
    <row r="62" spans="2:24" x14ac:dyDescent="0.3">
      <c r="B62" s="17"/>
      <c r="C62" s="17"/>
    </row>
    <row r="63" spans="2:24" x14ac:dyDescent="0.3">
      <c r="B63" s="17"/>
      <c r="C63" s="17"/>
    </row>
    <row r="64" spans="2:24" x14ac:dyDescent="0.3">
      <c r="B64" s="17"/>
      <c r="C64" s="17"/>
    </row>
    <row r="65" spans="2:3" x14ac:dyDescent="0.3">
      <c r="B65" s="17"/>
      <c r="C65" s="17"/>
    </row>
    <row r="66" spans="2:3" x14ac:dyDescent="0.3">
      <c r="B66" s="17"/>
      <c r="C66" s="17"/>
    </row>
    <row r="67" spans="2:3" x14ac:dyDescent="0.3">
      <c r="C67" s="17"/>
    </row>
    <row r="68" spans="2:3" x14ac:dyDescent="0.3">
      <c r="C68" s="17"/>
    </row>
    <row r="69" spans="2:3" x14ac:dyDescent="0.3">
      <c r="C69" s="17"/>
    </row>
    <row r="70" spans="2:3" x14ac:dyDescent="0.3">
      <c r="C70" s="17"/>
    </row>
    <row r="71" spans="2:3" x14ac:dyDescent="0.3">
      <c r="C71" s="17"/>
    </row>
    <row r="72" spans="2:3" x14ac:dyDescent="0.3">
      <c r="C72" s="17"/>
    </row>
    <row r="73" spans="2:3" x14ac:dyDescent="0.3">
      <c r="C73" s="17"/>
    </row>
    <row r="74" spans="2:3" x14ac:dyDescent="0.3">
      <c r="C74" s="17"/>
    </row>
    <row r="75" spans="2:3" x14ac:dyDescent="0.3">
      <c r="C75" s="17"/>
    </row>
    <row r="76" spans="2:3" x14ac:dyDescent="0.3">
      <c r="C76" s="17"/>
    </row>
    <row r="77" spans="2:3" x14ac:dyDescent="0.3">
      <c r="C77" s="17"/>
    </row>
    <row r="78" spans="2:3" x14ac:dyDescent="0.3">
      <c r="C78" s="17"/>
    </row>
    <row r="79" spans="2:3" x14ac:dyDescent="0.3">
      <c r="C79" s="17"/>
    </row>
  </sheetData>
  <mergeCells count="1">
    <mergeCell ref="B18:W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9B79-BD2D-4628-9436-E7F883D19E6B}">
  <sheetPr codeName="Sheet2"/>
  <dimension ref="C2:U49"/>
  <sheetViews>
    <sheetView showGridLines="0" zoomScaleNormal="100" workbookViewId="0"/>
  </sheetViews>
  <sheetFormatPr defaultRowHeight="14" x14ac:dyDescent="0.3"/>
  <cols>
    <col min="1" max="16384" width="8.7265625" style="4"/>
  </cols>
  <sheetData>
    <row r="2" spans="5:15" ht="18" x14ac:dyDescent="0.3">
      <c r="E2" s="22" t="s">
        <v>18</v>
      </c>
      <c r="O2" s="22" t="s">
        <v>19</v>
      </c>
    </row>
    <row r="19" spans="3:21" x14ac:dyDescent="0.3">
      <c r="E19" s="17"/>
    </row>
    <row r="26" spans="3:21" ht="15.5" x14ac:dyDescent="0.35">
      <c r="C26" s="23"/>
    </row>
    <row r="32" spans="3:21" x14ac:dyDescent="0.3">
      <c r="U32" s="24"/>
    </row>
    <row r="49" spans="7:15" x14ac:dyDescent="0.3">
      <c r="G49" s="4" t="s">
        <v>22</v>
      </c>
      <c r="K49" s="4" t="s">
        <v>21</v>
      </c>
      <c r="O49" s="4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C365-920B-4665-A124-B60B0B25ED97}">
  <sheetPr codeName="Sheet3"/>
  <dimension ref="E3:J10"/>
  <sheetViews>
    <sheetView showGridLines="0" zoomScaleNormal="100" workbookViewId="0"/>
  </sheetViews>
  <sheetFormatPr defaultRowHeight="14" x14ac:dyDescent="0.3"/>
  <cols>
    <col min="1" max="4" width="8.7265625" style="4"/>
    <col min="5" max="5" width="41.81640625" style="4" customWidth="1"/>
    <col min="6" max="6" width="9.81640625" style="4" bestFit="1" customWidth="1"/>
    <col min="7" max="9" width="8.7265625" style="4"/>
    <col min="10" max="10" width="10.1796875" style="4" bestFit="1" customWidth="1"/>
    <col min="11" max="16384" width="8.7265625" style="4"/>
  </cols>
  <sheetData>
    <row r="3" spans="5:10" x14ac:dyDescent="0.3">
      <c r="E3" s="9" t="s">
        <v>60</v>
      </c>
    </row>
    <row r="5" spans="5:10" ht="13.5" customHeight="1" x14ac:dyDescent="0.3">
      <c r="E5" s="7"/>
      <c r="F5" s="8">
        <v>2022</v>
      </c>
      <c r="G5" s="8">
        <v>2023</v>
      </c>
      <c r="H5" s="8">
        <v>2024</v>
      </c>
      <c r="I5" s="8">
        <v>2025</v>
      </c>
      <c r="J5" s="8" t="s">
        <v>54</v>
      </c>
    </row>
    <row r="6" spans="5:10" ht="13.5" customHeight="1" x14ac:dyDescent="0.3">
      <c r="E6" s="4" t="s">
        <v>51</v>
      </c>
      <c r="F6" s="25">
        <f>'WA CETA Summary'!E3</f>
        <v>4051127.9006054234</v>
      </c>
      <c r="G6" s="25">
        <f>'WA CETA Summary'!F3</f>
        <v>4076593.6678983839</v>
      </c>
      <c r="H6" s="25">
        <f>'WA CETA Summary'!G3</f>
        <v>4091629.8656561114</v>
      </c>
      <c r="I6" s="25">
        <f>'WA CETA Summary'!H3</f>
        <v>4069087.7818143978</v>
      </c>
      <c r="J6" s="25">
        <f>SUM(F6:I6)</f>
        <v>16288439.215974318</v>
      </c>
    </row>
    <row r="7" spans="5:10" ht="13.5" customHeight="1" x14ac:dyDescent="0.3">
      <c r="E7" s="4" t="s">
        <v>52</v>
      </c>
      <c r="F7" s="25">
        <f>'WA CETA Summary'!E8</f>
        <v>1262110.6562539418</v>
      </c>
      <c r="G7" s="25">
        <f>'WA CETA Summary'!F8</f>
        <v>1251113.9574242253</v>
      </c>
      <c r="H7" s="25">
        <f>'WA CETA Summary'!G8</f>
        <v>1637433.4121680739</v>
      </c>
      <c r="I7" s="25">
        <f>'WA CETA Summary'!H8</f>
        <v>2450429.5739574614</v>
      </c>
      <c r="J7" s="25">
        <f t="shared" ref="J7:J10" si="0">SUM(F7:I7)</f>
        <v>6601087.5998037029</v>
      </c>
    </row>
    <row r="8" spans="5:10" ht="13.5" customHeight="1" x14ac:dyDescent="0.3">
      <c r="E8" s="9" t="s">
        <v>53</v>
      </c>
      <c r="F8" s="25">
        <f>F6-F7</f>
        <v>2789017.2443514816</v>
      </c>
      <c r="G8" s="25">
        <f t="shared" ref="G8:I8" si="1">G6-G7</f>
        <v>2825479.7104741586</v>
      </c>
      <c r="H8" s="25">
        <f t="shared" si="1"/>
        <v>2454196.4534880375</v>
      </c>
      <c r="I8" s="25">
        <f t="shared" si="1"/>
        <v>1618658.2078569364</v>
      </c>
      <c r="J8" s="25">
        <f t="shared" si="0"/>
        <v>9687351.6161706131</v>
      </c>
    </row>
    <row r="9" spans="5:10" ht="13.5" customHeight="1" x14ac:dyDescent="0.3">
      <c r="E9" s="26" t="s">
        <v>55</v>
      </c>
      <c r="F9" s="24">
        <f>F7/F6</f>
        <v>0.31154549725900404</v>
      </c>
      <c r="G9" s="24">
        <f t="shared" ref="G9:H9" si="2">G7/G6</f>
        <v>0.30690180561194247</v>
      </c>
      <c r="H9" s="24">
        <f t="shared" si="2"/>
        <v>0.40019099134850605</v>
      </c>
      <c r="I9" s="24">
        <f>I7/I6</f>
        <v>0.60220612219498981</v>
      </c>
      <c r="J9" s="24"/>
    </row>
    <row r="10" spans="5:10" ht="13.5" customHeight="1" x14ac:dyDescent="0.3">
      <c r="E10" s="9" t="s">
        <v>56</v>
      </c>
      <c r="F10" s="25">
        <f>F9*F6</f>
        <v>1262110.6562539418</v>
      </c>
      <c r="G10" s="25">
        <f t="shared" ref="G10:I10" si="3">G9*G6</f>
        <v>1251113.9574242253</v>
      </c>
      <c r="H10" s="25">
        <f t="shared" si="3"/>
        <v>1637433.4121680739</v>
      </c>
      <c r="I10" s="25">
        <f t="shared" si="3"/>
        <v>2450429.5739574614</v>
      </c>
      <c r="J10" s="25">
        <f t="shared" si="0"/>
        <v>6601087.5998037029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4B39A-9880-4214-BD32-32D31613312B}">
  <sheetPr codeName="Sheet4"/>
  <dimension ref="E3:J12"/>
  <sheetViews>
    <sheetView showGridLines="0" tabSelected="1" zoomScaleNormal="100" workbookViewId="0"/>
  </sheetViews>
  <sheetFormatPr defaultRowHeight="14" x14ac:dyDescent="0.3"/>
  <cols>
    <col min="1" max="4" width="8.7265625" style="4"/>
    <col min="5" max="5" width="56.7265625" style="4" bestFit="1" customWidth="1"/>
    <col min="6" max="9" width="8.7265625" style="4"/>
    <col min="10" max="10" width="10.1796875" style="4" bestFit="1" customWidth="1"/>
    <col min="11" max="16384" width="8.7265625" style="4"/>
  </cols>
  <sheetData>
    <row r="3" spans="5:10" x14ac:dyDescent="0.3">
      <c r="E3" s="9" t="s">
        <v>61</v>
      </c>
    </row>
    <row r="5" spans="5:10" x14ac:dyDescent="0.3">
      <c r="E5" s="7"/>
      <c r="F5" s="8">
        <v>2022</v>
      </c>
      <c r="G5" s="8">
        <v>2023</v>
      </c>
      <c r="H5" s="8">
        <v>2024</v>
      </c>
      <c r="I5" s="8">
        <v>2025</v>
      </c>
      <c r="J5" s="8" t="s">
        <v>54</v>
      </c>
    </row>
    <row r="6" spans="5:10" x14ac:dyDescent="0.3">
      <c r="E6" s="4" t="s">
        <v>51</v>
      </c>
      <c r="F6" s="25">
        <f>'WA CETA Summary'!E3</f>
        <v>4051127.9006054234</v>
      </c>
      <c r="G6" s="25">
        <f>'WA CETA Summary'!F3</f>
        <v>4076593.6678983839</v>
      </c>
      <c r="H6" s="25">
        <f>'WA CETA Summary'!G3</f>
        <v>4091629.8656561114</v>
      </c>
      <c r="I6" s="25">
        <f>'WA CETA Summary'!H3</f>
        <v>4069087.7818143978</v>
      </c>
      <c r="J6" s="25">
        <f>SUM(F6:I6)</f>
        <v>16288439.215974318</v>
      </c>
    </row>
    <row r="7" spans="5:10" x14ac:dyDescent="0.3">
      <c r="E7" s="4" t="s">
        <v>58</v>
      </c>
      <c r="F7" s="25">
        <f>'WA CETA Summary'!E7+'WA CETA Summary'!E30</f>
        <v>1262110.6562539418</v>
      </c>
      <c r="G7" s="25">
        <f>'WA CETA Summary'!F7+'WA CETA Summary'!F30</f>
        <v>1251113.9574242253</v>
      </c>
      <c r="H7" s="25">
        <f>'WA CETA Summary'!G7+'WA CETA Summary'!G30</f>
        <v>1637433.4121680739</v>
      </c>
      <c r="I7" s="25">
        <f>'WA CETA Summary'!H7+'WA CETA Summary'!H30</f>
        <v>2450429.5739574614</v>
      </c>
      <c r="J7" s="25">
        <f t="shared" ref="J7:J8" si="0">SUM(F7:I7)</f>
        <v>6601087.5998037029</v>
      </c>
    </row>
    <row r="8" spans="5:10" x14ac:dyDescent="0.3">
      <c r="E8" s="9" t="s">
        <v>53</v>
      </c>
      <c r="F8" s="25">
        <f>F6-F7</f>
        <v>2789017.2443514816</v>
      </c>
      <c r="G8" s="25">
        <f t="shared" ref="G8:H8" si="1">G6-G7</f>
        <v>2825479.7104741586</v>
      </c>
      <c r="H8" s="25">
        <f t="shared" si="1"/>
        <v>2454196.4534880375</v>
      </c>
      <c r="I8" s="25">
        <f>I6-I7</f>
        <v>1618658.2078569364</v>
      </c>
      <c r="J8" s="25">
        <f t="shared" si="0"/>
        <v>9687351.6161706131</v>
      </c>
    </row>
    <row r="9" spans="5:10" x14ac:dyDescent="0.3">
      <c r="E9" s="26" t="s">
        <v>55</v>
      </c>
      <c r="F9" s="24">
        <f>F7/F6</f>
        <v>0.31154549725900404</v>
      </c>
      <c r="G9" s="24">
        <f t="shared" ref="G9:I9" si="2">G7/G6</f>
        <v>0.30690180561194247</v>
      </c>
      <c r="H9" s="24">
        <f t="shared" si="2"/>
        <v>0.40019099134850605</v>
      </c>
      <c r="I9" s="24">
        <f t="shared" si="2"/>
        <v>0.60220612219498981</v>
      </c>
      <c r="J9" s="24"/>
    </row>
    <row r="10" spans="5:10" x14ac:dyDescent="0.3">
      <c r="E10" s="9" t="s">
        <v>56</v>
      </c>
      <c r="F10" s="25">
        <v>1249704.3777241651</v>
      </c>
      <c r="G10" s="25">
        <v>1257340.6007563088</v>
      </c>
      <c r="H10" s="25">
        <v>1247436.584332386</v>
      </c>
      <c r="I10" s="25">
        <v>1586481.8596338464</v>
      </c>
      <c r="J10" s="25">
        <f>SUM(F10:I10)</f>
        <v>5340963.4224467063</v>
      </c>
    </row>
    <row r="12" spans="5:10" x14ac:dyDescent="0.3">
      <c r="E12" s="4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2850E-86AD-4710-840E-381EC4CFA3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DACFCC-3E25-4DD6-8298-DCE9BB423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5271C-4626-4586-8CA3-B8F3F31C3AF2}"/>
</file>

<file path=customXml/itemProps4.xml><?xml version="1.0" encoding="utf-8"?>
<ds:datastoreItem xmlns:ds="http://schemas.openxmlformats.org/officeDocument/2006/customXml" ds:itemID="{0B82B2DD-8CA7-41AF-B6E6-4F0EFB4F6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 CETA Summary</vt:lpstr>
      <vt:lpstr>Graphs - Interim Targets</vt:lpstr>
      <vt:lpstr>Table - Interim Targets</vt:lpstr>
      <vt:lpstr>Table - Renewable Energy 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dcterms:created xsi:type="dcterms:W3CDTF">2021-08-19T03:59:22Z</dcterms:created>
  <dcterms:modified xsi:type="dcterms:W3CDTF">2023-03-02T22:13:07Z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