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https://home.utc.wa.gov/sites/ug-200568/Staffs Testimony and Exhibits/"/>
    </mc:Choice>
  </mc:AlternateContent>
  <xr:revisionPtr revIDLastSave="0" documentId="13_ncr:1_{1363FE2A-0D67-47B5-A84F-9EAD1462BCBA}" xr6:coauthVersionLast="45" xr6:coauthVersionMax="45" xr10:uidLastSave="{00000000-0000-0000-0000-000000000000}"/>
  <bookViews>
    <workbookView xWindow="28680" yWindow="-120" windowWidth="29040" windowHeight="17640" xr2:uid="{00000000-000D-0000-FFFF-FFFF00000000}"/>
  </bookViews>
  <sheets>
    <sheet name="Exh AIW-2 Pg 1 of 2" sheetId="2" r:id="rId1"/>
    <sheet name="Exh AIW-2 Pg 2 of 2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2" l="1"/>
  <c r="C44" i="2"/>
  <c r="D44" i="2"/>
  <c r="C32" i="2" l="1"/>
  <c r="D32" i="2"/>
  <c r="C24" i="2"/>
  <c r="D24" i="2"/>
  <c r="A38" i="2" l="1"/>
  <c r="A39" i="2" s="1"/>
  <c r="A40" i="2" s="1"/>
  <c r="A41" i="2" s="1"/>
  <c r="A42" i="2" s="1"/>
  <c r="A37" i="2"/>
  <c r="A22" i="2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21" i="2"/>
  <c r="E32" i="2" l="1"/>
  <c r="E33" i="2" s="1"/>
  <c r="E34" i="2" s="1"/>
  <c r="D33" i="2"/>
  <c r="D34" i="2" s="1"/>
  <c r="C33" i="2"/>
  <c r="C34" i="2" s="1"/>
  <c r="I22" i="1" l="1"/>
  <c r="P17" i="1" l="1"/>
  <c r="P18" i="1"/>
  <c r="P16" i="1"/>
  <c r="P19" i="1" s="1"/>
  <c r="I21" i="1" s="1"/>
  <c r="I24" i="1" s="1"/>
  <c r="N16" i="1"/>
  <c r="L18" i="1"/>
  <c r="L17" i="1"/>
  <c r="L16" i="1"/>
  <c r="I19" i="1"/>
  <c r="D19" i="1"/>
  <c r="D21" i="1" s="1"/>
  <c r="D24" i="1" s="1"/>
  <c r="O16" i="1" l="1"/>
</calcChain>
</file>

<file path=xl/sharedStrings.xml><?xml version="1.0" encoding="utf-8"?>
<sst xmlns="http://schemas.openxmlformats.org/spreadsheetml/2006/main" count="111" uniqueCount="90">
  <si>
    <t>Cascade Natural Gas Corporation</t>
  </si>
  <si>
    <t>MCP WP-1.16</t>
  </si>
  <si>
    <t>MAOP Deferral Amortization</t>
  </si>
  <si>
    <t>Twelve Months Ended December 31, 2019</t>
  </si>
  <si>
    <t>Line No.</t>
  </si>
  <si>
    <t>A</t>
  </si>
  <si>
    <t>B</t>
  </si>
  <si>
    <t xml:space="preserve">2018 Balance </t>
  </si>
  <si>
    <t>2019 Actual Deferral</t>
  </si>
  <si>
    <t>Total  Deferral to be amort</t>
  </si>
  <si>
    <t>Annual Amortization</t>
  </si>
  <si>
    <t xml:space="preserve">2019 Actual Amortization </t>
  </si>
  <si>
    <t xml:space="preserve">2020 Adjustment </t>
  </si>
  <si>
    <t>UG 200568</t>
  </si>
  <si>
    <t xml:space="preserve">AS CALCULATED BY STAFF </t>
  </si>
  <si>
    <t>Years Included</t>
  </si>
  <si>
    <t>Amortization Start Date</t>
  </si>
  <si>
    <t>2016 2017</t>
  </si>
  <si>
    <t>Amortization End Date</t>
  </si>
  <si>
    <t>Remaining Amort Months 12/31/2019</t>
  </si>
  <si>
    <t>Accumulated Amortization 12/31/19</t>
  </si>
  <si>
    <t xml:space="preserve">12/31/2017 Balance </t>
  </si>
  <si>
    <t>Rate Year Amortization</t>
  </si>
  <si>
    <t xml:space="preserve">Cascade Natural Gas Corporation </t>
  </si>
  <si>
    <t>UG-200568</t>
  </si>
  <si>
    <t>Staff's Recalculation of MAOP Deferral Amortization Adjustment P-4</t>
  </si>
  <si>
    <r>
      <t>Amortization Period (years)</t>
    </r>
    <r>
      <rPr>
        <vertAlign val="superscript"/>
        <sz val="12"/>
        <color theme="1"/>
        <rFont val="Times New Roman"/>
        <family val="1"/>
      </rPr>
      <t>1</t>
    </r>
  </si>
  <si>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Remaining period of the program after rate case effective date</t>
    </r>
  </si>
  <si>
    <t>2018 deferred spending</t>
  </si>
  <si>
    <t>2019 deferred spending</t>
  </si>
  <si>
    <t>Total  Deferral to be amortized</t>
  </si>
  <si>
    <t xml:space="preserve">                AS FILED BY THE COMPANY</t>
  </si>
  <si>
    <t>Docket UG-200568</t>
  </si>
  <si>
    <t>Exh. AIW-2</t>
  </si>
  <si>
    <r>
      <t>Amortization Period (years)</t>
    </r>
    <r>
      <rPr>
        <vertAlign val="superscript"/>
        <sz val="12"/>
        <color theme="1"/>
        <rFont val="Times New Roman"/>
        <family val="1"/>
      </rPr>
      <t>2</t>
    </r>
  </si>
  <si>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Each year's MAOP investment will have its own subsequent 10-year amortization period with start and finish dates shown above</t>
    </r>
  </si>
  <si>
    <t>Page 1 of 2</t>
  </si>
  <si>
    <t>Cascade Natural Gas</t>
  </si>
  <si>
    <t>MAOP Deferral Amortization Adjustment P-4</t>
  </si>
  <si>
    <t>Cascade</t>
  </si>
  <si>
    <t>Staff</t>
  </si>
  <si>
    <t>Proposed</t>
  </si>
  <si>
    <t>Difference</t>
  </si>
  <si>
    <t>Operating Revenues</t>
  </si>
  <si>
    <t>Natural Gas Sales</t>
  </si>
  <si>
    <t>Gas Transportation Revenue</t>
  </si>
  <si>
    <t>Other Operating Revenues</t>
  </si>
  <si>
    <t xml:space="preserve">    REVENUE</t>
  </si>
  <si>
    <t>Operating Expenses</t>
  </si>
  <si>
    <t xml:space="preserve">  Nat. Gas/Production Costs</t>
  </si>
  <si>
    <t xml:space="preserve">  Revenue Taxes</t>
  </si>
  <si>
    <t>Production</t>
  </si>
  <si>
    <t>Distribution</t>
  </si>
  <si>
    <t>Customer Accounts</t>
  </si>
  <si>
    <t>Customer Service</t>
  </si>
  <si>
    <t>Sales</t>
  </si>
  <si>
    <t>Administrative and General</t>
  </si>
  <si>
    <t>Depreciation &amp; Amortization</t>
  </si>
  <si>
    <t>Regulatory Debits</t>
  </si>
  <si>
    <t>Taxes Other Than Income</t>
  </si>
  <si>
    <t>State &amp; Federal Income Taxes</t>
  </si>
  <si>
    <t xml:space="preserve">     Total Operating Expenses </t>
  </si>
  <si>
    <t>Net Operating Income</t>
  </si>
  <si>
    <t>Rate Base</t>
  </si>
  <si>
    <t xml:space="preserve">  Total Plant in Service</t>
  </si>
  <si>
    <t xml:space="preserve">  Total Accumulated Depreciation</t>
  </si>
  <si>
    <t xml:space="preserve">  Customer Adv. For Construction</t>
  </si>
  <si>
    <t>Def. Accumlated Income Taxes</t>
  </si>
  <si>
    <t xml:space="preserve">  Working Capital Allowance</t>
  </si>
  <si>
    <t>TOTAL RATE BASE</t>
  </si>
  <si>
    <t xml:space="preserve">  Revenue Requirement Effect</t>
  </si>
  <si>
    <t>Page 2 of 2</t>
  </si>
  <si>
    <t>Line</t>
  </si>
  <si>
    <t>No.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</si>
  <si>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</si>
  <si>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</si>
  <si>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</si>
  <si>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</si>
  <si>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</si>
  <si>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</si>
  <si>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</si>
  <si>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</si>
  <si>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</si>
  <si>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</si>
  <si>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</si>
  <si>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</si>
  <si>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</si>
  <si>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 xml:space="preserve">Col. </t>
  </si>
  <si>
    <t>Per UTC Staff DR No. 127</t>
  </si>
  <si>
    <t>D = C -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</si>
</sst>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dd\-mmm\-yy"/>
    <numFmt numFmtId="168" formatCode="hh:mm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u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2"/>
      <color theme="1"/>
      <name val="Calibri"/>
      <family val="2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Protection="0">
      <alignment horizontal="right"/>
    </xf>
    <xf numFmtId="43" fontId="2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Fill="1"/>
    <xf numFmtId="14" fontId="4" fillId="0" borderId="0" xfId="0" applyNumberFormat="1" applyFont="1"/>
    <xf numFmtId="165" fontId="4" fillId="0" borderId="0" xfId="1" applyNumberFormat="1" applyFont="1" applyAlignment="1">
      <alignment horizontal="center"/>
    </xf>
    <xf numFmtId="166" fontId="4" fillId="0" borderId="0" xfId="2" applyNumberFormat="1" applyFont="1" applyAlignment="1">
      <alignment horizontal="center"/>
    </xf>
    <xf numFmtId="166" fontId="4" fillId="0" borderId="0" xfId="2" applyNumberFormat="1" applyFont="1"/>
    <xf numFmtId="3" fontId="4" fillId="0" borderId="0" xfId="0" applyNumberFormat="1" applyFont="1" applyFill="1" applyBorder="1"/>
    <xf numFmtId="44" fontId="4" fillId="0" borderId="0" xfId="2" applyFont="1" applyAlignment="1">
      <alignment horizontal="center"/>
    </xf>
    <xf numFmtId="3" fontId="4" fillId="0" borderId="1" xfId="0" applyNumberFormat="1" applyFont="1" applyFill="1" applyBorder="1"/>
    <xf numFmtId="166" fontId="4" fillId="0" borderId="1" xfId="2" applyNumberFormat="1" applyFont="1" applyBorder="1"/>
    <xf numFmtId="164" fontId="4" fillId="0" borderId="2" xfId="0" applyNumberFormat="1" applyFont="1" applyFill="1" applyBorder="1"/>
    <xf numFmtId="164" fontId="4" fillId="0" borderId="0" xfId="0" applyNumberFormat="1" applyFont="1" applyFill="1"/>
    <xf numFmtId="166" fontId="4" fillId="0" borderId="2" xfId="0" applyNumberFormat="1" applyFont="1" applyBorder="1"/>
    <xf numFmtId="164" fontId="4" fillId="0" borderId="0" xfId="0" applyNumberFormat="1" applyFont="1" applyFill="1" applyBorder="1"/>
    <xf numFmtId="5" fontId="4" fillId="0" borderId="0" xfId="0" applyNumberFormat="1" applyFont="1" applyFill="1" applyBorder="1"/>
    <xf numFmtId="164" fontId="4" fillId="0" borderId="0" xfId="0" applyNumberFormat="1" applyFont="1"/>
    <xf numFmtId="166" fontId="4" fillId="0" borderId="0" xfId="2" applyNumberFormat="1" applyFont="1" applyFill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3" fillId="0" borderId="0" xfId="4" applyFont="1" applyAlignment="1">
      <alignment horizontal="left"/>
    </xf>
    <xf numFmtId="0" fontId="3" fillId="0" borderId="0" xfId="4" applyFont="1" applyAlignment="1">
      <alignment horizontal="right"/>
    </xf>
    <xf numFmtId="0" fontId="3" fillId="0" borderId="0" xfId="4" quotePrefix="1" applyFont="1" applyAlignment="1">
      <alignment horizontal="left"/>
    </xf>
    <xf numFmtId="167" fontId="8" fillId="0" borderId="0" xfId="5" applyNumberFormat="1" applyFont="1"/>
    <xf numFmtId="0" fontId="8" fillId="0" borderId="0" xfId="5" applyFont="1"/>
    <xf numFmtId="0" fontId="3" fillId="0" borderId="0" xfId="5" quotePrefix="1" applyFont="1"/>
    <xf numFmtId="37" fontId="8" fillId="0" borderId="0" xfId="5" applyNumberFormat="1" applyFont="1" applyAlignment="1">
      <alignment horizontal="center"/>
    </xf>
    <xf numFmtId="0" fontId="3" fillId="0" borderId="0" xfId="4" applyFont="1"/>
    <xf numFmtId="37" fontId="8" fillId="0" borderId="0" xfId="5" applyNumberFormat="1" applyFont="1"/>
    <xf numFmtId="0" fontId="8" fillId="0" borderId="0" xfId="4" applyFont="1"/>
    <xf numFmtId="37" fontId="8" fillId="0" borderId="0" xfId="6" applyNumberFormat="1" applyFont="1" applyFill="1" applyBorder="1">
      <alignment horizontal="right"/>
    </xf>
    <xf numFmtId="37" fontId="8" fillId="0" borderId="0" xfId="7" applyNumberFormat="1" applyFont="1" applyFill="1" applyBorder="1"/>
    <xf numFmtId="37" fontId="9" fillId="0" borderId="1" xfId="7" applyNumberFormat="1" applyFont="1" applyFill="1" applyBorder="1"/>
    <xf numFmtId="0" fontId="3" fillId="0" borderId="0" xfId="5" applyFont="1"/>
    <xf numFmtId="5" fontId="3" fillId="0" borderId="0" xfId="6" applyNumberFormat="1" applyFont="1" applyFill="1" applyBorder="1">
      <alignment horizontal="right"/>
    </xf>
    <xf numFmtId="0" fontId="8" fillId="0" borderId="0" xfId="8" applyFont="1" applyAlignment="1">
      <alignment horizontal="left" indent="1"/>
    </xf>
    <xf numFmtId="5" fontId="8" fillId="0" borderId="0" xfId="6" applyNumberFormat="1" applyFont="1" applyFill="1" applyBorder="1">
      <alignment horizontal="right"/>
    </xf>
    <xf numFmtId="5" fontId="8" fillId="0" borderId="2" xfId="6" applyNumberFormat="1" applyFont="1" applyFill="1" applyBorder="1">
      <alignment horizontal="right"/>
    </xf>
    <xf numFmtId="5" fontId="8" fillId="0" borderId="0" xfId="7" applyNumberFormat="1" applyFont="1" applyFill="1" applyBorder="1"/>
    <xf numFmtId="37" fontId="3" fillId="0" borderId="0" xfId="6" applyNumberFormat="1" applyFont="1" applyFill="1" applyBorder="1">
      <alignment horizontal="right"/>
    </xf>
    <xf numFmtId="5" fontId="3" fillId="0" borderId="3" xfId="5" applyNumberFormat="1" applyFont="1" applyBorder="1"/>
    <xf numFmtId="165" fontId="4" fillId="0" borderId="0" xfId="1" applyNumberFormat="1" applyFont="1"/>
    <xf numFmtId="0" fontId="3" fillId="0" borderId="0" xfId="3" applyFont="1" applyFill="1" applyBorder="1" applyAlignment="1">
      <alignment horizontal="center"/>
    </xf>
    <xf numFmtId="0" fontId="8" fillId="0" borderId="0" xfId="5" applyFont="1" applyAlignment="1">
      <alignment horizontal="center"/>
    </xf>
    <xf numFmtId="168" fontId="8" fillId="0" borderId="0" xfId="5" applyNumberFormat="1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right"/>
    </xf>
    <xf numFmtId="165" fontId="12" fillId="0" borderId="0" xfId="1" applyNumberFormat="1" applyFont="1" applyBorder="1" applyAlignment="1">
      <alignment horizontal="center"/>
    </xf>
    <xf numFmtId="37" fontId="10" fillId="0" borderId="0" xfId="0" applyNumberFormat="1" applyFont="1"/>
    <xf numFmtId="0" fontId="3" fillId="0" borderId="0" xfId="4" quotePrefix="1" applyFont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9">
    <cellStyle name="Comma" xfId="1" builtinId="3"/>
    <cellStyle name="Comma 52" xfId="7" xr:uid="{EA825070-89EA-4A0A-A926-5F3BCCB2620E}"/>
    <cellStyle name="Currency" xfId="2" builtinId="4"/>
    <cellStyle name="Currency 18" xfId="6" xr:uid="{51E60328-55D9-48B8-9109-104C6F949D2B}"/>
    <cellStyle name="Normal" xfId="0" builtinId="0"/>
    <cellStyle name="Normal 89" xfId="3" xr:uid="{00000000-0005-0000-0000-000003000000}"/>
    <cellStyle name="Normal 91" xfId="8" xr:uid="{E0B089ED-920E-47F9-8499-C02FDB7385C3}"/>
    <cellStyle name="Normal 92" xfId="4" xr:uid="{58B23E08-CB62-43C0-9C67-DF91E0D483FB}"/>
    <cellStyle name="Normal 95" xfId="5" xr:uid="{6502295D-99C3-4DF3-8CBF-B632A46E99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h.%20KMH-2%20through%20KMH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 KMH 2 - ROO Summary Sheet"/>
      <sheetName val="Exh KMH - 3 Summary of Adj."/>
      <sheetName val="Exh KMH - 4 Rev Req Calc"/>
      <sheetName val="Exh KMH-5 - Conversion Factor"/>
      <sheetName val="Exh KMH-6 TY Audit Adj. UTC-1"/>
      <sheetName val="Exh KMH-7 Annualize CRM Adj P2"/>
      <sheetName val="Exh KMH-7 CRM Adj. Pg 1"/>
      <sheetName val="KMH-9 Int Coord. Adj. P1"/>
      <sheetName val="KMH-9 Interest Coord. Adj."/>
      <sheetName val="BREAK"/>
      <sheetName val="adj. work paper"/>
      <sheetName val="Capital Structure Calculation"/>
      <sheetName val="KMH-1T Table 1"/>
      <sheetName val="Pro Forma Plant Additions"/>
      <sheetName val="DJP - 2020 Plant Additions"/>
      <sheetName val="Operating Report"/>
      <sheetName val="Supporting Explanations"/>
      <sheetName val="JH Restate &amp; PF Wage Adjust"/>
      <sheetName val="MAOP UG-160787 Deferral"/>
      <sheetName val="Workpaper - Support Documents &gt;"/>
      <sheetName val="Index"/>
      <sheetName val="Rate Base"/>
      <sheetName val="Plant in Serv &amp; Accum Depr"/>
      <sheetName val="Adv for Const. &amp; Def Tax"/>
      <sheetName val="State Allocation Formulas"/>
      <sheetName val="Adjustment Workpapers---&gt;"/>
      <sheetName val="Advertising Adj"/>
      <sheetName val="Restate Revenues Adjustment"/>
      <sheetName val="EOP Revenue Adjustment"/>
      <sheetName val="EOP Depreciation Expense Adj"/>
      <sheetName val="Executive Incentives"/>
      <sheetName val=" Working Capital (AMA)"/>
    </sheetNames>
    <sheetDataSet>
      <sheetData sheetId="0" refreshError="1"/>
      <sheetData sheetId="1" refreshError="1"/>
      <sheetData sheetId="2" refreshError="1"/>
      <sheetData sheetId="3">
        <row r="25">
          <cell r="C25">
            <v>0.75481349214407267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56C9F-5DB8-4518-8099-86F8EB2F7609}">
  <sheetPr>
    <pageSetUpPr fitToPage="1"/>
  </sheetPr>
  <dimension ref="A1:P44"/>
  <sheetViews>
    <sheetView tabSelected="1" topLeftCell="A19" workbookViewId="0">
      <selection activeCell="D44" sqref="D44"/>
    </sheetView>
  </sheetViews>
  <sheetFormatPr defaultColWidth="8.7265625" defaultRowHeight="15.5" x14ac:dyDescent="0.35"/>
  <cols>
    <col min="1" max="1" width="5.453125" style="2" customWidth="1"/>
    <col min="2" max="2" width="37.453125" style="51" customWidth="1"/>
    <col min="3" max="3" width="23" style="51" bestFit="1" customWidth="1"/>
    <col min="4" max="4" width="13.08984375" style="51" customWidth="1"/>
    <col min="5" max="5" width="17.26953125" style="51" customWidth="1"/>
    <col min="6" max="6" width="11.08984375" style="51" bestFit="1" customWidth="1"/>
    <col min="7" max="16384" width="8.7265625" style="51"/>
  </cols>
  <sheetData>
    <row r="1" spans="1:16" x14ac:dyDescent="0.35">
      <c r="G1" s="52" t="s">
        <v>33</v>
      </c>
    </row>
    <row r="2" spans="1:16" x14ac:dyDescent="0.35">
      <c r="B2" s="26" t="s">
        <v>37</v>
      </c>
      <c r="C2" s="26"/>
      <c r="D2" s="26"/>
      <c r="E2" s="26"/>
      <c r="F2" s="26"/>
      <c r="G2" s="27" t="s">
        <v>32</v>
      </c>
      <c r="H2" s="26"/>
      <c r="I2" s="26"/>
      <c r="J2" s="26"/>
      <c r="K2" s="26"/>
      <c r="L2" s="26"/>
      <c r="M2" s="26"/>
      <c r="N2" s="26"/>
      <c r="O2" s="26"/>
      <c r="P2" s="26"/>
    </row>
    <row r="3" spans="1:16" x14ac:dyDescent="0.35">
      <c r="B3" s="26" t="s">
        <v>38</v>
      </c>
      <c r="C3" s="26"/>
      <c r="D3" s="26"/>
      <c r="E3" s="26"/>
      <c r="F3" s="26"/>
      <c r="G3" s="27" t="s">
        <v>36</v>
      </c>
      <c r="H3" s="26"/>
      <c r="I3" s="26"/>
      <c r="J3" s="26"/>
      <c r="K3" s="26"/>
      <c r="L3" s="26"/>
      <c r="M3" s="26"/>
      <c r="N3" s="26"/>
      <c r="O3" s="26"/>
      <c r="P3" s="26"/>
    </row>
    <row r="4" spans="1:16" x14ac:dyDescent="0.35">
      <c r="B4" s="28" t="s">
        <v>3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x14ac:dyDescent="0.35">
      <c r="B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7" spans="1:16" x14ac:dyDescent="0.35">
      <c r="B7" s="29"/>
      <c r="C7" s="55"/>
      <c r="D7" s="55"/>
      <c r="E7" s="55"/>
    </row>
    <row r="8" spans="1:16" x14ac:dyDescent="0.35">
      <c r="B8" s="29"/>
      <c r="D8" s="28"/>
      <c r="E8" s="28"/>
    </row>
    <row r="9" spans="1:16" s="2" customFormat="1" x14ac:dyDescent="0.35">
      <c r="A9" s="2" t="s">
        <v>87</v>
      </c>
      <c r="B9" s="50" t="s">
        <v>5</v>
      </c>
      <c r="C9" s="49" t="s">
        <v>6</v>
      </c>
      <c r="D9" s="2" t="s">
        <v>74</v>
      </c>
      <c r="E9" s="49" t="s">
        <v>89</v>
      </c>
    </row>
    <row r="10" spans="1:16" s="2" customFormat="1" x14ac:dyDescent="0.35">
      <c r="B10" s="50"/>
      <c r="C10" s="49" t="s">
        <v>39</v>
      </c>
      <c r="D10" s="49" t="s">
        <v>40</v>
      </c>
      <c r="E10" s="51"/>
    </row>
    <row r="11" spans="1:16" x14ac:dyDescent="0.35">
      <c r="B11" s="30"/>
      <c r="C11" s="49" t="s">
        <v>41</v>
      </c>
      <c r="D11" s="49" t="s">
        <v>41</v>
      </c>
      <c r="E11" s="49" t="s">
        <v>42</v>
      </c>
    </row>
    <row r="12" spans="1:16" x14ac:dyDescent="0.35">
      <c r="A12" s="2" t="s">
        <v>72</v>
      </c>
      <c r="B12" s="30"/>
      <c r="C12" s="53" t="s">
        <v>88</v>
      </c>
    </row>
    <row r="13" spans="1:16" x14ac:dyDescent="0.35">
      <c r="A13" s="2" t="s">
        <v>73</v>
      </c>
      <c r="B13" s="31"/>
      <c r="C13" s="32"/>
      <c r="D13" s="32"/>
      <c r="E13" s="32"/>
    </row>
    <row r="14" spans="1:16" x14ac:dyDescent="0.35">
      <c r="A14" s="2">
        <v>1</v>
      </c>
      <c r="B14" s="33" t="s">
        <v>43</v>
      </c>
      <c r="C14" s="34"/>
      <c r="D14" s="34"/>
      <c r="E14" s="34"/>
    </row>
    <row r="15" spans="1:16" x14ac:dyDescent="0.35">
      <c r="A15" s="2">
        <v>2</v>
      </c>
      <c r="B15" s="35" t="s">
        <v>44</v>
      </c>
      <c r="C15" s="36"/>
      <c r="D15" s="36"/>
      <c r="E15" s="36"/>
    </row>
    <row r="16" spans="1:16" x14ac:dyDescent="0.35">
      <c r="A16" s="2">
        <v>3</v>
      </c>
      <c r="B16" s="35" t="s">
        <v>45</v>
      </c>
      <c r="C16" s="37"/>
      <c r="D16" s="37"/>
      <c r="E16" s="37"/>
    </row>
    <row r="17" spans="1:6" x14ac:dyDescent="0.35">
      <c r="A17" s="2">
        <v>4</v>
      </c>
      <c r="B17" s="35" t="s">
        <v>46</v>
      </c>
      <c r="C17" s="38"/>
      <c r="D17" s="38"/>
      <c r="E17" s="38"/>
    </row>
    <row r="18" spans="1:6" x14ac:dyDescent="0.35">
      <c r="A18" s="2">
        <v>5</v>
      </c>
      <c r="B18" s="33" t="s">
        <v>47</v>
      </c>
      <c r="C18" s="40">
        <v>0</v>
      </c>
      <c r="D18" s="40">
        <v>0</v>
      </c>
      <c r="E18" s="40">
        <v>0</v>
      </c>
    </row>
    <row r="19" spans="1:6" x14ac:dyDescent="0.35">
      <c r="B19" s="33"/>
      <c r="C19" s="40"/>
      <c r="D19" s="40"/>
      <c r="E19" s="40"/>
    </row>
    <row r="20" spans="1:6" x14ac:dyDescent="0.35">
      <c r="A20" s="2">
        <v>6</v>
      </c>
      <c r="B20" s="33" t="s">
        <v>48</v>
      </c>
      <c r="C20" s="40"/>
      <c r="D20" s="40"/>
      <c r="E20" s="40"/>
    </row>
    <row r="21" spans="1:6" x14ac:dyDescent="0.35">
      <c r="A21" s="2">
        <f>+A20+1</f>
        <v>7</v>
      </c>
      <c r="B21" s="35" t="s">
        <v>49</v>
      </c>
      <c r="C21" s="37"/>
      <c r="D21" s="37"/>
      <c r="E21" s="37"/>
    </row>
    <row r="22" spans="1:6" x14ac:dyDescent="0.35">
      <c r="A22" s="2">
        <f t="shared" ref="A22:A34" si="0">+A21+1</f>
        <v>8</v>
      </c>
      <c r="B22" s="35" t="s">
        <v>50</v>
      </c>
      <c r="C22" s="37"/>
      <c r="D22" s="37"/>
      <c r="E22" s="37"/>
    </row>
    <row r="23" spans="1:6" x14ac:dyDescent="0.35">
      <c r="A23" s="2">
        <f t="shared" si="0"/>
        <v>9</v>
      </c>
      <c r="B23" s="41" t="s">
        <v>51</v>
      </c>
      <c r="C23" s="37"/>
      <c r="D23" s="37"/>
      <c r="E23" s="37"/>
    </row>
    <row r="24" spans="1:6" x14ac:dyDescent="0.35">
      <c r="A24" s="2">
        <f t="shared" si="0"/>
        <v>10</v>
      </c>
      <c r="B24" s="41" t="s">
        <v>52</v>
      </c>
      <c r="C24" s="37">
        <f>+'Exh AIW-2 Pg 2 of 2'!D24</f>
        <v>925749.91111111105</v>
      </c>
      <c r="D24" s="37">
        <f>+'Exh AIW-2 Pg 2 of 2'!I24</f>
        <v>800404.47999999998</v>
      </c>
      <c r="E24" s="37">
        <v>-125345.25</v>
      </c>
      <c r="F24" s="54"/>
    </row>
    <row r="25" spans="1:6" x14ac:dyDescent="0.35">
      <c r="A25" s="2">
        <f t="shared" si="0"/>
        <v>11</v>
      </c>
      <c r="B25" s="41" t="s">
        <v>53</v>
      </c>
      <c r="C25" s="36"/>
      <c r="D25" s="36"/>
      <c r="E25" s="36"/>
    </row>
    <row r="26" spans="1:6" x14ac:dyDescent="0.35">
      <c r="A26" s="2">
        <f t="shared" si="0"/>
        <v>12</v>
      </c>
      <c r="B26" s="41" t="s">
        <v>54</v>
      </c>
      <c r="C26" s="36"/>
      <c r="D26" s="42"/>
      <c r="E26" s="42"/>
    </row>
    <row r="27" spans="1:6" x14ac:dyDescent="0.35">
      <c r="A27" s="2">
        <f t="shared" si="0"/>
        <v>13</v>
      </c>
      <c r="B27" s="41" t="s">
        <v>55</v>
      </c>
      <c r="C27" s="37"/>
      <c r="D27" s="37"/>
      <c r="E27" s="37"/>
    </row>
    <row r="28" spans="1:6" x14ac:dyDescent="0.35">
      <c r="A28" s="2">
        <f t="shared" si="0"/>
        <v>14</v>
      </c>
      <c r="B28" s="41" t="s">
        <v>56</v>
      </c>
      <c r="C28" s="37"/>
      <c r="D28" s="37"/>
      <c r="E28" s="37"/>
    </row>
    <row r="29" spans="1:6" x14ac:dyDescent="0.35">
      <c r="A29" s="2">
        <f t="shared" si="0"/>
        <v>15</v>
      </c>
      <c r="B29" s="41" t="s">
        <v>57</v>
      </c>
      <c r="C29" s="37"/>
      <c r="D29" s="37"/>
      <c r="E29" s="37"/>
    </row>
    <row r="30" spans="1:6" x14ac:dyDescent="0.35">
      <c r="A30" s="2">
        <f t="shared" si="0"/>
        <v>16</v>
      </c>
      <c r="B30" s="41" t="s">
        <v>58</v>
      </c>
      <c r="C30" s="37"/>
      <c r="D30" s="37"/>
      <c r="E30" s="37"/>
    </row>
    <row r="31" spans="1:6" x14ac:dyDescent="0.35">
      <c r="A31" s="2">
        <f t="shared" si="0"/>
        <v>17</v>
      </c>
      <c r="B31" s="41" t="s">
        <v>59</v>
      </c>
      <c r="C31" s="37"/>
      <c r="D31" s="37"/>
      <c r="E31" s="37"/>
    </row>
    <row r="32" spans="1:6" x14ac:dyDescent="0.35">
      <c r="A32" s="2">
        <f t="shared" si="0"/>
        <v>18</v>
      </c>
      <c r="B32" s="41" t="s">
        <v>60</v>
      </c>
      <c r="C32" s="37">
        <f>-C24*0.21</f>
        <v>-194407.4813333333</v>
      </c>
      <c r="D32" s="37">
        <f>-D24*0.21</f>
        <v>-168084.94079999998</v>
      </c>
      <c r="E32" s="37">
        <f>-E24*0.21</f>
        <v>26322.502499999999</v>
      </c>
    </row>
    <row r="33" spans="1:6" x14ac:dyDescent="0.35">
      <c r="A33" s="2">
        <f t="shared" si="0"/>
        <v>19</v>
      </c>
      <c r="B33" s="33" t="s">
        <v>61</v>
      </c>
      <c r="C33" s="37">
        <f>SUM(C21:C32)</f>
        <v>731342.42977777775</v>
      </c>
      <c r="D33" s="37">
        <f>SUM(D21:D32)</f>
        <v>632319.5392</v>
      </c>
      <c r="E33" s="37">
        <f>SUM(E21:E32)</f>
        <v>-99022.747499999998</v>
      </c>
    </row>
    <row r="34" spans="1:6" ht="16" thickBot="1" x14ac:dyDescent="0.4">
      <c r="A34" s="2">
        <f t="shared" si="0"/>
        <v>20</v>
      </c>
      <c r="B34" s="33" t="s">
        <v>62</v>
      </c>
      <c r="C34" s="43">
        <f>+C18-C33</f>
        <v>-731342.42977777775</v>
      </c>
      <c r="D34" s="43">
        <f>+D18-D33</f>
        <v>-632319.5392</v>
      </c>
      <c r="E34" s="43">
        <f>+E18-E33</f>
        <v>99022.747499999998</v>
      </c>
      <c r="F34" s="47"/>
    </row>
    <row r="35" spans="1:6" ht="16" thickTop="1" x14ac:dyDescent="0.35">
      <c r="B35" s="33"/>
      <c r="C35" s="37"/>
      <c r="D35" s="37"/>
      <c r="E35" s="37"/>
      <c r="F35" s="1"/>
    </row>
    <row r="36" spans="1:6" x14ac:dyDescent="0.35">
      <c r="A36" s="2">
        <v>21</v>
      </c>
      <c r="B36" s="33" t="s">
        <v>63</v>
      </c>
      <c r="C36" s="37"/>
      <c r="D36" s="37"/>
      <c r="E36" s="37"/>
      <c r="F36" s="1"/>
    </row>
    <row r="37" spans="1:6" x14ac:dyDescent="0.35">
      <c r="A37" s="2">
        <f>+A36+1</f>
        <v>22</v>
      </c>
      <c r="B37" s="35" t="s">
        <v>64</v>
      </c>
      <c r="C37" s="37"/>
      <c r="D37" s="37"/>
      <c r="E37" s="37"/>
      <c r="F37" s="1"/>
    </row>
    <row r="38" spans="1:6" x14ac:dyDescent="0.35">
      <c r="A38" s="2">
        <f t="shared" ref="A38:A42" si="1">+A37+1</f>
        <v>23</v>
      </c>
      <c r="B38" s="35" t="s">
        <v>65</v>
      </c>
      <c r="C38" s="37"/>
      <c r="D38" s="37"/>
      <c r="E38" s="37"/>
      <c r="F38" s="1"/>
    </row>
    <row r="39" spans="1:6" x14ac:dyDescent="0.35">
      <c r="A39" s="2">
        <f t="shared" si="1"/>
        <v>24</v>
      </c>
      <c r="B39" s="35" t="s">
        <v>66</v>
      </c>
      <c r="C39" s="37"/>
      <c r="D39" s="37"/>
      <c r="E39" s="37"/>
      <c r="F39" s="1"/>
    </row>
    <row r="40" spans="1:6" x14ac:dyDescent="0.35">
      <c r="A40" s="2">
        <f t="shared" si="1"/>
        <v>25</v>
      </c>
      <c r="B40" s="35" t="s">
        <v>67</v>
      </c>
      <c r="C40" s="37"/>
      <c r="D40" s="37"/>
      <c r="E40" s="37"/>
      <c r="F40" s="1"/>
    </row>
    <row r="41" spans="1:6" x14ac:dyDescent="0.35">
      <c r="A41" s="2">
        <f t="shared" si="1"/>
        <v>26</v>
      </c>
      <c r="B41" s="35" t="s">
        <v>68</v>
      </c>
      <c r="C41" s="37"/>
      <c r="D41" s="37"/>
      <c r="E41" s="37"/>
      <c r="F41" s="1"/>
    </row>
    <row r="42" spans="1:6" x14ac:dyDescent="0.35">
      <c r="A42" s="2">
        <f t="shared" si="1"/>
        <v>27</v>
      </c>
      <c r="B42" s="33" t="s">
        <v>69</v>
      </c>
      <c r="C42" s="44"/>
      <c r="D42" s="44"/>
      <c r="E42" s="44"/>
      <c r="F42" s="1"/>
    </row>
    <row r="43" spans="1:6" x14ac:dyDescent="0.35">
      <c r="B43" s="39"/>
      <c r="C43" s="45"/>
      <c r="D43" s="45"/>
      <c r="E43" s="45"/>
      <c r="F43" s="1"/>
    </row>
    <row r="44" spans="1:6" x14ac:dyDescent="0.35">
      <c r="A44" s="2">
        <v>28</v>
      </c>
      <c r="B44" s="39" t="s">
        <v>70</v>
      </c>
      <c r="C44" s="46">
        <f>+C34/-'[1]Exh KMH-5 - Conversion Factor'!$C$25</f>
        <v>968904.8187259814</v>
      </c>
      <c r="D44" s="46">
        <f>-D34/'[1]Exh KMH-5 - Conversion Factor'!$C$25</f>
        <v>837716.264721071</v>
      </c>
      <c r="E44" s="46">
        <f>D44-C44</f>
        <v>-131188.5540049104</v>
      </c>
      <c r="F44" s="47"/>
    </row>
  </sheetData>
  <mergeCells count="1">
    <mergeCell ref="C7:E7"/>
  </mergeCells>
  <pageMargins left="0.7" right="0.7" top="0.75" bottom="0.41" header="0.3" footer="0.17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zoomScaleNormal="100" workbookViewId="0">
      <selection activeCell="D17" sqref="D17"/>
    </sheetView>
  </sheetViews>
  <sheetFormatPr defaultColWidth="9.08984375" defaultRowHeight="15.5" x14ac:dyDescent="0.35"/>
  <cols>
    <col min="1" max="1" width="5.90625" style="1" customWidth="1"/>
    <col min="2" max="2" width="35.08984375" style="1" bestFit="1" customWidth="1"/>
    <col min="3" max="3" width="2.90625" style="1" customWidth="1"/>
    <col min="4" max="4" width="14" style="1" bestFit="1" customWidth="1"/>
    <col min="5" max="5" width="3.81640625" style="1" customWidth="1"/>
    <col min="6" max="6" width="6.08984375" style="1" customWidth="1"/>
    <col min="7" max="7" width="9.08984375" style="1"/>
    <col min="8" max="8" width="21.1796875" style="1" customWidth="1"/>
    <col min="9" max="9" width="13.453125" style="1" customWidth="1"/>
    <col min="10" max="10" width="13.7265625" style="1" customWidth="1"/>
    <col min="11" max="11" width="12.90625" style="1" customWidth="1"/>
    <col min="12" max="13" width="12.81640625" style="1" customWidth="1"/>
    <col min="14" max="15" width="14.36328125" style="1" customWidth="1"/>
    <col min="16" max="16" width="14.26953125" style="1" bestFit="1" customWidth="1"/>
    <col min="17" max="17" width="12.08984375" style="1" customWidth="1"/>
    <col min="18" max="16384" width="9.08984375" style="1"/>
  </cols>
  <sheetData>
    <row r="1" spans="1:16" x14ac:dyDescent="0.35">
      <c r="B1" s="1" t="s">
        <v>23</v>
      </c>
      <c r="P1" s="25" t="s">
        <v>33</v>
      </c>
    </row>
    <row r="2" spans="1:16" x14ac:dyDescent="0.35">
      <c r="B2" s="1" t="s">
        <v>24</v>
      </c>
      <c r="P2" s="25" t="s">
        <v>32</v>
      </c>
    </row>
    <row r="3" spans="1:16" x14ac:dyDescent="0.35">
      <c r="B3" s="1" t="s">
        <v>25</v>
      </c>
      <c r="P3" s="25" t="s">
        <v>71</v>
      </c>
    </row>
    <row r="6" spans="1:16" x14ac:dyDescent="0.35">
      <c r="B6" s="57" t="s">
        <v>31</v>
      </c>
      <c r="C6" s="57"/>
      <c r="G6" s="57" t="s">
        <v>14</v>
      </c>
      <c r="H6" s="57"/>
      <c r="I6" s="57"/>
      <c r="J6" s="2"/>
    </row>
    <row r="7" spans="1:16" x14ac:dyDescent="0.35">
      <c r="B7" s="3"/>
      <c r="C7" s="3"/>
    </row>
    <row r="8" spans="1:16" x14ac:dyDescent="0.35">
      <c r="A8" s="56" t="s">
        <v>0</v>
      </c>
      <c r="B8" s="56"/>
      <c r="C8" s="56"/>
      <c r="D8" s="56"/>
      <c r="E8" s="56"/>
      <c r="F8" s="56" t="s">
        <v>0</v>
      </c>
      <c r="G8" s="56"/>
      <c r="H8" s="56"/>
      <c r="I8" s="56"/>
      <c r="J8" s="56"/>
    </row>
    <row r="9" spans="1:16" x14ac:dyDescent="0.35">
      <c r="A9" s="56" t="s">
        <v>13</v>
      </c>
      <c r="B9" s="56"/>
      <c r="C9" s="56"/>
      <c r="D9" s="56"/>
      <c r="E9" s="56"/>
      <c r="F9" s="56" t="s">
        <v>13</v>
      </c>
      <c r="G9" s="56"/>
      <c r="H9" s="56"/>
      <c r="I9" s="56"/>
      <c r="J9" s="56"/>
    </row>
    <row r="10" spans="1:16" x14ac:dyDescent="0.35">
      <c r="A10" s="56" t="s">
        <v>1</v>
      </c>
      <c r="B10" s="56"/>
      <c r="C10" s="56"/>
      <c r="D10" s="56"/>
      <c r="E10" s="56"/>
      <c r="F10" s="56"/>
      <c r="G10" s="56"/>
      <c r="H10" s="56"/>
      <c r="I10" s="56"/>
      <c r="J10" s="56"/>
    </row>
    <row r="11" spans="1:16" x14ac:dyDescent="0.35">
      <c r="A11" s="56" t="s">
        <v>2</v>
      </c>
      <c r="B11" s="56"/>
      <c r="C11" s="56"/>
      <c r="D11" s="56"/>
      <c r="E11" s="56"/>
      <c r="F11" s="56" t="s">
        <v>2</v>
      </c>
      <c r="G11" s="56"/>
      <c r="H11" s="56"/>
      <c r="I11" s="56"/>
      <c r="J11" s="56"/>
    </row>
    <row r="12" spans="1:16" x14ac:dyDescent="0.35">
      <c r="A12" s="56" t="s">
        <v>3</v>
      </c>
      <c r="B12" s="56"/>
      <c r="C12" s="56"/>
      <c r="D12" s="56"/>
      <c r="E12" s="56"/>
      <c r="F12" s="56" t="s">
        <v>3</v>
      </c>
      <c r="G12" s="56"/>
      <c r="H12" s="56"/>
      <c r="I12" s="56"/>
      <c r="J12" s="56"/>
    </row>
    <row r="13" spans="1:16" x14ac:dyDescent="0.35">
      <c r="A13" s="48"/>
      <c r="B13" s="48"/>
      <c r="C13" s="48"/>
      <c r="D13" s="48"/>
      <c r="E13" s="48"/>
      <c r="F13" s="48"/>
      <c r="G13" s="48"/>
      <c r="H13" s="48"/>
      <c r="I13" s="48"/>
      <c r="J13" s="48"/>
    </row>
    <row r="14" spans="1:16" s="2" customFormat="1" x14ac:dyDescent="0.35">
      <c r="A14" s="2" t="s">
        <v>87</v>
      </c>
      <c r="B14" s="2" t="s">
        <v>5</v>
      </c>
      <c r="C14" s="2" t="s">
        <v>6</v>
      </c>
      <c r="D14" s="2" t="s">
        <v>74</v>
      </c>
      <c r="E14" s="2" t="s">
        <v>75</v>
      </c>
      <c r="F14" s="2" t="s">
        <v>76</v>
      </c>
      <c r="G14" s="2" t="s">
        <v>77</v>
      </c>
      <c r="H14" s="2" t="s">
        <v>78</v>
      </c>
      <c r="I14" s="2" t="s">
        <v>79</v>
      </c>
      <c r="J14" s="2" t="s">
        <v>80</v>
      </c>
      <c r="K14" s="2" t="s">
        <v>81</v>
      </c>
      <c r="L14" s="2" t="s">
        <v>82</v>
      </c>
      <c r="M14" s="2" t="s">
        <v>83</v>
      </c>
      <c r="N14" s="2" t="s">
        <v>84</v>
      </c>
      <c r="O14" s="2" t="s">
        <v>85</v>
      </c>
      <c r="P14" s="2" t="s">
        <v>86</v>
      </c>
    </row>
    <row r="15" spans="1:16" ht="49.5" x14ac:dyDescent="0.35">
      <c r="A15" s="24" t="s">
        <v>4</v>
      </c>
      <c r="B15" s="4" t="s">
        <v>5</v>
      </c>
      <c r="C15" s="4"/>
      <c r="D15" s="4" t="s">
        <v>6</v>
      </c>
      <c r="E15" s="5"/>
      <c r="F15" s="24" t="s">
        <v>4</v>
      </c>
      <c r="G15" s="4" t="s">
        <v>5</v>
      </c>
      <c r="H15" s="4"/>
      <c r="I15" s="4" t="s">
        <v>6</v>
      </c>
      <c r="J15" s="6" t="s">
        <v>15</v>
      </c>
      <c r="K15" s="7" t="s">
        <v>16</v>
      </c>
      <c r="L15" s="7" t="s">
        <v>18</v>
      </c>
      <c r="M15" s="7" t="s">
        <v>34</v>
      </c>
      <c r="N15" s="7" t="s">
        <v>19</v>
      </c>
      <c r="O15" s="7" t="s">
        <v>20</v>
      </c>
      <c r="P15" s="7" t="s">
        <v>22</v>
      </c>
    </row>
    <row r="16" spans="1:16" x14ac:dyDescent="0.35">
      <c r="A16" s="2">
        <v>1</v>
      </c>
      <c r="B16" s="5" t="s">
        <v>7</v>
      </c>
      <c r="C16" s="5"/>
      <c r="D16" s="8">
        <v>5197058.3</v>
      </c>
      <c r="E16" s="5"/>
      <c r="F16" s="2">
        <v>1</v>
      </c>
      <c r="G16" s="5" t="s">
        <v>21</v>
      </c>
      <c r="H16" s="5"/>
      <c r="I16" s="8">
        <v>5423017</v>
      </c>
      <c r="J16" s="4" t="s">
        <v>17</v>
      </c>
      <c r="K16" s="9">
        <v>43313</v>
      </c>
      <c r="L16" s="9">
        <f>+K16+3652</f>
        <v>46965</v>
      </c>
      <c r="M16" s="10">
        <v>10</v>
      </c>
      <c r="N16" s="2">
        <f>240-17</f>
        <v>223</v>
      </c>
      <c r="O16" s="11">
        <f>+P16/12*17</f>
        <v>768260.74166666658</v>
      </c>
      <c r="P16" s="12">
        <f>+I16/M16</f>
        <v>542301.69999999995</v>
      </c>
    </row>
    <row r="17" spans="1:16" x14ac:dyDescent="0.35">
      <c r="A17" s="2">
        <v>2</v>
      </c>
      <c r="B17" s="5" t="s">
        <v>8</v>
      </c>
      <c r="C17" s="5"/>
      <c r="D17" s="13">
        <v>8015406.3799999999</v>
      </c>
      <c r="E17" s="5"/>
      <c r="F17" s="2">
        <v>2</v>
      </c>
      <c r="G17" s="5" t="s">
        <v>28</v>
      </c>
      <c r="H17" s="5"/>
      <c r="I17" s="13">
        <v>5432080</v>
      </c>
      <c r="J17" s="4">
        <v>2018</v>
      </c>
      <c r="K17" s="9">
        <v>43891</v>
      </c>
      <c r="L17" s="9">
        <f>+K17+3651</f>
        <v>47542</v>
      </c>
      <c r="M17" s="10">
        <v>10</v>
      </c>
      <c r="N17" s="2">
        <v>240</v>
      </c>
      <c r="O17" s="14">
        <v>0</v>
      </c>
      <c r="P17" s="12">
        <f t="shared" ref="P17:P18" si="0">+I17/M17</f>
        <v>543208</v>
      </c>
    </row>
    <row r="18" spans="1:16" x14ac:dyDescent="0.35">
      <c r="A18" s="2">
        <v>3</v>
      </c>
      <c r="B18" s="5"/>
      <c r="C18" s="5"/>
      <c r="D18" s="15">
        <v>0</v>
      </c>
      <c r="E18" s="5"/>
      <c r="F18" s="2">
        <v>3</v>
      </c>
      <c r="G18" s="5" t="s">
        <v>29</v>
      </c>
      <c r="H18" s="5"/>
      <c r="I18" s="15">
        <v>2571965</v>
      </c>
      <c r="J18" s="4">
        <v>2019</v>
      </c>
      <c r="K18" s="9">
        <v>44317</v>
      </c>
      <c r="L18" s="9">
        <f>+K18+3651</f>
        <v>47968</v>
      </c>
      <c r="M18" s="10">
        <v>10</v>
      </c>
      <c r="N18" s="2">
        <v>240</v>
      </c>
      <c r="O18" s="14">
        <v>0</v>
      </c>
      <c r="P18" s="16">
        <f t="shared" si="0"/>
        <v>257196.5</v>
      </c>
    </row>
    <row r="19" spans="1:16" ht="16" thickBot="1" x14ac:dyDescent="0.4">
      <c r="A19" s="2">
        <v>4</v>
      </c>
      <c r="B19" s="5" t="s">
        <v>9</v>
      </c>
      <c r="C19" s="5"/>
      <c r="D19" s="8">
        <f>+D16+D17+D18</f>
        <v>13212464.68</v>
      </c>
      <c r="E19" s="5"/>
      <c r="F19" s="2">
        <v>4</v>
      </c>
      <c r="G19" s="5" t="s">
        <v>30</v>
      </c>
      <c r="H19" s="5"/>
      <c r="I19" s="8">
        <f>+I16+I17+I18</f>
        <v>13427062</v>
      </c>
      <c r="J19" s="5"/>
      <c r="P19" s="19">
        <f>SUM(P16:P18)</f>
        <v>1342706.2</v>
      </c>
    </row>
    <row r="20" spans="1:16" ht="19" thickTop="1" x14ac:dyDescent="0.35">
      <c r="A20" s="2">
        <v>5</v>
      </c>
      <c r="B20" s="5" t="s">
        <v>26</v>
      </c>
      <c r="C20" s="5"/>
      <c r="D20" s="15">
        <v>9</v>
      </c>
      <c r="E20" s="5"/>
      <c r="F20" s="2">
        <v>5</v>
      </c>
      <c r="G20" s="5" t="s">
        <v>34</v>
      </c>
      <c r="H20" s="5"/>
      <c r="I20" s="13"/>
      <c r="J20" s="5"/>
    </row>
    <row r="21" spans="1:16" ht="16" thickBot="1" x14ac:dyDescent="0.4">
      <c r="A21" s="2">
        <v>6</v>
      </c>
      <c r="B21" s="5" t="s">
        <v>10</v>
      </c>
      <c r="C21" s="5"/>
      <c r="D21" s="17">
        <f>+D19/D20</f>
        <v>1468051.631111111</v>
      </c>
      <c r="E21" s="5"/>
      <c r="F21" s="2">
        <v>6</v>
      </c>
      <c r="G21" s="5" t="s">
        <v>10</v>
      </c>
      <c r="H21" s="5"/>
      <c r="I21" s="20">
        <f>+P19</f>
        <v>1342706.2</v>
      </c>
      <c r="J21" s="5"/>
    </row>
    <row r="22" spans="1:16" ht="16" thickTop="1" x14ac:dyDescent="0.35">
      <c r="A22" s="2">
        <v>7</v>
      </c>
      <c r="B22" s="5" t="s">
        <v>11</v>
      </c>
      <c r="C22" s="5"/>
      <c r="D22" s="18">
        <v>542301.72</v>
      </c>
      <c r="E22" s="5"/>
      <c r="F22" s="2">
        <v>7</v>
      </c>
      <c r="G22" s="5" t="s">
        <v>11</v>
      </c>
      <c r="H22" s="5"/>
      <c r="I22" s="21">
        <f>-D22</f>
        <v>-542301.72</v>
      </c>
      <c r="J22" s="5"/>
    </row>
    <row r="23" spans="1:16" x14ac:dyDescent="0.35">
      <c r="A23" s="2">
        <v>8</v>
      </c>
      <c r="B23" s="5"/>
      <c r="C23" s="5"/>
      <c r="D23" s="18"/>
      <c r="E23" s="5"/>
      <c r="F23" s="2">
        <v>8</v>
      </c>
      <c r="G23" s="5"/>
      <c r="H23" s="5"/>
      <c r="I23" s="18"/>
      <c r="J23" s="5"/>
    </row>
    <row r="24" spans="1:16" ht="16" thickBot="1" x14ac:dyDescent="0.4">
      <c r="A24" s="2">
        <v>9</v>
      </c>
      <c r="B24" s="5" t="s">
        <v>12</v>
      </c>
      <c r="C24" s="5"/>
      <c r="D24" s="18">
        <f>+D21-D22</f>
        <v>925749.91111111105</v>
      </c>
      <c r="E24" s="5"/>
      <c r="F24" s="2">
        <v>9</v>
      </c>
      <c r="G24" s="5" t="s">
        <v>12</v>
      </c>
      <c r="H24" s="5"/>
      <c r="I24" s="17">
        <f>SUM(I21:I23)</f>
        <v>800404.47999999998</v>
      </c>
      <c r="J24" s="23"/>
      <c r="K24" s="22"/>
    </row>
    <row r="25" spans="1:16" ht="16" thickTop="1" x14ac:dyDescent="0.35">
      <c r="B25" s="5"/>
      <c r="C25" s="5"/>
      <c r="D25" s="18"/>
      <c r="E25" s="5"/>
      <c r="G25" s="5"/>
      <c r="H25" s="5"/>
      <c r="I25" s="18"/>
      <c r="J25" s="5"/>
    </row>
    <row r="26" spans="1:16" ht="18.5" x14ac:dyDescent="0.35">
      <c r="A26" s="1" t="s">
        <v>27</v>
      </c>
      <c r="B26" s="5"/>
      <c r="C26" s="5"/>
      <c r="D26" s="5"/>
      <c r="E26" s="5"/>
      <c r="F26" s="1" t="s">
        <v>35</v>
      </c>
      <c r="G26" s="5"/>
      <c r="H26" s="5"/>
      <c r="I26" s="5"/>
      <c r="J26" s="5"/>
    </row>
    <row r="27" spans="1:16" x14ac:dyDescent="0.35">
      <c r="B27" s="5"/>
      <c r="C27" s="5"/>
      <c r="D27" s="5"/>
      <c r="E27" s="5"/>
    </row>
    <row r="28" spans="1:16" x14ac:dyDescent="0.35">
      <c r="B28" s="5"/>
      <c r="C28" s="5"/>
      <c r="D28" s="5"/>
      <c r="E28" s="5"/>
    </row>
    <row r="29" spans="1:16" x14ac:dyDescent="0.35">
      <c r="A29" s="2"/>
    </row>
  </sheetData>
  <mergeCells count="12">
    <mergeCell ref="A12:E12"/>
    <mergeCell ref="B6:C6"/>
    <mergeCell ref="G6:I6"/>
    <mergeCell ref="A8:E8"/>
    <mergeCell ref="A9:E9"/>
    <mergeCell ref="A10:E10"/>
    <mergeCell ref="A11:E11"/>
    <mergeCell ref="F8:J8"/>
    <mergeCell ref="F9:J9"/>
    <mergeCell ref="F10:J10"/>
    <mergeCell ref="F11:J11"/>
    <mergeCell ref="F12:J12"/>
  </mergeCells>
  <pageMargins left="0.33" right="0.37" top="0.75" bottom="0.75" header="0.3" footer="0.21"/>
  <pageSetup scale="6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Date1 xmlns="dc463f71-b30c-4ab2-9473-d307f9d35888">2020-11-19T22:53:30+00:00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39C7C8-51D8-4B48-938F-921B3FDA5A3C}">
  <ds:schemaRefs>
    <ds:schemaRef ds:uri="http://schemas.microsoft.com/sharepoint/v3/fields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24f70c62-691b-492e-ba59-9d389529a97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a0689114-bdb9-4146-803a-240f5368dce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586FEE-6F15-41CF-91E6-BF99622039FF}"/>
</file>

<file path=customXml/itemProps3.xml><?xml version="1.0" encoding="utf-8"?>
<ds:datastoreItem xmlns:ds="http://schemas.openxmlformats.org/officeDocument/2006/customXml" ds:itemID="{9DD7FB44-9A7A-4C55-BE21-3A238DE1E48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86A7F6D-F339-47C7-A6B6-434D11982C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 AIW-2 Pg 1 of 2</vt:lpstr>
      <vt:lpstr>Exh AIW-2 Pg 2 of 2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White, Amy (UTC)</dc:creator>
  <dc:description/>
  <cp:lastModifiedBy>Erdahl, Betty Ann (UTC)</cp:lastModifiedBy>
  <cp:lastPrinted>2020-11-10T21:35:49Z</cp:lastPrinted>
  <dcterms:created xsi:type="dcterms:W3CDTF">2020-09-23T16:52:29Z</dcterms:created>
  <dcterms:modified xsi:type="dcterms:W3CDTF">2020-11-10T22:12:01Z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0x0101006E56B4D1795A2E4DB2F0B01679ED314A00A9B141868A9DE943AC0520515758323A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