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Capital Progress Reports - Wildfire and EIM\2022 April 15 - EIM\"/>
    </mc:Choice>
  </mc:AlternateContent>
  <xr:revisionPtr revIDLastSave="0" documentId="13_ncr:1_{8B67A206-CFE9-461F-8EA1-4BB4D08A9E10}" xr6:coauthVersionLast="46" xr6:coauthVersionMax="46" xr10:uidLastSave="{00000000-0000-0000-0000-000000000000}"/>
  <bookViews>
    <workbookView xWindow="-120" yWindow="-120" windowWidth="29040" windowHeight="15840" tabRatio="820" xr2:uid="{00000000-000D-0000-FFFF-FFFF01000000}"/>
  </bookViews>
  <sheets>
    <sheet name="Sum Cost Comparison-Act vs " sheetId="26" r:id="rId1"/>
    <sheet name="EIM - 2020 WA E Detail - Actual" sheetId="20" r:id="rId2"/>
    <sheet name="EIM - 2021 WA E Detail - FCst" sheetId="21" r:id="rId3"/>
    <sheet name="EIM - 2021 WA E Detail - Actual" sheetId="25" r:id="rId4"/>
    <sheet name="EIM - 2022 WA E Detail - FCst" sheetId="24" r:id="rId5"/>
    <sheet name="EIM - 2022 WA E Detail - Actual" sheetId="27" r:id="rId6"/>
    <sheet name="ADJ-E - PF" sheetId="14" r:id="rId7"/>
    <sheet name="Summary-Cost-E - PF.PV" sheetId="9" r:id="rId8"/>
    <sheet name="RR Model-update once complete" sheetId="2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'EIM - 2020 WA E Detail - Actual'!$A$3:$AG$6</definedName>
    <definedName name="_xlnm._FilterDatabase" localSheetId="2" hidden="1">'EIM - 2021 WA E Detail - FCst'!$A$3:$R$6</definedName>
    <definedName name="_xlnm._FilterDatabase" localSheetId="4" hidden="1">'EIM - 2022 WA E Detail - FCst'!$A$3:$R$5</definedName>
    <definedName name="a">#REF!,#REF!</definedName>
    <definedName name="Allocation_Categories" localSheetId="1">OFFSET('[1]Allocation Factors'!$A$4,0,0,COUNTA('[1]Allocation Factors'!$A:$A)-COUNTA('[1]Allocation Factors'!$A$1:$A$3),1)</definedName>
    <definedName name="Allocation_Categories" localSheetId="2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Allocators">'[3]OR-ALL'!$C$8:$J$97</definedName>
    <definedName name="_xlnm.Auto_Open" localSheetId="1">#REF!</definedName>
    <definedName name="_xlnm.Auto_Open" localSheetId="2">#REF!</definedName>
    <definedName name="_xlnm.Auto_Open" localSheetId="4">#REF!</definedName>
    <definedName name="_xlnm.Auto_Open">#REF!</definedName>
    <definedName name="C_">#REF!,#REF!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_xlnm.Database">[4]!_xlnm.Database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G_804_Titles">#REF!,#REF!</definedName>
    <definedName name="G_807_Titles">#REF!,#REF!</definedName>
    <definedName name="G_928_Titles">#REF!,#REF!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ID_Elec">#REF!</definedName>
    <definedName name="ID_Gas">'[5]DEBT CALC'!#REF!</definedName>
    <definedName name="Macro1" localSheetId="1">#REF!</definedName>
    <definedName name="Macro1" localSheetId="2">#REF!</definedName>
    <definedName name="Macro1" localSheetId="4">#REF!</definedName>
    <definedName name="Macro1">#REF!</definedName>
    <definedName name="Macro10" localSheetId="1">#REF!</definedName>
    <definedName name="Macro10" localSheetId="2">#REF!</definedName>
    <definedName name="Macro10" localSheetId="4">#REF!</definedName>
    <definedName name="Macro10">#REF!</definedName>
    <definedName name="Macro11" localSheetId="1">#REF!</definedName>
    <definedName name="Macro11" localSheetId="2">#REF!</definedName>
    <definedName name="Macro11" localSheetId="4">#REF!</definedName>
    <definedName name="Macro11">#REF!</definedName>
    <definedName name="Macro12" localSheetId="1">#REF!</definedName>
    <definedName name="Macro12" localSheetId="2">#REF!</definedName>
    <definedName name="Macro12" localSheetId="4">#REF!</definedName>
    <definedName name="Macro12">#REF!</definedName>
    <definedName name="Macro2" localSheetId="1">#REF!</definedName>
    <definedName name="Macro2" localSheetId="2">#REF!</definedName>
    <definedName name="Macro2" localSheetId="4">#REF!</definedName>
    <definedName name="Macro2">#REF!</definedName>
    <definedName name="Macro3" localSheetId="1">#REF!</definedName>
    <definedName name="Macro3" localSheetId="2">#REF!</definedName>
    <definedName name="Macro3" localSheetId="4">#REF!</definedName>
    <definedName name="Macro3">#REF!</definedName>
    <definedName name="Macro4" localSheetId="1">#REF!</definedName>
    <definedName name="Macro4" localSheetId="2">#REF!</definedName>
    <definedName name="Macro4" localSheetId="4">#REF!</definedName>
    <definedName name="Macro4">#REF!</definedName>
    <definedName name="Macro5" localSheetId="1">#REF!</definedName>
    <definedName name="Macro5" localSheetId="2">#REF!</definedName>
    <definedName name="Macro5" localSheetId="4">#REF!</definedName>
    <definedName name="Macro5">#REF!</definedName>
    <definedName name="Macro6" localSheetId="1">#REF!</definedName>
    <definedName name="Macro6" localSheetId="2">#REF!</definedName>
    <definedName name="Macro6" localSheetId="4">#REF!</definedName>
    <definedName name="Macro6">#REF!</definedName>
    <definedName name="Macro7" localSheetId="1">#REF!</definedName>
    <definedName name="Macro7" localSheetId="2">#REF!</definedName>
    <definedName name="Macro7" localSheetId="4">#REF!</definedName>
    <definedName name="Macro7">#REF!</definedName>
    <definedName name="Macro8" localSheetId="1">#REF!</definedName>
    <definedName name="Macro8" localSheetId="2">#REF!</definedName>
    <definedName name="Macro8" localSheetId="4">#REF!</definedName>
    <definedName name="Macro8">#REF!</definedName>
    <definedName name="Macro9" localSheetId="1">#REF!</definedName>
    <definedName name="Macro9" localSheetId="2">#REF!</definedName>
    <definedName name="Macro9" localSheetId="4">#REF!</definedName>
    <definedName name="Macro9">#REF!</definedName>
    <definedName name="months">[3]DATA!$H$2</definedName>
    <definedName name="_xlnm.Print_Area" localSheetId="1">'EIM - 2020 WA E Detail - Actual'!$A$1:$AG$18</definedName>
    <definedName name="_xlnm.Print_Area" localSheetId="2">'EIM - 2021 WA E Detail - FCst'!$A$1:$AG$17</definedName>
    <definedName name="_xlnm.Print_Area" localSheetId="4">'EIM - 2022 WA E Detail - FCst'!$A$1:$AG$8</definedName>
    <definedName name="_xlnm.Print_Area" localSheetId="7">'Summary-Cost-E - PF.PV'!$A$3:$AL$116</definedName>
    <definedName name="Print_for_Checking">'[5]ADJ SUMMARY'!#REF!:'[5]ADJ SUMMARY'!#REF!</definedName>
    <definedName name="_xlnm.Print_Titles" localSheetId="7">'Summary-Cost-E - PF.PV'!$A:$C</definedName>
    <definedName name="rbcalc">[3]DATA!$H$3</definedName>
    <definedName name="rbcalc_heading">[3]DATA!$H$5</definedName>
    <definedName name="Recover" localSheetId="1">#REF!</definedName>
    <definedName name="Recover" localSheetId="2">#REF!</definedName>
    <definedName name="Recover" localSheetId="4">#REF!</definedName>
    <definedName name="Recover">#REF!</definedName>
    <definedName name="RRC_Adjustment_Print">#REF!</definedName>
    <definedName name="RRC_Rate_Print">#REF!</definedName>
    <definedName name="Summary">#REF!</definedName>
    <definedName name="TableName">"Dummy"</definedName>
    <definedName name="tp_heading">[3]DATA!$H$4</definedName>
    <definedName name="W_804_Titles">#REF!,#REF!</definedName>
    <definedName name="W_805_Titles">#REF!,#REF!</definedName>
    <definedName name="W_807_Titles">#REF!,#REF!</definedName>
    <definedName name="W_808_Titles">#REF!,#REF!</definedName>
    <definedName name="W_903">#REF!</definedName>
    <definedName name="W_903_Area">#REF!</definedName>
    <definedName name="W_903_Titles">#REF!,#REF!</definedName>
    <definedName name="W_928_Titles">#REF!,#REF!</definedName>
    <definedName name="W_ALL_Titles">#REF!,#REF!</definedName>
    <definedName name="W_APL_Titles">#REF!,#REF!</definedName>
    <definedName name="W_ARR_Titles">#REF!,#REF!</definedName>
    <definedName name="W_DTE_Titles">#REF!,#REF!</definedName>
    <definedName name="W_FIT_Titles">#REF!,#REF!</definedName>
    <definedName name="W_OPS">#REF!</definedName>
    <definedName name="W_OPS_Area">#REF!</definedName>
    <definedName name="W_OPS_Titles">#REF!,#REF!</definedName>
    <definedName name="W_OTX_Titles">#REF!,#REF!</definedName>
    <definedName name="W_PLT">#REF!</definedName>
    <definedName name="W_PLT_Titles">#REF!,#REF!</definedName>
    <definedName name="W_ROR_Titles">#REF!,#REF!</definedName>
    <definedName name="W_SCM_Titles">#REF!,#REF!</definedName>
    <definedName name="WA_Elec">#REF!</definedName>
    <definedName name="WA_Gas">'[5]DEBT CALC'!#REF!</definedName>
    <definedName name="wrn.All._.Sheets." localSheetId="8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43" i="26" l="1"/>
  <c r="AS7" i="26" l="1"/>
  <c r="R5" i="27" l="1"/>
  <c r="R6" i="27"/>
  <c r="R7" i="27"/>
  <c r="R8" i="27"/>
  <c r="R9" i="27"/>
  <c r="R10" i="27"/>
  <c r="R11" i="27"/>
  <c r="W6" i="24"/>
  <c r="AG19" i="26" l="1"/>
  <c r="AH19" i="26"/>
  <c r="AF19" i="26"/>
  <c r="AG5" i="27"/>
  <c r="AG6" i="27"/>
  <c r="AG7" i="27"/>
  <c r="AG8" i="27"/>
  <c r="AG9" i="27"/>
  <c r="AG10" i="27"/>
  <c r="AG11" i="27"/>
  <c r="AG4" i="27"/>
  <c r="W13" i="27"/>
  <c r="V13" i="27"/>
  <c r="U13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AF9" i="27"/>
  <c r="AE9" i="27"/>
  <c r="AD9" i="27"/>
  <c r="AC9" i="27"/>
  <c r="AB9" i="27"/>
  <c r="AA9" i="27"/>
  <c r="Z9" i="27"/>
  <c r="Y9" i="27"/>
  <c r="X9" i="27"/>
  <c r="W9" i="27"/>
  <c r="V9" i="27"/>
  <c r="U9" i="27"/>
  <c r="AF8" i="27"/>
  <c r="AE8" i="27"/>
  <c r="AD8" i="27"/>
  <c r="AC8" i="27"/>
  <c r="AB8" i="27"/>
  <c r="AA8" i="27"/>
  <c r="Z8" i="27"/>
  <c r="Y8" i="27"/>
  <c r="X8" i="27"/>
  <c r="W8" i="27"/>
  <c r="V8" i="27"/>
  <c r="U8" i="27"/>
  <c r="AF7" i="27"/>
  <c r="AE7" i="27"/>
  <c r="AD7" i="27"/>
  <c r="AC7" i="27"/>
  <c r="AB7" i="27"/>
  <c r="AA7" i="27"/>
  <c r="Z7" i="27"/>
  <c r="Y7" i="27"/>
  <c r="X7" i="27"/>
  <c r="W7" i="27"/>
  <c r="V7" i="27"/>
  <c r="U7" i="27"/>
  <c r="AF6" i="27"/>
  <c r="AE6" i="27"/>
  <c r="AD6" i="27"/>
  <c r="AC6" i="27"/>
  <c r="AB6" i="27"/>
  <c r="AA6" i="27"/>
  <c r="Z6" i="27"/>
  <c r="Y6" i="27"/>
  <c r="X6" i="27"/>
  <c r="W6" i="27"/>
  <c r="V6" i="27"/>
  <c r="U6" i="27"/>
  <c r="AF5" i="27"/>
  <c r="AE5" i="27"/>
  <c r="AD5" i="27"/>
  <c r="AC5" i="27"/>
  <c r="AB5" i="27"/>
  <c r="AA5" i="27"/>
  <c r="Z5" i="27"/>
  <c r="Y5" i="27"/>
  <c r="X5" i="27"/>
  <c r="W5" i="27"/>
  <c r="V5" i="27"/>
  <c r="U5" i="27"/>
  <c r="AR48" i="26"/>
  <c r="AR19" i="26" l="1"/>
  <c r="O70" i="14"/>
  <c r="O71" i="14"/>
  <c r="O72" i="14"/>
  <c r="O73" i="14"/>
  <c r="O74" i="14"/>
  <c r="O75" i="14"/>
  <c r="O79" i="14"/>
  <c r="O80" i="14"/>
  <c r="O81" i="14"/>
  <c r="O82" i="14"/>
  <c r="O83" i="14"/>
  <c r="O84" i="14"/>
  <c r="O90" i="14"/>
  <c r="O91" i="14"/>
  <c r="O92" i="14"/>
  <c r="O93" i="14"/>
  <c r="O94" i="14"/>
  <c r="O95" i="14"/>
  <c r="H79" i="28"/>
  <c r="H78" i="28"/>
  <c r="H76" i="28"/>
  <c r="G76" i="28"/>
  <c r="G73" i="28"/>
  <c r="F73" i="28"/>
  <c r="H72" i="28"/>
  <c r="H71" i="28"/>
  <c r="H70" i="28"/>
  <c r="H69" i="28"/>
  <c r="H68" i="28"/>
  <c r="H73" i="28" s="1"/>
  <c r="G68" i="28"/>
  <c r="G66" i="28"/>
  <c r="G74" i="28" s="1"/>
  <c r="G77" i="28" s="1"/>
  <c r="G81" i="28" s="1"/>
  <c r="F66" i="28"/>
  <c r="F74" i="28" s="1"/>
  <c r="F77" i="28" s="1"/>
  <c r="F81" i="28" s="1"/>
  <c r="H65" i="28"/>
  <c r="H64" i="28"/>
  <c r="H63" i="28"/>
  <c r="H62" i="28"/>
  <c r="G61" i="28"/>
  <c r="H61" i="28" s="1"/>
  <c r="H66" i="28" s="1"/>
  <c r="H74" i="28" s="1"/>
  <c r="H77" i="28" s="1"/>
  <c r="H81" i="28" s="1"/>
  <c r="F46" i="28"/>
  <c r="F47" i="28" s="1"/>
  <c r="F49" i="28" s="1"/>
  <c r="H45" i="28"/>
  <c r="H44" i="28"/>
  <c r="G43" i="28"/>
  <c r="G46" i="28" s="1"/>
  <c r="H42" i="28"/>
  <c r="H39" i="28"/>
  <c r="H38" i="28"/>
  <c r="H37" i="28"/>
  <c r="F35" i="28"/>
  <c r="H34" i="28"/>
  <c r="H33" i="28"/>
  <c r="G32" i="28"/>
  <c r="G35" i="28" s="1"/>
  <c r="H31" i="28"/>
  <c r="F28" i="28"/>
  <c r="H27" i="28"/>
  <c r="H26" i="28"/>
  <c r="G25" i="28"/>
  <c r="G28" i="28" s="1"/>
  <c r="H24" i="28"/>
  <c r="H23" i="28"/>
  <c r="H19" i="28"/>
  <c r="H18" i="28"/>
  <c r="H17" i="28"/>
  <c r="H16" i="28"/>
  <c r="H15" i="28"/>
  <c r="H14" i="28"/>
  <c r="G47" i="28" l="1"/>
  <c r="G49" i="28" s="1"/>
  <c r="F53" i="28"/>
  <c r="F52" i="28"/>
  <c r="F57" i="28" s="1"/>
  <c r="F88" i="28" s="1"/>
  <c r="F89" i="28" s="1"/>
  <c r="F83" i="28" s="1"/>
  <c r="H53" i="28"/>
  <c r="G53" i="28"/>
  <c r="H43" i="28"/>
  <c r="H46" i="28" s="1"/>
  <c r="H25" i="28"/>
  <c r="H28" i="28" s="1"/>
  <c r="H32" i="28"/>
  <c r="H35" i="28" s="1"/>
  <c r="H47" i="28" l="1"/>
  <c r="H49" i="28" s="1"/>
  <c r="G57" i="28"/>
  <c r="G88" i="28" s="1"/>
  <c r="G89" i="28" s="1"/>
  <c r="G83" i="28" s="1"/>
  <c r="G52" i="28"/>
  <c r="H52" i="28" l="1"/>
  <c r="H57" i="28"/>
  <c r="H88" i="28" s="1"/>
  <c r="H89" i="28" s="1"/>
  <c r="H83" i="28" s="1"/>
  <c r="X15" i="9" l="1"/>
  <c r="U4" i="25" l="1"/>
  <c r="AO14" i="26" l="1"/>
  <c r="AP14" i="26"/>
  <c r="AQ14" i="26"/>
  <c r="AG20" i="26"/>
  <c r="AH20" i="26"/>
  <c r="AG21" i="26"/>
  <c r="AH21" i="26"/>
  <c r="AG22" i="26"/>
  <c r="AH22" i="26"/>
  <c r="AG24" i="26"/>
  <c r="AH24" i="26"/>
  <c r="AF24" i="26"/>
  <c r="AF22" i="26"/>
  <c r="AF21" i="26"/>
  <c r="AF20" i="26"/>
  <c r="R5" i="25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U7" i="25"/>
  <c r="V7" i="25"/>
  <c r="W7" i="25"/>
  <c r="X7" i="25"/>
  <c r="Y7" i="25"/>
  <c r="Z7" i="25"/>
  <c r="AA7" i="25"/>
  <c r="AB7" i="25"/>
  <c r="AC7" i="25"/>
  <c r="AD7" i="25"/>
  <c r="AE7" i="25"/>
  <c r="AF7" i="25"/>
  <c r="U8" i="25"/>
  <c r="V8" i="25"/>
  <c r="W8" i="25"/>
  <c r="X8" i="25"/>
  <c r="Y8" i="25"/>
  <c r="Z8" i="25"/>
  <c r="AA8" i="25"/>
  <c r="AB8" i="25"/>
  <c r="AC8" i="25"/>
  <c r="AD8" i="25"/>
  <c r="AE8" i="25"/>
  <c r="AF8" i="25"/>
  <c r="U9" i="25"/>
  <c r="V9" i="25"/>
  <c r="W9" i="25"/>
  <c r="X9" i="25"/>
  <c r="Y9" i="25"/>
  <c r="Z9" i="25"/>
  <c r="AA9" i="25"/>
  <c r="AB9" i="25"/>
  <c r="AC9" i="25"/>
  <c r="AD9" i="25"/>
  <c r="AE9" i="25"/>
  <c r="AF9" i="25"/>
  <c r="U10" i="25"/>
  <c r="V10" i="25"/>
  <c r="W10" i="25"/>
  <c r="X10" i="25"/>
  <c r="Y10" i="25"/>
  <c r="Z10" i="25"/>
  <c r="AA10" i="25"/>
  <c r="AB10" i="25"/>
  <c r="AC10" i="25"/>
  <c r="AD10" i="25"/>
  <c r="AE10" i="25"/>
  <c r="AF10" i="25"/>
  <c r="U11" i="25"/>
  <c r="V11" i="25"/>
  <c r="W11" i="25"/>
  <c r="X11" i="25"/>
  <c r="Y11" i="25"/>
  <c r="Z11" i="25"/>
  <c r="AA11" i="25"/>
  <c r="AB11" i="25"/>
  <c r="AC11" i="25"/>
  <c r="AD11" i="25"/>
  <c r="AE11" i="25"/>
  <c r="AF11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U14" i="25"/>
  <c r="V14" i="25"/>
  <c r="W14" i="25"/>
  <c r="X14" i="25"/>
  <c r="Y14" i="25"/>
  <c r="Z14" i="25"/>
  <c r="AA14" i="25"/>
  <c r="AB14" i="25"/>
  <c r="AC14" i="25"/>
  <c r="AD14" i="25"/>
  <c r="AE14" i="25"/>
  <c r="AF14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R20" i="26" l="1"/>
  <c r="AR21" i="26"/>
  <c r="AR22" i="26"/>
  <c r="AR24" i="26"/>
  <c r="AG9" i="25"/>
  <c r="AG13" i="25"/>
  <c r="AG17" i="25"/>
  <c r="AG7" i="25"/>
  <c r="AG19" i="25"/>
  <c r="AG22" i="25"/>
  <c r="AG21" i="25"/>
  <c r="AG8" i="25"/>
  <c r="AG12" i="25"/>
  <c r="AG23" i="25"/>
  <c r="AG20" i="25"/>
  <c r="AG18" i="25"/>
  <c r="AG15" i="25"/>
  <c r="AG11" i="25"/>
  <c r="AG24" i="25"/>
  <c r="AG16" i="25"/>
  <c r="AG14" i="25"/>
  <c r="AG10" i="25"/>
  <c r="AG14" i="27" l="1"/>
  <c r="AF4" i="27"/>
  <c r="AE4" i="27"/>
  <c r="AD4" i="27"/>
  <c r="AC4" i="27"/>
  <c r="AB4" i="27"/>
  <c r="AA4" i="27"/>
  <c r="Z4" i="27"/>
  <c r="Y4" i="27"/>
  <c r="X4" i="27"/>
  <c r="W4" i="27"/>
  <c r="AH23" i="26" s="1"/>
  <c r="V4" i="27"/>
  <c r="AG23" i="26" s="1"/>
  <c r="U4" i="27"/>
  <c r="AF23" i="26" s="1"/>
  <c r="R4" i="27"/>
  <c r="R13" i="27" s="1"/>
  <c r="AR43" i="26" s="1"/>
  <c r="Z19" i="26"/>
  <c r="T21" i="26"/>
  <c r="AB21" i="26"/>
  <c r="T22" i="26"/>
  <c r="U22" i="26"/>
  <c r="V22" i="26"/>
  <c r="W22" i="26"/>
  <c r="X22" i="26"/>
  <c r="Y22" i="26"/>
  <c r="Z22" i="26"/>
  <c r="AA22" i="26"/>
  <c r="AB22" i="26"/>
  <c r="AC22" i="26"/>
  <c r="AD22" i="26"/>
  <c r="X25" i="26"/>
  <c r="S22" i="26"/>
  <c r="S19" i="26"/>
  <c r="AF7" i="26"/>
  <c r="AG7" i="26"/>
  <c r="AG32" i="26" s="1"/>
  <c r="AH7" i="26"/>
  <c r="AH32" i="26" s="1"/>
  <c r="AF8" i="26"/>
  <c r="AG8" i="26"/>
  <c r="AG33" i="26" s="1"/>
  <c r="AH8" i="26"/>
  <c r="AH33" i="26" s="1"/>
  <c r="AF9" i="26"/>
  <c r="AG9" i="26"/>
  <c r="AG34" i="26" s="1"/>
  <c r="AH9" i="26"/>
  <c r="AH34" i="26" s="1"/>
  <c r="AF11" i="26"/>
  <c r="AG11" i="26"/>
  <c r="AH11" i="26"/>
  <c r="AF12" i="26"/>
  <c r="AG12" i="26"/>
  <c r="AG37" i="26" s="1"/>
  <c r="AH12" i="26"/>
  <c r="AH37" i="26" s="1"/>
  <c r="E6" i="26"/>
  <c r="F6" i="26"/>
  <c r="G6" i="26"/>
  <c r="H6" i="26"/>
  <c r="I6" i="26"/>
  <c r="J6" i="26"/>
  <c r="K6" i="26"/>
  <c r="L6" i="26"/>
  <c r="M6" i="26"/>
  <c r="N6" i="26"/>
  <c r="O6" i="26"/>
  <c r="P6" i="26"/>
  <c r="AN6" i="26"/>
  <c r="AO6" i="26" s="1"/>
  <c r="AP6" i="26" s="1"/>
  <c r="AQ6" i="26" s="1"/>
  <c r="T6" i="26"/>
  <c r="U6" i="26"/>
  <c r="V6" i="26"/>
  <c r="W6" i="26"/>
  <c r="X6" i="26"/>
  <c r="Y6" i="26"/>
  <c r="Z6" i="26"/>
  <c r="AA6" i="26"/>
  <c r="AB6" i="26"/>
  <c r="AC6" i="26"/>
  <c r="AD6" i="26"/>
  <c r="AF6" i="26"/>
  <c r="AG6" i="26"/>
  <c r="AH6" i="26"/>
  <c r="AI6" i="26"/>
  <c r="AJ6" i="26"/>
  <c r="AK6" i="26"/>
  <c r="AL6" i="26"/>
  <c r="AM6" i="26"/>
  <c r="S6" i="26"/>
  <c r="AD18" i="9"/>
  <c r="AF10" i="26" s="1"/>
  <c r="AG31" i="25"/>
  <c r="AG29" i="25"/>
  <c r="AD25" i="26"/>
  <c r="AC25" i="26"/>
  <c r="AB25" i="26"/>
  <c r="AA25" i="26"/>
  <c r="Z25" i="26"/>
  <c r="Y25" i="26"/>
  <c r="W25" i="26"/>
  <c r="V25" i="26"/>
  <c r="U25" i="26"/>
  <c r="T25" i="26"/>
  <c r="S25" i="26"/>
  <c r="AF27" i="25"/>
  <c r="AE27" i="25"/>
  <c r="AD27" i="25"/>
  <c r="AC27" i="25"/>
  <c r="AB27" i="25"/>
  <c r="AA27" i="25"/>
  <c r="Z27" i="25"/>
  <c r="Y27" i="25"/>
  <c r="W20" i="26" s="1"/>
  <c r="X27" i="25"/>
  <c r="W27" i="25"/>
  <c r="V27" i="25"/>
  <c r="U27" i="25"/>
  <c r="S20" i="26" s="1"/>
  <c r="AF26" i="25"/>
  <c r="AD21" i="26" s="1"/>
  <c r="AE26" i="25"/>
  <c r="AC21" i="26" s="1"/>
  <c r="AD26" i="25"/>
  <c r="AC26" i="25"/>
  <c r="AA21" i="26" s="1"/>
  <c r="AB26" i="25"/>
  <c r="Z21" i="26" s="1"/>
  <c r="AA26" i="25"/>
  <c r="Y21" i="26" s="1"/>
  <c r="Z26" i="25"/>
  <c r="X21" i="26" s="1"/>
  <c r="Y26" i="25"/>
  <c r="W21" i="26" s="1"/>
  <c r="X26" i="25"/>
  <c r="V21" i="26" s="1"/>
  <c r="W26" i="25"/>
  <c r="U21" i="26" s="1"/>
  <c r="V26" i="25"/>
  <c r="U26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AF6" i="25"/>
  <c r="AE6" i="25"/>
  <c r="AD6" i="25"/>
  <c r="AC6" i="25"/>
  <c r="AB6" i="25"/>
  <c r="AA6" i="25"/>
  <c r="Z6" i="25"/>
  <c r="Y6" i="25"/>
  <c r="X6" i="25"/>
  <c r="W6" i="25"/>
  <c r="V6" i="25"/>
  <c r="U6" i="25"/>
  <c r="AF5" i="25"/>
  <c r="AD20" i="26" s="1"/>
  <c r="AE5" i="25"/>
  <c r="AC20" i="26" s="1"/>
  <c r="AD5" i="25"/>
  <c r="AB20" i="26" s="1"/>
  <c r="AC5" i="25"/>
  <c r="AA20" i="26" s="1"/>
  <c r="AB5" i="25"/>
  <c r="Z20" i="26" s="1"/>
  <c r="AA5" i="25"/>
  <c r="Y20" i="26" s="1"/>
  <c r="Z5" i="25"/>
  <c r="X20" i="26" s="1"/>
  <c r="Y5" i="25"/>
  <c r="X5" i="25"/>
  <c r="V20" i="26" s="1"/>
  <c r="W5" i="25"/>
  <c r="U20" i="26" s="1"/>
  <c r="V5" i="25"/>
  <c r="T20" i="26" s="1"/>
  <c r="U5" i="25"/>
  <c r="AF4" i="25"/>
  <c r="AE4" i="25"/>
  <c r="AD4" i="25"/>
  <c r="AC4" i="25"/>
  <c r="AB4" i="25"/>
  <c r="AA4" i="25"/>
  <c r="Z4" i="25"/>
  <c r="Y4" i="25"/>
  <c r="X4" i="25"/>
  <c r="V24" i="26" s="1"/>
  <c r="W4" i="25"/>
  <c r="U19" i="26" s="1"/>
  <c r="V4" i="25"/>
  <c r="T24" i="26" s="1"/>
  <c r="S24" i="26"/>
  <c r="R4" i="25"/>
  <c r="AF35" i="26" l="1"/>
  <c r="AR23" i="26"/>
  <c r="AF37" i="26"/>
  <c r="AR37" i="26" s="1"/>
  <c r="AR12" i="26"/>
  <c r="AR11" i="26"/>
  <c r="AF34" i="26"/>
  <c r="AR34" i="26" s="1"/>
  <c r="AR9" i="26"/>
  <c r="AF33" i="26"/>
  <c r="AR8" i="26"/>
  <c r="AF32" i="26"/>
  <c r="AR32" i="26" s="1"/>
  <c r="AR7" i="26"/>
  <c r="AH36" i="26"/>
  <c r="AG36" i="26"/>
  <c r="AF36" i="26"/>
  <c r="AA13" i="27"/>
  <c r="AL26" i="26"/>
  <c r="AB19" i="26"/>
  <c r="AD30" i="25"/>
  <c r="AA19" i="26"/>
  <c r="AC30" i="25"/>
  <c r="AB13" i="27"/>
  <c r="AM26" i="26"/>
  <c r="AM27" i="26" s="1"/>
  <c r="AC13" i="27"/>
  <c r="AN26" i="26"/>
  <c r="AG25" i="26"/>
  <c r="AG26" i="26" s="1"/>
  <c r="AH25" i="26"/>
  <c r="AH26" i="26" s="1"/>
  <c r="AE13" i="27"/>
  <c r="AC19" i="26"/>
  <c r="AE30" i="25"/>
  <c r="AD19" i="26"/>
  <c r="AF30" i="25"/>
  <c r="AI26" i="26"/>
  <c r="X13" i="27"/>
  <c r="AF13" i="27"/>
  <c r="AF25" i="26"/>
  <c r="AD13" i="27"/>
  <c r="U30" i="25"/>
  <c r="X24" i="26"/>
  <c r="Z30" i="25"/>
  <c r="Y19" i="26"/>
  <c r="AA30" i="25"/>
  <c r="AJ26" i="26"/>
  <c r="Y13" i="27"/>
  <c r="Z24" i="26"/>
  <c r="AB30" i="25"/>
  <c r="Z13" i="27"/>
  <c r="AK26" i="26"/>
  <c r="AE20" i="26"/>
  <c r="AE25" i="26"/>
  <c r="AE22" i="26"/>
  <c r="AG13" i="27"/>
  <c r="W23" i="26"/>
  <c r="Y30" i="25"/>
  <c r="S23" i="26"/>
  <c r="T23" i="26"/>
  <c r="AB23" i="26"/>
  <c r="AC24" i="26"/>
  <c r="Y24" i="26"/>
  <c r="AD23" i="26"/>
  <c r="Y23" i="26"/>
  <c r="AB24" i="26"/>
  <c r="R30" i="25"/>
  <c r="AG26" i="25"/>
  <c r="AC23" i="26"/>
  <c r="AD24" i="26"/>
  <c r="AA23" i="26"/>
  <c r="W24" i="26"/>
  <c r="Z23" i="26"/>
  <c r="U24" i="26"/>
  <c r="X23" i="26"/>
  <c r="AA24" i="26"/>
  <c r="V23" i="26"/>
  <c r="U23" i="26"/>
  <c r="X30" i="25"/>
  <c r="AG6" i="25"/>
  <c r="AG25" i="25"/>
  <c r="S21" i="26"/>
  <c r="AG5" i="25"/>
  <c r="X19" i="26"/>
  <c r="W30" i="25"/>
  <c r="W19" i="26"/>
  <c r="V19" i="26"/>
  <c r="AG4" i="25"/>
  <c r="V30" i="25"/>
  <c r="AG27" i="25"/>
  <c r="T19" i="26"/>
  <c r="AR36" i="26" l="1"/>
  <c r="AF26" i="26"/>
  <c r="AF27" i="26" s="1"/>
  <c r="AR25" i="26"/>
  <c r="AR26" i="26" s="1"/>
  <c r="AR33" i="26"/>
  <c r="AI27" i="26"/>
  <c r="AO39" i="26"/>
  <c r="AO26" i="26"/>
  <c r="AH27" i="26"/>
  <c r="AG30" i="25"/>
  <c r="AK27" i="26"/>
  <c r="AG27" i="26"/>
  <c r="AL27" i="26"/>
  <c r="AQ39" i="26"/>
  <c r="AQ26" i="26"/>
  <c r="AJ27" i="26"/>
  <c r="AP39" i="26"/>
  <c r="AP26" i="26"/>
  <c r="AN27" i="26"/>
  <c r="AE19" i="26"/>
  <c r="AE21" i="26"/>
  <c r="AE24" i="26"/>
  <c r="Z26" i="26"/>
  <c r="Z27" i="26" s="1"/>
  <c r="AE23" i="26"/>
  <c r="S26" i="26"/>
  <c r="S27" i="26" s="1"/>
  <c r="AB26" i="26"/>
  <c r="AB27" i="26" s="1"/>
  <c r="AC26" i="26"/>
  <c r="AC27" i="26" s="1"/>
  <c r="AA26" i="26"/>
  <c r="AA27" i="26" s="1"/>
  <c r="V26" i="26"/>
  <c r="V27" i="26" s="1"/>
  <c r="W26" i="26"/>
  <c r="W27" i="26" s="1"/>
  <c r="Y26" i="26"/>
  <c r="Y27" i="26" s="1"/>
  <c r="AD26" i="26"/>
  <c r="AD27" i="26" s="1"/>
  <c r="T26" i="26"/>
  <c r="T27" i="26" s="1"/>
  <c r="U26" i="26"/>
  <c r="U27" i="26" s="1"/>
  <c r="X26" i="26"/>
  <c r="X27" i="26" s="1"/>
  <c r="AE26" i="26" l="1"/>
  <c r="Q59" i="9" l="1"/>
  <c r="Q60" i="9"/>
  <c r="Q61" i="9"/>
  <c r="Q62" i="9"/>
  <c r="Q63" i="9"/>
  <c r="Q64" i="9"/>
  <c r="S18" i="9"/>
  <c r="T10" i="26" s="1"/>
  <c r="T35" i="26" s="1"/>
  <c r="T18" i="9"/>
  <c r="U10" i="26" s="1"/>
  <c r="U35" i="26" s="1"/>
  <c r="U18" i="9"/>
  <c r="V10" i="26" s="1"/>
  <c r="V35" i="26" s="1"/>
  <c r="V18" i="9"/>
  <c r="W10" i="26" s="1"/>
  <c r="W35" i="26" s="1"/>
  <c r="W18" i="9"/>
  <c r="X10" i="26" s="1"/>
  <c r="X35" i="26" s="1"/>
  <c r="X18" i="9"/>
  <c r="Y10" i="26" s="1"/>
  <c r="Y35" i="26" s="1"/>
  <c r="Y18" i="9"/>
  <c r="Z10" i="26" s="1"/>
  <c r="Z35" i="26" s="1"/>
  <c r="Z18" i="9"/>
  <c r="AA10" i="26" s="1"/>
  <c r="AA35" i="26" s="1"/>
  <c r="AA18" i="9"/>
  <c r="AB10" i="26" s="1"/>
  <c r="AB35" i="26" s="1"/>
  <c r="AB18" i="9"/>
  <c r="AC10" i="26" s="1"/>
  <c r="AC35" i="26" s="1"/>
  <c r="AC18" i="9"/>
  <c r="AD10" i="26" s="1"/>
  <c r="AD35" i="26" s="1"/>
  <c r="AE18" i="9"/>
  <c r="AG10" i="26" s="1"/>
  <c r="AF18" i="9"/>
  <c r="AH10" i="26" s="1"/>
  <c r="AG18" i="9"/>
  <c r="AH18" i="9"/>
  <c r="AI18" i="9"/>
  <c r="AJ18" i="9"/>
  <c r="AK18" i="9"/>
  <c r="AL18" i="9"/>
  <c r="R18" i="9"/>
  <c r="S10" i="26" s="1"/>
  <c r="S20" i="9"/>
  <c r="T12" i="26" s="1"/>
  <c r="T37" i="26" s="1"/>
  <c r="T20" i="9"/>
  <c r="U12" i="26" s="1"/>
  <c r="U37" i="26" s="1"/>
  <c r="U20" i="9"/>
  <c r="V12" i="26" s="1"/>
  <c r="V37" i="26" s="1"/>
  <c r="V20" i="9"/>
  <c r="W12" i="26" s="1"/>
  <c r="W37" i="26" s="1"/>
  <c r="W20" i="9"/>
  <c r="X12" i="26" s="1"/>
  <c r="X37" i="26" s="1"/>
  <c r="X20" i="9"/>
  <c r="Y12" i="26" s="1"/>
  <c r="Y37" i="26" s="1"/>
  <c r="Y20" i="9"/>
  <c r="Z12" i="26" s="1"/>
  <c r="Z37" i="26" s="1"/>
  <c r="Z20" i="9"/>
  <c r="AA12" i="26" s="1"/>
  <c r="AA37" i="26" s="1"/>
  <c r="AA20" i="9"/>
  <c r="AB12" i="26" s="1"/>
  <c r="AB37" i="26" s="1"/>
  <c r="AB20" i="9"/>
  <c r="AC12" i="26" s="1"/>
  <c r="AC37" i="26" s="1"/>
  <c r="AC20" i="9"/>
  <c r="AD12" i="26" s="1"/>
  <c r="AD37" i="26" s="1"/>
  <c r="R20" i="9"/>
  <c r="S12" i="26" s="1"/>
  <c r="AR10" i="26" l="1"/>
  <c r="S37" i="26"/>
  <c r="AE37" i="26" s="1"/>
  <c r="AE12" i="26"/>
  <c r="AH35" i="26"/>
  <c r="AE10" i="26"/>
  <c r="S35" i="26"/>
  <c r="AE35" i="26" s="1"/>
  <c r="AG35" i="26"/>
  <c r="V4" i="24"/>
  <c r="AE21" i="9" s="1"/>
  <c r="AG13" i="26" s="1"/>
  <c r="AG38" i="26" s="1"/>
  <c r="W4" i="24"/>
  <c r="AF21" i="9" s="1"/>
  <c r="AH13" i="26" s="1"/>
  <c r="AH38" i="26" s="1"/>
  <c r="X4" i="24"/>
  <c r="AG21" i="9" s="1"/>
  <c r="Y4" i="24"/>
  <c r="AH21" i="9" s="1"/>
  <c r="Z4" i="24"/>
  <c r="AI21" i="9" s="1"/>
  <c r="AA4" i="24"/>
  <c r="AB4" i="24"/>
  <c r="AC4" i="24"/>
  <c r="AD4" i="24"/>
  <c r="AE4" i="24"/>
  <c r="AF4" i="24"/>
  <c r="V4" i="21"/>
  <c r="W4" i="21"/>
  <c r="X4" i="21"/>
  <c r="Y4" i="21"/>
  <c r="Z4" i="21"/>
  <c r="AA4" i="21"/>
  <c r="AB4" i="21"/>
  <c r="AC4" i="21"/>
  <c r="AD4" i="21"/>
  <c r="AE4" i="21"/>
  <c r="AF4" i="21"/>
  <c r="V5" i="21"/>
  <c r="W5" i="21"/>
  <c r="X5" i="21"/>
  <c r="Y5" i="21"/>
  <c r="Z5" i="21"/>
  <c r="AA5" i="21"/>
  <c r="AB5" i="21"/>
  <c r="AC5" i="21"/>
  <c r="AD5" i="21"/>
  <c r="AE5" i="21"/>
  <c r="AF5" i="21"/>
  <c r="V6" i="21"/>
  <c r="W6" i="21"/>
  <c r="X6" i="21"/>
  <c r="Y6" i="21"/>
  <c r="Z6" i="21"/>
  <c r="AA6" i="21"/>
  <c r="AB6" i="21"/>
  <c r="AC6" i="21"/>
  <c r="AD6" i="21"/>
  <c r="AE6" i="21"/>
  <c r="AF6" i="21"/>
  <c r="V7" i="21"/>
  <c r="W7" i="21"/>
  <c r="X7" i="21"/>
  <c r="Y7" i="21"/>
  <c r="Z7" i="21"/>
  <c r="AA7" i="21"/>
  <c r="AB7" i="21"/>
  <c r="AC7" i="21"/>
  <c r="AD7" i="21"/>
  <c r="AE7" i="21"/>
  <c r="AF7" i="21"/>
  <c r="V8" i="21"/>
  <c r="W8" i="21"/>
  <c r="X8" i="21"/>
  <c r="Y8" i="21"/>
  <c r="Z8" i="21"/>
  <c r="AA8" i="21"/>
  <c r="AB8" i="21"/>
  <c r="AC8" i="21"/>
  <c r="AD8" i="21"/>
  <c r="AE8" i="21"/>
  <c r="AF8" i="21"/>
  <c r="V9" i="21"/>
  <c r="W9" i="21"/>
  <c r="X9" i="21"/>
  <c r="Y9" i="21"/>
  <c r="Z9" i="21"/>
  <c r="AA9" i="21"/>
  <c r="AB9" i="21"/>
  <c r="AC9" i="21"/>
  <c r="AD9" i="21"/>
  <c r="AE9" i="21"/>
  <c r="AF9" i="21"/>
  <c r="V10" i="21"/>
  <c r="W10" i="21"/>
  <c r="X10" i="21"/>
  <c r="Y10" i="21"/>
  <c r="Z10" i="21"/>
  <c r="AA10" i="21"/>
  <c r="AB10" i="21"/>
  <c r="AC10" i="21"/>
  <c r="AD10" i="21"/>
  <c r="AE10" i="21"/>
  <c r="AF10" i="21"/>
  <c r="V11" i="21"/>
  <c r="W11" i="21"/>
  <c r="X11" i="21"/>
  <c r="Y11" i="21"/>
  <c r="Z11" i="21"/>
  <c r="AA11" i="21"/>
  <c r="AB11" i="21"/>
  <c r="AC11" i="21"/>
  <c r="AD11" i="21"/>
  <c r="AE11" i="21"/>
  <c r="AF11" i="21"/>
  <c r="V12" i="21"/>
  <c r="W12" i="21"/>
  <c r="X12" i="21"/>
  <c r="Y12" i="21"/>
  <c r="Z12" i="21"/>
  <c r="AA12" i="21"/>
  <c r="AB12" i="21"/>
  <c r="AC12" i="21"/>
  <c r="AD12" i="21"/>
  <c r="AE12" i="21"/>
  <c r="AF12" i="21"/>
  <c r="U5" i="21"/>
  <c r="U6" i="21"/>
  <c r="U7" i="21"/>
  <c r="U8" i="21"/>
  <c r="U9" i="21"/>
  <c r="U10" i="21"/>
  <c r="U11" i="21"/>
  <c r="U12" i="21"/>
  <c r="U4" i="21"/>
  <c r="R5" i="20"/>
  <c r="R6" i="20"/>
  <c r="R7" i="20"/>
  <c r="R8" i="20"/>
  <c r="R9" i="20"/>
  <c r="R10" i="20"/>
  <c r="R11" i="20"/>
  <c r="R12" i="20"/>
  <c r="R13" i="20"/>
  <c r="R14" i="20"/>
  <c r="R15" i="20"/>
  <c r="R4" i="20"/>
  <c r="U14" i="20"/>
  <c r="E19" i="26" s="1"/>
  <c r="V14" i="20"/>
  <c r="F19" i="26" s="1"/>
  <c r="W14" i="20"/>
  <c r="G19" i="26" s="1"/>
  <c r="X14" i="20"/>
  <c r="H19" i="26" s="1"/>
  <c r="Y14" i="20"/>
  <c r="I19" i="26" s="1"/>
  <c r="Z14" i="20"/>
  <c r="J19" i="26" s="1"/>
  <c r="AA14" i="20"/>
  <c r="K19" i="26" s="1"/>
  <c r="AB14" i="20"/>
  <c r="L19" i="26" s="1"/>
  <c r="AC14" i="20"/>
  <c r="M19" i="26" s="1"/>
  <c r="AD14" i="20"/>
  <c r="N19" i="26" s="1"/>
  <c r="AE14" i="20"/>
  <c r="O19" i="26" s="1"/>
  <c r="AF14" i="20"/>
  <c r="P19" i="26" s="1"/>
  <c r="U5" i="20"/>
  <c r="V5" i="20"/>
  <c r="W5" i="20"/>
  <c r="X5" i="20"/>
  <c r="Y5" i="20"/>
  <c r="Z5" i="20"/>
  <c r="AA5" i="20"/>
  <c r="AB5" i="20"/>
  <c r="AC5" i="20"/>
  <c r="AD5" i="20"/>
  <c r="AE5" i="20"/>
  <c r="AF5" i="20"/>
  <c r="U6" i="20"/>
  <c r="V6" i="20"/>
  <c r="W6" i="20"/>
  <c r="X6" i="20"/>
  <c r="Y6" i="20"/>
  <c r="Z6" i="20"/>
  <c r="AA6" i="20"/>
  <c r="AB6" i="20"/>
  <c r="AC6" i="20"/>
  <c r="AD6" i="20"/>
  <c r="AE6" i="20"/>
  <c r="AF6" i="20"/>
  <c r="U7" i="20"/>
  <c r="V7" i="20"/>
  <c r="W7" i="20"/>
  <c r="X7" i="20"/>
  <c r="Y7" i="20"/>
  <c r="Z7" i="20"/>
  <c r="AA7" i="20"/>
  <c r="AB7" i="20"/>
  <c r="AC7" i="20"/>
  <c r="AD7" i="20"/>
  <c r="AE7" i="20"/>
  <c r="AF7" i="20"/>
  <c r="U8" i="20"/>
  <c r="E25" i="26" s="1"/>
  <c r="V8" i="20"/>
  <c r="F25" i="26" s="1"/>
  <c r="W8" i="20"/>
  <c r="G25" i="26" s="1"/>
  <c r="X8" i="20"/>
  <c r="Y8" i="20"/>
  <c r="Z8" i="20"/>
  <c r="AA8" i="20"/>
  <c r="AB8" i="20"/>
  <c r="L25" i="26" s="1"/>
  <c r="AC8" i="20"/>
  <c r="M25" i="26" s="1"/>
  <c r="AD8" i="20"/>
  <c r="N25" i="26" s="1"/>
  <c r="AE8" i="20"/>
  <c r="O25" i="26" s="1"/>
  <c r="AF8" i="20"/>
  <c r="U9" i="20"/>
  <c r="V9" i="20"/>
  <c r="W9" i="20"/>
  <c r="X9" i="20"/>
  <c r="Y9" i="20"/>
  <c r="Z9" i="20"/>
  <c r="AA9" i="20"/>
  <c r="AB9" i="20"/>
  <c r="AC9" i="20"/>
  <c r="AD9" i="20"/>
  <c r="AE9" i="20"/>
  <c r="AF9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U15" i="20"/>
  <c r="E20" i="26" s="1"/>
  <c r="V15" i="20"/>
  <c r="F20" i="26" s="1"/>
  <c r="W15" i="20"/>
  <c r="G20" i="26" s="1"/>
  <c r="X15" i="20"/>
  <c r="H20" i="26" s="1"/>
  <c r="Y15" i="20"/>
  <c r="I20" i="26" s="1"/>
  <c r="Z15" i="20"/>
  <c r="J20" i="26" s="1"/>
  <c r="AA15" i="20"/>
  <c r="K20" i="26" s="1"/>
  <c r="AB15" i="20"/>
  <c r="L20" i="26" s="1"/>
  <c r="AC15" i="20"/>
  <c r="M20" i="26" s="1"/>
  <c r="AD15" i="20"/>
  <c r="N20" i="26" s="1"/>
  <c r="AE15" i="20"/>
  <c r="O20" i="26" s="1"/>
  <c r="AF15" i="20"/>
  <c r="P20" i="26" s="1"/>
  <c r="V4" i="20"/>
  <c r="W4" i="20"/>
  <c r="X4" i="20"/>
  <c r="Y4" i="20"/>
  <c r="Z4" i="20"/>
  <c r="AA4" i="20"/>
  <c r="AB4" i="20"/>
  <c r="AC4" i="20"/>
  <c r="AD4" i="20"/>
  <c r="AE4" i="20"/>
  <c r="AF4" i="20"/>
  <c r="U4" i="20"/>
  <c r="AR35" i="26" l="1"/>
  <c r="AK14" i="26"/>
  <c r="AG14" i="26"/>
  <c r="AT37" i="26"/>
  <c r="Q20" i="26"/>
  <c r="R20" i="26" s="1"/>
  <c r="M20" i="9"/>
  <c r="M12" i="26" s="1"/>
  <c r="M24" i="26"/>
  <c r="E20" i="9"/>
  <c r="E12" i="26" s="1"/>
  <c r="E24" i="26"/>
  <c r="E21" i="26"/>
  <c r="Q19" i="26"/>
  <c r="R19" i="26" s="1"/>
  <c r="AD15" i="21"/>
  <c r="V15" i="21"/>
  <c r="AJ14" i="26"/>
  <c r="E19" i="9"/>
  <c r="E23" i="26"/>
  <c r="U16" i="20"/>
  <c r="I19" i="9"/>
  <c r="I11" i="26" s="1"/>
  <c r="Y16" i="20"/>
  <c r="I23" i="26"/>
  <c r="P18" i="9"/>
  <c r="P10" i="26" s="1"/>
  <c r="P22" i="26"/>
  <c r="H18" i="9"/>
  <c r="H10" i="26" s="1"/>
  <c r="H22" i="26"/>
  <c r="L20" i="9"/>
  <c r="L12" i="26" s="1"/>
  <c r="L24" i="26"/>
  <c r="L21" i="26"/>
  <c r="AC15" i="21"/>
  <c r="AT35" i="26"/>
  <c r="AJ39" i="26"/>
  <c r="AB16" i="20"/>
  <c r="L23" i="26"/>
  <c r="G21" i="26"/>
  <c r="M21" i="26"/>
  <c r="AF16" i="20"/>
  <c r="P23" i="26"/>
  <c r="H23" i="26"/>
  <c r="X16" i="20"/>
  <c r="O18" i="9"/>
  <c r="O10" i="26" s="1"/>
  <c r="O22" i="26"/>
  <c r="K25" i="26"/>
  <c r="AH14" i="26"/>
  <c r="N18" i="9"/>
  <c r="N10" i="26" s="1"/>
  <c r="N22" i="26"/>
  <c r="F18" i="9"/>
  <c r="F10" i="26" s="1"/>
  <c r="F22" i="26"/>
  <c r="J20" i="9"/>
  <c r="J12" i="26" s="1"/>
  <c r="J24" i="26"/>
  <c r="J21" i="26"/>
  <c r="AA15" i="21"/>
  <c r="AH39" i="26"/>
  <c r="N19" i="9"/>
  <c r="N11" i="26" s="1"/>
  <c r="AD16" i="20"/>
  <c r="N23" i="26"/>
  <c r="F19" i="9"/>
  <c r="F11" i="26" s="1"/>
  <c r="V16" i="20"/>
  <c r="F23" i="26"/>
  <c r="M18" i="9"/>
  <c r="M10" i="26" s="1"/>
  <c r="M22" i="26"/>
  <c r="E18" i="9"/>
  <c r="E10" i="26" s="1"/>
  <c r="E22" i="26"/>
  <c r="I20" i="9"/>
  <c r="I12" i="26" s="1"/>
  <c r="I24" i="26"/>
  <c r="I25" i="26"/>
  <c r="I21" i="26"/>
  <c r="Z15" i="21"/>
  <c r="AI14" i="26"/>
  <c r="K18" i="9"/>
  <c r="K10" i="26" s="1"/>
  <c r="K22" i="26"/>
  <c r="AF15" i="21"/>
  <c r="J19" i="9"/>
  <c r="J11" i="26" s="1"/>
  <c r="Z16" i="20"/>
  <c r="J23" i="26"/>
  <c r="I18" i="9"/>
  <c r="I10" i="26" s="1"/>
  <c r="I22" i="26"/>
  <c r="G18" i="9"/>
  <c r="G10" i="26" s="1"/>
  <c r="G22" i="26"/>
  <c r="K20" i="9"/>
  <c r="K12" i="26" s="1"/>
  <c r="K24" i="26"/>
  <c r="K21" i="26"/>
  <c r="AB15" i="21"/>
  <c r="O19" i="9"/>
  <c r="O11" i="26" s="1"/>
  <c r="AE16" i="20"/>
  <c r="O23" i="26"/>
  <c r="G19" i="9"/>
  <c r="G11" i="26" s="1"/>
  <c r="W16" i="20"/>
  <c r="G23" i="26"/>
  <c r="J25" i="26"/>
  <c r="M19" i="9"/>
  <c r="M11" i="26" s="1"/>
  <c r="AC16" i="20"/>
  <c r="M23" i="26"/>
  <c r="L18" i="9"/>
  <c r="L10" i="26" s="1"/>
  <c r="L22" i="26"/>
  <c r="P20" i="9"/>
  <c r="P12" i="26" s="1"/>
  <c r="P24" i="26"/>
  <c r="H20" i="9"/>
  <c r="H12" i="26" s="1"/>
  <c r="H24" i="26"/>
  <c r="P25" i="26"/>
  <c r="H25" i="26"/>
  <c r="P21" i="26"/>
  <c r="H21" i="26"/>
  <c r="U15" i="21"/>
  <c r="Y15" i="21"/>
  <c r="AI39" i="26"/>
  <c r="O20" i="9"/>
  <c r="O12" i="26" s="1"/>
  <c r="O24" i="26"/>
  <c r="G20" i="9"/>
  <c r="G12" i="26" s="1"/>
  <c r="G24" i="26"/>
  <c r="O21" i="26"/>
  <c r="X15" i="21"/>
  <c r="K19" i="9"/>
  <c r="K11" i="26" s="1"/>
  <c r="AA16" i="20"/>
  <c r="K23" i="26"/>
  <c r="J18" i="9"/>
  <c r="J10" i="26" s="1"/>
  <c r="J22" i="26"/>
  <c r="N20" i="9"/>
  <c r="N12" i="26" s="1"/>
  <c r="N24" i="26"/>
  <c r="F20" i="9"/>
  <c r="F12" i="26" s="1"/>
  <c r="F24" i="26"/>
  <c r="N21" i="26"/>
  <c r="F21" i="26"/>
  <c r="F26" i="26" s="1"/>
  <c r="F27" i="26" s="1"/>
  <c r="AE15" i="21"/>
  <c r="W15" i="21"/>
  <c r="AG39" i="26"/>
  <c r="AK39" i="26"/>
  <c r="E30" i="9"/>
  <c r="E11" i="26"/>
  <c r="P19" i="9"/>
  <c r="P11" i="26" s="1"/>
  <c r="L19" i="9"/>
  <c r="L11" i="26" s="1"/>
  <c r="L36" i="26" s="1"/>
  <c r="H19" i="9"/>
  <c r="H11" i="26" s="1"/>
  <c r="E29" i="9"/>
  <c r="E7" i="9"/>
  <c r="F29" i="9" s="1"/>
  <c r="E9" i="9"/>
  <c r="F31" i="9" s="1"/>
  <c r="E31" i="9"/>
  <c r="R17" i="20"/>
  <c r="AG14" i="20"/>
  <c r="AS19" i="26" l="1"/>
  <c r="AS20" i="26"/>
  <c r="G26" i="26"/>
  <c r="G27" i="26" s="1"/>
  <c r="L26" i="26"/>
  <c r="L27" i="26" s="1"/>
  <c r="P36" i="26"/>
  <c r="M26" i="26"/>
  <c r="M27" i="26" s="1"/>
  <c r="E36" i="26"/>
  <c r="H26" i="26"/>
  <c r="H27" i="26" s="1"/>
  <c r="P26" i="26"/>
  <c r="P27" i="26" s="1"/>
  <c r="H37" i="26"/>
  <c r="K26" i="26"/>
  <c r="K27" i="26" s="1"/>
  <c r="N26" i="26"/>
  <c r="N27" i="26" s="1"/>
  <c r="O26" i="26"/>
  <c r="O27" i="26" s="1"/>
  <c r="J26" i="26"/>
  <c r="J27" i="26" s="1"/>
  <c r="Q25" i="26"/>
  <c r="R25" i="26" s="1"/>
  <c r="J36" i="26"/>
  <c r="I26" i="26"/>
  <c r="I27" i="26" s="1"/>
  <c r="Q21" i="26"/>
  <c r="R21" i="26" s="1"/>
  <c r="G37" i="26"/>
  <c r="P37" i="26"/>
  <c r="K37" i="26"/>
  <c r="O37" i="26"/>
  <c r="Q24" i="26"/>
  <c r="R24" i="26" s="1"/>
  <c r="Q18" i="9"/>
  <c r="G36" i="26"/>
  <c r="Q12" i="26"/>
  <c r="R12" i="26" s="1"/>
  <c r="K36" i="26"/>
  <c r="G35" i="26"/>
  <c r="F36" i="26"/>
  <c r="E37" i="26"/>
  <c r="F37" i="26"/>
  <c r="M37" i="26"/>
  <c r="J35" i="26"/>
  <c r="L35" i="26"/>
  <c r="I36" i="26"/>
  <c r="H36" i="26"/>
  <c r="I37" i="26"/>
  <c r="J37" i="26"/>
  <c r="L37" i="26"/>
  <c r="E26" i="26"/>
  <c r="E27" i="26" s="1"/>
  <c r="F9" i="9"/>
  <c r="G31" i="9" s="1"/>
  <c r="Q10" i="26"/>
  <c r="R10" i="26" s="1"/>
  <c r="O36" i="26"/>
  <c r="I35" i="26"/>
  <c r="K35" i="26"/>
  <c r="Q22" i="26"/>
  <c r="R22" i="26" s="1"/>
  <c r="O35" i="26"/>
  <c r="Q23" i="26"/>
  <c r="R23" i="26" s="1"/>
  <c r="Q20" i="9"/>
  <c r="F7" i="9"/>
  <c r="G29" i="9" s="1"/>
  <c r="N37" i="26"/>
  <c r="M36" i="26"/>
  <c r="E35" i="26"/>
  <c r="N36" i="26"/>
  <c r="F35" i="26"/>
  <c r="H35" i="26"/>
  <c r="M35" i="26"/>
  <c r="N35" i="26"/>
  <c r="P35" i="26"/>
  <c r="Q11" i="26"/>
  <c r="R11" i="26" s="1"/>
  <c r="E40" i="9"/>
  <c r="F40" i="9" s="1"/>
  <c r="E42" i="9"/>
  <c r="F42" i="9" s="1"/>
  <c r="G7" i="9"/>
  <c r="AS12" i="26" l="1"/>
  <c r="AS23" i="26"/>
  <c r="AS24" i="26"/>
  <c r="AS21" i="26"/>
  <c r="AS22" i="26"/>
  <c r="AS10" i="26"/>
  <c r="AS25" i="26"/>
  <c r="Q36" i="26"/>
  <c r="R36" i="26" s="1"/>
  <c r="Q37" i="26"/>
  <c r="R37" i="26" s="1"/>
  <c r="R26" i="26"/>
  <c r="G9" i="9"/>
  <c r="G40" i="9"/>
  <c r="H40" i="9" s="1"/>
  <c r="Q35" i="26"/>
  <c r="R35" i="26" s="1"/>
  <c r="G42" i="9"/>
  <c r="Q26" i="26"/>
  <c r="H29" i="9"/>
  <c r="H7" i="9"/>
  <c r="H31" i="9"/>
  <c r="H9" i="9"/>
  <c r="AS26" i="26" l="1"/>
  <c r="AS37" i="26"/>
  <c r="I29" i="9"/>
  <c r="I7" i="9"/>
  <c r="I40" i="9"/>
  <c r="I31" i="9"/>
  <c r="I9" i="9"/>
  <c r="H42" i="9"/>
  <c r="AS35" i="26" l="1"/>
  <c r="I42" i="9"/>
  <c r="J31" i="9"/>
  <c r="J9" i="9"/>
  <c r="J29" i="9"/>
  <c r="J7" i="9"/>
  <c r="J42" i="9" l="1"/>
  <c r="K29" i="9"/>
  <c r="K7" i="9"/>
  <c r="J40" i="9"/>
  <c r="K31" i="9"/>
  <c r="K9" i="9"/>
  <c r="F66" i="9"/>
  <c r="G66" i="9"/>
  <c r="H66" i="9"/>
  <c r="I66" i="9"/>
  <c r="J66" i="9"/>
  <c r="K66" i="9"/>
  <c r="L66" i="9"/>
  <c r="M66" i="9"/>
  <c r="N66" i="9"/>
  <c r="O66" i="9"/>
  <c r="P66" i="9"/>
  <c r="E66" i="9"/>
  <c r="F76" i="9"/>
  <c r="G76" i="9"/>
  <c r="H76" i="9"/>
  <c r="I76" i="9"/>
  <c r="J76" i="9"/>
  <c r="K76" i="9"/>
  <c r="L76" i="9"/>
  <c r="M76" i="9"/>
  <c r="N76" i="9"/>
  <c r="O76" i="9"/>
  <c r="P76" i="9"/>
  <c r="E76" i="9"/>
  <c r="S76" i="9"/>
  <c r="T76" i="9"/>
  <c r="U76" i="9"/>
  <c r="V76" i="9"/>
  <c r="W76" i="9"/>
  <c r="X76" i="9"/>
  <c r="Y76" i="9"/>
  <c r="Z76" i="9"/>
  <c r="AA76" i="9"/>
  <c r="AB76" i="9"/>
  <c r="AC76" i="9"/>
  <c r="R76" i="9"/>
  <c r="Q68" i="9"/>
  <c r="Q58" i="9"/>
  <c r="K42" i="9" l="1"/>
  <c r="K40" i="9"/>
  <c r="L29" i="9"/>
  <c r="L7" i="9"/>
  <c r="L31" i="9"/>
  <c r="L42" i="9" s="1"/>
  <c r="L9" i="9"/>
  <c r="L40" i="9"/>
  <c r="E8" i="9"/>
  <c r="F30" i="9" s="1"/>
  <c r="E41" i="9"/>
  <c r="E11" i="9"/>
  <c r="F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R11" i="9" s="1"/>
  <c r="S11" i="9" s="1"/>
  <c r="T11" i="9" s="1"/>
  <c r="U11" i="9" s="1"/>
  <c r="V11" i="9" s="1"/>
  <c r="W11" i="9" s="1"/>
  <c r="X11" i="9" s="1"/>
  <c r="Y11" i="9" s="1"/>
  <c r="Z11" i="9" s="1"/>
  <c r="AA11" i="9" s="1"/>
  <c r="AB11" i="9" s="1"/>
  <c r="AC11" i="9" s="1"/>
  <c r="AD11" i="9" s="1"/>
  <c r="AE11" i="9" s="1"/>
  <c r="AF11" i="9" s="1"/>
  <c r="AG11" i="9" s="1"/>
  <c r="AH11" i="9" s="1"/>
  <c r="AI11" i="9" s="1"/>
  <c r="AJ11" i="9" s="1"/>
  <c r="AK11" i="9" s="1"/>
  <c r="AL11" i="9" s="1"/>
  <c r="F15" i="9"/>
  <c r="F7" i="26" s="1"/>
  <c r="F32" i="26" s="1"/>
  <c r="G15" i="9"/>
  <c r="G7" i="26" s="1"/>
  <c r="G32" i="26" s="1"/>
  <c r="H15" i="9"/>
  <c r="H7" i="26" s="1"/>
  <c r="H32" i="26" s="1"/>
  <c r="I15" i="9"/>
  <c r="I7" i="26" s="1"/>
  <c r="I32" i="26" s="1"/>
  <c r="J15" i="9"/>
  <c r="J7" i="26" s="1"/>
  <c r="J32" i="26" s="1"/>
  <c r="K15" i="9"/>
  <c r="K7" i="26" s="1"/>
  <c r="K32" i="26" s="1"/>
  <c r="L15" i="9"/>
  <c r="L7" i="26" s="1"/>
  <c r="L32" i="26" s="1"/>
  <c r="M15" i="9"/>
  <c r="M7" i="26" s="1"/>
  <c r="M32" i="26" s="1"/>
  <c r="N15" i="9"/>
  <c r="N7" i="26" s="1"/>
  <c r="N32" i="26" s="1"/>
  <c r="O15" i="9"/>
  <c r="O7" i="26" s="1"/>
  <c r="O32" i="26" s="1"/>
  <c r="P15" i="9"/>
  <c r="P7" i="26" s="1"/>
  <c r="P32" i="26" s="1"/>
  <c r="AG10" i="20"/>
  <c r="AG4" i="20"/>
  <c r="M29" i="9" l="1"/>
  <c r="M7" i="9"/>
  <c r="M40" i="9"/>
  <c r="M31" i="9"/>
  <c r="M42" i="9" s="1"/>
  <c r="M9" i="9"/>
  <c r="AG11" i="20"/>
  <c r="AG12" i="20"/>
  <c r="AG15" i="20"/>
  <c r="AG13" i="20"/>
  <c r="E15" i="9"/>
  <c r="F8" i="9"/>
  <c r="G8" i="9" s="1"/>
  <c r="N16" i="9"/>
  <c r="N8" i="26" s="1"/>
  <c r="N33" i="26" s="1"/>
  <c r="J16" i="9"/>
  <c r="J8" i="26" s="1"/>
  <c r="J33" i="26" s="1"/>
  <c r="F16" i="9"/>
  <c r="F8" i="26" s="1"/>
  <c r="F33" i="26" s="1"/>
  <c r="M21" i="9"/>
  <c r="M13" i="26" s="1"/>
  <c r="M38" i="26" s="1"/>
  <c r="I21" i="9"/>
  <c r="I13" i="26" s="1"/>
  <c r="I38" i="26" s="1"/>
  <c r="O17" i="9"/>
  <c r="O9" i="26" s="1"/>
  <c r="O34" i="26" s="1"/>
  <c r="K17" i="9"/>
  <c r="K9" i="26" s="1"/>
  <c r="K34" i="26" s="1"/>
  <c r="G17" i="9"/>
  <c r="G9" i="26" s="1"/>
  <c r="G34" i="26" s="1"/>
  <c r="E16" i="9"/>
  <c r="E8" i="26" s="1"/>
  <c r="M16" i="9"/>
  <c r="M8" i="26" s="1"/>
  <c r="M33" i="26" s="1"/>
  <c r="I16" i="9"/>
  <c r="I8" i="26" s="1"/>
  <c r="I33" i="26" s="1"/>
  <c r="P21" i="9"/>
  <c r="P13" i="26" s="1"/>
  <c r="P38" i="26" s="1"/>
  <c r="L21" i="9"/>
  <c r="L13" i="26" s="1"/>
  <c r="L38" i="26" s="1"/>
  <c r="H21" i="9"/>
  <c r="H13" i="26" s="1"/>
  <c r="H38" i="26" s="1"/>
  <c r="N17" i="9"/>
  <c r="N9" i="26" s="1"/>
  <c r="N34" i="26" s="1"/>
  <c r="J17" i="9"/>
  <c r="J9" i="26" s="1"/>
  <c r="J34" i="26" s="1"/>
  <c r="F17" i="9"/>
  <c r="F9" i="26" s="1"/>
  <c r="F34" i="26" s="1"/>
  <c r="P16" i="9"/>
  <c r="P8" i="26" s="1"/>
  <c r="P33" i="26" s="1"/>
  <c r="L16" i="9"/>
  <c r="L8" i="26" s="1"/>
  <c r="L33" i="26" s="1"/>
  <c r="H16" i="9"/>
  <c r="H8" i="26" s="1"/>
  <c r="H33" i="26" s="1"/>
  <c r="O21" i="9"/>
  <c r="O13" i="26" s="1"/>
  <c r="O38" i="26" s="1"/>
  <c r="K21" i="9"/>
  <c r="K13" i="26" s="1"/>
  <c r="K38" i="26" s="1"/>
  <c r="G21" i="9"/>
  <c r="G13" i="26" s="1"/>
  <c r="G38" i="26" s="1"/>
  <c r="M17" i="9"/>
  <c r="M9" i="26" s="1"/>
  <c r="M34" i="26" s="1"/>
  <c r="I17" i="9"/>
  <c r="I9" i="26" s="1"/>
  <c r="I34" i="26" s="1"/>
  <c r="AG8" i="20"/>
  <c r="O16" i="9"/>
  <c r="O8" i="26" s="1"/>
  <c r="O33" i="26" s="1"/>
  <c r="K16" i="9"/>
  <c r="K8" i="26" s="1"/>
  <c r="G16" i="9"/>
  <c r="G8" i="26" s="1"/>
  <c r="N21" i="9"/>
  <c r="N13" i="26" s="1"/>
  <c r="N38" i="26" s="1"/>
  <c r="J21" i="9"/>
  <c r="J13" i="26" s="1"/>
  <c r="J38" i="26" s="1"/>
  <c r="F21" i="9"/>
  <c r="F13" i="26" s="1"/>
  <c r="F38" i="26" s="1"/>
  <c r="AG9" i="20"/>
  <c r="P17" i="9"/>
  <c r="P9" i="26" s="1"/>
  <c r="P34" i="26" s="1"/>
  <c r="L17" i="9"/>
  <c r="L9" i="26" s="1"/>
  <c r="L34" i="26" s="1"/>
  <c r="H17" i="9"/>
  <c r="H9" i="26" s="1"/>
  <c r="H34" i="26" s="1"/>
  <c r="F41" i="9"/>
  <c r="Q19" i="9"/>
  <c r="E33" i="26" l="1"/>
  <c r="H39" i="26"/>
  <c r="I39" i="26"/>
  <c r="J39" i="26"/>
  <c r="O39" i="26"/>
  <c r="L39" i="26"/>
  <c r="P39" i="26"/>
  <c r="K14" i="26"/>
  <c r="K33" i="26"/>
  <c r="K39" i="26" s="1"/>
  <c r="F39" i="26"/>
  <c r="M39" i="26"/>
  <c r="G14" i="26"/>
  <c r="G33" i="26"/>
  <c r="G39" i="26" s="1"/>
  <c r="N39" i="26"/>
  <c r="Q8" i="26"/>
  <c r="R8" i="26" s="1"/>
  <c r="M14" i="26"/>
  <c r="H14" i="26"/>
  <c r="L14" i="26"/>
  <c r="I14" i="26"/>
  <c r="J14" i="26"/>
  <c r="N14" i="26"/>
  <c r="O14" i="26"/>
  <c r="P14" i="26"/>
  <c r="F14" i="26"/>
  <c r="E26" i="9"/>
  <c r="E37" i="9" s="1"/>
  <c r="E7" i="26"/>
  <c r="N29" i="9"/>
  <c r="N7" i="9"/>
  <c r="N40" i="9"/>
  <c r="N31" i="9"/>
  <c r="N42" i="9" s="1"/>
  <c r="N9" i="9"/>
  <c r="E27" i="9"/>
  <c r="E38" i="9" s="1"/>
  <c r="G30" i="9"/>
  <c r="G41" i="9" s="1"/>
  <c r="E4" i="9"/>
  <c r="Q15" i="9"/>
  <c r="H8" i="9"/>
  <c r="H30" i="9"/>
  <c r="R5" i="21"/>
  <c r="R6" i="21"/>
  <c r="R7" i="21"/>
  <c r="R8" i="21"/>
  <c r="R9" i="21"/>
  <c r="R10" i="21"/>
  <c r="R11" i="21"/>
  <c r="R12" i="21"/>
  <c r="AG14" i="21"/>
  <c r="E32" i="26" l="1"/>
  <c r="Q33" i="26"/>
  <c r="R33" i="26" s="1"/>
  <c r="Q7" i="26"/>
  <c r="O29" i="9"/>
  <c r="O40" i="9" s="1"/>
  <c r="O7" i="9"/>
  <c r="O31" i="9"/>
  <c r="O42" i="9" s="1"/>
  <c r="O9" i="9"/>
  <c r="F26" i="9"/>
  <c r="F37" i="9" s="1"/>
  <c r="F4" i="9"/>
  <c r="R15" i="9"/>
  <c r="S7" i="26" s="1"/>
  <c r="AG12" i="21"/>
  <c r="H41" i="9"/>
  <c r="I8" i="9"/>
  <c r="I30" i="9"/>
  <c r="R4" i="21"/>
  <c r="AG16" i="21"/>
  <c r="Q32" i="26" l="1"/>
  <c r="R32" i="26" s="1"/>
  <c r="S32" i="26"/>
  <c r="R7" i="26"/>
  <c r="P29" i="9"/>
  <c r="Q29" i="9" s="1"/>
  <c r="P7" i="9"/>
  <c r="P31" i="9"/>
  <c r="Q31" i="9" s="1"/>
  <c r="P9" i="9"/>
  <c r="G26" i="9"/>
  <c r="G37" i="9" s="1"/>
  <c r="G4" i="9"/>
  <c r="J8" i="9"/>
  <c r="J30" i="9"/>
  <c r="I41" i="9"/>
  <c r="AG7" i="24"/>
  <c r="R29" i="9" l="1"/>
  <c r="AF71" i="9"/>
  <c r="AJ71" i="9"/>
  <c r="AH71" i="9"/>
  <c r="AI71" i="9"/>
  <c r="AG71" i="9"/>
  <c r="AK71" i="9"/>
  <c r="AD71" i="9"/>
  <c r="AL71" i="9"/>
  <c r="AE71" i="9"/>
  <c r="Q7" i="9"/>
  <c r="R7" i="9" s="1"/>
  <c r="L51" i="9"/>
  <c r="L81" i="9" s="1"/>
  <c r="AA61" i="9"/>
  <c r="Y61" i="9"/>
  <c r="AB61" i="9"/>
  <c r="AC61" i="9"/>
  <c r="J51" i="9"/>
  <c r="J81" i="9" s="1"/>
  <c r="V61" i="9"/>
  <c r="P51" i="9"/>
  <c r="P81" i="9" s="1"/>
  <c r="I51" i="9"/>
  <c r="I81" i="9" s="1"/>
  <c r="R61" i="9"/>
  <c r="N51" i="9"/>
  <c r="N81" i="9" s="1"/>
  <c r="G51" i="9"/>
  <c r="G81" i="9" s="1"/>
  <c r="Z61" i="9"/>
  <c r="S61" i="9"/>
  <c r="M51" i="9"/>
  <c r="M81" i="9" s="1"/>
  <c r="K51" i="9"/>
  <c r="K81" i="9" s="1"/>
  <c r="E51" i="9"/>
  <c r="O51" i="9"/>
  <c r="O81" i="9" s="1"/>
  <c r="W61" i="9"/>
  <c r="F51" i="9"/>
  <c r="F81" i="9" s="1"/>
  <c r="H51" i="9"/>
  <c r="H81" i="9" s="1"/>
  <c r="T61" i="9"/>
  <c r="U61" i="9"/>
  <c r="X61" i="9"/>
  <c r="R31" i="9"/>
  <c r="AF73" i="9"/>
  <c r="AJ73" i="9"/>
  <c r="AD73" i="9"/>
  <c r="AH73" i="9"/>
  <c r="AI73" i="9"/>
  <c r="AG73" i="9"/>
  <c r="AK73" i="9"/>
  <c r="AL73" i="9"/>
  <c r="AE73" i="9"/>
  <c r="X63" i="9"/>
  <c r="F53" i="9"/>
  <c r="F83" i="9" s="1"/>
  <c r="J53" i="9"/>
  <c r="J83" i="9" s="1"/>
  <c r="AA63" i="9"/>
  <c r="O53" i="9"/>
  <c r="O83" i="9" s="1"/>
  <c r="H53" i="9"/>
  <c r="H83" i="9" s="1"/>
  <c r="U63" i="9"/>
  <c r="N53" i="9"/>
  <c r="N83" i="9" s="1"/>
  <c r="L53" i="9"/>
  <c r="L83" i="9" s="1"/>
  <c r="Z63" i="9"/>
  <c r="P53" i="9"/>
  <c r="P83" i="9" s="1"/>
  <c r="I53" i="9"/>
  <c r="I83" i="9" s="1"/>
  <c r="Y63" i="9"/>
  <c r="E53" i="9"/>
  <c r="R63" i="9"/>
  <c r="T63" i="9"/>
  <c r="S63" i="9"/>
  <c r="W63" i="9"/>
  <c r="AB63" i="9"/>
  <c r="Q9" i="9"/>
  <c r="V63" i="9"/>
  <c r="K53" i="9"/>
  <c r="K83" i="9" s="1"/>
  <c r="M53" i="9"/>
  <c r="M83" i="9" s="1"/>
  <c r="AC63" i="9"/>
  <c r="G53" i="9"/>
  <c r="G83" i="9" s="1"/>
  <c r="P40" i="9"/>
  <c r="Q40" i="9" s="1"/>
  <c r="P42" i="9"/>
  <c r="Q42" i="9" s="1"/>
  <c r="R42" i="9" s="1"/>
  <c r="H4" i="9"/>
  <c r="H26" i="9"/>
  <c r="H37" i="9" s="1"/>
  <c r="K8" i="9"/>
  <c r="K30" i="9"/>
  <c r="J41" i="9"/>
  <c r="R40" i="9" l="1"/>
  <c r="S29" i="9"/>
  <c r="S7" i="9"/>
  <c r="S40" i="9"/>
  <c r="E83" i="9"/>
  <c r="Q53" i="9"/>
  <c r="E81" i="9"/>
  <c r="Q51" i="9"/>
  <c r="R9" i="9"/>
  <c r="S31" i="9"/>
  <c r="S42" i="9" s="1"/>
  <c r="I26" i="9"/>
  <c r="I37" i="9" s="1"/>
  <c r="I4" i="9"/>
  <c r="L8" i="9"/>
  <c r="L30" i="9"/>
  <c r="K41" i="9"/>
  <c r="E93" i="9" l="1"/>
  <c r="Q83" i="9"/>
  <c r="E91" i="9"/>
  <c r="Q81" i="9"/>
  <c r="T29" i="9"/>
  <c r="T40" i="9" s="1"/>
  <c r="T7" i="9"/>
  <c r="T31" i="9"/>
  <c r="T42" i="9" s="1"/>
  <c r="S9" i="9"/>
  <c r="J4" i="9"/>
  <c r="J26" i="9"/>
  <c r="J37" i="9" s="1"/>
  <c r="M8" i="9"/>
  <c r="M30" i="9"/>
  <c r="L41" i="9"/>
  <c r="U31" i="9" l="1"/>
  <c r="U42" i="9" s="1"/>
  <c r="T9" i="9"/>
  <c r="F93" i="9"/>
  <c r="E103" i="9"/>
  <c r="U29" i="9"/>
  <c r="U40" i="9" s="1"/>
  <c r="U7" i="9"/>
  <c r="E101" i="9"/>
  <c r="F91" i="9"/>
  <c r="K26" i="9"/>
  <c r="K37" i="9" s="1"/>
  <c r="K4" i="9"/>
  <c r="N8" i="9"/>
  <c r="N30" i="9"/>
  <c r="M41" i="9"/>
  <c r="F101" i="9" l="1"/>
  <c r="F110" i="9" s="1"/>
  <c r="G91" i="9"/>
  <c r="E110" i="9"/>
  <c r="E112" i="9"/>
  <c r="V31" i="9"/>
  <c r="V42" i="9" s="1"/>
  <c r="U9" i="9"/>
  <c r="V29" i="9"/>
  <c r="V40" i="9" s="1"/>
  <c r="V7" i="9"/>
  <c r="G93" i="9"/>
  <c r="F103" i="9"/>
  <c r="F112" i="9" s="1"/>
  <c r="L4" i="9"/>
  <c r="L26" i="9"/>
  <c r="L37" i="9" s="1"/>
  <c r="O8" i="9"/>
  <c r="O30" i="9"/>
  <c r="N41" i="9"/>
  <c r="W29" i="9" l="1"/>
  <c r="W40" i="9" s="1"/>
  <c r="W7" i="9"/>
  <c r="H91" i="9"/>
  <c r="G101" i="9"/>
  <c r="G110" i="9" s="1"/>
  <c r="W31" i="9"/>
  <c r="W42" i="9" s="1"/>
  <c r="V9" i="9"/>
  <c r="G103" i="9"/>
  <c r="H93" i="9"/>
  <c r="M26" i="9"/>
  <c r="M37" i="9" s="1"/>
  <c r="M4" i="9"/>
  <c r="O41" i="9"/>
  <c r="P8" i="9"/>
  <c r="P30" i="9"/>
  <c r="Q30" i="9" s="1"/>
  <c r="P41" i="9" l="1"/>
  <c r="X29" i="9"/>
  <c r="X40" i="9" s="1"/>
  <c r="X7" i="9"/>
  <c r="G112" i="9"/>
  <c r="I93" i="9"/>
  <c r="H103" i="9"/>
  <c r="H112" i="9" s="1"/>
  <c r="AF72" i="9"/>
  <c r="AJ72" i="9"/>
  <c r="AH72" i="9"/>
  <c r="AD72" i="9"/>
  <c r="AI72" i="9"/>
  <c r="AG72" i="9"/>
  <c r="AK72" i="9"/>
  <c r="AL72" i="9"/>
  <c r="AE72" i="9"/>
  <c r="X31" i="9"/>
  <c r="X42" i="9" s="1"/>
  <c r="W9" i="9"/>
  <c r="H101" i="9"/>
  <c r="I91" i="9"/>
  <c r="S62" i="9"/>
  <c r="W62" i="9"/>
  <c r="AA62" i="9"/>
  <c r="T62" i="9"/>
  <c r="X62" i="9"/>
  <c r="AB62" i="9"/>
  <c r="V62" i="9"/>
  <c r="Y62" i="9"/>
  <c r="Z62" i="9"/>
  <c r="U62" i="9"/>
  <c r="AC62" i="9"/>
  <c r="N26" i="9"/>
  <c r="N37" i="9" s="1"/>
  <c r="N4" i="9"/>
  <c r="R62" i="9"/>
  <c r="F52" i="9"/>
  <c r="F82" i="9" s="1"/>
  <c r="J52" i="9"/>
  <c r="J82" i="9" s="1"/>
  <c r="N52" i="9"/>
  <c r="N82" i="9" s="1"/>
  <c r="G52" i="9"/>
  <c r="G82" i="9" s="1"/>
  <c r="K52" i="9"/>
  <c r="K82" i="9" s="1"/>
  <c r="O52" i="9"/>
  <c r="O82" i="9" s="1"/>
  <c r="H52" i="9"/>
  <c r="H82" i="9" s="1"/>
  <c r="L52" i="9"/>
  <c r="L82" i="9" s="1"/>
  <c r="P52" i="9"/>
  <c r="P82" i="9" s="1"/>
  <c r="I52" i="9"/>
  <c r="I82" i="9" s="1"/>
  <c r="M52" i="9"/>
  <c r="M82" i="9" s="1"/>
  <c r="E52" i="9"/>
  <c r="E82" i="9" s="1"/>
  <c r="E92" i="9" s="1"/>
  <c r="Q41" i="9"/>
  <c r="Q8" i="9"/>
  <c r="E102" i="9" l="1"/>
  <c r="E111" i="9" s="1"/>
  <c r="F92" i="9"/>
  <c r="J93" i="9"/>
  <c r="I103" i="9"/>
  <c r="I112" i="9" s="1"/>
  <c r="Y29" i="9"/>
  <c r="Y40" i="9" s="1"/>
  <c r="Y7" i="9"/>
  <c r="I101" i="9"/>
  <c r="I110" i="9" s="1"/>
  <c r="J91" i="9"/>
  <c r="Y31" i="9"/>
  <c r="Y42" i="9" s="1"/>
  <c r="X9" i="9"/>
  <c r="Q82" i="9"/>
  <c r="H110" i="9"/>
  <c r="O4" i="9"/>
  <c r="O26" i="9"/>
  <c r="O37" i="9" s="1"/>
  <c r="Q52" i="9"/>
  <c r="Z31" i="9" l="1"/>
  <c r="Z42" i="9" s="1"/>
  <c r="Y9" i="9"/>
  <c r="J101" i="9"/>
  <c r="K91" i="9"/>
  <c r="K93" i="9"/>
  <c r="J103" i="9"/>
  <c r="J112" i="9" s="1"/>
  <c r="Z29" i="9"/>
  <c r="Z40" i="9" s="1"/>
  <c r="Z7" i="9"/>
  <c r="F102" i="9"/>
  <c r="F111" i="9" s="1"/>
  <c r="G92" i="9"/>
  <c r="P4" i="9"/>
  <c r="P26" i="9"/>
  <c r="Q26" i="9" s="1"/>
  <c r="B16" i="14" l="1"/>
  <c r="B18" i="14"/>
  <c r="AF68" i="9"/>
  <c r="AJ68" i="9"/>
  <c r="AH68" i="9"/>
  <c r="AI68" i="9"/>
  <c r="AG68" i="9"/>
  <c r="AK68" i="9"/>
  <c r="AL68" i="9"/>
  <c r="AE68" i="9"/>
  <c r="AA31" i="9"/>
  <c r="C29" i="14" s="1"/>
  <c r="Z9" i="9"/>
  <c r="H92" i="9"/>
  <c r="G102" i="9"/>
  <c r="G111" i="9" s="1"/>
  <c r="P37" i="9"/>
  <c r="L91" i="9"/>
  <c r="K101" i="9"/>
  <c r="K110" i="9" s="1"/>
  <c r="J110" i="9"/>
  <c r="B7" i="14"/>
  <c r="AA29" i="9"/>
  <c r="C27" i="14" s="1"/>
  <c r="AA7" i="9"/>
  <c r="L93" i="9"/>
  <c r="K103" i="9"/>
  <c r="AD68" i="9"/>
  <c r="S58" i="9"/>
  <c r="W58" i="9"/>
  <c r="AA58" i="9"/>
  <c r="T58" i="9"/>
  <c r="X58" i="9"/>
  <c r="AB58" i="9"/>
  <c r="Z58" i="9"/>
  <c r="U58" i="9"/>
  <c r="AC58" i="9"/>
  <c r="V58" i="9"/>
  <c r="Y58" i="9"/>
  <c r="R58" i="9"/>
  <c r="R26" i="9"/>
  <c r="G48" i="9"/>
  <c r="G78" i="9" s="1"/>
  <c r="J48" i="9"/>
  <c r="J78" i="9" s="1"/>
  <c r="F48" i="9"/>
  <c r="F78" i="9" s="1"/>
  <c r="Q4" i="9"/>
  <c r="R4" i="9" s="1"/>
  <c r="L48" i="9"/>
  <c r="L78" i="9" s="1"/>
  <c r="H48" i="9"/>
  <c r="H78" i="9" s="1"/>
  <c r="I48" i="9"/>
  <c r="I78" i="9" s="1"/>
  <c r="E48" i="9"/>
  <c r="P48" i="9"/>
  <c r="P78" i="9" s="1"/>
  <c r="K48" i="9"/>
  <c r="K78" i="9" s="1"/>
  <c r="O48" i="9"/>
  <c r="O78" i="9" s="1"/>
  <c r="N48" i="9"/>
  <c r="N78" i="9" s="1"/>
  <c r="M48" i="9"/>
  <c r="M78" i="9" s="1"/>
  <c r="AA42" i="9" l="1"/>
  <c r="I92" i="9"/>
  <c r="H102" i="9"/>
  <c r="H111" i="9" s="1"/>
  <c r="B84" i="14"/>
  <c r="C7" i="14"/>
  <c r="C73" i="14" s="1"/>
  <c r="AB29" i="9"/>
  <c r="D27" i="14" s="1"/>
  <c r="D93" i="14" s="1"/>
  <c r="AB7" i="9"/>
  <c r="AB31" i="9"/>
  <c r="D29" i="14" s="1"/>
  <c r="D95" i="14" s="1"/>
  <c r="B9" i="14"/>
  <c r="AA9" i="9"/>
  <c r="AA40" i="9"/>
  <c r="C93" i="14"/>
  <c r="C95" i="14"/>
  <c r="B82" i="14"/>
  <c r="M93" i="9"/>
  <c r="L103" i="9"/>
  <c r="L112" i="9" s="1"/>
  <c r="L101" i="9"/>
  <c r="M91" i="9"/>
  <c r="K112" i="9"/>
  <c r="B73" i="14"/>
  <c r="C18" i="14"/>
  <c r="C84" i="14" s="1"/>
  <c r="E78" i="9"/>
  <c r="Q48" i="9"/>
  <c r="AB42" i="9" l="1"/>
  <c r="L110" i="9"/>
  <c r="B75" i="14"/>
  <c r="J92" i="9"/>
  <c r="I102" i="9"/>
  <c r="I111" i="9" s="1"/>
  <c r="N91" i="9"/>
  <c r="M101" i="9"/>
  <c r="M110" i="9" s="1"/>
  <c r="D18" i="14"/>
  <c r="D84" i="14" s="1"/>
  <c r="C9" i="14"/>
  <c r="C75" i="14" s="1"/>
  <c r="AC31" i="9"/>
  <c r="E29" i="14" s="1"/>
  <c r="AB9" i="9"/>
  <c r="N93" i="9"/>
  <c r="M103" i="9"/>
  <c r="M112" i="9" s="1"/>
  <c r="C16" i="14"/>
  <c r="C82" i="14" s="1"/>
  <c r="AB40" i="9"/>
  <c r="AC29" i="9"/>
  <c r="E27" i="14" s="1"/>
  <c r="E93" i="14" s="1"/>
  <c r="D7" i="14"/>
  <c r="D73" i="14" s="1"/>
  <c r="AC7" i="9"/>
  <c r="AC42" i="9" l="1"/>
  <c r="E7" i="14"/>
  <c r="E73" i="14" s="1"/>
  <c r="AD29" i="9"/>
  <c r="F27" i="14" s="1"/>
  <c r="AD7" i="9"/>
  <c r="T51" i="9"/>
  <c r="T81" i="9" s="1"/>
  <c r="AE61" i="9"/>
  <c r="AC51" i="9"/>
  <c r="AC81" i="9" s="1"/>
  <c r="AF61" i="9"/>
  <c r="W51" i="9"/>
  <c r="W81" i="9" s="1"/>
  <c r="AA51" i="9"/>
  <c r="AA81" i="9" s="1"/>
  <c r="AH61" i="9"/>
  <c r="X51" i="9"/>
  <c r="X81" i="9" s="1"/>
  <c r="AI61" i="9"/>
  <c r="AK61" i="9"/>
  <c r="V51" i="9"/>
  <c r="V81" i="9" s="1"/>
  <c r="AJ61" i="9"/>
  <c r="AL61" i="9"/>
  <c r="AB51" i="9"/>
  <c r="AB81" i="9" s="1"/>
  <c r="U51" i="9"/>
  <c r="U81" i="9" s="1"/>
  <c r="S51" i="9"/>
  <c r="S81" i="9" s="1"/>
  <c r="R51" i="9"/>
  <c r="R81" i="9" s="1"/>
  <c r="Z51" i="9"/>
  <c r="Z81" i="9" s="1"/>
  <c r="AD61" i="9"/>
  <c r="Y51" i="9"/>
  <c r="Y81" i="9" s="1"/>
  <c r="AG61" i="9"/>
  <c r="D9" i="14"/>
  <c r="D75" i="14" s="1"/>
  <c r="AD31" i="9"/>
  <c r="F29" i="14" s="1"/>
  <c r="F95" i="14" s="1"/>
  <c r="AC9" i="9"/>
  <c r="E18" i="14"/>
  <c r="E84" i="14" s="1"/>
  <c r="E95" i="14"/>
  <c r="K92" i="9"/>
  <c r="J102" i="9"/>
  <c r="J111" i="9" s="1"/>
  <c r="D16" i="14"/>
  <c r="D82" i="14" s="1"/>
  <c r="AC40" i="9"/>
  <c r="O93" i="9"/>
  <c r="N103" i="9"/>
  <c r="N112" i="9" s="1"/>
  <c r="N101" i="9"/>
  <c r="N110" i="9" s="1"/>
  <c r="O91" i="9"/>
  <c r="AL21" i="9"/>
  <c r="AK21" i="9"/>
  <c r="AJ21" i="9"/>
  <c r="U4" i="24"/>
  <c r="R4" i="24"/>
  <c r="Y7" i="26"/>
  <c r="Y15" i="9"/>
  <c r="Z7" i="26" s="1"/>
  <c r="Z15" i="9"/>
  <c r="AA7" i="26" s="1"/>
  <c r="AA15" i="9"/>
  <c r="AB7" i="26" s="1"/>
  <c r="AB15" i="9"/>
  <c r="AC7" i="26" s="1"/>
  <c r="AC15" i="9"/>
  <c r="AD7" i="26" s="1"/>
  <c r="U16" i="9"/>
  <c r="V8" i="26" s="1"/>
  <c r="V16" i="9"/>
  <c r="W8" i="26" s="1"/>
  <c r="W33" i="26" s="1"/>
  <c r="Y16" i="9"/>
  <c r="Z8" i="26" s="1"/>
  <c r="Z33" i="26" s="1"/>
  <c r="Z16" i="9"/>
  <c r="AA8" i="26" s="1"/>
  <c r="AA33" i="26" s="1"/>
  <c r="AC16" i="9"/>
  <c r="AD8" i="26" s="1"/>
  <c r="AD33" i="26" s="1"/>
  <c r="S19" i="9"/>
  <c r="T11" i="26" s="1"/>
  <c r="T36" i="26" s="1"/>
  <c r="T19" i="9"/>
  <c r="U11" i="26" s="1"/>
  <c r="U36" i="26" s="1"/>
  <c r="U19" i="9"/>
  <c r="V11" i="26" s="1"/>
  <c r="V36" i="26" s="1"/>
  <c r="V19" i="9"/>
  <c r="W11" i="26" s="1"/>
  <c r="W19" i="9"/>
  <c r="X11" i="26" s="1"/>
  <c r="X36" i="26" s="1"/>
  <c r="X19" i="9"/>
  <c r="Y11" i="26" s="1"/>
  <c r="Y36" i="26" s="1"/>
  <c r="Y19" i="9"/>
  <c r="Z11" i="26" s="1"/>
  <c r="Z36" i="26" s="1"/>
  <c r="Z19" i="9"/>
  <c r="AA11" i="26" s="1"/>
  <c r="AA36" i="26" s="1"/>
  <c r="AA19" i="9"/>
  <c r="AB11" i="26" s="1"/>
  <c r="AB36" i="26" s="1"/>
  <c r="AB19" i="9"/>
  <c r="AC11" i="26" s="1"/>
  <c r="AC36" i="26" s="1"/>
  <c r="AC19" i="9"/>
  <c r="AD11" i="26" s="1"/>
  <c r="AD36" i="26" s="1"/>
  <c r="AG9" i="21"/>
  <c r="Y21" i="9"/>
  <c r="Z13" i="26" s="1"/>
  <c r="Z38" i="26" s="1"/>
  <c r="AG7" i="20"/>
  <c r="W36" i="26" l="1"/>
  <c r="V33" i="26"/>
  <c r="AD21" i="9"/>
  <c r="AF13" i="26" s="1"/>
  <c r="AR13" i="26" s="1"/>
  <c r="AR14" i="26" s="1"/>
  <c r="AG4" i="24"/>
  <c r="AN39" i="26"/>
  <c r="AN14" i="26"/>
  <c r="AA32" i="26"/>
  <c r="Z32" i="26"/>
  <c r="Y32" i="26"/>
  <c r="AD32" i="26"/>
  <c r="AL39" i="26"/>
  <c r="AL14" i="26"/>
  <c r="AB32" i="26"/>
  <c r="AC32" i="26"/>
  <c r="AM39" i="26"/>
  <c r="AM14" i="26"/>
  <c r="E9" i="14"/>
  <c r="E75" i="14" s="1"/>
  <c r="AE31" i="9"/>
  <c r="G29" i="14" s="1"/>
  <c r="AH63" i="9"/>
  <c r="R53" i="9"/>
  <c r="R83" i="9" s="1"/>
  <c r="W53" i="9"/>
  <c r="W83" i="9" s="1"/>
  <c r="AC53" i="9"/>
  <c r="AC83" i="9" s="1"/>
  <c r="AJ63" i="9"/>
  <c r="AD9" i="9"/>
  <c r="X53" i="9"/>
  <c r="X83" i="9" s="1"/>
  <c r="AL63" i="9"/>
  <c r="AE63" i="9"/>
  <c r="AA53" i="9"/>
  <c r="AA83" i="9" s="1"/>
  <c r="AF63" i="9"/>
  <c r="T53" i="9"/>
  <c r="T83" i="9" s="1"/>
  <c r="AB53" i="9"/>
  <c r="AB83" i="9" s="1"/>
  <c r="AG63" i="9"/>
  <c r="U53" i="9"/>
  <c r="U83" i="9" s="1"/>
  <c r="V53" i="9"/>
  <c r="V83" i="9" s="1"/>
  <c r="AI63" i="9"/>
  <c r="AK63" i="9"/>
  <c r="AD63" i="9"/>
  <c r="Z53" i="9"/>
  <c r="Z83" i="9" s="1"/>
  <c r="S53" i="9"/>
  <c r="S83" i="9" s="1"/>
  <c r="Y53" i="9"/>
  <c r="Y83" i="9" s="1"/>
  <c r="F93" i="14"/>
  <c r="P93" i="9"/>
  <c r="O103" i="9"/>
  <c r="O112" i="9" s="1"/>
  <c r="AD42" i="9"/>
  <c r="F7" i="14"/>
  <c r="F73" i="14" s="1"/>
  <c r="AE29" i="9"/>
  <c r="G27" i="14" s="1"/>
  <c r="G93" i="14" s="1"/>
  <c r="AE7" i="9"/>
  <c r="O101" i="9"/>
  <c r="O110" i="9" s="1"/>
  <c r="P91" i="9"/>
  <c r="R91" i="9" s="1"/>
  <c r="E16" i="14"/>
  <c r="E82" i="14" s="1"/>
  <c r="AD40" i="9"/>
  <c r="L92" i="9"/>
  <c r="K102" i="9"/>
  <c r="K111" i="9" s="1"/>
  <c r="T17" i="9"/>
  <c r="U9" i="26" s="1"/>
  <c r="U34" i="26" s="1"/>
  <c r="AG7" i="21"/>
  <c r="R19" i="9"/>
  <c r="S11" i="26" s="1"/>
  <c r="AB16" i="9"/>
  <c r="AC8" i="26" s="1"/>
  <c r="AC33" i="26" s="1"/>
  <c r="X16" i="9"/>
  <c r="Y8" i="26" s="1"/>
  <c r="Y33" i="26" s="1"/>
  <c r="T16" i="9"/>
  <c r="U8" i="26" s="1"/>
  <c r="U33" i="26" s="1"/>
  <c r="W15" i="9"/>
  <c r="X7" i="26" s="1"/>
  <c r="S15" i="9"/>
  <c r="T7" i="26" s="1"/>
  <c r="AG4" i="21"/>
  <c r="AG5" i="21"/>
  <c r="R16" i="9"/>
  <c r="S8" i="26" s="1"/>
  <c r="AC17" i="9"/>
  <c r="AD9" i="26" s="1"/>
  <c r="AD34" i="26" s="1"/>
  <c r="U15" i="9"/>
  <c r="V7" i="26" s="1"/>
  <c r="V32" i="26" s="1"/>
  <c r="AG8" i="21"/>
  <c r="T15" i="9"/>
  <c r="U7" i="26" s="1"/>
  <c r="R21" i="9"/>
  <c r="S13" i="26" s="1"/>
  <c r="AG6" i="21"/>
  <c r="AA16" i="9"/>
  <c r="AB8" i="26" s="1"/>
  <c r="AB33" i="26" s="1"/>
  <c r="W16" i="9"/>
  <c r="X8" i="26" s="1"/>
  <c r="X33" i="26" s="1"/>
  <c r="S16" i="9"/>
  <c r="T8" i="26" s="1"/>
  <c r="T33" i="26" s="1"/>
  <c r="V15" i="9"/>
  <c r="W7" i="26" s="1"/>
  <c r="W32" i="26" s="1"/>
  <c r="R6" i="24"/>
  <c r="V21" i="9"/>
  <c r="W13" i="26" s="1"/>
  <c r="W38" i="26" s="1"/>
  <c r="AA17" i="9"/>
  <c r="AB9" i="26" s="1"/>
  <c r="AB34" i="26" s="1"/>
  <c r="Y17" i="9"/>
  <c r="Z9" i="26" s="1"/>
  <c r="Z34" i="26" s="1"/>
  <c r="S17" i="9"/>
  <c r="T9" i="26" s="1"/>
  <c r="T34" i="26" s="1"/>
  <c r="X21" i="9"/>
  <c r="Y13" i="26" s="1"/>
  <c r="Y38" i="26" s="1"/>
  <c r="W21" i="9"/>
  <c r="X13" i="26" s="1"/>
  <c r="X38" i="26" s="1"/>
  <c r="Z17" i="9"/>
  <c r="AA9" i="26" s="1"/>
  <c r="AA34" i="26" s="1"/>
  <c r="AC21" i="9"/>
  <c r="AD13" i="26" s="1"/>
  <c r="AD38" i="26" s="1"/>
  <c r="U21" i="9"/>
  <c r="V13" i="26" s="1"/>
  <c r="V38" i="26" s="1"/>
  <c r="X17" i="9"/>
  <c r="Y9" i="26" s="1"/>
  <c r="Y34" i="26" s="1"/>
  <c r="AA21" i="9"/>
  <c r="AB13" i="26" s="1"/>
  <c r="AB38" i="26" s="1"/>
  <c r="S21" i="9"/>
  <c r="T13" i="26" s="1"/>
  <c r="T38" i="26" s="1"/>
  <c r="V17" i="9"/>
  <c r="W9" i="26" s="1"/>
  <c r="W34" i="26" s="1"/>
  <c r="T21" i="9"/>
  <c r="U13" i="26" s="1"/>
  <c r="U38" i="26" s="1"/>
  <c r="Z21" i="9"/>
  <c r="AA13" i="26" s="1"/>
  <c r="AA38" i="26" s="1"/>
  <c r="U17" i="9"/>
  <c r="V9" i="26" s="1"/>
  <c r="V34" i="26" s="1"/>
  <c r="AB21" i="9"/>
  <c r="AC13" i="26" s="1"/>
  <c r="AC38" i="26" s="1"/>
  <c r="AB17" i="9"/>
  <c r="AC9" i="26" s="1"/>
  <c r="AC34" i="26" s="1"/>
  <c r="W39" i="26" l="1"/>
  <c r="Z14" i="26"/>
  <c r="AB14" i="26"/>
  <c r="Y14" i="26"/>
  <c r="Y39" i="26"/>
  <c r="Z39" i="26"/>
  <c r="AB39" i="26"/>
  <c r="AC39" i="26"/>
  <c r="S33" i="26"/>
  <c r="AE8" i="26"/>
  <c r="AS8" i="26" s="1"/>
  <c r="AE11" i="26"/>
  <c r="AS11" i="26" s="1"/>
  <c r="S36" i="26"/>
  <c r="AA39" i="26"/>
  <c r="AA14" i="26"/>
  <c r="W14" i="26"/>
  <c r="V14" i="26"/>
  <c r="AD39" i="26"/>
  <c r="AF38" i="26"/>
  <c r="AR38" i="26" s="1"/>
  <c r="AR39" i="26" s="1"/>
  <c r="AF14" i="26"/>
  <c r="S38" i="26"/>
  <c r="AE38" i="26" s="1"/>
  <c r="AE13" i="26"/>
  <c r="T14" i="26"/>
  <c r="T32" i="26"/>
  <c r="AE7" i="26"/>
  <c r="AD14" i="26"/>
  <c r="V39" i="26"/>
  <c r="U32" i="26"/>
  <c r="U39" i="26" s="1"/>
  <c r="U14" i="26"/>
  <c r="X32" i="26"/>
  <c r="AC14" i="26"/>
  <c r="P103" i="9"/>
  <c r="Q93" i="9"/>
  <c r="R93" i="9"/>
  <c r="M92" i="9"/>
  <c r="L102" i="9"/>
  <c r="L111" i="9" s="1"/>
  <c r="F18" i="14"/>
  <c r="F84" i="14" s="1"/>
  <c r="AE42" i="9"/>
  <c r="G95" i="14"/>
  <c r="R101" i="9"/>
  <c r="R110" i="9" s="1"/>
  <c r="S91" i="9"/>
  <c r="F9" i="14"/>
  <c r="F75" i="14" s="1"/>
  <c r="AF31" i="9"/>
  <c r="H29" i="14" s="1"/>
  <c r="H95" i="14" s="1"/>
  <c r="AE9" i="9"/>
  <c r="P101" i="9"/>
  <c r="Q91" i="9"/>
  <c r="F16" i="14"/>
  <c r="F82" i="14" s="1"/>
  <c r="AE40" i="9"/>
  <c r="AF29" i="9"/>
  <c r="H27" i="14" s="1"/>
  <c r="H93" i="14" s="1"/>
  <c r="G7" i="14"/>
  <c r="G73" i="14" s="1"/>
  <c r="AF7" i="9"/>
  <c r="AG10" i="21"/>
  <c r="S26" i="9"/>
  <c r="S4" i="9"/>
  <c r="W17" i="9"/>
  <c r="X9" i="26" s="1"/>
  <c r="X34" i="26" s="1"/>
  <c r="AG11" i="21"/>
  <c r="R17" i="9"/>
  <c r="R30" i="9"/>
  <c r="R41" i="9" s="1"/>
  <c r="R8" i="9"/>
  <c r="AE33" i="26" l="1"/>
  <c r="R23" i="9"/>
  <c r="S9" i="26"/>
  <c r="AE36" i="26"/>
  <c r="AT36" i="26" s="1"/>
  <c r="AT33" i="26"/>
  <c r="AT38" i="26"/>
  <c r="AG15" i="21"/>
  <c r="AF39" i="26"/>
  <c r="X39" i="26"/>
  <c r="T39" i="26"/>
  <c r="AE32" i="26"/>
  <c r="AT32" i="26" s="1"/>
  <c r="X14" i="26"/>
  <c r="S93" i="9"/>
  <c r="R103" i="9"/>
  <c r="R112" i="9" s="1"/>
  <c r="AG29" i="9"/>
  <c r="I27" i="14" s="1"/>
  <c r="I93" i="14" s="1"/>
  <c r="H7" i="14"/>
  <c r="H73" i="14" s="1"/>
  <c r="AG7" i="9"/>
  <c r="P110" i="9"/>
  <c r="Q110" i="9" s="1"/>
  <c r="Q101" i="9"/>
  <c r="S101" i="9"/>
  <c r="S110" i="9" s="1"/>
  <c r="T91" i="9"/>
  <c r="P112" i="9"/>
  <c r="Q112" i="9" s="1"/>
  <c r="Q103" i="9"/>
  <c r="G16" i="14"/>
  <c r="G82" i="14" s="1"/>
  <c r="AF40" i="9"/>
  <c r="G9" i="14"/>
  <c r="G75" i="14" s="1"/>
  <c r="AG31" i="9"/>
  <c r="I29" i="14" s="1"/>
  <c r="I95" i="14" s="1"/>
  <c r="AF9" i="9"/>
  <c r="G18" i="14"/>
  <c r="G84" i="14" s="1"/>
  <c r="AF42" i="9"/>
  <c r="N92" i="9"/>
  <c r="M102" i="9"/>
  <c r="M111" i="9" s="1"/>
  <c r="AG6" i="20"/>
  <c r="E17" i="9"/>
  <c r="T26" i="9"/>
  <c r="T4" i="9"/>
  <c r="S30" i="9"/>
  <c r="S41" i="9" s="1"/>
  <c r="S8" i="9"/>
  <c r="AG5" i="20"/>
  <c r="E21" i="9"/>
  <c r="AG6" i="24"/>
  <c r="AS32" i="26" l="1"/>
  <c r="AE9" i="26"/>
  <c r="S34" i="26"/>
  <c r="S14" i="26"/>
  <c r="S15" i="26" s="1"/>
  <c r="AG17" i="20"/>
  <c r="E28" i="9"/>
  <c r="E39" i="9" s="1"/>
  <c r="E9" i="26"/>
  <c r="E32" i="9"/>
  <c r="E13" i="26"/>
  <c r="H16" i="14"/>
  <c r="H82" i="14" s="1"/>
  <c r="AG40" i="9"/>
  <c r="H9" i="14"/>
  <c r="H75" i="14" s="1"/>
  <c r="AH31" i="9"/>
  <c r="J29" i="14" s="1"/>
  <c r="J95" i="14" s="1"/>
  <c r="AG9" i="9"/>
  <c r="U91" i="9"/>
  <c r="T101" i="9"/>
  <c r="T110" i="9" s="1"/>
  <c r="AH29" i="9"/>
  <c r="J27" i="14" s="1"/>
  <c r="J93" i="14" s="1"/>
  <c r="I7" i="14"/>
  <c r="I73" i="14" s="1"/>
  <c r="AH7" i="9"/>
  <c r="O92" i="9"/>
  <c r="N102" i="9"/>
  <c r="N111" i="9" s="1"/>
  <c r="S103" i="9"/>
  <c r="S112" i="9" s="1"/>
  <c r="T93" i="9"/>
  <c r="H18" i="14"/>
  <c r="H84" i="14" s="1"/>
  <c r="AG42" i="9"/>
  <c r="E6" i="9"/>
  <c r="Q17" i="9"/>
  <c r="U26" i="9"/>
  <c r="U4" i="9"/>
  <c r="T8" i="9"/>
  <c r="T30" i="9"/>
  <c r="T41" i="9" s="1"/>
  <c r="Q21" i="9"/>
  <c r="E10" i="9"/>
  <c r="AS36" i="26" l="1"/>
  <c r="E38" i="26"/>
  <c r="Q38" i="26" s="1"/>
  <c r="R38" i="26" s="1"/>
  <c r="E34" i="26"/>
  <c r="E39" i="26" s="1"/>
  <c r="AS33" i="26"/>
  <c r="AE34" i="26"/>
  <c r="AE39" i="26" s="1"/>
  <c r="S39" i="26"/>
  <c r="AE14" i="26"/>
  <c r="Q13" i="26"/>
  <c r="Q9" i="26"/>
  <c r="E14" i="26"/>
  <c r="P92" i="9"/>
  <c r="O102" i="9"/>
  <c r="O111" i="9" s="1"/>
  <c r="U93" i="9"/>
  <c r="T103" i="9"/>
  <c r="T112" i="9" s="1"/>
  <c r="J7" i="14"/>
  <c r="J73" i="14" s="1"/>
  <c r="AI29" i="9"/>
  <c r="K27" i="14" s="1"/>
  <c r="K93" i="14" s="1"/>
  <c r="AI7" i="9"/>
  <c r="V91" i="9"/>
  <c r="U101" i="9"/>
  <c r="U110" i="9" s="1"/>
  <c r="I16" i="14"/>
  <c r="I82" i="14" s="1"/>
  <c r="AH40" i="9"/>
  <c r="I18" i="14"/>
  <c r="I84" i="14" s="1"/>
  <c r="AH42" i="9"/>
  <c r="AI31" i="9"/>
  <c r="K29" i="14" s="1"/>
  <c r="K95" i="14" s="1"/>
  <c r="I9" i="14"/>
  <c r="I75" i="14" s="1"/>
  <c r="AH9" i="9"/>
  <c r="F6" i="9"/>
  <c r="F28" i="9"/>
  <c r="F39" i="9" s="1"/>
  <c r="U8" i="9"/>
  <c r="U30" i="9"/>
  <c r="U41" i="9" s="1"/>
  <c r="V4" i="9"/>
  <c r="V26" i="9"/>
  <c r="F10" i="9"/>
  <c r="F32" i="9"/>
  <c r="E43" i="9"/>
  <c r="E45" i="9" s="1"/>
  <c r="E34" i="9"/>
  <c r="Q34" i="26" l="1"/>
  <c r="Q39" i="26" s="1"/>
  <c r="AT34" i="26"/>
  <c r="Q14" i="26"/>
  <c r="R13" i="26"/>
  <c r="AS13" i="26" s="1"/>
  <c r="R9" i="26"/>
  <c r="AS9" i="26" s="1"/>
  <c r="U103" i="9"/>
  <c r="U112" i="9" s="1"/>
  <c r="V93" i="9"/>
  <c r="K7" i="14"/>
  <c r="K73" i="14" s="1"/>
  <c r="AJ29" i="9"/>
  <c r="L27" i="14" s="1"/>
  <c r="L93" i="14" s="1"/>
  <c r="AJ7" i="9"/>
  <c r="J18" i="14"/>
  <c r="J84" i="14" s="1"/>
  <c r="AI42" i="9"/>
  <c r="J16" i="14"/>
  <c r="J82" i="14" s="1"/>
  <c r="AI40" i="9"/>
  <c r="J9" i="14"/>
  <c r="J75" i="14" s="1"/>
  <c r="AJ31" i="9"/>
  <c r="L29" i="14" s="1"/>
  <c r="L95" i="14" s="1"/>
  <c r="AI9" i="9"/>
  <c r="W91" i="9"/>
  <c r="V101" i="9"/>
  <c r="V110" i="9" s="1"/>
  <c r="P102" i="9"/>
  <c r="Q92" i="9"/>
  <c r="G6" i="9"/>
  <c r="G28" i="9"/>
  <c r="G39" i="9" s="1"/>
  <c r="W26" i="9"/>
  <c r="W4" i="9"/>
  <c r="V8" i="9"/>
  <c r="V30" i="9"/>
  <c r="V41" i="9" s="1"/>
  <c r="F43" i="9"/>
  <c r="G10" i="9"/>
  <c r="G32" i="9"/>
  <c r="AS14" i="26" l="1"/>
  <c r="R34" i="26"/>
  <c r="AS38" i="26"/>
  <c r="R14" i="26"/>
  <c r="R39" i="26"/>
  <c r="Q102" i="9"/>
  <c r="P111" i="9"/>
  <c r="Q111" i="9" s="1"/>
  <c r="K18" i="14"/>
  <c r="K84" i="14" s="1"/>
  <c r="AJ42" i="9"/>
  <c r="X91" i="9"/>
  <c r="W101" i="9"/>
  <c r="W110" i="9" s="1"/>
  <c r="W93" i="9"/>
  <c r="V103" i="9"/>
  <c r="V112" i="9" s="1"/>
  <c r="K9" i="14"/>
  <c r="K75" i="14" s="1"/>
  <c r="AK31" i="9"/>
  <c r="M29" i="14" s="1"/>
  <c r="M95" i="14" s="1"/>
  <c r="AJ9" i="9"/>
  <c r="K16" i="14"/>
  <c r="K82" i="14" s="1"/>
  <c r="AJ40" i="9"/>
  <c r="AK29" i="9"/>
  <c r="M27" i="14" s="1"/>
  <c r="M93" i="14" s="1"/>
  <c r="L7" i="14"/>
  <c r="L73" i="14" s="1"/>
  <c r="AK7" i="9"/>
  <c r="H28" i="9"/>
  <c r="H39" i="9" s="1"/>
  <c r="H6" i="9"/>
  <c r="W8" i="9"/>
  <c r="W30" i="9"/>
  <c r="W41" i="9" s="1"/>
  <c r="X4" i="9"/>
  <c r="X26" i="9"/>
  <c r="H10" i="9"/>
  <c r="H32" i="9"/>
  <c r="G43" i="9"/>
  <c r="X93" i="9" l="1"/>
  <c r="W103" i="9"/>
  <c r="W112" i="9" s="1"/>
  <c r="L9" i="14"/>
  <c r="L75" i="14" s="1"/>
  <c r="AL31" i="9"/>
  <c r="N29" i="14" s="1"/>
  <c r="AK9" i="9"/>
  <c r="L16" i="14"/>
  <c r="L82" i="14" s="1"/>
  <c r="AK40" i="9"/>
  <c r="Y91" i="9"/>
  <c r="X101" i="9"/>
  <c r="X110" i="9" s="1"/>
  <c r="L18" i="14"/>
  <c r="L84" i="14" s="1"/>
  <c r="AK42" i="9"/>
  <c r="M7" i="14"/>
  <c r="M73" i="14" s="1"/>
  <c r="AL29" i="9"/>
  <c r="N27" i="14" s="1"/>
  <c r="AL7" i="9"/>
  <c r="I28" i="9"/>
  <c r="I39" i="9" s="1"/>
  <c r="I6" i="9"/>
  <c r="H43" i="9"/>
  <c r="Y4" i="9"/>
  <c r="Y26" i="9"/>
  <c r="X8" i="9"/>
  <c r="X30" i="9"/>
  <c r="X41" i="9" s="1"/>
  <c r="I10" i="9"/>
  <c r="I32" i="9"/>
  <c r="R15" i="21"/>
  <c r="AS34" i="26" l="1"/>
  <c r="AS39" i="26" s="1"/>
  <c r="M18" i="14"/>
  <c r="M84" i="14" s="1"/>
  <c r="AL42" i="9"/>
  <c r="N18" i="14" s="1"/>
  <c r="Z91" i="9"/>
  <c r="Y101" i="9"/>
  <c r="Y110" i="9" s="1"/>
  <c r="N93" i="14"/>
  <c r="O27" i="14"/>
  <c r="N95" i="14"/>
  <c r="O29" i="14"/>
  <c r="N7" i="14"/>
  <c r="AK51" i="9"/>
  <c r="AK81" i="9" s="1"/>
  <c r="AL51" i="9"/>
  <c r="AL81" i="9" s="1"/>
  <c r="AJ51" i="9"/>
  <c r="AJ81" i="9" s="1"/>
  <c r="AH51" i="9"/>
  <c r="AH81" i="9" s="1"/>
  <c r="AD51" i="9"/>
  <c r="AD81" i="9" s="1"/>
  <c r="AF51" i="9"/>
  <c r="AF81" i="9" s="1"/>
  <c r="AE51" i="9"/>
  <c r="AE81" i="9" s="1"/>
  <c r="AI51" i="9"/>
  <c r="AI81" i="9" s="1"/>
  <c r="AG51" i="9"/>
  <c r="AG81" i="9" s="1"/>
  <c r="M16" i="14"/>
  <c r="M82" i="14" s="1"/>
  <c r="AL40" i="9"/>
  <c r="N16" i="14" s="1"/>
  <c r="M9" i="14"/>
  <c r="M75" i="14" s="1"/>
  <c r="AL9" i="9"/>
  <c r="Y93" i="9"/>
  <c r="X103" i="9"/>
  <c r="X112" i="9" s="1"/>
  <c r="I43" i="9"/>
  <c r="J28" i="9"/>
  <c r="J39" i="9" s="1"/>
  <c r="J6" i="9"/>
  <c r="Z4" i="9"/>
  <c r="Z26" i="9"/>
  <c r="Y30" i="9"/>
  <c r="Y41" i="9" s="1"/>
  <c r="Y8" i="9"/>
  <c r="J32" i="9"/>
  <c r="J10" i="9"/>
  <c r="Q74" i="9"/>
  <c r="Q69" i="9"/>
  <c r="Q70" i="9"/>
  <c r="Z101" i="9" l="1"/>
  <c r="Z110" i="9" s="1"/>
  <c r="AA91" i="9"/>
  <c r="N73" i="14"/>
  <c r="O7" i="14"/>
  <c r="N84" i="14"/>
  <c r="O18" i="14"/>
  <c r="Z93" i="9"/>
  <c r="Y103" i="9"/>
  <c r="Y112" i="9" s="1"/>
  <c r="N9" i="14"/>
  <c r="AF53" i="9"/>
  <c r="AF83" i="9" s="1"/>
  <c r="AK53" i="9"/>
  <c r="AK83" i="9" s="1"/>
  <c r="AI53" i="9"/>
  <c r="AI83" i="9" s="1"/>
  <c r="AH53" i="9"/>
  <c r="AH83" i="9" s="1"/>
  <c r="AG53" i="9"/>
  <c r="AG83" i="9" s="1"/>
  <c r="AL53" i="9"/>
  <c r="AL83" i="9" s="1"/>
  <c r="AJ53" i="9"/>
  <c r="AJ83" i="9" s="1"/>
  <c r="AE53" i="9"/>
  <c r="AE83" i="9" s="1"/>
  <c r="AD53" i="9"/>
  <c r="AD83" i="9" s="1"/>
  <c r="N82" i="14"/>
  <c r="O16" i="14"/>
  <c r="Q66" i="9"/>
  <c r="Q76" i="9"/>
  <c r="J43" i="9"/>
  <c r="K28" i="9"/>
  <c r="K39" i="9" s="1"/>
  <c r="K6" i="9"/>
  <c r="Z30" i="9"/>
  <c r="Z41" i="9" s="1"/>
  <c r="Z8" i="9"/>
  <c r="B8" i="14" s="1"/>
  <c r="AA26" i="9"/>
  <c r="AA4" i="9"/>
  <c r="C4" i="14" s="1"/>
  <c r="K10" i="9"/>
  <c r="K32" i="9"/>
  <c r="B74" i="14" l="1"/>
  <c r="AA93" i="9"/>
  <c r="Z103" i="9"/>
  <c r="Z112" i="9" s="1"/>
  <c r="C70" i="14"/>
  <c r="N75" i="14"/>
  <c r="O9" i="14"/>
  <c r="AA101" i="9"/>
  <c r="AA110" i="9" s="1"/>
  <c r="AB91" i="9"/>
  <c r="B17" i="14"/>
  <c r="K43" i="9"/>
  <c r="L6" i="9"/>
  <c r="L28" i="9"/>
  <c r="L39" i="9" s="1"/>
  <c r="AB26" i="9"/>
  <c r="D24" i="14" s="1"/>
  <c r="D90" i="14" s="1"/>
  <c r="AB4" i="9"/>
  <c r="D4" i="14" s="1"/>
  <c r="AA8" i="9"/>
  <c r="C8" i="14" s="1"/>
  <c r="C74" i="14" s="1"/>
  <c r="AA30" i="9"/>
  <c r="C28" i="14" s="1"/>
  <c r="L10" i="9"/>
  <c r="L32" i="9"/>
  <c r="C94" i="14" l="1"/>
  <c r="AB93" i="9"/>
  <c r="AA103" i="9"/>
  <c r="AA112" i="9" s="1"/>
  <c r="B83" i="14"/>
  <c r="AB101" i="9"/>
  <c r="AB110" i="9" s="1"/>
  <c r="AC91" i="9"/>
  <c r="D70" i="14"/>
  <c r="L43" i="9"/>
  <c r="M6" i="9"/>
  <c r="M28" i="9"/>
  <c r="M39" i="9" s="1"/>
  <c r="AB8" i="9"/>
  <c r="D8" i="14" s="1"/>
  <c r="D74" i="14" s="1"/>
  <c r="AB30" i="9"/>
  <c r="D28" i="14" s="1"/>
  <c r="D94" i="14" s="1"/>
  <c r="AA41" i="9"/>
  <c r="AC4" i="9"/>
  <c r="E4" i="14" s="1"/>
  <c r="AC26" i="9"/>
  <c r="E24" i="14" s="1"/>
  <c r="E90" i="14" s="1"/>
  <c r="M10" i="9"/>
  <c r="M32" i="9"/>
  <c r="AC93" i="9" l="1"/>
  <c r="AB103" i="9"/>
  <c r="AB112" i="9" s="1"/>
  <c r="AD91" i="9"/>
  <c r="AC101" i="9"/>
  <c r="AC110" i="9" s="1"/>
  <c r="E70" i="14"/>
  <c r="C17" i="14"/>
  <c r="C83" i="14" s="1"/>
  <c r="AH58" i="9"/>
  <c r="AL58" i="9"/>
  <c r="AF58" i="9"/>
  <c r="AE58" i="9"/>
  <c r="AI58" i="9"/>
  <c r="AK58" i="9"/>
  <c r="AD58" i="9"/>
  <c r="AG58" i="9"/>
  <c r="AJ58" i="9"/>
  <c r="M43" i="9"/>
  <c r="N28" i="9"/>
  <c r="N39" i="9" s="1"/>
  <c r="N6" i="9"/>
  <c r="AC30" i="9"/>
  <c r="E28" i="14" s="1"/>
  <c r="E94" i="14" s="1"/>
  <c r="AC8" i="9"/>
  <c r="E8" i="14" s="1"/>
  <c r="E74" i="14" s="1"/>
  <c r="S48" i="9"/>
  <c r="S78" i="9" s="1"/>
  <c r="U48" i="9"/>
  <c r="U78" i="9" s="1"/>
  <c r="W48" i="9"/>
  <c r="W78" i="9" s="1"/>
  <c r="AD26" i="9"/>
  <c r="F24" i="14" s="1"/>
  <c r="F90" i="14" s="1"/>
  <c r="Y48" i="9"/>
  <c r="Y78" i="9" s="1"/>
  <c r="AD4" i="9"/>
  <c r="F4" i="14" s="1"/>
  <c r="AA48" i="9"/>
  <c r="AA78" i="9" s="1"/>
  <c r="AC48" i="9"/>
  <c r="AC78" i="9" s="1"/>
  <c r="X48" i="9"/>
  <c r="X78" i="9" s="1"/>
  <c r="T48" i="9"/>
  <c r="T78" i="9" s="1"/>
  <c r="AB48" i="9"/>
  <c r="AB78" i="9" s="1"/>
  <c r="Z48" i="9"/>
  <c r="Z78" i="9" s="1"/>
  <c r="V48" i="9"/>
  <c r="V78" i="9" s="1"/>
  <c r="R48" i="9"/>
  <c r="R78" i="9" s="1"/>
  <c r="AB41" i="9"/>
  <c r="N32" i="9"/>
  <c r="N10" i="9"/>
  <c r="N43" i="9" l="1"/>
  <c r="AD101" i="9"/>
  <c r="AD110" i="9" s="1"/>
  <c r="AE91" i="9"/>
  <c r="D17" i="14"/>
  <c r="D83" i="14" s="1"/>
  <c r="F70" i="14"/>
  <c r="AC103" i="9"/>
  <c r="AC112" i="9" s="1"/>
  <c r="AD93" i="9"/>
  <c r="AH62" i="9"/>
  <c r="AL62" i="9"/>
  <c r="AE62" i="9"/>
  <c r="AI62" i="9"/>
  <c r="AK62" i="9"/>
  <c r="AF62" i="9"/>
  <c r="AG62" i="9"/>
  <c r="AD62" i="9"/>
  <c r="AJ62" i="9"/>
  <c r="O28" i="9"/>
  <c r="O39" i="9" s="1"/>
  <c r="O6" i="9"/>
  <c r="AE4" i="9"/>
  <c r="G4" i="14" s="1"/>
  <c r="G70" i="14" s="1"/>
  <c r="AE26" i="9"/>
  <c r="G24" i="14" s="1"/>
  <c r="G90" i="14" s="1"/>
  <c r="AC41" i="9"/>
  <c r="U52" i="9"/>
  <c r="U82" i="9" s="1"/>
  <c r="S52" i="9"/>
  <c r="S82" i="9" s="1"/>
  <c r="R52" i="9"/>
  <c r="R82" i="9" s="1"/>
  <c r="R92" i="9" s="1"/>
  <c r="AD30" i="9"/>
  <c r="F28" i="14" s="1"/>
  <c r="F94" i="14" s="1"/>
  <c r="AB52" i="9"/>
  <c r="AB82" i="9" s="1"/>
  <c r="Z52" i="9"/>
  <c r="Z82" i="9" s="1"/>
  <c r="AD8" i="9"/>
  <c r="F8" i="14" s="1"/>
  <c r="F74" i="14" s="1"/>
  <c r="T52" i="9"/>
  <c r="T82" i="9" s="1"/>
  <c r="Y52" i="9"/>
  <c r="Y82" i="9" s="1"/>
  <c r="W52" i="9"/>
  <c r="W82" i="9" s="1"/>
  <c r="AA52" i="9"/>
  <c r="AA82" i="9" s="1"/>
  <c r="X52" i="9"/>
  <c r="X82" i="9" s="1"/>
  <c r="AC52" i="9"/>
  <c r="AC82" i="9" s="1"/>
  <c r="V52" i="9"/>
  <c r="V82" i="9" s="1"/>
  <c r="O32" i="9"/>
  <c r="O43" i="9" s="1"/>
  <c r="O10" i="9"/>
  <c r="S92" i="9" l="1"/>
  <c r="R102" i="9"/>
  <c r="R111" i="9" s="1"/>
  <c r="E17" i="14"/>
  <c r="E83" i="14" s="1"/>
  <c r="AE93" i="9"/>
  <c r="AD103" i="9"/>
  <c r="AD112" i="9" s="1"/>
  <c r="AE101" i="9"/>
  <c r="AE110" i="9" s="1"/>
  <c r="AF91" i="9"/>
  <c r="P28" i="9"/>
  <c r="Q28" i="9" s="1"/>
  <c r="P6" i="9"/>
  <c r="AE8" i="9"/>
  <c r="G8" i="14" s="1"/>
  <c r="G74" i="14" s="1"/>
  <c r="AE30" i="9"/>
  <c r="G28" i="14" s="1"/>
  <c r="G94" i="14" s="1"/>
  <c r="AD41" i="9"/>
  <c r="AF4" i="9"/>
  <c r="H4" i="14" s="1"/>
  <c r="AF26" i="9"/>
  <c r="H24" i="14" s="1"/>
  <c r="H90" i="14" s="1"/>
  <c r="P32" i="9"/>
  <c r="Q32" i="9" s="1"/>
  <c r="P10" i="9"/>
  <c r="AF74" i="9" l="1"/>
  <c r="AJ74" i="9"/>
  <c r="AH74" i="9"/>
  <c r="AI74" i="9"/>
  <c r="AG74" i="9"/>
  <c r="AK74" i="9"/>
  <c r="AL74" i="9"/>
  <c r="AE74" i="9"/>
  <c r="AD74" i="9"/>
  <c r="AF101" i="9"/>
  <c r="AF110" i="9" s="1"/>
  <c r="AG91" i="9"/>
  <c r="AF93" i="9"/>
  <c r="AE103" i="9"/>
  <c r="AE112" i="9" s="1"/>
  <c r="H70" i="14"/>
  <c r="AF70" i="9"/>
  <c r="AJ70" i="9"/>
  <c r="AH70" i="9"/>
  <c r="AI70" i="9"/>
  <c r="AG70" i="9"/>
  <c r="AK70" i="9"/>
  <c r="AL70" i="9"/>
  <c r="AE70" i="9"/>
  <c r="P39" i="9"/>
  <c r="Q39" i="9" s="1"/>
  <c r="P43" i="9"/>
  <c r="T92" i="9"/>
  <c r="S102" i="9"/>
  <c r="S111" i="9" s="1"/>
  <c r="F17" i="14"/>
  <c r="F83" i="14" s="1"/>
  <c r="AD70" i="9"/>
  <c r="U60" i="9"/>
  <c r="Y60" i="9"/>
  <c r="AC60" i="9"/>
  <c r="V60" i="9"/>
  <c r="Z60" i="9"/>
  <c r="T60" i="9"/>
  <c r="AB60" i="9"/>
  <c r="W60" i="9"/>
  <c r="AA60" i="9"/>
  <c r="X60" i="9"/>
  <c r="S60" i="9"/>
  <c r="U64" i="9"/>
  <c r="Y64" i="9"/>
  <c r="AC64" i="9"/>
  <c r="V64" i="9"/>
  <c r="Z64" i="9"/>
  <c r="R64" i="9"/>
  <c r="X64" i="9"/>
  <c r="S64" i="9"/>
  <c r="AA64" i="9"/>
  <c r="T64" i="9"/>
  <c r="AB64" i="9"/>
  <c r="W64" i="9"/>
  <c r="I50" i="9"/>
  <c r="I80" i="9" s="1"/>
  <c r="L50" i="9"/>
  <c r="L80" i="9" s="1"/>
  <c r="F50" i="9"/>
  <c r="F80" i="9" s="1"/>
  <c r="J50" i="9"/>
  <c r="J80" i="9" s="1"/>
  <c r="G50" i="9"/>
  <c r="G80" i="9" s="1"/>
  <c r="M50" i="9"/>
  <c r="M80" i="9" s="1"/>
  <c r="R60" i="9"/>
  <c r="N50" i="9"/>
  <c r="N80" i="9" s="1"/>
  <c r="O50" i="9"/>
  <c r="O80" i="9" s="1"/>
  <c r="E50" i="9"/>
  <c r="E80" i="9" s="1"/>
  <c r="E90" i="9" s="1"/>
  <c r="Q6" i="9"/>
  <c r="R6" i="9" s="1"/>
  <c r="P50" i="9"/>
  <c r="P80" i="9" s="1"/>
  <c r="H50" i="9"/>
  <c r="H80" i="9" s="1"/>
  <c r="K50" i="9"/>
  <c r="K80" i="9" s="1"/>
  <c r="R28" i="9"/>
  <c r="AG4" i="9"/>
  <c r="I4" i="14" s="1"/>
  <c r="AG26" i="9"/>
  <c r="I24" i="14" s="1"/>
  <c r="I90" i="14" s="1"/>
  <c r="AF8" i="9"/>
  <c r="H8" i="14" s="1"/>
  <c r="H74" i="14" s="1"/>
  <c r="AF30" i="9"/>
  <c r="H28" i="14" s="1"/>
  <c r="H94" i="14" s="1"/>
  <c r="AE41" i="9"/>
  <c r="Q43" i="9"/>
  <c r="J54" i="9"/>
  <c r="J84" i="9" s="1"/>
  <c r="I54" i="9"/>
  <c r="I84" i="9" s="1"/>
  <c r="M54" i="9"/>
  <c r="M84" i="9" s="1"/>
  <c r="H54" i="9"/>
  <c r="H84" i="9" s="1"/>
  <c r="L54" i="9"/>
  <c r="L84" i="9" s="1"/>
  <c r="F54" i="9"/>
  <c r="F84" i="9" s="1"/>
  <c r="Q10" i="9"/>
  <c r="R10" i="9" s="1"/>
  <c r="O54" i="9"/>
  <c r="O84" i="9" s="1"/>
  <c r="G54" i="9"/>
  <c r="G84" i="9" s="1"/>
  <c r="P54" i="9"/>
  <c r="P84" i="9" s="1"/>
  <c r="E54" i="9"/>
  <c r="E84" i="9" s="1"/>
  <c r="E94" i="9" s="1"/>
  <c r="R32" i="9"/>
  <c r="K54" i="9"/>
  <c r="K84" i="9" s="1"/>
  <c r="N54" i="9"/>
  <c r="N84" i="9" s="1"/>
  <c r="AG101" i="9" l="1"/>
  <c r="AG110" i="9" s="1"/>
  <c r="AH91" i="9"/>
  <c r="AG93" i="9"/>
  <c r="AF103" i="9"/>
  <c r="AF112" i="9" s="1"/>
  <c r="E104" i="9"/>
  <c r="F94" i="9"/>
  <c r="G17" i="14"/>
  <c r="G83" i="14" s="1"/>
  <c r="Q84" i="9"/>
  <c r="U92" i="9"/>
  <c r="T102" i="9"/>
  <c r="T111" i="9" s="1"/>
  <c r="I70" i="14"/>
  <c r="Q80" i="9"/>
  <c r="F90" i="9"/>
  <c r="E100" i="9"/>
  <c r="R39" i="9"/>
  <c r="R43" i="9"/>
  <c r="S28" i="9"/>
  <c r="S6" i="9"/>
  <c r="AF41" i="9"/>
  <c r="AH4" i="9"/>
  <c r="J4" i="14" s="1"/>
  <c r="AH26" i="9"/>
  <c r="J24" i="14" s="1"/>
  <c r="J90" i="14" s="1"/>
  <c r="AG8" i="9"/>
  <c r="I8" i="14" s="1"/>
  <c r="I74" i="14" s="1"/>
  <c r="AG30" i="9"/>
  <c r="I28" i="14" s="1"/>
  <c r="I94" i="14" s="1"/>
  <c r="S32" i="9"/>
  <c r="S10" i="9"/>
  <c r="Q54" i="9"/>
  <c r="J70" i="14" l="1"/>
  <c r="V92" i="9"/>
  <c r="U102" i="9"/>
  <c r="U111" i="9" s="1"/>
  <c r="F104" i="9"/>
  <c r="F113" i="9" s="1"/>
  <c r="G94" i="9"/>
  <c r="AH93" i="9"/>
  <c r="AG103" i="9"/>
  <c r="AG112" i="9" s="1"/>
  <c r="H17" i="14"/>
  <c r="H83" i="14" s="1"/>
  <c r="AH101" i="9"/>
  <c r="AH110" i="9" s="1"/>
  <c r="AI91" i="9"/>
  <c r="E113" i="9"/>
  <c r="E109" i="9"/>
  <c r="F100" i="9"/>
  <c r="F109" i="9" s="1"/>
  <c r="G90" i="9"/>
  <c r="S39" i="9"/>
  <c r="S43" i="9"/>
  <c r="T6" i="9"/>
  <c r="T28" i="9"/>
  <c r="AH8" i="9"/>
  <c r="J8" i="14" s="1"/>
  <c r="J74" i="14" s="1"/>
  <c r="AH30" i="9"/>
  <c r="J28" i="14" s="1"/>
  <c r="J94" i="14" s="1"/>
  <c r="AI26" i="9"/>
  <c r="K24" i="14" s="1"/>
  <c r="K90" i="14" s="1"/>
  <c r="AI4" i="9"/>
  <c r="K4" i="14" s="1"/>
  <c r="AG41" i="9"/>
  <c r="T10" i="9"/>
  <c r="T32" i="9"/>
  <c r="T43" i="9" l="1"/>
  <c r="T39" i="9"/>
  <c r="AI93" i="9"/>
  <c r="AH103" i="9"/>
  <c r="AH112" i="9" s="1"/>
  <c r="W92" i="9"/>
  <c r="V102" i="9"/>
  <c r="V111" i="9" s="1"/>
  <c r="AI101" i="9"/>
  <c r="AI110" i="9" s="1"/>
  <c r="AJ91" i="9"/>
  <c r="H94" i="9"/>
  <c r="G104" i="9"/>
  <c r="I17" i="14"/>
  <c r="I83" i="14" s="1"/>
  <c r="K70" i="14"/>
  <c r="H90" i="9"/>
  <c r="G100" i="9"/>
  <c r="U28" i="9"/>
  <c r="U39" i="9" s="1"/>
  <c r="U6" i="9"/>
  <c r="AH41" i="9"/>
  <c r="AJ26" i="9"/>
  <c r="L24" i="14" s="1"/>
  <c r="L90" i="14" s="1"/>
  <c r="AJ4" i="9"/>
  <c r="L4" i="14" s="1"/>
  <c r="AI8" i="9"/>
  <c r="K8" i="14" s="1"/>
  <c r="K74" i="14" s="1"/>
  <c r="AI30" i="9"/>
  <c r="K28" i="14" s="1"/>
  <c r="K94" i="14" s="1"/>
  <c r="U32" i="9"/>
  <c r="U43" i="9" s="1"/>
  <c r="U10" i="9"/>
  <c r="L70" i="14" l="1"/>
  <c r="G113" i="9"/>
  <c r="AJ93" i="9"/>
  <c r="AI103" i="9"/>
  <c r="AI112" i="9" s="1"/>
  <c r="I94" i="9"/>
  <c r="H104" i="9"/>
  <c r="H113" i="9" s="1"/>
  <c r="J17" i="14"/>
  <c r="J83" i="14" s="1"/>
  <c r="AJ101" i="9"/>
  <c r="AJ110" i="9" s="1"/>
  <c r="AK91" i="9"/>
  <c r="X92" i="9"/>
  <c r="W102" i="9"/>
  <c r="W111" i="9" s="1"/>
  <c r="G109" i="9"/>
  <c r="I90" i="9"/>
  <c r="H100" i="9"/>
  <c r="H109" i="9" s="1"/>
  <c r="V6" i="9"/>
  <c r="V28" i="9"/>
  <c r="V39" i="9" s="1"/>
  <c r="AJ30" i="9"/>
  <c r="L28" i="14" s="1"/>
  <c r="L94" i="14" s="1"/>
  <c r="AJ8" i="9"/>
  <c r="L8" i="14" s="1"/>
  <c r="L74" i="14" s="1"/>
  <c r="AK4" i="9"/>
  <c r="M4" i="14" s="1"/>
  <c r="AK26" i="9"/>
  <c r="M24" i="14" s="1"/>
  <c r="M90" i="14" s="1"/>
  <c r="AI41" i="9"/>
  <c r="V32" i="9"/>
  <c r="V43" i="9" s="1"/>
  <c r="V10" i="9"/>
  <c r="J94" i="9" l="1"/>
  <c r="I104" i="9"/>
  <c r="Y92" i="9"/>
  <c r="X102" i="9"/>
  <c r="X111" i="9" s="1"/>
  <c r="K17" i="14"/>
  <c r="K83" i="14" s="1"/>
  <c r="AK101" i="9"/>
  <c r="AK110" i="9" s="1"/>
  <c r="AL91" i="9"/>
  <c r="AL101" i="9" s="1"/>
  <c r="AL110" i="9" s="1"/>
  <c r="M70" i="14"/>
  <c r="AK93" i="9"/>
  <c r="AJ103" i="9"/>
  <c r="AJ112" i="9" s="1"/>
  <c r="J90" i="9"/>
  <c r="I100" i="9"/>
  <c r="I109" i="9" s="1"/>
  <c r="W6" i="9"/>
  <c r="W28" i="9"/>
  <c r="W39" i="9" s="1"/>
  <c r="AJ41" i="9"/>
  <c r="AL4" i="9"/>
  <c r="N4" i="14" s="1"/>
  <c r="AL26" i="9"/>
  <c r="N24" i="14" s="1"/>
  <c r="N90" i="14" s="1"/>
  <c r="AK8" i="9"/>
  <c r="M8" i="14" s="1"/>
  <c r="M74" i="14" s="1"/>
  <c r="AK30" i="9"/>
  <c r="M28" i="14" s="1"/>
  <c r="M94" i="14" s="1"/>
  <c r="W10" i="9"/>
  <c r="W32" i="9"/>
  <c r="W43" i="9" s="1"/>
  <c r="I113" i="9" l="1"/>
  <c r="Z92" i="9"/>
  <c r="Y102" i="9"/>
  <c r="Y111" i="9" s="1"/>
  <c r="AL93" i="9"/>
  <c r="AL103" i="9" s="1"/>
  <c r="AL112" i="9" s="1"/>
  <c r="AK103" i="9"/>
  <c r="AK112" i="9" s="1"/>
  <c r="K94" i="9"/>
  <c r="J104" i="9"/>
  <c r="J113" i="9" s="1"/>
  <c r="L17" i="14"/>
  <c r="L83" i="14" s="1"/>
  <c r="N70" i="14"/>
  <c r="K90" i="9"/>
  <c r="J100" i="9"/>
  <c r="AF48" i="9"/>
  <c r="AF78" i="9" s="1"/>
  <c r="AJ48" i="9"/>
  <c r="AJ78" i="9" s="1"/>
  <c r="AG48" i="9"/>
  <c r="AG78" i="9" s="1"/>
  <c r="AK48" i="9"/>
  <c r="AK78" i="9" s="1"/>
  <c r="AE48" i="9"/>
  <c r="AE78" i="9" s="1"/>
  <c r="AH48" i="9"/>
  <c r="AI48" i="9"/>
  <c r="AI78" i="9" s="1"/>
  <c r="AL48" i="9"/>
  <c r="AL78" i="9" s="1"/>
  <c r="X28" i="9"/>
  <c r="X39" i="9" s="1"/>
  <c r="X6" i="9"/>
  <c r="AH78" i="9"/>
  <c r="AD48" i="9"/>
  <c r="AL8" i="9"/>
  <c r="N8" i="14" s="1"/>
  <c r="AL30" i="9"/>
  <c r="N28" i="14" s="1"/>
  <c r="AK41" i="9"/>
  <c r="X32" i="9"/>
  <c r="X43" i="9" s="1"/>
  <c r="X10" i="9"/>
  <c r="N74" i="14" l="1"/>
  <c r="O8" i="14"/>
  <c r="M17" i="14"/>
  <c r="M83" i="14" s="1"/>
  <c r="L94" i="9"/>
  <c r="K104" i="9"/>
  <c r="N94" i="14"/>
  <c r="O28" i="14"/>
  <c r="AA92" i="9"/>
  <c r="Z102" i="9"/>
  <c r="Z111" i="9" s="1"/>
  <c r="J109" i="9"/>
  <c r="L90" i="9"/>
  <c r="K100" i="9"/>
  <c r="K109" i="9" s="1"/>
  <c r="AD78" i="9"/>
  <c r="AF52" i="9"/>
  <c r="AF82" i="9" s="1"/>
  <c r="AJ52" i="9"/>
  <c r="AJ82" i="9" s="1"/>
  <c r="AG52" i="9"/>
  <c r="AG82" i="9" s="1"/>
  <c r="AK52" i="9"/>
  <c r="AK82" i="9" s="1"/>
  <c r="AD52" i="9"/>
  <c r="AD82" i="9" s="1"/>
  <c r="AE52" i="9"/>
  <c r="AE82" i="9" s="1"/>
  <c r="AH52" i="9"/>
  <c r="AH82" i="9" s="1"/>
  <c r="AI52" i="9"/>
  <c r="AI82" i="9" s="1"/>
  <c r="AL52" i="9"/>
  <c r="AL82" i="9" s="1"/>
  <c r="Y6" i="9"/>
  <c r="Y28" i="9"/>
  <c r="Y39" i="9" s="1"/>
  <c r="AL41" i="9"/>
  <c r="N17" i="14" s="1"/>
  <c r="Y32" i="9"/>
  <c r="Y43" i="9" s="1"/>
  <c r="Y10" i="9"/>
  <c r="AB92" i="9" l="1"/>
  <c r="AA102" i="9"/>
  <c r="AA111" i="9" s="1"/>
  <c r="K113" i="9"/>
  <c r="N83" i="14"/>
  <c r="O17" i="14"/>
  <c r="M94" i="9"/>
  <c r="L104" i="9"/>
  <c r="L113" i="9" s="1"/>
  <c r="M90" i="9"/>
  <c r="L100" i="9"/>
  <c r="L109" i="9" s="1"/>
  <c r="Z28" i="9"/>
  <c r="Z39" i="9" s="1"/>
  <c r="B15" i="14" s="1"/>
  <c r="Z6" i="9"/>
  <c r="B6" i="14" s="1"/>
  <c r="Z32" i="9"/>
  <c r="Z43" i="9" s="1"/>
  <c r="Z10" i="9"/>
  <c r="B10" i="14" s="1"/>
  <c r="B81" i="14" l="1"/>
  <c r="AC92" i="9"/>
  <c r="AB102" i="9"/>
  <c r="AB111" i="9" s="1"/>
  <c r="B72" i="14"/>
  <c r="B76" i="14"/>
  <c r="B19" i="14"/>
  <c r="N94" i="9"/>
  <c r="M104" i="9"/>
  <c r="M113" i="9" s="1"/>
  <c r="N90" i="9"/>
  <c r="M100" i="9"/>
  <c r="M109" i="9" s="1"/>
  <c r="AA6" i="9"/>
  <c r="C6" i="14" s="1"/>
  <c r="C72" i="14" s="1"/>
  <c r="AA28" i="9"/>
  <c r="C26" i="14" s="1"/>
  <c r="AA32" i="9"/>
  <c r="C30" i="14" s="1"/>
  <c r="AA10" i="9"/>
  <c r="C10" i="14" s="1"/>
  <c r="C76" i="14" s="1"/>
  <c r="AD92" i="9" l="1"/>
  <c r="AC102" i="9"/>
  <c r="AC111" i="9" s="1"/>
  <c r="C96" i="14"/>
  <c r="O94" i="9"/>
  <c r="N104" i="9"/>
  <c r="N113" i="9" s="1"/>
  <c r="C92" i="14"/>
  <c r="B85" i="14"/>
  <c r="O90" i="9"/>
  <c r="N100" i="9"/>
  <c r="N109" i="9" s="1"/>
  <c r="AA39" i="9"/>
  <c r="C15" i="14" s="1"/>
  <c r="C81" i="14" s="1"/>
  <c r="AB6" i="9"/>
  <c r="D6" i="14" s="1"/>
  <c r="D72" i="14" s="1"/>
  <c r="AB28" i="9"/>
  <c r="D26" i="14" s="1"/>
  <c r="D92" i="14" s="1"/>
  <c r="AB32" i="9"/>
  <c r="D30" i="14" s="1"/>
  <c r="D96" i="14" s="1"/>
  <c r="AB10" i="9"/>
  <c r="D10" i="14" s="1"/>
  <c r="D76" i="14" s="1"/>
  <c r="AA43" i="9"/>
  <c r="P94" i="9" l="1"/>
  <c r="O104" i="9"/>
  <c r="O113" i="9" s="1"/>
  <c r="AE92" i="9"/>
  <c r="AD102" i="9"/>
  <c r="AD111" i="9" s="1"/>
  <c r="C19" i="14"/>
  <c r="C85" i="14" s="1"/>
  <c r="P90" i="9"/>
  <c r="O100" i="9"/>
  <c r="O109" i="9" s="1"/>
  <c r="AB39" i="9"/>
  <c r="D15" i="14" s="1"/>
  <c r="D81" i="14" s="1"/>
  <c r="AC28" i="9"/>
  <c r="E26" i="14" s="1"/>
  <c r="E92" i="14" s="1"/>
  <c r="AC6" i="9"/>
  <c r="E6" i="14" s="1"/>
  <c r="E72" i="14" s="1"/>
  <c r="AB43" i="9"/>
  <c r="AC10" i="9"/>
  <c r="E10" i="14" s="1"/>
  <c r="E76" i="14" s="1"/>
  <c r="AC32" i="9"/>
  <c r="E30" i="14" s="1"/>
  <c r="E96" i="14" s="1"/>
  <c r="AF92" i="9" l="1"/>
  <c r="AE102" i="9"/>
  <c r="AE111" i="9" s="1"/>
  <c r="D19" i="14"/>
  <c r="D85" i="14" s="1"/>
  <c r="P104" i="9"/>
  <c r="Q94" i="9"/>
  <c r="P100" i="9"/>
  <c r="Q90" i="9"/>
  <c r="AH64" i="9"/>
  <c r="AL64" i="9"/>
  <c r="AE64" i="9"/>
  <c r="AI64" i="9"/>
  <c r="AD64" i="9"/>
  <c r="AK64" i="9"/>
  <c r="AF64" i="9"/>
  <c r="AG64" i="9"/>
  <c r="AJ64" i="9"/>
  <c r="AH60" i="9"/>
  <c r="AL60" i="9"/>
  <c r="AE60" i="9"/>
  <c r="AI60" i="9"/>
  <c r="AD60" i="9"/>
  <c r="AK60" i="9"/>
  <c r="AF60" i="9"/>
  <c r="AG60" i="9"/>
  <c r="AJ60" i="9"/>
  <c r="AB50" i="9"/>
  <c r="AB80" i="9" s="1"/>
  <c r="AC50" i="9"/>
  <c r="AC80" i="9" s="1"/>
  <c r="W50" i="9"/>
  <c r="W80" i="9" s="1"/>
  <c r="Z50" i="9"/>
  <c r="Z80" i="9" s="1"/>
  <c r="Y50" i="9"/>
  <c r="Y80" i="9" s="1"/>
  <c r="S50" i="9"/>
  <c r="S80" i="9" s="1"/>
  <c r="X50" i="9"/>
  <c r="X80" i="9" s="1"/>
  <c r="AD28" i="9"/>
  <c r="F26" i="14" s="1"/>
  <c r="F92" i="14" s="1"/>
  <c r="R50" i="9"/>
  <c r="R80" i="9" s="1"/>
  <c r="R90" i="9" s="1"/>
  <c r="V50" i="9"/>
  <c r="V80" i="9" s="1"/>
  <c r="AA50" i="9"/>
  <c r="AA80" i="9" s="1"/>
  <c r="AD6" i="9"/>
  <c r="F6" i="14" s="1"/>
  <c r="F72" i="14" s="1"/>
  <c r="U50" i="9"/>
  <c r="U80" i="9" s="1"/>
  <c r="T50" i="9"/>
  <c r="T80" i="9" s="1"/>
  <c r="AC39" i="9"/>
  <c r="E15" i="14" s="1"/>
  <c r="E81" i="14" s="1"/>
  <c r="AD10" i="9"/>
  <c r="F10" i="14" s="1"/>
  <c r="F76" i="14" s="1"/>
  <c r="AB54" i="9"/>
  <c r="AB84" i="9" s="1"/>
  <c r="Y54" i="9"/>
  <c r="Y84" i="9" s="1"/>
  <c r="AC54" i="9"/>
  <c r="AC84" i="9" s="1"/>
  <c r="T54" i="9"/>
  <c r="T84" i="9" s="1"/>
  <c r="AA54" i="9"/>
  <c r="AA84" i="9" s="1"/>
  <c r="U54" i="9"/>
  <c r="U84" i="9" s="1"/>
  <c r="V54" i="9"/>
  <c r="V84" i="9" s="1"/>
  <c r="R54" i="9"/>
  <c r="R84" i="9" s="1"/>
  <c r="R94" i="9" s="1"/>
  <c r="S54" i="9"/>
  <c r="S84" i="9" s="1"/>
  <c r="AD32" i="9"/>
  <c r="F30" i="14" s="1"/>
  <c r="F96" i="14" s="1"/>
  <c r="X54" i="9"/>
  <c r="X84" i="9" s="1"/>
  <c r="Z54" i="9"/>
  <c r="Z84" i="9" s="1"/>
  <c r="W54" i="9"/>
  <c r="W84" i="9" s="1"/>
  <c r="AC43" i="9"/>
  <c r="S94" i="9" l="1"/>
  <c r="R104" i="9"/>
  <c r="R113" i="9" s="1"/>
  <c r="AG92" i="9"/>
  <c r="AF102" i="9"/>
  <c r="AF111" i="9" s="1"/>
  <c r="P113" i="9"/>
  <c r="Q113" i="9" s="1"/>
  <c r="Q104" i="9"/>
  <c r="E19" i="14"/>
  <c r="E85" i="14" s="1"/>
  <c r="R100" i="9"/>
  <c r="R109" i="9" s="1"/>
  <c r="S90" i="9"/>
  <c r="P109" i="9"/>
  <c r="Q109" i="9" s="1"/>
  <c r="Q100" i="9"/>
  <c r="AD39" i="9"/>
  <c r="F15" i="14" s="1"/>
  <c r="F81" i="14" s="1"/>
  <c r="AE6" i="9"/>
  <c r="G6" i="14" s="1"/>
  <c r="G72" i="14" s="1"/>
  <c r="AE28" i="9"/>
  <c r="G26" i="14" s="1"/>
  <c r="AE10" i="9"/>
  <c r="G10" i="14" s="1"/>
  <c r="AE32" i="9"/>
  <c r="G30" i="14" s="1"/>
  <c r="G96" i="14" s="1"/>
  <c r="AD43" i="9"/>
  <c r="G76" i="14" l="1"/>
  <c r="G92" i="14"/>
  <c r="AH92" i="9"/>
  <c r="AG102" i="9"/>
  <c r="AG111" i="9" s="1"/>
  <c r="T94" i="9"/>
  <c r="S104" i="9"/>
  <c r="S113" i="9" s="1"/>
  <c r="F19" i="14"/>
  <c r="F85" i="14" s="1"/>
  <c r="T90" i="9"/>
  <c r="S100" i="9"/>
  <c r="S109" i="9" s="1"/>
  <c r="AF6" i="9"/>
  <c r="H6" i="14" s="1"/>
  <c r="H72" i="14" s="1"/>
  <c r="AF28" i="9"/>
  <c r="H26" i="14" s="1"/>
  <c r="H92" i="14" s="1"/>
  <c r="AE39" i="9"/>
  <c r="G15" i="14" s="1"/>
  <c r="G81" i="14" s="1"/>
  <c r="AE43" i="9"/>
  <c r="AF32" i="9"/>
  <c r="H30" i="14" s="1"/>
  <c r="H96" i="14" s="1"/>
  <c r="AF10" i="9"/>
  <c r="H10" i="14" s="1"/>
  <c r="H76" i="14" s="1"/>
  <c r="U94" i="9" l="1"/>
  <c r="T104" i="9"/>
  <c r="T113" i="9" s="1"/>
  <c r="G19" i="14"/>
  <c r="G85" i="14" s="1"/>
  <c r="AI92" i="9"/>
  <c r="AH102" i="9"/>
  <c r="AH111" i="9" s="1"/>
  <c r="T100" i="9"/>
  <c r="T109" i="9" s="1"/>
  <c r="U90" i="9"/>
  <c r="AF39" i="9"/>
  <c r="H15" i="14" s="1"/>
  <c r="H81" i="14" s="1"/>
  <c r="AG6" i="9"/>
  <c r="I6" i="14" s="1"/>
  <c r="I72" i="14" s="1"/>
  <c r="AG28" i="9"/>
  <c r="I26" i="14" s="1"/>
  <c r="I92" i="14" s="1"/>
  <c r="AG10" i="9"/>
  <c r="I10" i="14" s="1"/>
  <c r="I76" i="14" s="1"/>
  <c r="AG32" i="9"/>
  <c r="I30" i="14" s="1"/>
  <c r="I96" i="14" s="1"/>
  <c r="AF43" i="9"/>
  <c r="H19" i="14" l="1"/>
  <c r="H85" i="14" s="1"/>
  <c r="AJ92" i="9"/>
  <c r="AI102" i="9"/>
  <c r="AI111" i="9" s="1"/>
  <c r="V94" i="9"/>
  <c r="U104" i="9"/>
  <c r="U113" i="9" s="1"/>
  <c r="V90" i="9"/>
  <c r="U100" i="9"/>
  <c r="U109" i="9" s="1"/>
  <c r="AH28" i="9"/>
  <c r="J26" i="14" s="1"/>
  <c r="J92" i="14" s="1"/>
  <c r="AH6" i="9"/>
  <c r="J6" i="14" s="1"/>
  <c r="J72" i="14" s="1"/>
  <c r="AG39" i="9"/>
  <c r="I15" i="14" s="1"/>
  <c r="I81" i="14" s="1"/>
  <c r="AH10" i="9"/>
  <c r="J10" i="14" s="1"/>
  <c r="J76" i="14" s="1"/>
  <c r="AH32" i="9"/>
  <c r="J30" i="14" s="1"/>
  <c r="J96" i="14" s="1"/>
  <c r="AG43" i="9"/>
  <c r="AK92" i="9" l="1"/>
  <c r="AJ102" i="9"/>
  <c r="AJ111" i="9" s="1"/>
  <c r="I19" i="14"/>
  <c r="I85" i="14" s="1"/>
  <c r="W94" i="9"/>
  <c r="V104" i="9"/>
  <c r="V113" i="9" s="1"/>
  <c r="W90" i="9"/>
  <c r="V100" i="9"/>
  <c r="V109" i="9" s="1"/>
  <c r="AI6" i="9"/>
  <c r="K6" i="14" s="1"/>
  <c r="K72" i="14" s="1"/>
  <c r="AI28" i="9"/>
  <c r="K26" i="14" s="1"/>
  <c r="K92" i="14" s="1"/>
  <c r="AH39" i="9"/>
  <c r="J15" i="14" s="1"/>
  <c r="J81" i="14" s="1"/>
  <c r="AI32" i="9"/>
  <c r="K30" i="14" s="1"/>
  <c r="K96" i="14" s="1"/>
  <c r="AI10" i="9"/>
  <c r="K10" i="14" s="1"/>
  <c r="K76" i="14" s="1"/>
  <c r="AH43" i="9"/>
  <c r="J19" i="14" l="1"/>
  <c r="J85" i="14" s="1"/>
  <c r="X94" i="9"/>
  <c r="W104" i="9"/>
  <c r="W113" i="9" s="1"/>
  <c r="AL92" i="9"/>
  <c r="AL102" i="9" s="1"/>
  <c r="AL111" i="9" s="1"/>
  <c r="AK102" i="9"/>
  <c r="AK111" i="9" s="1"/>
  <c r="X90" i="9"/>
  <c r="W100" i="9"/>
  <c r="W109" i="9" s="1"/>
  <c r="AJ6" i="9"/>
  <c r="L6" i="14" s="1"/>
  <c r="L72" i="14" s="1"/>
  <c r="AJ28" i="9"/>
  <c r="L26" i="14" s="1"/>
  <c r="L92" i="14" s="1"/>
  <c r="AI39" i="9"/>
  <c r="K15" i="14" s="1"/>
  <c r="K81" i="14" s="1"/>
  <c r="AJ10" i="9"/>
  <c r="L10" i="14" s="1"/>
  <c r="L76" i="14" s="1"/>
  <c r="AJ32" i="9"/>
  <c r="L30" i="14" s="1"/>
  <c r="L96" i="14" s="1"/>
  <c r="AI43" i="9"/>
  <c r="Z23" i="9"/>
  <c r="AA15" i="26" s="1"/>
  <c r="E5" i="9"/>
  <c r="F27" i="9" s="1"/>
  <c r="F34" i="9" s="1"/>
  <c r="Y94" i="9" l="1"/>
  <c r="X104" i="9"/>
  <c r="X113" i="9" s="1"/>
  <c r="K19" i="14"/>
  <c r="K85" i="14" s="1"/>
  <c r="Y90" i="9"/>
  <c r="X100" i="9"/>
  <c r="X109" i="9" s="1"/>
  <c r="AJ39" i="9"/>
  <c r="L15" i="14" s="1"/>
  <c r="L81" i="14" s="1"/>
  <c r="AK6" i="9"/>
  <c r="M6" i="14" s="1"/>
  <c r="M72" i="14" s="1"/>
  <c r="AK28" i="9"/>
  <c r="M26" i="14" s="1"/>
  <c r="M92" i="14" s="1"/>
  <c r="AK10" i="9"/>
  <c r="M10" i="14" s="1"/>
  <c r="M76" i="14" s="1"/>
  <c r="AK32" i="9"/>
  <c r="M30" i="14" s="1"/>
  <c r="M96" i="14" s="1"/>
  <c r="AJ43" i="9"/>
  <c r="F38" i="9"/>
  <c r="F5" i="9"/>
  <c r="G27" i="9" s="1"/>
  <c r="Q16" i="9"/>
  <c r="Q23" i="9" s="1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L19" i="14" l="1"/>
  <c r="L85" i="14" s="1"/>
  <c r="Z94" i="9"/>
  <c r="Y104" i="9"/>
  <c r="Y113" i="9" s="1"/>
  <c r="Z90" i="9"/>
  <c r="Y100" i="9"/>
  <c r="Y109" i="9" s="1"/>
  <c r="AL28" i="9"/>
  <c r="N26" i="14" s="1"/>
  <c r="AL6" i="9"/>
  <c r="N6" i="14" s="1"/>
  <c r="AK39" i="9"/>
  <c r="M15" i="14" s="1"/>
  <c r="M81" i="14" s="1"/>
  <c r="AK43" i="9"/>
  <c r="AL32" i="9"/>
  <c r="N30" i="14" s="1"/>
  <c r="AL10" i="9"/>
  <c r="N10" i="14" s="1"/>
  <c r="G38" i="9"/>
  <c r="G5" i="9"/>
  <c r="N96" i="14" l="1"/>
  <c r="O96" i="14" s="1"/>
  <c r="O97" i="14" s="1"/>
  <c r="O30" i="14"/>
  <c r="N72" i="14"/>
  <c r="O6" i="14"/>
  <c r="N92" i="14"/>
  <c r="O26" i="14"/>
  <c r="AA94" i="9"/>
  <c r="Z104" i="9"/>
  <c r="Z113" i="9" s="1"/>
  <c r="M19" i="14"/>
  <c r="M85" i="14" s="1"/>
  <c r="N76" i="14"/>
  <c r="O76" i="14" s="1"/>
  <c r="O77" i="14" s="1"/>
  <c r="O10" i="14"/>
  <c r="AA90" i="9"/>
  <c r="Z100" i="9"/>
  <c r="Z109" i="9" s="1"/>
  <c r="AF50" i="9"/>
  <c r="AF80" i="9" s="1"/>
  <c r="AJ50" i="9"/>
  <c r="AJ80" i="9" s="1"/>
  <c r="AG50" i="9"/>
  <c r="AG80" i="9" s="1"/>
  <c r="AK50" i="9"/>
  <c r="AK80" i="9" s="1"/>
  <c r="AE50" i="9"/>
  <c r="AE80" i="9" s="1"/>
  <c r="AH50" i="9"/>
  <c r="AH80" i="9" s="1"/>
  <c r="AI50" i="9"/>
  <c r="AI80" i="9" s="1"/>
  <c r="AD50" i="9"/>
  <c r="AD80" i="9" s="1"/>
  <c r="AL50" i="9"/>
  <c r="AL80" i="9" s="1"/>
  <c r="AF54" i="9"/>
  <c r="AF84" i="9" s="1"/>
  <c r="AJ54" i="9"/>
  <c r="AJ84" i="9" s="1"/>
  <c r="AG54" i="9"/>
  <c r="AG84" i="9" s="1"/>
  <c r="AK54" i="9"/>
  <c r="AK84" i="9" s="1"/>
  <c r="AE54" i="9"/>
  <c r="AE84" i="9" s="1"/>
  <c r="AD54" i="9"/>
  <c r="AD84" i="9" s="1"/>
  <c r="AH54" i="9"/>
  <c r="AH84" i="9" s="1"/>
  <c r="AI54" i="9"/>
  <c r="AI84" i="9" s="1"/>
  <c r="AL54" i="9"/>
  <c r="AL84" i="9" s="1"/>
  <c r="AL39" i="9"/>
  <c r="N15" i="14" s="1"/>
  <c r="AL43" i="9"/>
  <c r="N19" i="14" s="1"/>
  <c r="H5" i="9"/>
  <c r="H27" i="9"/>
  <c r="AB94" i="9" l="1"/>
  <c r="AA104" i="9"/>
  <c r="AA113" i="9" s="1"/>
  <c r="N85" i="14"/>
  <c r="O85" i="14" s="1"/>
  <c r="O86" i="14" s="1"/>
  <c r="O19" i="14"/>
  <c r="N81" i="14"/>
  <c r="O15" i="14"/>
  <c r="AB90" i="9"/>
  <c r="AA100" i="9"/>
  <c r="AA109" i="9" s="1"/>
  <c r="H38" i="9"/>
  <c r="I5" i="9"/>
  <c r="I27" i="9"/>
  <c r="AC94" i="9" l="1"/>
  <c r="AB104" i="9"/>
  <c r="AB113" i="9" s="1"/>
  <c r="AC90" i="9"/>
  <c r="AB100" i="9"/>
  <c r="AB109" i="9" s="1"/>
  <c r="I38" i="9"/>
  <c r="J5" i="9"/>
  <c r="J27" i="9"/>
  <c r="AD94" i="9" l="1"/>
  <c r="AC104" i="9"/>
  <c r="AC113" i="9" s="1"/>
  <c r="AD90" i="9"/>
  <c r="AC100" i="9"/>
  <c r="AC109" i="9" s="1"/>
  <c r="K5" i="9"/>
  <c r="K27" i="9"/>
  <c r="J38" i="9"/>
  <c r="AE94" i="9" l="1"/>
  <c r="AD104" i="9"/>
  <c r="AD113" i="9" s="1"/>
  <c r="AE90" i="9"/>
  <c r="AD100" i="9"/>
  <c r="AD109" i="9" s="1"/>
  <c r="K38" i="9"/>
  <c r="L5" i="9"/>
  <c r="L27" i="9"/>
  <c r="AF94" i="9" l="1"/>
  <c r="AE104" i="9"/>
  <c r="AE113" i="9" s="1"/>
  <c r="AF90" i="9"/>
  <c r="AE100" i="9"/>
  <c r="AE109" i="9" s="1"/>
  <c r="L38" i="9"/>
  <c r="M5" i="9"/>
  <c r="M27" i="9"/>
  <c r="AG94" i="9" l="1"/>
  <c r="AF104" i="9"/>
  <c r="AF113" i="9" s="1"/>
  <c r="AG90" i="9"/>
  <c r="AF100" i="9"/>
  <c r="AF109" i="9" s="1"/>
  <c r="M38" i="9"/>
  <c r="N5" i="9"/>
  <c r="N27" i="9"/>
  <c r="AH94" i="9" l="1"/>
  <c r="AG104" i="9"/>
  <c r="AG113" i="9" s="1"/>
  <c r="AH90" i="9"/>
  <c r="AG100" i="9"/>
  <c r="AG109" i="9" s="1"/>
  <c r="N38" i="9"/>
  <c r="O5" i="9"/>
  <c r="O27" i="9"/>
  <c r="AI94" i="9" l="1"/>
  <c r="AH104" i="9"/>
  <c r="AH113" i="9" s="1"/>
  <c r="AI90" i="9"/>
  <c r="AH100" i="9"/>
  <c r="AH109" i="9" s="1"/>
  <c r="O38" i="9"/>
  <c r="P5" i="9"/>
  <c r="P27" i="9"/>
  <c r="Q27" i="9" s="1"/>
  <c r="Q34" i="9" s="1"/>
  <c r="AF69" i="9" l="1"/>
  <c r="AJ69" i="9"/>
  <c r="AH69" i="9"/>
  <c r="AI69" i="9"/>
  <c r="AI76" i="9" s="1"/>
  <c r="AG69" i="9"/>
  <c r="AK69" i="9"/>
  <c r="AK76" i="9" s="1"/>
  <c r="AL69" i="9"/>
  <c r="AL76" i="9" s="1"/>
  <c r="AE69" i="9"/>
  <c r="AE76" i="9" s="1"/>
  <c r="P38" i="9"/>
  <c r="AJ94" i="9"/>
  <c r="AI104" i="9"/>
  <c r="AI113" i="9" s="1"/>
  <c r="AJ90" i="9"/>
  <c r="AI100" i="9"/>
  <c r="AI109" i="9" s="1"/>
  <c r="T59" i="9"/>
  <c r="T66" i="9" s="1"/>
  <c r="X59" i="9"/>
  <c r="X66" i="9" s="1"/>
  <c r="AB59" i="9"/>
  <c r="AB66" i="9" s="1"/>
  <c r="AD69" i="9"/>
  <c r="AD76" i="9" s="1"/>
  <c r="U59" i="9"/>
  <c r="Y59" i="9"/>
  <c r="AC59" i="9"/>
  <c r="AC66" i="9" s="1"/>
  <c r="W59" i="9"/>
  <c r="W66" i="9" s="1"/>
  <c r="Z59" i="9"/>
  <c r="Z66" i="9" s="1"/>
  <c r="S59" i="9"/>
  <c r="S66" i="9" s="1"/>
  <c r="AA59" i="9"/>
  <c r="AA66" i="9" s="1"/>
  <c r="V59" i="9"/>
  <c r="V66" i="9" s="1"/>
  <c r="AJ76" i="9"/>
  <c r="AH76" i="9"/>
  <c r="U66" i="9"/>
  <c r="Y66" i="9"/>
  <c r="R59" i="9"/>
  <c r="R66" i="9" s="1"/>
  <c r="AF76" i="9"/>
  <c r="AG76" i="9"/>
  <c r="R27" i="9"/>
  <c r="R34" i="9" s="1"/>
  <c r="O49" i="9"/>
  <c r="O79" i="9" s="1"/>
  <c r="M49" i="9"/>
  <c r="M79" i="9" s="1"/>
  <c r="P49" i="9"/>
  <c r="P79" i="9" s="1"/>
  <c r="G49" i="9"/>
  <c r="G79" i="9" s="1"/>
  <c r="K49" i="9"/>
  <c r="K79" i="9" s="1"/>
  <c r="J49" i="9"/>
  <c r="J79" i="9" s="1"/>
  <c r="F49" i="9"/>
  <c r="F79" i="9" s="1"/>
  <c r="H49" i="9"/>
  <c r="H79" i="9" s="1"/>
  <c r="N49" i="9"/>
  <c r="N79" i="9" s="1"/>
  <c r="E49" i="9"/>
  <c r="E79" i="9" s="1"/>
  <c r="E89" i="9" s="1"/>
  <c r="I49" i="9"/>
  <c r="I79" i="9" s="1"/>
  <c r="L49" i="9"/>
  <c r="L79" i="9" s="1"/>
  <c r="Q5" i="9"/>
  <c r="AK94" i="9" l="1"/>
  <c r="AJ104" i="9"/>
  <c r="AJ113" i="9" s="1"/>
  <c r="E99" i="9"/>
  <c r="F89" i="9"/>
  <c r="Q79" i="9"/>
  <c r="AK90" i="9"/>
  <c r="AJ100" i="9"/>
  <c r="AJ109" i="9" s="1"/>
  <c r="N56" i="9"/>
  <c r="M56" i="9"/>
  <c r="J56" i="9"/>
  <c r="L56" i="9"/>
  <c r="H56" i="9"/>
  <c r="K56" i="9"/>
  <c r="O56" i="9"/>
  <c r="I56" i="9"/>
  <c r="G56" i="9"/>
  <c r="F56" i="9"/>
  <c r="P56" i="9"/>
  <c r="E56" i="9"/>
  <c r="Q49" i="9"/>
  <c r="R5" i="9"/>
  <c r="S27" i="9" s="1"/>
  <c r="Q38" i="9"/>
  <c r="R38" i="9" s="1"/>
  <c r="AL94" i="9" l="1"/>
  <c r="AL104" i="9" s="1"/>
  <c r="AL113" i="9" s="1"/>
  <c r="AK104" i="9"/>
  <c r="AK113" i="9" s="1"/>
  <c r="G89" i="9"/>
  <c r="F99" i="9"/>
  <c r="F108" i="9" s="1"/>
  <c r="E108" i="9"/>
  <c r="AL90" i="9"/>
  <c r="AL100" i="9" s="1"/>
  <c r="AL109" i="9" s="1"/>
  <c r="AK100" i="9"/>
  <c r="AK109" i="9" s="1"/>
  <c r="E88" i="9"/>
  <c r="Q78" i="9"/>
  <c r="S38" i="9"/>
  <c r="R12" i="9"/>
  <c r="S5" i="9"/>
  <c r="T27" i="9" s="1"/>
  <c r="H89" i="9" l="1"/>
  <c r="G99" i="9"/>
  <c r="F88" i="9"/>
  <c r="E98" i="9"/>
  <c r="E107" i="9" s="1"/>
  <c r="T38" i="9"/>
  <c r="T5" i="9"/>
  <c r="U27" i="9" s="1"/>
  <c r="G88" i="9" l="1"/>
  <c r="F98" i="9"/>
  <c r="G108" i="9"/>
  <c r="I89" i="9"/>
  <c r="H99" i="9"/>
  <c r="H108" i="9" s="1"/>
  <c r="U5" i="9"/>
  <c r="V27" i="9" s="1"/>
  <c r="U38" i="9"/>
  <c r="J89" i="9" l="1"/>
  <c r="I99" i="9"/>
  <c r="H88" i="9"/>
  <c r="G98" i="9"/>
  <c r="F107" i="9"/>
  <c r="V38" i="9"/>
  <c r="V5" i="9"/>
  <c r="W27" i="9" s="1"/>
  <c r="AH33" i="9"/>
  <c r="I88" i="9" l="1"/>
  <c r="H98" i="9"/>
  <c r="I108" i="9"/>
  <c r="K89" i="9"/>
  <c r="J99" i="9"/>
  <c r="J108" i="9" s="1"/>
  <c r="G107" i="9"/>
  <c r="W38" i="9"/>
  <c r="W5" i="9"/>
  <c r="X27" i="9" s="1"/>
  <c r="AI33" i="9"/>
  <c r="L89" i="9" l="1"/>
  <c r="K99" i="9"/>
  <c r="J88" i="9"/>
  <c r="I98" i="9"/>
  <c r="X38" i="9"/>
  <c r="H107" i="9"/>
  <c r="X5" i="9"/>
  <c r="Y27" i="9" s="1"/>
  <c r="AJ33" i="9"/>
  <c r="K88" i="9" l="1"/>
  <c r="J98" i="9"/>
  <c r="K108" i="9"/>
  <c r="M89" i="9"/>
  <c r="L99" i="9"/>
  <c r="L108" i="9" s="1"/>
  <c r="Y38" i="9"/>
  <c r="I107" i="9"/>
  <c r="Y5" i="9"/>
  <c r="Z27" i="9" s="1"/>
  <c r="AK33" i="9"/>
  <c r="Z38" i="9" l="1"/>
  <c r="B14" i="14" s="1"/>
  <c r="N89" i="9"/>
  <c r="M99" i="9"/>
  <c r="L88" i="9"/>
  <c r="K98" i="9"/>
  <c r="J107" i="9"/>
  <c r="Z5" i="9"/>
  <c r="AL33" i="9"/>
  <c r="AA27" i="9" l="1"/>
  <c r="B5" i="14"/>
  <c r="B80" i="14"/>
  <c r="M108" i="9"/>
  <c r="O89" i="9"/>
  <c r="N99" i="9"/>
  <c r="N108" i="9" s="1"/>
  <c r="M88" i="9"/>
  <c r="L98" i="9"/>
  <c r="AA5" i="9"/>
  <c r="K107" i="9"/>
  <c r="AB5" i="9" l="1"/>
  <c r="D5" i="14" s="1"/>
  <c r="C5" i="14"/>
  <c r="B71" i="14"/>
  <c r="AA38" i="9"/>
  <c r="C14" i="14" s="1"/>
  <c r="C80" i="14" s="1"/>
  <c r="C25" i="14"/>
  <c r="P89" i="9"/>
  <c r="O99" i="9"/>
  <c r="O108" i="9" s="1"/>
  <c r="N88" i="9"/>
  <c r="M98" i="9"/>
  <c r="AC27" i="9"/>
  <c r="E25" i="14" s="1"/>
  <c r="E91" i="14" s="1"/>
  <c r="AB27" i="9"/>
  <c r="D25" i="14" s="1"/>
  <c r="D91" i="14" s="1"/>
  <c r="L107" i="9"/>
  <c r="AC5" i="9" l="1"/>
  <c r="E5" i="14" s="1"/>
  <c r="C91" i="14"/>
  <c r="C71" i="14"/>
  <c r="C11" i="14"/>
  <c r="C77" i="14" s="1"/>
  <c r="D71" i="14"/>
  <c r="D11" i="14"/>
  <c r="D77" i="14" s="1"/>
  <c r="O88" i="9"/>
  <c r="N98" i="9"/>
  <c r="P99" i="9"/>
  <c r="Q89" i="9"/>
  <c r="R49" i="9"/>
  <c r="R79" i="9" s="1"/>
  <c r="R89" i="9" s="1"/>
  <c r="AH59" i="9"/>
  <c r="AL59" i="9"/>
  <c r="AE59" i="9"/>
  <c r="AI59" i="9"/>
  <c r="AK59" i="9"/>
  <c r="AF59" i="9"/>
  <c r="AJ59" i="9"/>
  <c r="AG59" i="9"/>
  <c r="AD59" i="9"/>
  <c r="AD27" i="9"/>
  <c r="F25" i="14" s="1"/>
  <c r="F91" i="14" s="1"/>
  <c r="AB38" i="9"/>
  <c r="D14" i="14" s="1"/>
  <c r="D80" i="14" s="1"/>
  <c r="M107" i="9"/>
  <c r="AC49" i="9"/>
  <c r="AC79" i="9" s="1"/>
  <c r="Y49" i="9"/>
  <c r="Y79" i="9" s="1"/>
  <c r="U49" i="9"/>
  <c r="U79" i="9" s="1"/>
  <c r="Z49" i="9"/>
  <c r="Z79" i="9" s="1"/>
  <c r="AB49" i="9"/>
  <c r="AB79" i="9" s="1"/>
  <c r="X49" i="9"/>
  <c r="X79" i="9" s="1"/>
  <c r="T49" i="9"/>
  <c r="T79" i="9" s="1"/>
  <c r="V49" i="9"/>
  <c r="V79" i="9" s="1"/>
  <c r="AA49" i="9"/>
  <c r="AA79" i="9" s="1"/>
  <c r="W49" i="9"/>
  <c r="W79" i="9" s="1"/>
  <c r="S49" i="9"/>
  <c r="S79" i="9" s="1"/>
  <c r="AD5" i="9"/>
  <c r="F5" i="14" s="1"/>
  <c r="F71" i="14" l="1"/>
  <c r="F11" i="14"/>
  <c r="F77" i="14" s="1"/>
  <c r="E71" i="14"/>
  <c r="E11" i="14"/>
  <c r="E77" i="14" s="1"/>
  <c r="P108" i="9"/>
  <c r="Q108" i="9" s="1"/>
  <c r="Q99" i="9"/>
  <c r="R99" i="9"/>
  <c r="R108" i="9" s="1"/>
  <c r="S89" i="9"/>
  <c r="P88" i="9"/>
  <c r="P98" i="9" s="1"/>
  <c r="O98" i="9"/>
  <c r="AC38" i="9"/>
  <c r="E14" i="14" s="1"/>
  <c r="E80" i="14" s="1"/>
  <c r="AE27" i="9"/>
  <c r="G25" i="14" s="1"/>
  <c r="G91" i="14" s="1"/>
  <c r="N107" i="9"/>
  <c r="AE5" i="9"/>
  <c r="G5" i="14" s="1"/>
  <c r="G71" i="14" l="1"/>
  <c r="G11" i="14"/>
  <c r="G77" i="14" s="1"/>
  <c r="T89" i="9"/>
  <c r="S99" i="9"/>
  <c r="S108" i="9" s="1"/>
  <c r="AD38" i="9"/>
  <c r="F14" i="14" s="1"/>
  <c r="F80" i="14" s="1"/>
  <c r="AF27" i="9"/>
  <c r="H25" i="14" s="1"/>
  <c r="H91" i="14" s="1"/>
  <c r="R88" i="9"/>
  <c r="S88" i="9" s="1"/>
  <c r="Q88" i="9"/>
  <c r="O107" i="9"/>
  <c r="AF5" i="9"/>
  <c r="H5" i="14" s="1"/>
  <c r="H71" i="14" l="1"/>
  <c r="H11" i="14"/>
  <c r="H77" i="14" s="1"/>
  <c r="T88" i="9"/>
  <c r="U89" i="9"/>
  <c r="T99" i="9"/>
  <c r="T108" i="9" s="1"/>
  <c r="AE38" i="9"/>
  <c r="G14" i="14" s="1"/>
  <c r="G80" i="14" s="1"/>
  <c r="AG27" i="9"/>
  <c r="I25" i="14" s="1"/>
  <c r="I91" i="14" s="1"/>
  <c r="P107" i="9"/>
  <c r="Q107" i="9" s="1"/>
  <c r="Q98" i="9"/>
  <c r="AG5" i="9"/>
  <c r="I5" i="14" s="1"/>
  <c r="I71" i="14" l="1"/>
  <c r="I11" i="14"/>
  <c r="I77" i="14" s="1"/>
  <c r="U88" i="9"/>
  <c r="V89" i="9"/>
  <c r="U99" i="9"/>
  <c r="U108" i="9" s="1"/>
  <c r="AF38" i="9"/>
  <c r="H14" i="14" s="1"/>
  <c r="H80" i="14" s="1"/>
  <c r="AH27" i="9"/>
  <c r="J25" i="14" s="1"/>
  <c r="AH5" i="9"/>
  <c r="J5" i="14" s="1"/>
  <c r="J91" i="14" l="1"/>
  <c r="J71" i="14"/>
  <c r="J11" i="14"/>
  <c r="J77" i="14" s="1"/>
  <c r="V88" i="9"/>
  <c r="W89" i="9"/>
  <c r="V99" i="9"/>
  <c r="V108" i="9" s="1"/>
  <c r="AG38" i="9"/>
  <c r="I14" i="14" s="1"/>
  <c r="I80" i="14" s="1"/>
  <c r="AI27" i="9"/>
  <c r="K25" i="14" s="1"/>
  <c r="K91" i="14" s="1"/>
  <c r="AI5" i="9"/>
  <c r="K5" i="14" s="1"/>
  <c r="K71" i="14" l="1"/>
  <c r="K11" i="14"/>
  <c r="K77" i="14" s="1"/>
  <c r="X89" i="9"/>
  <c r="W99" i="9"/>
  <c r="W108" i="9" s="1"/>
  <c r="W88" i="9"/>
  <c r="AH38" i="9"/>
  <c r="J14" i="14" s="1"/>
  <c r="J80" i="14" s="1"/>
  <c r="AJ27" i="9"/>
  <c r="L25" i="14" s="1"/>
  <c r="L91" i="14" s="1"/>
  <c r="AJ5" i="9"/>
  <c r="L5" i="14" s="1"/>
  <c r="L71" i="14" l="1"/>
  <c r="L11" i="14"/>
  <c r="L77" i="14" s="1"/>
  <c r="X88" i="9"/>
  <c r="Y89" i="9"/>
  <c r="X99" i="9"/>
  <c r="X108" i="9" s="1"/>
  <c r="AI38" i="9"/>
  <c r="K14" i="14" s="1"/>
  <c r="K80" i="14" s="1"/>
  <c r="AK27" i="9"/>
  <c r="M25" i="14" s="1"/>
  <c r="M91" i="14" s="1"/>
  <c r="AK5" i="9"/>
  <c r="M5" i="14" s="1"/>
  <c r="M71" i="14" l="1"/>
  <c r="M11" i="14"/>
  <c r="M77" i="14" s="1"/>
  <c r="Z89" i="9"/>
  <c r="Y99" i="9"/>
  <c r="Y108" i="9" s="1"/>
  <c r="Y88" i="9"/>
  <c r="AJ38" i="9"/>
  <c r="L14" i="14" s="1"/>
  <c r="L80" i="14" s="1"/>
  <c r="AL27" i="9"/>
  <c r="N25" i="14" s="1"/>
  <c r="AL5" i="9"/>
  <c r="N5" i="14" s="1"/>
  <c r="N91" i="14" l="1"/>
  <c r="N71" i="14"/>
  <c r="N11" i="14"/>
  <c r="N77" i="14" s="1"/>
  <c r="O5" i="14"/>
  <c r="Z88" i="9"/>
  <c r="AA89" i="9"/>
  <c r="Z99" i="9"/>
  <c r="Z108" i="9" s="1"/>
  <c r="AF49" i="9"/>
  <c r="AF79" i="9" s="1"/>
  <c r="AJ49" i="9"/>
  <c r="AJ79" i="9" s="1"/>
  <c r="AD49" i="9"/>
  <c r="AG49" i="9"/>
  <c r="AG79" i="9" s="1"/>
  <c r="AK49" i="9"/>
  <c r="AK79" i="9" s="1"/>
  <c r="AE49" i="9"/>
  <c r="AE79" i="9" s="1"/>
  <c r="AH49" i="9"/>
  <c r="AH79" i="9" s="1"/>
  <c r="AL49" i="9"/>
  <c r="AL79" i="9" s="1"/>
  <c r="AI49" i="9"/>
  <c r="AI79" i="9" s="1"/>
  <c r="AK38" i="9"/>
  <c r="M14" i="14" s="1"/>
  <c r="M80" i="14" s="1"/>
  <c r="AD56" i="9" l="1"/>
  <c r="AD79" i="9"/>
  <c r="AB89" i="9"/>
  <c r="AA99" i="9"/>
  <c r="AA108" i="9" s="1"/>
  <c r="AA88" i="9"/>
  <c r="AL38" i="9"/>
  <c r="N14" i="14" s="1"/>
  <c r="AF56" i="9"/>
  <c r="AK56" i="9"/>
  <c r="AJ56" i="9"/>
  <c r="AH56" i="9"/>
  <c r="AE56" i="9"/>
  <c r="AI56" i="9"/>
  <c r="AG56" i="9"/>
  <c r="AL56" i="9"/>
  <c r="W23" i="9"/>
  <c r="X15" i="26" s="1"/>
  <c r="X23" i="9"/>
  <c r="Y15" i="26" s="1"/>
  <c r="Y23" i="9"/>
  <c r="Z15" i="26" s="1"/>
  <c r="AA23" i="9"/>
  <c r="AB15" i="26" s="1"/>
  <c r="AB23" i="9"/>
  <c r="AC15" i="26" s="1"/>
  <c r="AC23" i="9"/>
  <c r="AD15" i="26" s="1"/>
  <c r="AD23" i="9"/>
  <c r="AF15" i="26" s="1"/>
  <c r="AE23" i="9"/>
  <c r="AG15" i="26" s="1"/>
  <c r="AF23" i="9"/>
  <c r="AH15" i="26" s="1"/>
  <c r="AG23" i="9"/>
  <c r="AI15" i="26" s="1"/>
  <c r="AH23" i="9"/>
  <c r="AJ15" i="26" s="1"/>
  <c r="AI23" i="9"/>
  <c r="AK15" i="26" s="1"/>
  <c r="AJ23" i="9"/>
  <c r="AL15" i="26" s="1"/>
  <c r="AK23" i="9"/>
  <c r="AM15" i="26" s="1"/>
  <c r="AL23" i="9"/>
  <c r="AN15" i="26" s="1"/>
  <c r="N80" i="14" l="1"/>
  <c r="O14" i="14"/>
  <c r="AC89" i="9"/>
  <c r="AB99" i="9"/>
  <c r="AB108" i="9" s="1"/>
  <c r="AB88" i="9"/>
  <c r="S23" i="9"/>
  <c r="T15" i="26" s="1"/>
  <c r="T23" i="9"/>
  <c r="U15" i="26" s="1"/>
  <c r="U23" i="9"/>
  <c r="V15" i="26" s="1"/>
  <c r="V23" i="9"/>
  <c r="W15" i="26" s="1"/>
  <c r="AC88" i="9" l="1"/>
  <c r="AD89" i="9"/>
  <c r="AC99" i="9"/>
  <c r="AC108" i="9" s="1"/>
  <c r="AE89" i="9" l="1"/>
  <c r="AD99" i="9"/>
  <c r="AD108" i="9" s="1"/>
  <c r="AD88" i="9"/>
  <c r="AE88" i="9" l="1"/>
  <c r="AF89" i="9"/>
  <c r="AE99" i="9"/>
  <c r="AE108" i="9" s="1"/>
  <c r="AG89" i="9" l="1"/>
  <c r="AF99" i="9"/>
  <c r="AF108" i="9" s="1"/>
  <c r="AF88" i="9"/>
  <c r="AH89" i="9" l="1"/>
  <c r="AG99" i="9"/>
  <c r="AG108" i="9" s="1"/>
  <c r="AG88" i="9"/>
  <c r="AH88" i="9" l="1"/>
  <c r="AI89" i="9"/>
  <c r="AH99" i="9"/>
  <c r="AH108" i="9" s="1"/>
  <c r="AJ89" i="9" l="1"/>
  <c r="AI99" i="9"/>
  <c r="AI108" i="9" s="1"/>
  <c r="AI88" i="9"/>
  <c r="AJ88" i="9" l="1"/>
  <c r="AK89" i="9"/>
  <c r="AJ99" i="9"/>
  <c r="AJ108" i="9" s="1"/>
  <c r="AL89" i="9" l="1"/>
  <c r="AL99" i="9" s="1"/>
  <c r="AL108" i="9" s="1"/>
  <c r="AK99" i="9"/>
  <c r="AK108" i="9" s="1"/>
  <c r="AK88" i="9"/>
  <c r="AL88" i="9" l="1"/>
  <c r="I23" i="9" l="1"/>
  <c r="I15" i="26" s="1"/>
  <c r="H23" i="9"/>
  <c r="H15" i="26" s="1"/>
  <c r="G23" i="9"/>
  <c r="G15" i="26" s="1"/>
  <c r="N23" i="9"/>
  <c r="N15" i="26" s="1"/>
  <c r="O23" i="9"/>
  <c r="O15" i="26" s="1"/>
  <c r="M23" i="9"/>
  <c r="M15" i="26" s="1"/>
  <c r="K23" i="9"/>
  <c r="K15" i="26" s="1"/>
  <c r="P23" i="9"/>
  <c r="P15" i="26" s="1"/>
  <c r="F23" i="9"/>
  <c r="F15" i="26" s="1"/>
  <c r="E23" i="9"/>
  <c r="E15" i="26" s="1"/>
  <c r="L23" i="9"/>
  <c r="L15" i="26" s="1"/>
  <c r="J23" i="9"/>
  <c r="J15" i="26" s="1"/>
  <c r="F12" i="9" l="1"/>
  <c r="E12" i="9"/>
  <c r="H34" i="9" l="1"/>
  <c r="G34" i="9"/>
  <c r="G12" i="9" l="1"/>
  <c r="F45" i="9"/>
  <c r="H12" i="9"/>
  <c r="I34" i="9"/>
  <c r="I12" i="9" l="1"/>
  <c r="G45" i="9"/>
  <c r="K34" i="9" l="1"/>
  <c r="J12" i="9"/>
  <c r="J34" i="9"/>
  <c r="H45" i="9"/>
  <c r="K12" i="9" l="1"/>
  <c r="I45" i="9"/>
  <c r="L12" i="9" l="1"/>
  <c r="M34" i="9"/>
  <c r="J45" i="9"/>
  <c r="L34" i="9"/>
  <c r="M12" i="9" l="1"/>
  <c r="K45" i="9"/>
  <c r="N12" i="9" l="1"/>
  <c r="O34" i="9"/>
  <c r="L45" i="9"/>
  <c r="N34" i="9"/>
  <c r="M45" i="9" l="1"/>
  <c r="O12" i="9"/>
  <c r="P34" i="9" l="1"/>
  <c r="N45" i="9"/>
  <c r="P12" i="9"/>
  <c r="E85" i="9" l="1"/>
  <c r="Q12" i="9"/>
  <c r="G85" i="9"/>
  <c r="K85" i="9"/>
  <c r="F85" i="9"/>
  <c r="H85" i="9"/>
  <c r="J85" i="9"/>
  <c r="Q50" i="9"/>
  <c r="Q56" i="9" s="1"/>
  <c r="P85" i="9"/>
  <c r="M85" i="9"/>
  <c r="O85" i="9"/>
  <c r="N85" i="9"/>
  <c r="L85" i="9"/>
  <c r="I85" i="9"/>
  <c r="O45" i="9"/>
  <c r="E105" i="9" l="1"/>
  <c r="E95" i="9"/>
  <c r="Q85" i="9"/>
  <c r="S34" i="9"/>
  <c r="Q37" i="9"/>
  <c r="P45" i="9"/>
  <c r="R37" i="9" l="1"/>
  <c r="S37" i="9" s="1"/>
  <c r="S98" i="9" s="1"/>
  <c r="Q45" i="9"/>
  <c r="E114" i="9"/>
  <c r="S12" i="9"/>
  <c r="T34" i="9"/>
  <c r="T37" i="9" l="1"/>
  <c r="T98" i="9" s="1"/>
  <c r="S107" i="9"/>
  <c r="R45" i="9"/>
  <c r="R98" i="9"/>
  <c r="R107" i="9" s="1"/>
  <c r="F105" i="9"/>
  <c r="F95" i="9"/>
  <c r="S45" i="9"/>
  <c r="T12" i="9"/>
  <c r="U34" i="9"/>
  <c r="U37" i="9" l="1"/>
  <c r="U98" i="9" s="1"/>
  <c r="T107" i="9"/>
  <c r="G105" i="9"/>
  <c r="G95" i="9"/>
  <c r="F114" i="9"/>
  <c r="V34" i="9"/>
  <c r="U12" i="9"/>
  <c r="V37" i="9" l="1"/>
  <c r="V98" i="9" s="1"/>
  <c r="U107" i="9"/>
  <c r="H105" i="9"/>
  <c r="H95" i="9"/>
  <c r="G114" i="9"/>
  <c r="T45" i="9"/>
  <c r="V12" i="9"/>
  <c r="W34" i="9"/>
  <c r="W37" i="9" l="1"/>
  <c r="W98" i="9" s="1"/>
  <c r="V107" i="9"/>
  <c r="I105" i="9"/>
  <c r="I95" i="9"/>
  <c r="H114" i="9"/>
  <c r="X34" i="9"/>
  <c r="W12" i="9"/>
  <c r="U45" i="9"/>
  <c r="X37" i="9" l="1"/>
  <c r="X98" i="9" s="1"/>
  <c r="W107" i="9"/>
  <c r="J105" i="9"/>
  <c r="J95" i="9"/>
  <c r="I114" i="9"/>
  <c r="V45" i="9"/>
  <c r="Y34" i="9"/>
  <c r="X12" i="9"/>
  <c r="Y37" i="9" l="1"/>
  <c r="Y98" i="9" s="1"/>
  <c r="X107" i="9"/>
  <c r="K105" i="9"/>
  <c r="K95" i="9"/>
  <c r="J114" i="9"/>
  <c r="Z34" i="9"/>
  <c r="Y12" i="9"/>
  <c r="W45" i="9"/>
  <c r="Z37" i="9" l="1"/>
  <c r="Z98" i="9" s="1"/>
  <c r="Y107" i="9"/>
  <c r="L105" i="9"/>
  <c r="L95" i="9"/>
  <c r="K114" i="9"/>
  <c r="Z12" i="9"/>
  <c r="B4" i="14"/>
  <c r="X45" i="9"/>
  <c r="B11" i="14" l="1"/>
  <c r="B70" i="14"/>
  <c r="AA37" i="9"/>
  <c r="Z107" i="9"/>
  <c r="M105" i="9"/>
  <c r="M95" i="9"/>
  <c r="B77" i="14"/>
  <c r="L114" i="9"/>
  <c r="B13" i="14"/>
  <c r="B20" i="14" s="1"/>
  <c r="B86" i="14" s="1"/>
  <c r="Y45" i="9"/>
  <c r="AA34" i="9"/>
  <c r="C24" i="14"/>
  <c r="O25" i="14" s="1"/>
  <c r="AA12" i="9"/>
  <c r="AA98" i="9" l="1"/>
  <c r="C13" i="14"/>
  <c r="C79" i="14" s="1"/>
  <c r="AB37" i="9"/>
  <c r="AA107" i="9"/>
  <c r="N105" i="9"/>
  <c r="N95" i="9"/>
  <c r="C90" i="14"/>
  <c r="C31" i="14"/>
  <c r="C97" i="14" s="1"/>
  <c r="M114" i="9"/>
  <c r="B79" i="14"/>
  <c r="Z45" i="9"/>
  <c r="AB12" i="9"/>
  <c r="D31" i="14"/>
  <c r="AB34" i="9"/>
  <c r="AB98" i="9" l="1"/>
  <c r="D13" i="14"/>
  <c r="D79" i="14" s="1"/>
  <c r="AC37" i="9"/>
  <c r="AB107" i="9"/>
  <c r="O105" i="9"/>
  <c r="O95" i="9"/>
  <c r="D97" i="14"/>
  <c r="AD66" i="9"/>
  <c r="AK66" i="9"/>
  <c r="AG66" i="9"/>
  <c r="AL66" i="9"/>
  <c r="AJ66" i="9"/>
  <c r="AF66" i="9"/>
  <c r="AC56" i="9"/>
  <c r="AI66" i="9"/>
  <c r="AE66" i="9"/>
  <c r="AH66" i="9"/>
  <c r="N114" i="9"/>
  <c r="AC12" i="9"/>
  <c r="E31" i="14"/>
  <c r="AC34" i="9"/>
  <c r="C20" i="14"/>
  <c r="C86" i="14" s="1"/>
  <c r="AA45" i="9"/>
  <c r="AC98" i="9" l="1"/>
  <c r="AC107" i="9" s="1"/>
  <c r="E13" i="14"/>
  <c r="E79" i="14" s="1"/>
  <c r="AD37" i="9"/>
  <c r="S85" i="9"/>
  <c r="S56" i="9"/>
  <c r="W85" i="9"/>
  <c r="W56" i="9"/>
  <c r="AA85" i="9"/>
  <c r="AA56" i="9"/>
  <c r="Z85" i="9"/>
  <c r="Z56" i="9"/>
  <c r="T85" i="9"/>
  <c r="T56" i="9"/>
  <c r="AB85" i="9"/>
  <c r="AB56" i="9"/>
  <c r="U85" i="9"/>
  <c r="U56" i="9"/>
  <c r="V85" i="9"/>
  <c r="V56" i="9"/>
  <c r="Y85" i="9"/>
  <c r="Y56" i="9"/>
  <c r="P95" i="9"/>
  <c r="X85" i="9"/>
  <c r="X56" i="9"/>
  <c r="R56" i="9"/>
  <c r="AC85" i="9"/>
  <c r="E97" i="14"/>
  <c r="Q95" i="9"/>
  <c r="O114" i="9"/>
  <c r="AD12" i="9"/>
  <c r="AD34" i="9"/>
  <c r="AB45" i="9"/>
  <c r="D20" i="14"/>
  <c r="D86" i="14" s="1"/>
  <c r="AD98" i="9" l="1"/>
  <c r="F13" i="14"/>
  <c r="F79" i="14" s="1"/>
  <c r="AE37" i="9"/>
  <c r="AD107" i="9"/>
  <c r="R95" i="9"/>
  <c r="R85" i="9"/>
  <c r="P114" i="9"/>
  <c r="P105" i="9"/>
  <c r="F31" i="14"/>
  <c r="F97" i="14" s="1"/>
  <c r="Q105" i="9"/>
  <c r="AC45" i="9"/>
  <c r="E20" i="14"/>
  <c r="E86" i="14" s="1"/>
  <c r="G31" i="14"/>
  <c r="AE34" i="9"/>
  <c r="AE12" i="9"/>
  <c r="AE98" i="9" l="1"/>
  <c r="G13" i="14"/>
  <c r="G79" i="14" s="1"/>
  <c r="AF37" i="9"/>
  <c r="AE107" i="9"/>
  <c r="S95" i="9"/>
  <c r="G97" i="14"/>
  <c r="Q114" i="9"/>
  <c r="AD45" i="9"/>
  <c r="F20" i="14"/>
  <c r="F86" i="14" s="1"/>
  <c r="H31" i="14"/>
  <c r="AF34" i="9"/>
  <c r="AF12" i="9"/>
  <c r="AF98" i="9" l="1"/>
  <c r="AF107" i="9" s="1"/>
  <c r="H13" i="14"/>
  <c r="H79" i="14" s="1"/>
  <c r="AG37" i="9"/>
  <c r="T95" i="9"/>
  <c r="R105" i="9"/>
  <c r="R114" i="9"/>
  <c r="H97" i="14"/>
  <c r="AE45" i="9"/>
  <c r="G20" i="14"/>
  <c r="G86" i="14" s="1"/>
  <c r="AG12" i="9"/>
  <c r="I31" i="14"/>
  <c r="AG34" i="9"/>
  <c r="AG98" i="9" l="1"/>
  <c r="I13" i="14"/>
  <c r="I79" i="14" s="1"/>
  <c r="AH37" i="9"/>
  <c r="AG107" i="9"/>
  <c r="U95" i="9"/>
  <c r="S114" i="9"/>
  <c r="S105" i="9"/>
  <c r="I97" i="14"/>
  <c r="J31" i="14"/>
  <c r="AH34" i="9"/>
  <c r="AF45" i="9"/>
  <c r="H20" i="14"/>
  <c r="H86" i="14" s="1"/>
  <c r="AH12" i="9"/>
  <c r="AH98" i="9" l="1"/>
  <c r="J13" i="14"/>
  <c r="J79" i="14" s="1"/>
  <c r="T114" i="9"/>
  <c r="T105" i="9"/>
  <c r="AI37" i="9"/>
  <c r="AH107" i="9"/>
  <c r="V95" i="9"/>
  <c r="J97" i="14"/>
  <c r="K31" i="14"/>
  <c r="AI34" i="9"/>
  <c r="AG45" i="9"/>
  <c r="I20" i="14"/>
  <c r="I86" i="14" s="1"/>
  <c r="AI12" i="9"/>
  <c r="AI98" i="9" l="1"/>
  <c r="AI107" i="9" s="1"/>
  <c r="K13" i="14"/>
  <c r="K79" i="14" s="1"/>
  <c r="AJ37" i="9"/>
  <c r="V114" i="9"/>
  <c r="W95" i="9"/>
  <c r="U114" i="9"/>
  <c r="U105" i="9"/>
  <c r="K97" i="14"/>
  <c r="AJ12" i="9"/>
  <c r="AJ34" i="9"/>
  <c r="L31" i="14"/>
  <c r="J20" i="14"/>
  <c r="J86" i="14" s="1"/>
  <c r="AH45" i="9"/>
  <c r="AJ98" i="9" l="1"/>
  <c r="L13" i="14"/>
  <c r="L79" i="14" s="1"/>
  <c r="V105" i="9"/>
  <c r="AK37" i="9"/>
  <c r="AJ107" i="9"/>
  <c r="L97" i="14"/>
  <c r="AK12" i="9"/>
  <c r="K20" i="14"/>
  <c r="K86" i="14" s="1"/>
  <c r="AI45" i="9"/>
  <c r="M31" i="14"/>
  <c r="AK34" i="9"/>
  <c r="AK98" i="9" l="1"/>
  <c r="M13" i="14"/>
  <c r="M79" i="14" s="1"/>
  <c r="AL37" i="9"/>
  <c r="AK107" i="9"/>
  <c r="W114" i="9"/>
  <c r="X114" i="9"/>
  <c r="Y95" i="9"/>
  <c r="X95" i="9"/>
  <c r="W105" i="9"/>
  <c r="M97" i="14"/>
  <c r="AH85" i="9"/>
  <c r="AD85" i="9"/>
  <c r="AI85" i="9"/>
  <c r="AK85" i="9"/>
  <c r="AG85" i="9"/>
  <c r="AJ85" i="9"/>
  <c r="AE85" i="9"/>
  <c r="AF85" i="9"/>
  <c r="AL34" i="9"/>
  <c r="AL12" i="9"/>
  <c r="AJ45" i="9"/>
  <c r="L20" i="14"/>
  <c r="L86" i="14" s="1"/>
  <c r="AL98" i="9" l="1"/>
  <c r="N13" i="14"/>
  <c r="N79" i="14" s="1"/>
  <c r="X105" i="9"/>
  <c r="AL45" i="9"/>
  <c r="AL107" i="9"/>
  <c r="AL85" i="9"/>
  <c r="N31" i="14"/>
  <c r="N97" i="14" s="1"/>
  <c r="O4" i="14"/>
  <c r="O11" i="14" s="1"/>
  <c r="M20" i="14"/>
  <c r="M86" i="14" s="1"/>
  <c r="AK45" i="9"/>
  <c r="O24" i="14"/>
  <c r="Y114" i="9" l="1"/>
  <c r="Z114" i="9"/>
  <c r="AA95" i="9"/>
  <c r="Z95" i="9"/>
  <c r="Y105" i="9"/>
  <c r="O31" i="14"/>
  <c r="Z105" i="9" l="1"/>
  <c r="AB95" i="9"/>
  <c r="B22" i="14"/>
  <c r="B88" i="14" s="1"/>
  <c r="N20" i="14"/>
  <c r="N86" i="14" s="1"/>
  <c r="O13" i="14"/>
  <c r="AA114" i="9" l="1"/>
  <c r="C22" i="14" s="1"/>
  <c r="C88" i="14" s="1"/>
  <c r="AB114" i="9"/>
  <c r="D22" i="14" s="1"/>
  <c r="D88" i="14" s="1"/>
  <c r="AA105" i="9"/>
  <c r="O20" i="14"/>
  <c r="AC114" i="9" l="1"/>
  <c r="E22" i="14" s="1"/>
  <c r="E88" i="14" s="1"/>
  <c r="AD95" i="9"/>
  <c r="AC95" i="9"/>
  <c r="AB105" i="9"/>
  <c r="AD114" i="9" l="1"/>
  <c r="F22" i="14" s="1"/>
  <c r="F88" i="14" s="1"/>
  <c r="AC105" i="9"/>
  <c r="AF95" i="9" l="1"/>
  <c r="AE95" i="9"/>
  <c r="AD105" i="9"/>
  <c r="AE114" i="9" l="1"/>
  <c r="G22" i="14" s="1"/>
  <c r="G88" i="14" s="1"/>
  <c r="AE105" i="9"/>
  <c r="AF114" i="9" l="1"/>
  <c r="H22" i="14" s="1"/>
  <c r="H88" i="14" s="1"/>
  <c r="AG95" i="9"/>
  <c r="AF105" i="9"/>
  <c r="AG114" i="9" l="1"/>
  <c r="I22" i="14" s="1"/>
  <c r="I88" i="14" s="1"/>
  <c r="AH114" i="9"/>
  <c r="J22" i="14" s="1"/>
  <c r="J88" i="14" s="1"/>
  <c r="AH95" i="9"/>
  <c r="AG105" i="9"/>
  <c r="AH105" i="9" l="1"/>
  <c r="AI95" i="9"/>
  <c r="AJ114" i="9" l="1"/>
  <c r="L22" i="14" s="1"/>
  <c r="L88" i="14" s="1"/>
  <c r="AK95" i="9"/>
  <c r="AI114" i="9"/>
  <c r="K22" i="14" s="1"/>
  <c r="K88" i="14" s="1"/>
  <c r="AI105" i="9"/>
  <c r="AJ95" i="9"/>
  <c r="AJ105" i="9" l="1"/>
  <c r="AK114" i="9"/>
  <c r="M22" i="14" s="1"/>
  <c r="M88" i="14" s="1"/>
  <c r="AK105" i="9" l="1"/>
  <c r="AL114" i="9"/>
  <c r="N22" i="14" s="1"/>
  <c r="N88" i="14" s="1"/>
  <c r="O88" i="14" s="1"/>
  <c r="AL95" i="9"/>
  <c r="AL105" i="9" l="1"/>
  <c r="O2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tc={F4FC4474-6B4F-461A-B40C-A49B973D5039}</author>
  </authors>
  <commentList>
    <comment ref="D53" authorId="0" shapeId="0" xr:uid="{F4FC4474-6B4F-461A-B40C-A49B973D5039}">
      <text>
        <t>[Threaded comment]
Your version of Excel allows you to read this threaded comment; however, any edits to it will get removed if the file is opened in a newer version of Excel. Learn more: https://go.microsoft.com/fwlink/?linkid=870924
Comment:
    WA wtd debt 2.48% (per 2019 WA Elec RR Model)</t>
      </text>
    </comment>
  </commentList>
</comments>
</file>

<file path=xl/sharedStrings.xml><?xml version="1.0" encoding="utf-8"?>
<sst xmlns="http://schemas.openxmlformats.org/spreadsheetml/2006/main" count="900" uniqueCount="182">
  <si>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</si>
  <si>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</si>
  <si>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</si>
  <si>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</si>
  <si>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</si>
  <si>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</si>
  <si>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</si>
  <si>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</si>
  <si>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</si>
  <si>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</si>
  <si>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</si>
  <si>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</si>
  <si>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</si>
  <si>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</si>
  <si>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</si>
  <si>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</si>
  <si>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 xml:space="preserve">2020 Total </t>
  </si>
  <si>
    <t>Distribution</t>
  </si>
  <si>
    <t>Year 1 Tax Depreciation Expense Calculated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</si>
  <si>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</si>
  <si>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</si>
  <si>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</si>
  <si>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</si>
  <si>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</si>
  <si>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</si>
  <si>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>Forecast</t>
  </si>
  <si>
    <t>Erval</t>
  </si>
  <si>
    <t>Depreciation category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</si>
  <si>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</si>
  <si>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</si>
  <si>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</si>
  <si>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</si>
  <si>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</si>
  <si>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</si>
  <si>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</si>
  <si>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</si>
  <si>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</si>
  <si>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</si>
  <si>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</si>
  <si>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</si>
  <si>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</si>
  <si>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 Transmission 350-359</t>
  </si>
  <si>
    <t>Elec Distribution 360-373</t>
  </si>
  <si>
    <t>Actuals</t>
  </si>
  <si>
    <t>Variance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</si>
  <si>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</si>
  <si>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</si>
  <si>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</si>
  <si>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</si>
  <si>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</si>
  <si>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</si>
  <si>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</si>
  <si>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</si>
  <si>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</si>
  <si>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</si>
  <si>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</si>
  <si>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</si>
  <si>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</si>
  <si>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</si>
  <si>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</si>
  <si>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</si>
  <si>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</si>
  <si>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</si>
  <si>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</si>
  <si>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</si>
  <si>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</si>
  <si>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</si>
  <si>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</si>
  <si>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</si>
  <si>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</si>
  <si>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</si>
  <si>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</si>
  <si>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</si>
  <si>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</si>
  <si>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</si>
  <si>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</si>
  <si>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</si>
  <si>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</si>
  <si>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</si>
  <si>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</si>
  <si>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</si>
  <si>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</si>
  <si>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</si>
  <si>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</si>
  <si>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</si>
  <si>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</si>
  <si>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</si>
  <si>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</si>
  <si>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</si>
  <si>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</si>
  <si>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</si>
  <si>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</si>
  <si>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</si>
  <si>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</si>
  <si>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</si>
  <si>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</si>
  <si>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</si>
  <si>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</si>
  <si>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</si>
  <si>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</si>
  <si>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</si>
  <si>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Pro Forma</t>
  </si>
  <si>
    <t xml:space="preserve">Revenue Conversion Factor </t>
  </si>
  <si>
    <t>NOI Requirement</t>
  </si>
  <si>
    <t xml:space="preserve">Revenue Requirement </t>
  </si>
  <si>
    <t>As Filed</t>
  </si>
  <si>
    <t>Revised Forecast</t>
  </si>
  <si>
    <t>Depreciation Category</t>
  </si>
  <si>
    <t>BI_BI Desc</t>
  </si>
  <si>
    <t>Jurisdiction</t>
  </si>
  <si>
    <t>ID</t>
  </si>
  <si>
    <t>AN</t>
  </si>
  <si>
    <t>ED</t>
  </si>
  <si>
    <t>Service</t>
  </si>
  <si>
    <t>System Total</t>
  </si>
  <si>
    <t>Percent included</t>
  </si>
  <si>
    <t>in Rate Case</t>
  </si>
  <si>
    <t>WA Elec Total</t>
  </si>
  <si>
    <t>WA Elec Allocation</t>
  </si>
  <si>
    <t xml:space="preserve">System Total </t>
  </si>
  <si>
    <t>Forecast (including Residual CWIP)</t>
  </si>
  <si>
    <t>Software 303</t>
  </si>
  <si>
    <t xml:space="preserve">Washington Electric 2020 Energy Imbalance Market (EIM) Additions </t>
  </si>
  <si>
    <t>EIM 2022 PF</t>
  </si>
  <si>
    <t>BI_XS907 - Trans SS BI Substation Metering - EIM</t>
  </si>
  <si>
    <t>BI_XS909 - Trans SS BI High Side Metering - EIM</t>
  </si>
  <si>
    <t>BI_19H07 - EIM Transmission Facilities Upgrade</t>
  </si>
  <si>
    <t>BI_AG019 - EIM Low Side Metering Upgrades - Generation</t>
  </si>
  <si>
    <t>BI_AG020 - EIM High Side Metering Upgrades - Generation</t>
  </si>
  <si>
    <t>BI_20N09 - ET BI Hardware/Software - EIM</t>
  </si>
  <si>
    <t>BI_19N09 - ET BI Network - EIM</t>
  </si>
  <si>
    <t>Facilities 390-391</t>
  </si>
  <si>
    <t>Hydro 331-336</t>
  </si>
  <si>
    <t>CD</t>
  </si>
  <si>
    <t>BI_YS908 - System Ops Scada Upgrades - EIM</t>
  </si>
  <si>
    <t>BI_AG021 - EIM Control Upgrades - Generation</t>
  </si>
  <si>
    <t>EIM 2021 PF</t>
  </si>
  <si>
    <t>Jur</t>
  </si>
  <si>
    <t>General</t>
  </si>
  <si>
    <t>AA</t>
  </si>
  <si>
    <r>
      <t>Depreciation/Amortization</t>
    </r>
    <r>
      <rPr>
        <vertAlign val="superscript"/>
        <sz val="9"/>
        <rFont val="Times New Roman"/>
        <family val="1"/>
      </rPr>
      <t xml:space="preserve">  1</t>
    </r>
  </si>
  <si>
    <t>Production - Hydro</t>
  </si>
  <si>
    <t>EIM</t>
  </si>
  <si>
    <t>Expenditures</t>
  </si>
  <si>
    <t>E-PEIM</t>
  </si>
  <si>
    <r>
      <t xml:space="preserve">NET PLANT 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</si>
  <si>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Figures were adjusted for rounding to match filed Revenue Requirement Model.</t>
    </r>
  </si>
  <si>
    <t>General 389 / 393-395 / 397-398</t>
  </si>
  <si>
    <t>Other Elec Production / Turbines 340-346</t>
  </si>
  <si>
    <t>General - Hardware</t>
  </si>
  <si>
    <t>Hardware</t>
  </si>
  <si>
    <t xml:space="preserve">System </t>
  </si>
  <si>
    <t xml:space="preserve"> WA  EIM 2020 PF</t>
  </si>
  <si>
    <t>WA Share</t>
  </si>
  <si>
    <t>P</t>
  </si>
  <si>
    <t>Actual</t>
  </si>
  <si>
    <t>Provisional</t>
  </si>
  <si>
    <t>Plant Additions</t>
  </si>
  <si>
    <t>Pro Forma/Provisional</t>
  </si>
  <si>
    <t>* 2020 values were actual in filing</t>
  </si>
  <si>
    <t>WA</t>
  </si>
  <si>
    <t>Annual Additions</t>
  </si>
  <si>
    <t>Total Additions</t>
  </si>
  <si>
    <t>Variance from Pro Forma/Provisional</t>
  </si>
  <si>
    <t>LTD</t>
  </si>
  <si>
    <t>Check</t>
  </si>
  <si>
    <t>Current CWIP Balance</t>
  </si>
  <si>
    <t xml:space="preserve">Actual </t>
  </si>
  <si>
    <t xml:space="preserve">Authorized </t>
  </si>
  <si>
    <t>Authorized</t>
  </si>
  <si>
    <t>EIM Total</t>
  </si>
  <si>
    <t>3.18PF</t>
  </si>
  <si>
    <t>3.18PV</t>
  </si>
  <si>
    <t>Balances will be compared over time through quarterly reports, until project completion.</t>
  </si>
  <si>
    <t>Attachment A</t>
  </si>
  <si>
    <t>BI_YS908 -  EIMCAISO Dispatch Integration</t>
  </si>
  <si>
    <t>April 08, 2022 EIM Capital Report</t>
  </si>
  <si>
    <t>System Spend to date at 12.31.2021</t>
  </si>
  <si>
    <t>System (AA/AN - WA &amp; ID Electric)</t>
  </si>
  <si>
    <t>EIM Q1 2022 PF</t>
  </si>
  <si>
    <t>Forecast Through Q1 2022</t>
  </si>
  <si>
    <t>(ED.AN)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</si>
</sst>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%"/>
    <numFmt numFmtId="168" formatCode="0.000"/>
    <numFmt numFmtId="169" formatCode="#,##0;&quot;(&quot;#,##0&quot;)&quot;"/>
  </numFmts>
  <fonts count="3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i/>
      <u/>
      <sz val="10"/>
      <color theme="1"/>
      <name val="Tahoma"/>
      <family val="2"/>
    </font>
    <font>
      <sz val="8"/>
      <name val="Tahoma"/>
      <family val="2"/>
    </font>
    <font>
      <sz val="8"/>
      <color rgb="FF000000"/>
      <name val="Microsoft Sans Serif"/>
      <family val="2"/>
    </font>
    <font>
      <sz val="8"/>
      <color theme="1"/>
      <name val="Microsoft Sans Serif"/>
      <family val="2"/>
    </font>
    <font>
      <sz val="10"/>
      <color theme="1"/>
      <name val="Calibri"/>
      <family val="2"/>
      <scheme val="minor"/>
    </font>
    <font>
      <vertAlign val="superscript"/>
      <sz val="9"/>
      <name val="Times New Roman"/>
      <family val="1"/>
    </font>
    <font>
      <i/>
      <sz val="10"/>
      <color theme="1"/>
      <name val="Tahoma"/>
      <family val="2"/>
    </font>
    <font>
      <i/>
      <sz val="10"/>
      <color rgb="FFFF0000"/>
      <name val="Tahoma"/>
      <family val="2"/>
    </font>
    <font>
      <sz val="10"/>
      <color rgb="FFFF0000"/>
      <name val="Tahoma"/>
      <family val="2"/>
    </font>
    <font>
      <b/>
      <u val="singleAccounting"/>
      <sz val="10"/>
      <color theme="1"/>
      <name val="Tahoma"/>
      <family val="2"/>
    </font>
    <font>
      <b/>
      <sz val="9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1">
    <xf numFmtId="0" fontId="0" fillId="0" borderId="0"/>
    <xf numFmtId="43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7" fillId="0" borderId="0"/>
    <xf numFmtId="0" fontId="17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7" fillId="0" borderId="0"/>
    <xf numFmtId="9" fontId="12" fillId="0" borderId="0" applyFont="0" applyFill="0" applyBorder="0" applyAlignment="0" applyProtection="0"/>
    <xf numFmtId="0" fontId="4" fillId="0" borderId="0"/>
  </cellStyleXfs>
  <cellXfs count="163">
    <xf numFmtId="0" fontId="0" fillId="0" borderId="0" xfId="0"/>
    <xf numFmtId="0" fontId="14" fillId="0" borderId="0" xfId="0" applyFont="1"/>
    <xf numFmtId="164" fontId="0" fillId="0" borderId="0" xfId="1" applyNumberFormat="1" applyFont="1"/>
    <xf numFmtId="164" fontId="0" fillId="0" borderId="0" xfId="0" applyNumberFormat="1"/>
    <xf numFmtId="165" fontId="14" fillId="0" borderId="0" xfId="1" applyNumberFormat="1" applyFont="1"/>
    <xf numFmtId="164" fontId="0" fillId="0" borderId="1" xfId="1" applyNumberFormat="1" applyFont="1" applyBorder="1"/>
    <xf numFmtId="0" fontId="14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14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0" borderId="0" xfId="9" applyNumberFormat="1" applyFont="1"/>
    <xf numFmtId="10" fontId="0" fillId="0" borderId="0" xfId="0" applyNumberFormat="1"/>
    <xf numFmtId="164" fontId="12" fillId="2" borderId="0" xfId="1" applyNumberFormat="1" applyFont="1" applyFill="1"/>
    <xf numFmtId="0" fontId="0" fillId="0" borderId="0" xfId="10" applyFont="1"/>
    <xf numFmtId="0" fontId="9" fillId="0" borderId="0" xfId="10"/>
    <xf numFmtId="164" fontId="9" fillId="0" borderId="0" xfId="11" applyNumberFormat="1"/>
    <xf numFmtId="41" fontId="13" fillId="2" borderId="3" xfId="10" applyNumberFormat="1" applyFont="1" applyFill="1" applyBorder="1"/>
    <xf numFmtId="0" fontId="13" fillId="0" borderId="0" xfId="10" applyFont="1"/>
    <xf numFmtId="41" fontId="13" fillId="0" borderId="3" xfId="10" applyNumberFormat="1" applyFont="1" applyBorder="1"/>
    <xf numFmtId="0" fontId="16" fillId="0" borderId="0" xfId="10" applyFont="1" applyAlignment="1">
      <alignment horizontal="right"/>
    </xf>
    <xf numFmtId="164" fontId="0" fillId="0" borderId="0" xfId="12" applyNumberFormat="1" applyFont="1"/>
    <xf numFmtId="164" fontId="9" fillId="0" borderId="0" xfId="12" applyNumberFormat="1"/>
    <xf numFmtId="166" fontId="9" fillId="0" borderId="0" xfId="10" applyNumberFormat="1"/>
    <xf numFmtId="164" fontId="12" fillId="4" borderId="0" xfId="1" applyNumberFormat="1" applyFont="1" applyFill="1"/>
    <xf numFmtId="164" fontId="0" fillId="4" borderId="0" xfId="1" applyNumberFormat="1" applyFont="1" applyFill="1"/>
    <xf numFmtId="0" fontId="8" fillId="0" borderId="0" xfId="10" applyFont="1"/>
    <xf numFmtId="0" fontId="18" fillId="0" borderId="0" xfId="14" applyFont="1" applyAlignment="1">
      <alignment horizontal="center"/>
    </xf>
    <xf numFmtId="0" fontId="18" fillId="0" borderId="0" xfId="14" applyFont="1"/>
    <xf numFmtId="0" fontId="20" fillId="0" borderId="0" xfId="14" applyFont="1" applyAlignment="1">
      <alignment horizontal="left"/>
    </xf>
    <xf numFmtId="41" fontId="22" fillId="0" borderId="4" xfId="14" applyNumberFormat="1" applyFont="1" applyBorder="1" applyAlignment="1">
      <alignment horizontal="center"/>
    </xf>
    <xf numFmtId="0" fontId="18" fillId="0" borderId="0" xfId="14" applyFont="1" applyAlignment="1">
      <alignment horizontal="left"/>
    </xf>
    <xf numFmtId="0" fontId="22" fillId="0" borderId="0" xfId="14" applyFont="1" applyAlignment="1">
      <alignment horizontal="center"/>
    </xf>
    <xf numFmtId="0" fontId="22" fillId="0" borderId="5" xfId="14" applyFont="1" applyBorder="1" applyAlignment="1">
      <alignment horizontal="center"/>
    </xf>
    <xf numFmtId="0" fontId="22" fillId="0" borderId="6" xfId="14" applyFont="1" applyBorder="1" applyAlignment="1">
      <alignment horizontal="center"/>
    </xf>
    <xf numFmtId="0" fontId="22" fillId="0" borderId="7" xfId="14" applyFont="1" applyBorder="1" applyAlignment="1">
      <alignment horizontal="center"/>
    </xf>
    <xf numFmtId="0" fontId="22" fillId="0" borderId="4" xfId="14" applyFont="1" applyBorder="1" applyAlignment="1">
      <alignment horizontal="center"/>
    </xf>
    <xf numFmtId="0" fontId="22" fillId="0" borderId="8" xfId="14" applyFont="1" applyBorder="1" applyAlignment="1">
      <alignment horizontal="center"/>
    </xf>
    <xf numFmtId="0" fontId="22" fillId="0" borderId="9" xfId="14" applyFont="1" applyBorder="1" applyAlignment="1">
      <alignment horizontal="center"/>
    </xf>
    <xf numFmtId="0" fontId="22" fillId="0" borderId="10" xfId="14" applyFont="1" applyBorder="1" applyAlignment="1">
      <alignment horizontal="center"/>
    </xf>
    <xf numFmtId="0" fontId="22" fillId="0" borderId="11" xfId="14" applyFont="1" applyBorder="1" applyAlignment="1">
      <alignment horizontal="center"/>
    </xf>
    <xf numFmtId="41" fontId="22" fillId="0" borderId="9" xfId="14" applyNumberFormat="1" applyFont="1" applyBorder="1" applyAlignment="1">
      <alignment horizontal="center"/>
    </xf>
    <xf numFmtId="2" fontId="22" fillId="0" borderId="0" xfId="14" applyNumberFormat="1" applyFont="1" applyAlignment="1">
      <alignment horizontal="center"/>
    </xf>
    <xf numFmtId="2" fontId="18" fillId="0" borderId="0" xfId="14" applyNumberFormat="1" applyFont="1" applyAlignment="1">
      <alignment horizontal="left"/>
    </xf>
    <xf numFmtId="41" fontId="18" fillId="0" borderId="0" xfId="14" applyNumberFormat="1" applyFont="1"/>
    <xf numFmtId="37" fontId="18" fillId="0" borderId="0" xfId="14" applyNumberFormat="1" applyFont="1" applyAlignment="1">
      <alignment horizontal="center"/>
    </xf>
    <xf numFmtId="5" fontId="18" fillId="0" borderId="0" xfId="14" applyNumberFormat="1" applyFont="1"/>
    <xf numFmtId="37" fontId="18" fillId="0" borderId="0" xfId="14" applyNumberFormat="1" applyFont="1"/>
    <xf numFmtId="1" fontId="18" fillId="0" borderId="0" xfId="17" applyNumberFormat="1" applyFont="1" applyAlignment="1">
      <alignment horizontal="center"/>
    </xf>
    <xf numFmtId="9" fontId="18" fillId="0" borderId="0" xfId="6" applyFont="1"/>
    <xf numFmtId="3" fontId="18" fillId="0" borderId="0" xfId="17" applyNumberFormat="1" applyFont="1" applyAlignment="1">
      <alignment horizontal="center"/>
    </xf>
    <xf numFmtId="10" fontId="18" fillId="0" borderId="0" xfId="6" applyNumberFormat="1" applyFont="1"/>
    <xf numFmtId="41" fontId="18" fillId="0" borderId="0" xfId="6" applyNumberFormat="1" applyFont="1"/>
    <xf numFmtId="41" fontId="18" fillId="0" borderId="11" xfId="14" applyNumberFormat="1" applyFont="1" applyBorder="1"/>
    <xf numFmtId="0" fontId="18" fillId="0" borderId="0" xfId="14" applyFont="1" applyAlignment="1">
      <alignment vertical="top"/>
    </xf>
    <xf numFmtId="41" fontId="18" fillId="0" borderId="0" xfId="14" applyNumberFormat="1" applyFont="1" applyAlignment="1">
      <alignment vertical="top"/>
    </xf>
    <xf numFmtId="41" fontId="18" fillId="0" borderId="0" xfId="14" applyNumberFormat="1" applyFont="1" applyAlignment="1">
      <alignment horizontal="right"/>
    </xf>
    <xf numFmtId="41" fontId="18" fillId="0" borderId="2" xfId="14" applyNumberFormat="1" applyFont="1" applyBorder="1"/>
    <xf numFmtId="10" fontId="18" fillId="0" borderId="0" xfId="14" applyNumberFormat="1" applyFont="1"/>
    <xf numFmtId="167" fontId="18" fillId="0" borderId="0" xfId="14" applyNumberFormat="1" applyFont="1"/>
    <xf numFmtId="0" fontId="24" fillId="0" borderId="0" xfId="0" applyFont="1"/>
    <xf numFmtId="0" fontId="8" fillId="0" borderId="0" xfId="10" applyFont="1" applyFill="1"/>
    <xf numFmtId="0" fontId="7" fillId="0" borderId="0" xfId="10" applyFont="1"/>
    <xf numFmtId="41" fontId="9" fillId="0" borderId="0" xfId="10" applyNumberFormat="1" applyFill="1"/>
    <xf numFmtId="164" fontId="9" fillId="0" borderId="0" xfId="1" applyNumberFormat="1" applyFont="1"/>
    <xf numFmtId="0" fontId="9" fillId="0" borderId="0" xfId="10" applyFill="1"/>
    <xf numFmtId="0" fontId="7" fillId="0" borderId="0" xfId="10" applyFont="1" applyAlignment="1">
      <alignment wrapText="1"/>
    </xf>
    <xf numFmtId="0" fontId="6" fillId="0" borderId="0" xfId="10" applyFont="1"/>
    <xf numFmtId="0" fontId="13" fillId="0" borderId="0" xfId="10" applyFont="1" applyFill="1"/>
    <xf numFmtId="10" fontId="9" fillId="0" borderId="0" xfId="10" applyNumberFormat="1" applyFill="1"/>
    <xf numFmtId="0" fontId="6" fillId="0" borderId="0" xfId="10" applyFont="1" applyFill="1"/>
    <xf numFmtId="0" fontId="0" fillId="0" borderId="0" xfId="0" applyFont="1"/>
    <xf numFmtId="0" fontId="14" fillId="5" borderId="0" xfId="0" applyFont="1" applyFill="1" applyBorder="1"/>
    <xf numFmtId="41" fontId="13" fillId="0" borderId="0" xfId="10" applyNumberFormat="1" applyFont="1" applyBorder="1"/>
    <xf numFmtId="10" fontId="0" fillId="0" borderId="0" xfId="19" applyNumberFormat="1" applyFont="1"/>
    <xf numFmtId="10" fontId="9" fillId="0" borderId="0" xfId="10" applyNumberFormat="1" applyFill="1" applyBorder="1"/>
    <xf numFmtId="0" fontId="0" fillId="0" borderId="0" xfId="0" applyFill="1"/>
    <xf numFmtId="168" fontId="0" fillId="0" borderId="0" xfId="0" applyNumberFormat="1" applyFill="1"/>
    <xf numFmtId="0" fontId="16" fillId="0" borderId="0" xfId="10" applyFont="1" applyFill="1" applyAlignment="1">
      <alignment horizontal="right"/>
    </xf>
    <xf numFmtId="169" fontId="0" fillId="0" borderId="0" xfId="0" applyNumberFormat="1" applyFill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5" fillId="0" borderId="0" xfId="10" applyFont="1"/>
    <xf numFmtId="169" fontId="27" fillId="0" borderId="0" xfId="0" applyNumberFormat="1" applyFont="1" applyFill="1" applyAlignment="1">
      <alignment horizontal="righ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center"/>
    </xf>
    <xf numFmtId="164" fontId="28" fillId="0" borderId="0" xfId="1" applyNumberFormat="1" applyFont="1"/>
    <xf numFmtId="10" fontId="0" fillId="0" borderId="0" xfId="0" applyNumberFormat="1" applyFill="1"/>
    <xf numFmtId="10" fontId="0" fillId="0" borderId="0" xfId="19" applyNumberFormat="1" applyFont="1" applyFill="1"/>
    <xf numFmtId="164" fontId="9" fillId="0" borderId="0" xfId="10" applyNumberFormat="1"/>
    <xf numFmtId="164" fontId="26" fillId="0" borderId="0" xfId="1" applyNumberFormat="1" applyFont="1" applyFill="1" applyBorder="1" applyAlignment="1">
      <alignment horizontal="right"/>
    </xf>
    <xf numFmtId="164" fontId="26" fillId="0" borderId="0" xfId="1" applyNumberFormat="1" applyFont="1" applyFill="1" applyAlignment="1">
      <alignment horizontal="right"/>
    </xf>
    <xf numFmtId="0" fontId="3" fillId="0" borderId="0" xfId="10" applyFont="1" applyAlignment="1">
      <alignment horizontal="center"/>
    </xf>
    <xf numFmtId="0" fontId="13" fillId="0" borderId="0" xfId="10" applyFont="1" applyAlignment="1">
      <alignment horizontal="center"/>
    </xf>
    <xf numFmtId="0" fontId="2" fillId="0" borderId="0" xfId="10" applyFont="1"/>
    <xf numFmtId="0" fontId="1" fillId="0" borderId="0" xfId="10" applyFont="1"/>
    <xf numFmtId="0" fontId="30" fillId="0" borderId="0" xfId="0" applyFont="1"/>
    <xf numFmtId="0" fontId="31" fillId="0" borderId="0" xfId="0" applyFont="1"/>
    <xf numFmtId="0" fontId="0" fillId="0" borderId="0" xfId="0" applyAlignment="1">
      <alignment horizontal="right"/>
    </xf>
    <xf numFmtId="0" fontId="14" fillId="0" borderId="11" xfId="0" applyFont="1" applyBorder="1"/>
    <xf numFmtId="164" fontId="0" fillId="0" borderId="0" xfId="1" applyNumberFormat="1" applyFont="1" applyAlignment="1">
      <alignment horizontal="right"/>
    </xf>
    <xf numFmtId="164" fontId="14" fillId="0" borderId="7" xfId="0" applyNumberFormat="1" applyFont="1" applyBorder="1"/>
    <xf numFmtId="0" fontId="30" fillId="0" borderId="0" xfId="0" quotePrefix="1" applyFont="1"/>
    <xf numFmtId="164" fontId="14" fillId="0" borderId="7" xfId="1" applyNumberFormat="1" applyFont="1" applyBorder="1"/>
    <xf numFmtId="164" fontId="9" fillId="0" borderId="7" xfId="1" applyNumberFormat="1" applyFont="1" applyBorder="1"/>
    <xf numFmtId="164" fontId="0" fillId="0" borderId="0" xfId="1" applyNumberFormat="1" applyFont="1" applyFill="1"/>
    <xf numFmtId="164" fontId="1" fillId="0" borderId="0" xfId="1" applyNumberFormat="1" applyFont="1"/>
    <xf numFmtId="164" fontId="1" fillId="0" borderId="0" xfId="1" applyNumberFormat="1" applyFont="1" applyFill="1"/>
    <xf numFmtId="10" fontId="1" fillId="0" borderId="0" xfId="10" applyNumberFormat="1" applyFont="1" applyFill="1"/>
    <xf numFmtId="0" fontId="0" fillId="0" borderId="0" xfId="0" applyBorder="1"/>
    <xf numFmtId="0" fontId="14" fillId="7" borderId="11" xfId="0" applyFont="1" applyFill="1" applyBorder="1"/>
    <xf numFmtId="164" fontId="0" fillId="7" borderId="0" xfId="1" applyNumberFormat="1" applyFont="1" applyFill="1" applyAlignment="1">
      <alignment horizontal="right"/>
    </xf>
    <xf numFmtId="164" fontId="14" fillId="7" borderId="7" xfId="1" applyNumberFormat="1" applyFont="1" applyFill="1" applyBorder="1"/>
    <xf numFmtId="164" fontId="0" fillId="7" borderId="0" xfId="1" applyNumberFormat="1" applyFont="1" applyFill="1"/>
    <xf numFmtId="43" fontId="9" fillId="0" borderId="7" xfId="1" applyFont="1" applyBorder="1"/>
    <xf numFmtId="0" fontId="31" fillId="0" borderId="0" xfId="0" applyFont="1" applyAlignment="1">
      <alignment horizontal="right"/>
    </xf>
    <xf numFmtId="164" fontId="32" fillId="0" borderId="0" xfId="0" applyNumberFormat="1" applyFont="1"/>
    <xf numFmtId="164" fontId="31" fillId="0" borderId="0" xfId="0" applyNumberFormat="1" applyFont="1"/>
    <xf numFmtId="43" fontId="31" fillId="0" borderId="0" xfId="1" applyFont="1"/>
    <xf numFmtId="164" fontId="31" fillId="0" borderId="0" xfId="1" applyNumberFormat="1" applyFont="1"/>
    <xf numFmtId="0" fontId="26" fillId="0" borderId="7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2" fillId="2" borderId="0" xfId="14" applyFont="1" applyFill="1" applyAlignment="1">
      <alignment horizontal="center"/>
    </xf>
    <xf numFmtId="0" fontId="14" fillId="0" borderId="0" xfId="0" applyFont="1" applyAlignment="1">
      <alignment horizontal="right"/>
    </xf>
    <xf numFmtId="164" fontId="0" fillId="0" borderId="12" xfId="0" applyNumberFormat="1" applyBorder="1"/>
    <xf numFmtId="164" fontId="0" fillId="0" borderId="12" xfId="0" applyNumberFormat="1" applyFill="1" applyBorder="1"/>
    <xf numFmtId="164" fontId="9" fillId="0" borderId="0" xfId="12" applyNumberFormat="1" applyFill="1"/>
    <xf numFmtId="164" fontId="0" fillId="0" borderId="0" xfId="0" applyNumberFormat="1" applyFill="1"/>
    <xf numFmtId="0" fontId="14" fillId="8" borderId="0" xfId="0" applyFont="1" applyFill="1" applyAlignment="1">
      <alignment horizontal="center"/>
    </xf>
    <xf numFmtId="0" fontId="14" fillId="0" borderId="11" xfId="0" applyFont="1" applyBorder="1" applyAlignment="1">
      <alignment horizontal="center"/>
    </xf>
    <xf numFmtId="41" fontId="14" fillId="0" borderId="2" xfId="0" applyNumberFormat="1" applyFont="1" applyBorder="1"/>
    <xf numFmtId="164" fontId="14" fillId="0" borderId="0" xfId="1" applyNumberFormat="1" applyFont="1"/>
    <xf numFmtId="3" fontId="34" fillId="0" borderId="0" xfId="15" applyNumberFormat="1" applyFont="1"/>
    <xf numFmtId="3" fontId="21" fillId="0" borderId="0" xfId="15" applyNumberFormat="1" applyFont="1" applyAlignment="1">
      <alignment horizontal="center"/>
    </xf>
    <xf numFmtId="3" fontId="22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41" fontId="22" fillId="0" borderId="0" xfId="14" applyNumberFormat="1" applyFont="1" applyAlignment="1">
      <alignment horizontal="center"/>
    </xf>
    <xf numFmtId="2" fontId="22" fillId="0" borderId="4" xfId="16" applyNumberFormat="1" applyFont="1" applyBorder="1" applyAlignment="1" applyProtection="1">
      <alignment horizontal="center"/>
    </xf>
    <xf numFmtId="41" fontId="18" fillId="0" borderId="4" xfId="14" applyNumberFormat="1" applyFont="1" applyBorder="1"/>
    <xf numFmtId="5" fontId="18" fillId="0" borderId="4" xfId="14" applyNumberFormat="1" applyFont="1" applyBorder="1"/>
    <xf numFmtId="37" fontId="18" fillId="0" borderId="4" xfId="14" applyNumberFormat="1" applyFont="1" applyBorder="1"/>
    <xf numFmtId="37" fontId="18" fillId="0" borderId="9" xfId="14" applyNumberFormat="1" applyFont="1" applyBorder="1"/>
    <xf numFmtId="41" fontId="18" fillId="0" borderId="13" xfId="14" applyNumberFormat="1" applyFont="1" applyBorder="1"/>
    <xf numFmtId="41" fontId="18" fillId="0" borderId="9" xfId="14" applyNumberFormat="1" applyFont="1" applyBorder="1"/>
    <xf numFmtId="5" fontId="18" fillId="0" borderId="14" xfId="14" applyNumberFormat="1" applyFont="1" applyBorder="1"/>
    <xf numFmtId="41" fontId="18" fillId="0" borderId="5" xfId="14" applyNumberFormat="1" applyFont="1" applyBorder="1"/>
    <xf numFmtId="0" fontId="0" fillId="0" borderId="0" xfId="0" applyAlignment="1">
      <alignment vertical="top" wrapText="1"/>
    </xf>
    <xf numFmtId="41" fontId="0" fillId="0" borderId="0" xfId="0" applyNumberFormat="1"/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0" xfId="0" applyFont="1" applyFill="1"/>
    <xf numFmtId="0" fontId="14" fillId="0" borderId="11" xfId="0" applyFont="1" applyFill="1" applyBorder="1" applyAlignment="1">
      <alignment horizontal="center"/>
    </xf>
    <xf numFmtId="41" fontId="33" fillId="0" borderId="0" xfId="0" applyNumberFormat="1" applyFont="1" applyFill="1"/>
    <xf numFmtId="41" fontId="14" fillId="2" borderId="0" xfId="0" applyNumberFormat="1" applyFont="1" applyFill="1"/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3" fontId="19" fillId="0" borderId="0" xfId="0" applyNumberFormat="1" applyFont="1" applyAlignment="1">
      <alignment horizontal="center"/>
    </xf>
  </cellXfs>
  <cellStyles count="21">
    <cellStyle name="Comma" xfId="1" builtinId="3"/>
    <cellStyle name="Comma 14" xfId="12" xr:uid="{00000000-0005-0000-0000-000001000000}"/>
    <cellStyle name="Comma 2" xfId="9" xr:uid="{00000000-0005-0000-0000-000002000000}"/>
    <cellStyle name="Comma 2 2" xfId="7" xr:uid="{00000000-0005-0000-0000-000003000000}"/>
    <cellStyle name="Comma 3" xfId="11" xr:uid="{00000000-0005-0000-0000-000004000000}"/>
    <cellStyle name="Currency 2" xfId="13" xr:uid="{00000000-0005-0000-0000-000005000000}"/>
    <cellStyle name="Followed Hyperlink" xfId="16" builtinId="9"/>
    <cellStyle name="Normal" xfId="0" builtinId="0"/>
    <cellStyle name="Normal 2" xfId="2" xr:uid="{00000000-0005-0000-0000-000008000000}"/>
    <cellStyle name="Normal 2 2" xfId="5" xr:uid="{00000000-0005-0000-0000-000009000000}"/>
    <cellStyle name="Normal 3" xfId="18" xr:uid="{00000000-0005-0000-0000-00000A000000}"/>
    <cellStyle name="Normal 77" xfId="4" xr:uid="{00000000-0005-0000-0000-00000B000000}"/>
    <cellStyle name="Normal 77 2" xfId="10" xr:uid="{00000000-0005-0000-0000-00000C000000}"/>
    <cellStyle name="Normal 77 3" xfId="20" xr:uid="{00000000-0005-0000-0000-00000D000000}"/>
    <cellStyle name="Normal_DFIT-WaEle_SUM" xfId="17" xr:uid="{00000000-0005-0000-0000-00000E000000}"/>
    <cellStyle name="Normal_WAElec6_97" xfId="14" xr:uid="{00000000-0005-0000-0000-00000F000000}"/>
    <cellStyle name="Normal_WAGas6_97" xfId="15" xr:uid="{00000000-0005-0000-0000-000010000000}"/>
    <cellStyle name="Percent" xfId="19" builtinId="5"/>
    <cellStyle name="Percent 2" xfId="3" xr:uid="{00000000-0005-0000-0000-000012000000}"/>
    <cellStyle name="Percent 2 2" xfId="6" xr:uid="{00000000-0005-0000-0000-000013000000}"/>
    <cellStyle name="Percent 3" xfId="8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1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95250</xdr:rowOff>
    </xdr:from>
    <xdr:to>
      <xdr:col>15</xdr:col>
      <xdr:colOff>752475</xdr:colOff>
      <xdr:row>0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4581525" y="95250"/>
          <a:ext cx="89154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666750</xdr:colOff>
      <xdr:row>0</xdr:row>
      <xdr:rowOff>76200</xdr:rowOff>
    </xdr:from>
    <xdr:to>
      <xdr:col>22</xdr:col>
      <xdr:colOff>809625</xdr:colOff>
      <xdr:row>0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5135225" y="76200"/>
          <a:ext cx="44196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714375</xdr:colOff>
      <xdr:row>0</xdr:row>
      <xdr:rowOff>85725</xdr:rowOff>
    </xdr:from>
    <xdr:to>
      <xdr:col>37</xdr:col>
      <xdr:colOff>876300</xdr:colOff>
      <xdr:row>0</xdr:row>
      <xdr:rowOff>85725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0316825" y="85725"/>
          <a:ext cx="121920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sults%20of%20Operations\2018\2018.11\12A-2018.11_Avista%20Gas%20South%20Pul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LTS%20OF%20OPERATIONS\ROO%207\96\roo%20databas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Root\Working%20from%20home%20folder\WA%20GRC%202020\2020%20WA%20GRC%20Order%20info\Capital%20Reporting%20-%20Wildfire%20and%20EIM\Test-EIM%20PF%20and%20Provisional%20Adj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lias"/>
      <sheetName val="OR-CHK"/>
      <sheetName val="OR-CHK-UI"/>
      <sheetName val="OR-ALL"/>
      <sheetName val="OR-OPS"/>
      <sheetName val="OR-495"/>
      <sheetName val="OR-804"/>
      <sheetName val="OR-805"/>
      <sheetName val="OR-808"/>
      <sheetName val="OR-908"/>
      <sheetName val="OR-INT"/>
      <sheetName val="OR-FIT"/>
      <sheetName val="OR-SCM"/>
      <sheetName val="OR-DTE"/>
      <sheetName val="OR-OTX"/>
      <sheetName val="OR-PLT"/>
      <sheetName val="OR-APL"/>
      <sheetName val="OR-DEPX"/>
      <sheetName val="OR-AMTX"/>
      <sheetName val="OR-ADEP"/>
      <sheetName val="OR-AAMT"/>
      <sheetName val="C-GPL"/>
      <sheetName val="C-IPL"/>
      <sheetName val="C-DTX"/>
      <sheetName val="C-WKC"/>
      <sheetName val="OR-ROR"/>
    </sheetNames>
    <sheetDataSet>
      <sheetData sheetId="0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November 30, 2018</v>
          </cell>
        </row>
        <row r="5">
          <cell r="H5" t="str">
            <v>Average of Monthly Averages Basis</v>
          </cell>
        </row>
      </sheetData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 t="str">
            <v>Input</v>
          </cell>
          <cell r="E9" t="str">
            <v>Elec/Gas North/Oregon 4-Factor</v>
          </cell>
          <cell r="F9" t="str">
            <v>01-01-2017 thru 12-31-2017</v>
          </cell>
          <cell r="G9" t="str">
            <v>Total</v>
          </cell>
          <cell r="H9" t="str">
            <v>Electric</v>
          </cell>
          <cell r="I9" t="str">
            <v>Gas North</v>
          </cell>
          <cell r="J9" t="str">
            <v>Oregon Gas</v>
          </cell>
        </row>
        <row r="10">
          <cell r="C10">
            <v>0</v>
          </cell>
          <cell r="D10">
            <v>0</v>
          </cell>
          <cell r="E10" t="str">
            <v xml:space="preserve">   Direct O &amp; M Accts 580 - 894</v>
          </cell>
          <cell r="F10">
            <v>0</v>
          </cell>
          <cell r="G10">
            <v>74561528</v>
          </cell>
          <cell r="H10">
            <v>62492356</v>
          </cell>
          <cell r="I10">
            <v>8088844</v>
          </cell>
          <cell r="J10">
            <v>3980328</v>
          </cell>
        </row>
        <row r="11">
          <cell r="C11">
            <v>0</v>
          </cell>
          <cell r="D11">
            <v>0</v>
          </cell>
          <cell r="E11" t="str">
            <v xml:space="preserve">   Direct O &amp; M Accts 901 - 935</v>
          </cell>
          <cell r="F11">
            <v>0</v>
          </cell>
          <cell r="G11">
            <v>51344851</v>
          </cell>
          <cell r="H11">
            <v>35523672</v>
          </cell>
          <cell r="I11">
            <v>10602829</v>
          </cell>
          <cell r="J11">
            <v>5218350</v>
          </cell>
        </row>
        <row r="12">
          <cell r="C12">
            <v>0</v>
          </cell>
          <cell r="D12">
            <v>0</v>
          </cell>
          <cell r="E12" t="str">
            <v xml:space="preserve">   Direct O &amp; M Accts 901 - 905 Utility 9 Only</v>
          </cell>
          <cell r="F12">
            <v>0</v>
          </cell>
          <cell r="G12">
            <v>5153393</v>
          </cell>
          <cell r="H12">
            <v>3464837</v>
          </cell>
          <cell r="I12">
            <v>1688556</v>
          </cell>
          <cell r="J12" t="str">
            <v>XXXXXX</v>
          </cell>
        </row>
        <row r="13">
          <cell r="C13">
            <v>0</v>
          </cell>
          <cell r="D13">
            <v>0</v>
          </cell>
          <cell r="E13" t="str">
            <v xml:space="preserve">   Adjustments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Total</v>
          </cell>
          <cell r="F14">
            <v>0</v>
          </cell>
          <cell r="G14">
            <v>131059772</v>
          </cell>
          <cell r="H14">
            <v>101480865</v>
          </cell>
          <cell r="I14">
            <v>20380229</v>
          </cell>
          <cell r="J14">
            <v>9198678</v>
          </cell>
        </row>
        <row r="15">
          <cell r="C15">
            <v>0</v>
          </cell>
          <cell r="D15">
            <v>0</v>
          </cell>
          <cell r="E15" t="str">
            <v>Percentage</v>
          </cell>
          <cell r="F15">
            <v>0</v>
          </cell>
          <cell r="G15">
            <v>1</v>
          </cell>
          <cell r="H15">
            <v>0.77431000000000005</v>
          </cell>
          <cell r="I15">
            <v>0.1555</v>
          </cell>
          <cell r="J15">
            <v>7.0190000000000002E-2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 xml:space="preserve">   Direct Labor Accts 580 - 894</v>
          </cell>
          <cell r="F17">
            <v>0</v>
          </cell>
          <cell r="G17">
            <v>74226505</v>
          </cell>
          <cell r="H17">
            <v>55932706</v>
          </cell>
          <cell r="I17">
            <v>12828428</v>
          </cell>
          <cell r="J17">
            <v>5465371</v>
          </cell>
        </row>
        <row r="18">
          <cell r="C18">
            <v>0</v>
          </cell>
          <cell r="D18">
            <v>0</v>
          </cell>
          <cell r="E18" t="str">
            <v xml:space="preserve">   Direct Labor Accts 901 - 935</v>
          </cell>
          <cell r="F18">
            <v>0</v>
          </cell>
          <cell r="G18">
            <v>6185979</v>
          </cell>
          <cell r="H18">
            <v>3809731</v>
          </cell>
          <cell r="I18">
            <v>197120</v>
          </cell>
          <cell r="J18">
            <v>2179128</v>
          </cell>
        </row>
        <row r="19">
          <cell r="C19">
            <v>0</v>
          </cell>
          <cell r="D19">
            <v>0</v>
          </cell>
          <cell r="E19" t="str">
            <v xml:space="preserve">   Direct Labor Accts 901 - 905 Utility 9 Only</v>
          </cell>
          <cell r="F19">
            <v>0</v>
          </cell>
          <cell r="G19">
            <v>11137496</v>
          </cell>
          <cell r="H19">
            <v>7407915</v>
          </cell>
          <cell r="I19">
            <v>3729581</v>
          </cell>
          <cell r="J19" t="str">
            <v>XXXXXX</v>
          </cell>
        </row>
        <row r="20">
          <cell r="C20">
            <v>0</v>
          </cell>
          <cell r="D20">
            <v>0</v>
          </cell>
          <cell r="E20" t="str">
            <v>Total</v>
          </cell>
          <cell r="F20">
            <v>0</v>
          </cell>
          <cell r="G20">
            <v>91549980</v>
          </cell>
          <cell r="H20">
            <v>67150352</v>
          </cell>
          <cell r="I20">
            <v>16755129</v>
          </cell>
          <cell r="J20">
            <v>7644499</v>
          </cell>
        </row>
        <row r="21">
          <cell r="C21">
            <v>0</v>
          </cell>
          <cell r="D21">
            <v>0</v>
          </cell>
          <cell r="E21" t="str">
            <v>Percentage</v>
          </cell>
          <cell r="F21">
            <v>0</v>
          </cell>
          <cell r="G21">
            <v>1</v>
          </cell>
          <cell r="H21">
            <v>0.73348000000000002</v>
          </cell>
          <cell r="I21">
            <v>0.18301999999999999</v>
          </cell>
          <cell r="J21">
            <v>8.3500000000000005E-2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 xml:space="preserve">   Number of Customers</v>
          </cell>
          <cell r="F23">
            <v>0</v>
          </cell>
          <cell r="G23">
            <v>729596</v>
          </cell>
          <cell r="H23">
            <v>382273</v>
          </cell>
          <cell r="I23">
            <v>245616</v>
          </cell>
          <cell r="J23">
            <v>101707</v>
          </cell>
        </row>
        <row r="24">
          <cell r="C24">
            <v>0</v>
          </cell>
          <cell r="D24">
            <v>0</v>
          </cell>
          <cell r="E24" t="str">
            <v>Percentage</v>
          </cell>
          <cell r="F24">
            <v>0</v>
          </cell>
          <cell r="G24">
            <v>1</v>
          </cell>
          <cell r="H24">
            <v>0.52395000000000003</v>
          </cell>
          <cell r="I24">
            <v>0.33665</v>
          </cell>
          <cell r="J24">
            <v>0.1394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 xml:space="preserve">   Net Direct Plant</v>
          </cell>
          <cell r="F26">
            <v>0</v>
          </cell>
          <cell r="G26">
            <v>3427085391</v>
          </cell>
          <cell r="H26">
            <v>2651455641</v>
          </cell>
          <cell r="I26">
            <v>503067746</v>
          </cell>
          <cell r="J26">
            <v>272562004</v>
          </cell>
        </row>
        <row r="27">
          <cell r="C27">
            <v>0</v>
          </cell>
          <cell r="D27">
            <v>0</v>
          </cell>
          <cell r="E27" t="str">
            <v>Percentage</v>
          </cell>
          <cell r="F27">
            <v>0</v>
          </cell>
          <cell r="G27">
            <v>1</v>
          </cell>
          <cell r="H27">
            <v>0.77368000000000003</v>
          </cell>
          <cell r="I27">
            <v>0.14679</v>
          </cell>
          <cell r="J27">
            <v>7.9530000000000003E-2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 t="str">
            <v>Total Percentages</v>
          </cell>
          <cell r="F29">
            <v>0</v>
          </cell>
          <cell r="G29">
            <v>4</v>
          </cell>
          <cell r="H29">
            <v>2.8054199999999998</v>
          </cell>
          <cell r="I29">
            <v>0.82196000000000002</v>
          </cell>
          <cell r="J29">
            <v>0.37262000000000001</v>
          </cell>
        </row>
        <row r="30">
          <cell r="C30">
            <v>7</v>
          </cell>
          <cell r="D30">
            <v>0</v>
          </cell>
          <cell r="E30" t="str">
            <v>Average  (CD AA)</v>
          </cell>
          <cell r="F30">
            <v>0</v>
          </cell>
          <cell r="G30">
            <v>1</v>
          </cell>
          <cell r="H30">
            <v>0.70135000000000003</v>
          </cell>
          <cell r="I30">
            <v>0.20549000000000001</v>
          </cell>
          <cell r="J30">
            <v>9.3160000000000007E-2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 t="str">
            <v>Input</v>
          </cell>
          <cell r="E32" t="str">
            <v>Gas North/Oregon 4-Factor</v>
          </cell>
          <cell r="F32" t="str">
            <v>01-01-2017 thru 12-31-2017</v>
          </cell>
          <cell r="G32" t="str">
            <v>Total</v>
          </cell>
          <cell r="H32" t="str">
            <v>Electric</v>
          </cell>
          <cell r="I32" t="str">
            <v>Gas North</v>
          </cell>
          <cell r="J32" t="str">
            <v>Oregon Gas</v>
          </cell>
        </row>
        <row r="33">
          <cell r="C33">
            <v>0</v>
          </cell>
          <cell r="D33">
            <v>0</v>
          </cell>
          <cell r="E33" t="str">
            <v xml:space="preserve">   Direct O &amp; M Accts 580 - 894</v>
          </cell>
          <cell r="F33">
            <v>0</v>
          </cell>
          <cell r="G33">
            <v>11502745</v>
          </cell>
          <cell r="H33">
            <v>0</v>
          </cell>
          <cell r="I33">
            <v>7709221</v>
          </cell>
          <cell r="J33">
            <v>3793524</v>
          </cell>
        </row>
        <row r="34">
          <cell r="C34">
            <v>0</v>
          </cell>
          <cell r="D34">
            <v>0</v>
          </cell>
          <cell r="E34" t="str">
            <v xml:space="preserve">   Direct O &amp; M Accts 901 - 935</v>
          </cell>
          <cell r="F34">
            <v>0</v>
          </cell>
          <cell r="G34">
            <v>15449456</v>
          </cell>
          <cell r="H34">
            <v>0</v>
          </cell>
          <cell r="I34">
            <v>10353713</v>
          </cell>
          <cell r="J34">
            <v>5095743</v>
          </cell>
        </row>
        <row r="35">
          <cell r="C35">
            <v>0</v>
          </cell>
          <cell r="D35">
            <v>0</v>
          </cell>
          <cell r="E35" t="str">
            <v xml:space="preserve">   Direct O &amp; M Accts 901 - 905 Utility 9 Only</v>
          </cell>
          <cell r="F35">
            <v>0</v>
          </cell>
          <cell r="G35">
            <v>1688556</v>
          </cell>
          <cell r="H35">
            <v>0</v>
          </cell>
          <cell r="I35">
            <v>1688556</v>
          </cell>
          <cell r="J35" t="str">
            <v>XXXXXX</v>
          </cell>
        </row>
        <row r="36">
          <cell r="C36">
            <v>0</v>
          </cell>
          <cell r="D36">
            <v>0</v>
          </cell>
          <cell r="E36" t="str">
            <v>Total</v>
          </cell>
          <cell r="F36">
            <v>0</v>
          </cell>
          <cell r="G36">
            <v>28640757</v>
          </cell>
          <cell r="H36">
            <v>0</v>
          </cell>
          <cell r="I36">
            <v>19751490</v>
          </cell>
          <cell r="J36">
            <v>8889267</v>
          </cell>
        </row>
        <row r="37">
          <cell r="C37">
            <v>0</v>
          </cell>
          <cell r="D37">
            <v>0</v>
          </cell>
          <cell r="E37" t="str">
            <v>Percentage</v>
          </cell>
          <cell r="F37">
            <v>0</v>
          </cell>
          <cell r="G37">
            <v>1</v>
          </cell>
          <cell r="H37">
            <v>0</v>
          </cell>
          <cell r="I37">
            <v>0.68962999999999997</v>
          </cell>
          <cell r="J37">
            <v>0.31036999999999998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 t="str">
            <v xml:space="preserve">   Direct Labor Accts 580 - 894</v>
          </cell>
          <cell r="F39">
            <v>0</v>
          </cell>
          <cell r="G39">
            <v>13255885</v>
          </cell>
          <cell r="H39">
            <v>0</v>
          </cell>
          <cell r="I39">
            <v>9295618</v>
          </cell>
          <cell r="J39">
            <v>3960267</v>
          </cell>
        </row>
        <row r="40">
          <cell r="C40">
            <v>0</v>
          </cell>
          <cell r="D40">
            <v>0</v>
          </cell>
          <cell r="E40" t="str">
            <v xml:space="preserve">   Direct Labor Accts 901 - 935</v>
          </cell>
          <cell r="F40">
            <v>0</v>
          </cell>
          <cell r="G40">
            <v>1818322</v>
          </cell>
          <cell r="H40">
            <v>0</v>
          </cell>
          <cell r="I40">
            <v>150838</v>
          </cell>
          <cell r="J40">
            <v>1667484</v>
          </cell>
        </row>
        <row r="41">
          <cell r="C41">
            <v>0</v>
          </cell>
          <cell r="D41">
            <v>0</v>
          </cell>
          <cell r="E41" t="str">
            <v xml:space="preserve">   Direct Labor Accts 901 - 905 Utility 9 Only</v>
          </cell>
          <cell r="F41">
            <v>0</v>
          </cell>
          <cell r="G41">
            <v>3729581</v>
          </cell>
          <cell r="H41">
            <v>0</v>
          </cell>
          <cell r="I41">
            <v>3729581</v>
          </cell>
          <cell r="J41" t="str">
            <v>XXXXXX</v>
          </cell>
        </row>
        <row r="42">
          <cell r="C42">
            <v>0</v>
          </cell>
          <cell r="D42">
            <v>0</v>
          </cell>
          <cell r="E42" t="str">
            <v>Total</v>
          </cell>
          <cell r="F42">
            <v>0</v>
          </cell>
          <cell r="G42">
            <v>18803788</v>
          </cell>
          <cell r="H42">
            <v>0</v>
          </cell>
          <cell r="I42">
            <v>13176037</v>
          </cell>
          <cell r="J42">
            <v>5627751</v>
          </cell>
        </row>
        <row r="43">
          <cell r="C43">
            <v>0</v>
          </cell>
          <cell r="D43">
            <v>0</v>
          </cell>
          <cell r="E43" t="str">
            <v>Percentage</v>
          </cell>
          <cell r="F43">
            <v>0</v>
          </cell>
          <cell r="G43">
            <v>1</v>
          </cell>
          <cell r="H43">
            <v>0</v>
          </cell>
          <cell r="I43">
            <v>0.70071000000000006</v>
          </cell>
          <cell r="J43">
            <v>0.29929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 t="str">
            <v xml:space="preserve">   Number of Customers</v>
          </cell>
          <cell r="F45">
            <v>0</v>
          </cell>
          <cell r="G45">
            <v>347323</v>
          </cell>
          <cell r="H45">
            <v>0</v>
          </cell>
          <cell r="I45">
            <v>245616</v>
          </cell>
          <cell r="J45">
            <v>101707</v>
          </cell>
        </row>
        <row r="46">
          <cell r="C46">
            <v>0</v>
          </cell>
          <cell r="D46">
            <v>0</v>
          </cell>
          <cell r="E46" t="str">
            <v>Percentage</v>
          </cell>
          <cell r="F46">
            <v>0</v>
          </cell>
          <cell r="G46">
            <v>1</v>
          </cell>
          <cell r="H46">
            <v>0</v>
          </cell>
          <cell r="I46">
            <v>0.70716999999999997</v>
          </cell>
          <cell r="J46">
            <v>0.29282999999999998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 t="str">
            <v xml:space="preserve">   Net Direct Plant</v>
          </cell>
          <cell r="F48">
            <v>0</v>
          </cell>
          <cell r="G48">
            <v>764182162</v>
          </cell>
          <cell r="H48">
            <v>0</v>
          </cell>
          <cell r="I48">
            <v>492888057</v>
          </cell>
          <cell r="J48">
            <v>271294105</v>
          </cell>
        </row>
        <row r="49">
          <cell r="C49">
            <v>0</v>
          </cell>
          <cell r="D49">
            <v>0</v>
          </cell>
          <cell r="E49" t="str">
            <v>Percentage</v>
          </cell>
          <cell r="F49">
            <v>0</v>
          </cell>
          <cell r="G49">
            <v>1</v>
          </cell>
          <cell r="H49">
            <v>0</v>
          </cell>
          <cell r="I49">
            <v>0.64498999999999995</v>
          </cell>
          <cell r="J49">
            <v>0.35500999999999999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 t="str">
            <v>Total Percentages</v>
          </cell>
          <cell r="F51">
            <v>0</v>
          </cell>
          <cell r="G51">
            <v>4</v>
          </cell>
          <cell r="H51">
            <v>0</v>
          </cell>
          <cell r="I51">
            <v>2.7425000000000002</v>
          </cell>
          <cell r="J51">
            <v>1.2575000000000001</v>
          </cell>
        </row>
        <row r="52">
          <cell r="C52">
            <v>8</v>
          </cell>
          <cell r="D52">
            <v>0</v>
          </cell>
          <cell r="E52" t="str">
            <v>Average  (GD AA)</v>
          </cell>
          <cell r="F52">
            <v>0</v>
          </cell>
          <cell r="G52">
            <v>1</v>
          </cell>
          <cell r="H52">
            <v>0</v>
          </cell>
          <cell r="I52">
            <v>0.68562000000000001</v>
          </cell>
          <cell r="J52">
            <v>0.31437999999999999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 t="str">
            <v>Input</v>
          </cell>
          <cell r="E56" t="str">
            <v xml:space="preserve">Elec/Gas North 4-Factor </v>
          </cell>
          <cell r="F56" t="str">
            <v>01-01-2017 thru 12-31-2017</v>
          </cell>
          <cell r="G56" t="str">
            <v>Total</v>
          </cell>
          <cell r="H56" t="str">
            <v>Electric</v>
          </cell>
          <cell r="I56" t="str">
            <v>Gas North</v>
          </cell>
          <cell r="J56" t="str">
            <v>Oregon Gas</v>
          </cell>
        </row>
        <row r="57">
          <cell r="C57">
            <v>0</v>
          </cell>
          <cell r="D57">
            <v>0</v>
          </cell>
          <cell r="E57" t="str">
            <v xml:space="preserve">   Direct O &amp; M Accts 580 - 894</v>
          </cell>
          <cell r="F57">
            <v>0</v>
          </cell>
          <cell r="G57">
            <v>70589908</v>
          </cell>
          <cell r="H57">
            <v>62492356</v>
          </cell>
          <cell r="I57">
            <v>8097552</v>
          </cell>
          <cell r="J57">
            <v>0</v>
          </cell>
        </row>
        <row r="58">
          <cell r="C58">
            <v>0</v>
          </cell>
          <cell r="D58">
            <v>0</v>
          </cell>
          <cell r="E58" t="str">
            <v xml:space="preserve">   Direct O &amp; M Accts 901 - 935</v>
          </cell>
          <cell r="F58">
            <v>0</v>
          </cell>
          <cell r="G58">
            <v>46132231</v>
          </cell>
          <cell r="H58">
            <v>35523672</v>
          </cell>
          <cell r="I58">
            <v>10608559</v>
          </cell>
          <cell r="J58">
            <v>0</v>
          </cell>
        </row>
        <row r="59">
          <cell r="C59">
            <v>0</v>
          </cell>
          <cell r="D59">
            <v>0</v>
          </cell>
          <cell r="E59" t="str">
            <v xml:space="preserve">   Adjustments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0</v>
          </cell>
          <cell r="D60">
            <v>0</v>
          </cell>
          <cell r="E60" t="str">
            <v>Total</v>
          </cell>
          <cell r="F60">
            <v>0</v>
          </cell>
          <cell r="G60">
            <v>116722139</v>
          </cell>
          <cell r="H60">
            <v>98016028</v>
          </cell>
          <cell r="I60">
            <v>18706111</v>
          </cell>
          <cell r="J60">
            <v>0</v>
          </cell>
        </row>
        <row r="61">
          <cell r="C61">
            <v>0</v>
          </cell>
          <cell r="D61">
            <v>0</v>
          </cell>
          <cell r="E61" t="str">
            <v>Percentage</v>
          </cell>
          <cell r="F61">
            <v>0</v>
          </cell>
          <cell r="G61">
            <v>1</v>
          </cell>
          <cell r="H61">
            <v>0.83974000000000004</v>
          </cell>
          <cell r="I61">
            <v>0.16026000000000001</v>
          </cell>
          <cell r="J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0</v>
          </cell>
          <cell r="D63">
            <v>0</v>
          </cell>
          <cell r="E63" t="str">
            <v xml:space="preserve">   Direct Labor Accts 580 - 894</v>
          </cell>
          <cell r="F63">
            <v>0</v>
          </cell>
          <cell r="G63">
            <v>68682217</v>
          </cell>
          <cell r="H63">
            <v>55932706</v>
          </cell>
          <cell r="I63">
            <v>12749511</v>
          </cell>
          <cell r="J63">
            <v>0</v>
          </cell>
        </row>
        <row r="64">
          <cell r="C64">
            <v>0</v>
          </cell>
          <cell r="D64">
            <v>0</v>
          </cell>
          <cell r="E64" t="str">
            <v xml:space="preserve">   Direct Labor Accts 901 - 935</v>
          </cell>
          <cell r="F64">
            <v>0</v>
          </cell>
          <cell r="G64">
            <v>4343072</v>
          </cell>
          <cell r="H64">
            <v>3809731</v>
          </cell>
          <cell r="I64">
            <v>533341</v>
          </cell>
          <cell r="J64">
            <v>0</v>
          </cell>
        </row>
        <row r="65">
          <cell r="C65">
            <v>0</v>
          </cell>
          <cell r="D65">
            <v>0</v>
          </cell>
          <cell r="E65" t="str">
            <v>Total</v>
          </cell>
          <cell r="F65">
            <v>0</v>
          </cell>
          <cell r="G65">
            <v>73025289</v>
          </cell>
          <cell r="H65">
            <v>59742437</v>
          </cell>
          <cell r="I65">
            <v>13282852</v>
          </cell>
          <cell r="J65">
            <v>0</v>
          </cell>
        </row>
        <row r="66">
          <cell r="C66">
            <v>0</v>
          </cell>
          <cell r="D66">
            <v>0</v>
          </cell>
          <cell r="E66" t="str">
            <v>Percentage</v>
          </cell>
          <cell r="F66">
            <v>0</v>
          </cell>
          <cell r="G66">
            <v>1</v>
          </cell>
          <cell r="H66">
            <v>0.81811</v>
          </cell>
          <cell r="I66">
            <v>0.18189</v>
          </cell>
          <cell r="J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C68">
            <v>0</v>
          </cell>
          <cell r="D68">
            <v>0</v>
          </cell>
          <cell r="E68" t="str">
            <v xml:space="preserve">   Number of Customers</v>
          </cell>
          <cell r="F68">
            <v>0</v>
          </cell>
          <cell r="G68">
            <v>627889</v>
          </cell>
          <cell r="H68">
            <v>382273</v>
          </cell>
          <cell r="I68">
            <v>245616</v>
          </cell>
          <cell r="J68">
            <v>0</v>
          </cell>
        </row>
        <row r="69">
          <cell r="C69">
            <v>0</v>
          </cell>
          <cell r="D69">
            <v>0</v>
          </cell>
          <cell r="E69" t="str">
            <v>Percentage</v>
          </cell>
          <cell r="F69">
            <v>0</v>
          </cell>
          <cell r="G69">
            <v>1</v>
          </cell>
          <cell r="H69">
            <v>0.60882000000000003</v>
          </cell>
          <cell r="I69">
            <v>0.39118000000000003</v>
          </cell>
          <cell r="J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C71">
            <v>0</v>
          </cell>
          <cell r="D71">
            <v>0</v>
          </cell>
          <cell r="E71" t="str">
            <v xml:space="preserve">   Net Direct Plant</v>
          </cell>
          <cell r="F71">
            <v>0</v>
          </cell>
          <cell r="G71">
            <v>3118486683</v>
          </cell>
          <cell r="H71">
            <v>2625598626</v>
          </cell>
          <cell r="I71">
            <v>492888057</v>
          </cell>
          <cell r="J71">
            <v>0</v>
          </cell>
        </row>
        <row r="72">
          <cell r="C72">
            <v>0</v>
          </cell>
          <cell r="D72">
            <v>0</v>
          </cell>
          <cell r="E72" t="str">
            <v>Percentage</v>
          </cell>
          <cell r="F72">
            <v>0</v>
          </cell>
          <cell r="G72">
            <v>1</v>
          </cell>
          <cell r="H72">
            <v>0.84194999999999998</v>
          </cell>
          <cell r="I72">
            <v>0.15805</v>
          </cell>
          <cell r="J72">
            <v>0</v>
          </cell>
        </row>
        <row r="73">
          <cell r="C73">
            <v>0</v>
          </cell>
          <cell r="D73">
            <v>0</v>
          </cell>
          <cell r="E73" t="str">
            <v>Total Percentages</v>
          </cell>
          <cell r="F73">
            <v>0</v>
          </cell>
          <cell r="G73">
            <v>4</v>
          </cell>
          <cell r="H73">
            <v>3.1086200000000002</v>
          </cell>
          <cell r="I73">
            <v>0.89137999999999995</v>
          </cell>
          <cell r="J73">
            <v>0</v>
          </cell>
        </row>
        <row r="74">
          <cell r="C74">
            <v>9</v>
          </cell>
          <cell r="D74">
            <v>0</v>
          </cell>
          <cell r="E74" t="str">
            <v>Average  (CD AN/ID/WA)</v>
          </cell>
          <cell r="F74">
            <v>0</v>
          </cell>
          <cell r="G74">
            <v>1</v>
          </cell>
          <cell r="H74">
            <v>0.77714000000000005</v>
          </cell>
          <cell r="I74">
            <v>0.22286</v>
          </cell>
          <cell r="J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Total</v>
          </cell>
          <cell r="H76">
            <v>0</v>
          </cell>
          <cell r="I76" t="str">
            <v>Gas North</v>
          </cell>
          <cell r="J76" t="str">
            <v>Oregon Gas</v>
          </cell>
        </row>
        <row r="77">
          <cell r="C77" t="str">
            <v>JP</v>
          </cell>
          <cell r="D77">
            <v>0</v>
          </cell>
          <cell r="E77" t="str">
            <v>Gas North/Oregon JP Factor %</v>
          </cell>
          <cell r="F77" t="str">
            <v>01-01-2017 thru 12-31-2017</v>
          </cell>
          <cell r="G77">
            <v>1</v>
          </cell>
          <cell r="H77">
            <v>0</v>
          </cell>
          <cell r="I77">
            <v>0.90349999999999997</v>
          </cell>
          <cell r="J77">
            <v>9.6500000000000002E-2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Total</v>
          </cell>
          <cell r="H79">
            <v>0</v>
          </cell>
          <cell r="I79">
            <v>0</v>
          </cell>
          <cell r="J79" t="str">
            <v>Oregon Gas</v>
          </cell>
        </row>
        <row r="80">
          <cell r="D80">
            <v>0</v>
          </cell>
          <cell r="E80" t="str">
            <v>Annual Throughput</v>
          </cell>
          <cell r="F80" t="str">
            <v>01-01-2017 thru 12-31-2017</v>
          </cell>
          <cell r="G80">
            <v>96627550</v>
          </cell>
          <cell r="H80">
            <v>0</v>
          </cell>
          <cell r="I80">
            <v>0</v>
          </cell>
          <cell r="J80">
            <v>96627550</v>
          </cell>
        </row>
        <row r="81">
          <cell r="C81">
            <v>10</v>
          </cell>
          <cell r="D81">
            <v>0</v>
          </cell>
          <cell r="E81" t="str">
            <v xml:space="preserve">  Percent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OR-PLT</v>
          </cell>
          <cell r="E83" t="str">
            <v>Net Gas Plant (before ADFIT) - AMA</v>
          </cell>
          <cell r="F83" t="str">
            <v>11-01-2017 thru 11-30-2018</v>
          </cell>
          <cell r="G83">
            <v>315414928</v>
          </cell>
          <cell r="H83">
            <v>0</v>
          </cell>
          <cell r="I83">
            <v>0</v>
          </cell>
          <cell r="J83">
            <v>315414928</v>
          </cell>
        </row>
        <row r="84">
          <cell r="C84">
            <v>12</v>
          </cell>
          <cell r="D84">
            <v>0</v>
          </cell>
          <cell r="E84" t="str">
            <v xml:space="preserve">  Percent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>
            <v>16</v>
          </cell>
          <cell r="D86">
            <v>0</v>
          </cell>
          <cell r="E86" t="str">
            <v>Jurisdiction/Service JP Factor %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>
            <v>99</v>
          </cell>
          <cell r="D88" t="str">
            <v>Input</v>
          </cell>
          <cell r="E88" t="str">
            <v>Not Allocated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>
            <v>0</v>
          </cell>
          <cell r="D90">
            <v>0</v>
          </cell>
          <cell r="E90" t="str">
            <v>**** The following is obsolete as of 201111 and will not be printed. ***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>
            <v>0</v>
          </cell>
          <cell r="D91">
            <v>0</v>
          </cell>
          <cell r="E91" t="str">
            <v>Situs Plant by Functional Group: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E92" t="str">
            <v>(Used to functionalize R&amp;P Property Tax on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C93">
            <v>0</v>
          </cell>
          <cell r="D93">
            <v>0</v>
          </cell>
          <cell r="E93" t="str">
            <v xml:space="preserve"> Report OR-OTX)</v>
          </cell>
          <cell r="F93" t="str">
            <v>11-30-2018</v>
          </cell>
          <cell r="G93" t="str">
            <v>Oregon</v>
          </cell>
          <cell r="J93">
            <v>0</v>
          </cell>
        </row>
        <row r="94">
          <cell r="C94">
            <v>0</v>
          </cell>
          <cell r="D94" t="str">
            <v>OR-PLT</v>
          </cell>
          <cell r="E94" t="str">
            <v>Production</v>
          </cell>
          <cell r="G94">
            <v>7628</v>
          </cell>
          <cell r="J94">
            <v>0</v>
          </cell>
        </row>
        <row r="95">
          <cell r="C95">
            <v>0</v>
          </cell>
          <cell r="D95" t="str">
            <v>OR-PLT</v>
          </cell>
          <cell r="E95" t="str">
            <v>Distribution</v>
          </cell>
          <cell r="G95">
            <v>376952028</v>
          </cell>
          <cell r="J95">
            <v>0</v>
          </cell>
        </row>
        <row r="96">
          <cell r="C96">
            <v>0</v>
          </cell>
          <cell r="D96" t="str">
            <v>OR-PLT</v>
          </cell>
          <cell r="E96" t="str">
            <v>General</v>
          </cell>
          <cell r="G96">
            <v>37012960</v>
          </cell>
          <cell r="J96">
            <v>0</v>
          </cell>
        </row>
        <row r="97">
          <cell r="C97">
            <v>0</v>
          </cell>
          <cell r="D97">
            <v>0</v>
          </cell>
          <cell r="E97" t="str">
            <v xml:space="preserve">  TOTAL</v>
          </cell>
          <cell r="G97">
            <v>413972616</v>
          </cell>
          <cell r="J9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#REF!"/>
    </defined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Model"/>
      <sheetName val="ADJ-E - OG"/>
      <sheetName val="Summary-Cost-E"/>
      <sheetName val="EIM - 2020 WA E Detail - OG"/>
      <sheetName val="EIM - 2021 WA E Detail - OG"/>
      <sheetName val="EIM - 2022 WA E Detail - OG"/>
      <sheetName val="ADJ-E - SAF"/>
      <sheetName val="Summary-Cost-E - SAF"/>
      <sheetName val="EIM - 2021 WA E Detail - SAF"/>
      <sheetName val="EIM - 2022 WA E Detail - SAF"/>
      <sheetName val="ADJ-E - NewAll"/>
      <sheetName val="Summary-Cost-E - NewAll"/>
      <sheetName val="EIM - 2021 WA E Detail - NewAll"/>
      <sheetName val="EIM - 2022 WA E Detail - NewAll"/>
    </sheetNames>
    <sheetDataSet>
      <sheetData sheetId="0" refreshError="1"/>
      <sheetData sheetId="1"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njamin, Tia" id="{7F3DE498-CFE2-4A14-8DE8-51C7EBD7EA6B}" userId="S::Tia.Benjamin@avistacorp.com::d4573d88-937c-4c45-a376-df9eeb1018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3" dT="2021-02-11T00:37:02.14" personId="{7F3DE498-CFE2-4A14-8DE8-51C7EBD7EA6B}" id="{F4FC4474-6B4F-461A-B40C-A49B973D5039}">
    <text>WA wtd debt 2.48% (per 2019 WA Elec RR Model)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53"/>
  <sheetViews>
    <sheetView tabSelected="1" workbookViewId="0">
      <pane xSplit="4" ySplit="6" topLeftCell="E13" activePane="bottomRight" state="frozen"/>
      <selection pane="topRight" activeCell="E1" sqref="E1"/>
      <selection pane="bottomLeft" activeCell="A7" sqref="A7"/>
      <selection pane="bottomRight" activeCell="AT25" sqref="AT25"/>
    </sheetView>
  </sheetViews>
  <sheetFormatPr defaultRowHeight="12.75" outlineLevelRow="1" outlineLevelCol="1"/>
  <cols>
    <col min="2" max="2" width="12.42578125" customWidth="1"/>
    <col min="5" max="13" width="13.140625" hidden="1" customWidth="1" outlineLevel="1"/>
    <col min="14" max="16" width="14.85546875" hidden="1" customWidth="1" outlineLevel="1"/>
    <col min="17" max="17" width="16.85546875" bestFit="1" customWidth="1" collapsed="1"/>
    <col min="18" max="18" width="14.85546875" hidden="1" customWidth="1" outlineLevel="1"/>
    <col min="19" max="30" width="13.140625" hidden="1" customWidth="1" outlineLevel="1"/>
    <col min="31" max="31" width="16.85546875" bestFit="1" customWidth="1" collapsed="1"/>
    <col min="32" max="33" width="11.85546875" customWidth="1"/>
    <col min="34" max="34" width="13.140625" customWidth="1"/>
    <col min="35" max="40" width="13.140625" hidden="1" customWidth="1" outlineLevel="1"/>
    <col min="41" max="43" width="9.140625" hidden="1" customWidth="1" outlineLevel="1"/>
    <col min="44" max="44" width="16.85546875" customWidth="1" collapsed="1"/>
    <col min="45" max="45" width="16.5703125" customWidth="1"/>
    <col min="46" max="46" width="9.140625" customWidth="1" collapsed="1"/>
    <col min="47" max="47" width="15.7109375" customWidth="1"/>
  </cols>
  <sheetData>
    <row r="1" spans="1:45">
      <c r="W1" s="6"/>
      <c r="AH1" s="6" t="s">
        <v>174</v>
      </c>
    </row>
    <row r="2" spans="1:45">
      <c r="A2" s="1" t="s">
        <v>157</v>
      </c>
      <c r="W2" s="6"/>
      <c r="AH2" s="6" t="s">
        <v>176</v>
      </c>
    </row>
    <row r="5" spans="1:45">
      <c r="B5" s="1" t="s">
        <v>158</v>
      </c>
      <c r="Q5" s="6">
        <v>2020</v>
      </c>
      <c r="S5" s="79"/>
      <c r="AE5" s="6">
        <v>2021</v>
      </c>
      <c r="AR5" s="6">
        <v>2022</v>
      </c>
      <c r="AS5" s="6" t="s">
        <v>164</v>
      </c>
    </row>
    <row r="6" spans="1:45">
      <c r="E6" s="105">
        <f>'Summary-Cost-E - PF.PV'!E3</f>
        <v>202001</v>
      </c>
      <c r="F6" s="105">
        <f>'Summary-Cost-E - PF.PV'!F3</f>
        <v>202002</v>
      </c>
      <c r="G6" s="105">
        <f>'Summary-Cost-E - PF.PV'!G3</f>
        <v>202003</v>
      </c>
      <c r="H6" s="105">
        <f>'Summary-Cost-E - PF.PV'!H3</f>
        <v>202004</v>
      </c>
      <c r="I6" s="105">
        <f>'Summary-Cost-E - PF.PV'!I3</f>
        <v>202005</v>
      </c>
      <c r="J6" s="105">
        <f>'Summary-Cost-E - PF.PV'!J3</f>
        <v>202006</v>
      </c>
      <c r="K6" s="105">
        <f>'Summary-Cost-E - PF.PV'!K3</f>
        <v>202007</v>
      </c>
      <c r="L6" s="105">
        <f>'Summary-Cost-E - PF.PV'!L3</f>
        <v>202008</v>
      </c>
      <c r="M6" s="105">
        <f>'Summary-Cost-E - PF.PV'!M3</f>
        <v>202009</v>
      </c>
      <c r="N6" s="105">
        <f>'Summary-Cost-E - PF.PV'!N3</f>
        <v>202010</v>
      </c>
      <c r="O6" s="105">
        <f>'Summary-Cost-E - PF.PV'!O3</f>
        <v>202011</v>
      </c>
      <c r="P6" s="105">
        <f>'Summary-Cost-E - PF.PV'!P3</f>
        <v>202012</v>
      </c>
      <c r="Q6" s="116" t="s">
        <v>161</v>
      </c>
      <c r="R6" s="116" t="s">
        <v>162</v>
      </c>
      <c r="S6" s="105">
        <f>'Summary-Cost-E - PF.PV'!R3</f>
        <v>202101</v>
      </c>
      <c r="T6" s="105">
        <f>'Summary-Cost-E - PF.PV'!S3</f>
        <v>202102</v>
      </c>
      <c r="U6" s="105">
        <f>'Summary-Cost-E - PF.PV'!T3</f>
        <v>202103</v>
      </c>
      <c r="V6" s="105">
        <f>'Summary-Cost-E - PF.PV'!U3</f>
        <v>202104</v>
      </c>
      <c r="W6" s="105">
        <f>'Summary-Cost-E - PF.PV'!V3</f>
        <v>202105</v>
      </c>
      <c r="X6" s="105">
        <f>'Summary-Cost-E - PF.PV'!W3</f>
        <v>202106</v>
      </c>
      <c r="Y6" s="105">
        <f>'Summary-Cost-E - PF.PV'!X3</f>
        <v>202107</v>
      </c>
      <c r="Z6" s="105">
        <f>'Summary-Cost-E - PF.PV'!Y3</f>
        <v>202108</v>
      </c>
      <c r="AA6" s="105">
        <f>'Summary-Cost-E - PF.PV'!Z3</f>
        <v>202109</v>
      </c>
      <c r="AB6" s="105">
        <f>'Summary-Cost-E - PF.PV'!AA3</f>
        <v>202110</v>
      </c>
      <c r="AC6" s="105">
        <f>'Summary-Cost-E - PF.PV'!AB3</f>
        <v>202111</v>
      </c>
      <c r="AD6" s="105">
        <f>'Summary-Cost-E - PF.PV'!AC3</f>
        <v>202112</v>
      </c>
      <c r="AE6" s="116" t="s">
        <v>161</v>
      </c>
      <c r="AF6" s="105">
        <f>'Summary-Cost-E - PF.PV'!AD3</f>
        <v>202201</v>
      </c>
      <c r="AG6" s="105">
        <f>'Summary-Cost-E - PF.PV'!AE3</f>
        <v>202202</v>
      </c>
      <c r="AH6" s="105">
        <f>'Summary-Cost-E - PF.PV'!AF3</f>
        <v>202203</v>
      </c>
      <c r="AI6" s="105">
        <f>'Summary-Cost-E - PF.PV'!AG3</f>
        <v>202204</v>
      </c>
      <c r="AJ6" s="105">
        <f>'Summary-Cost-E - PF.PV'!AH3</f>
        <v>202205</v>
      </c>
      <c r="AK6" s="105">
        <f>'Summary-Cost-E - PF.PV'!AI3</f>
        <v>202206</v>
      </c>
      <c r="AL6" s="105">
        <f>'Summary-Cost-E - PF.PV'!AJ3</f>
        <v>202207</v>
      </c>
      <c r="AM6" s="105">
        <f>'Summary-Cost-E - PF.PV'!AK3</f>
        <v>202208</v>
      </c>
      <c r="AN6" s="105">
        <f>'Summary-Cost-E - PF.PV'!AL3</f>
        <v>202209</v>
      </c>
      <c r="AO6" s="105">
        <f>AN6+1</f>
        <v>202210</v>
      </c>
      <c r="AP6" s="105">
        <f t="shared" ref="AP6:AQ6" si="0">AO6+1</f>
        <v>202211</v>
      </c>
      <c r="AQ6" s="105">
        <f t="shared" si="0"/>
        <v>202212</v>
      </c>
      <c r="AR6" s="116" t="s">
        <v>161</v>
      </c>
      <c r="AS6" s="116" t="s">
        <v>162</v>
      </c>
    </row>
    <row r="7" spans="1:45">
      <c r="D7" s="104" t="s">
        <v>17</v>
      </c>
      <c r="E7" s="106">
        <f>'Summary-Cost-E - PF.PV'!E15</f>
        <v>0</v>
      </c>
      <c r="F7" s="106">
        <f>'Summary-Cost-E - PF.PV'!F15</f>
        <v>0</v>
      </c>
      <c r="G7" s="106">
        <f>'Summary-Cost-E - PF.PV'!G15</f>
        <v>0</v>
      </c>
      <c r="H7" s="106">
        <f>'Summary-Cost-E - PF.PV'!H15</f>
        <v>0</v>
      </c>
      <c r="I7" s="106">
        <f>'Summary-Cost-E - PF.PV'!I15</f>
        <v>0</v>
      </c>
      <c r="J7" s="106">
        <f>'Summary-Cost-E - PF.PV'!J15</f>
        <v>0</v>
      </c>
      <c r="K7" s="106">
        <f>'Summary-Cost-E - PF.PV'!K15</f>
        <v>0</v>
      </c>
      <c r="L7" s="106">
        <f>'Summary-Cost-E - PF.PV'!L15</f>
        <v>0</v>
      </c>
      <c r="M7" s="106">
        <f>'Summary-Cost-E - PF.PV'!M15</f>
        <v>0</v>
      </c>
      <c r="N7" s="106">
        <f>'Summary-Cost-E - PF.PV'!N15</f>
        <v>0</v>
      </c>
      <c r="O7" s="106">
        <f>'Summary-Cost-E - PF.PV'!O15</f>
        <v>0</v>
      </c>
      <c r="P7" s="106">
        <f>'Summary-Cost-E - PF.PV'!P15</f>
        <v>0</v>
      </c>
      <c r="Q7" s="117">
        <f>SUBTOTAL(9,E7:P7)</f>
        <v>0</v>
      </c>
      <c r="R7" s="117">
        <f>SUBTOTAL(9,$E7:Q7)</f>
        <v>0</v>
      </c>
      <c r="S7" s="106">
        <f>'Summary-Cost-E - PF.PV'!R15</f>
        <v>0</v>
      </c>
      <c r="T7" s="106">
        <f>'Summary-Cost-E - PF.PV'!S15</f>
        <v>0</v>
      </c>
      <c r="U7" s="106">
        <f>'Summary-Cost-E - PF.PV'!T15</f>
        <v>0</v>
      </c>
      <c r="V7" s="106">
        <f>'Summary-Cost-E - PF.PV'!U15</f>
        <v>0</v>
      </c>
      <c r="W7" s="106">
        <f>'Summary-Cost-E - PF.PV'!V15</f>
        <v>0</v>
      </c>
      <c r="X7" s="106">
        <f>'Summary-Cost-E - PF.PV'!W15</f>
        <v>187140.45078018191</v>
      </c>
      <c r="Y7" s="106">
        <f>'Summary-Cost-E - PF.PV'!X15</f>
        <v>0</v>
      </c>
      <c r="Z7" s="106">
        <f>'Summary-Cost-E - PF.PV'!Y15</f>
        <v>0</v>
      </c>
      <c r="AA7" s="106">
        <f>'Summary-Cost-E - PF.PV'!Z15</f>
        <v>0</v>
      </c>
      <c r="AB7" s="106">
        <f>'Summary-Cost-E - PF.PV'!AA15</f>
        <v>0</v>
      </c>
      <c r="AC7" s="106">
        <f>'Summary-Cost-E - PF.PV'!AB15</f>
        <v>0</v>
      </c>
      <c r="AD7" s="106">
        <f>'Summary-Cost-E - PF.PV'!AC15</f>
        <v>0</v>
      </c>
      <c r="AE7" s="117">
        <f>SUBTOTAL(9,S7:AD7)</f>
        <v>187140.45078018191</v>
      </c>
      <c r="AF7" s="106">
        <f>'Summary-Cost-E - PF.PV'!AD15</f>
        <v>0</v>
      </c>
      <c r="AG7" s="106">
        <f>'Summary-Cost-E - PF.PV'!AE15</f>
        <v>0</v>
      </c>
      <c r="AH7" s="106">
        <f>'Summary-Cost-E - PF.PV'!AF15</f>
        <v>0</v>
      </c>
      <c r="AI7" s="106"/>
      <c r="AJ7" s="106"/>
      <c r="AK7" s="106"/>
      <c r="AL7" s="106"/>
      <c r="AM7" s="106"/>
      <c r="AN7" s="106"/>
      <c r="AO7" s="106"/>
      <c r="AP7" s="106"/>
      <c r="AQ7" s="106"/>
      <c r="AR7" s="117">
        <f>SUBTOTAL(9,AF7:AQ7)</f>
        <v>0</v>
      </c>
      <c r="AS7" s="119">
        <f>SUBTOTAL(9,$E7:AR7)</f>
        <v>187140.45078018191</v>
      </c>
    </row>
    <row r="8" spans="1:45">
      <c r="D8" s="104" t="s">
        <v>14</v>
      </c>
      <c r="E8" s="106">
        <f>'Summary-Cost-E - PF.PV'!E16</f>
        <v>0</v>
      </c>
      <c r="F8" s="106">
        <f>'Summary-Cost-E - PF.PV'!F16</f>
        <v>0</v>
      </c>
      <c r="G8" s="106">
        <f>'Summary-Cost-E - PF.PV'!G16</f>
        <v>0</v>
      </c>
      <c r="H8" s="106">
        <f>'Summary-Cost-E - PF.PV'!H16</f>
        <v>0</v>
      </c>
      <c r="I8" s="106">
        <f>'Summary-Cost-E - PF.PV'!I16</f>
        <v>0</v>
      </c>
      <c r="J8" s="106">
        <f>'Summary-Cost-E - PF.PV'!J16</f>
        <v>0</v>
      </c>
      <c r="K8" s="106">
        <f>'Summary-Cost-E - PF.PV'!K16</f>
        <v>0</v>
      </c>
      <c r="L8" s="106">
        <f>'Summary-Cost-E - PF.PV'!L16</f>
        <v>100165.123716</v>
      </c>
      <c r="M8" s="106">
        <f>'Summary-Cost-E - PF.PV'!M16</f>
        <v>0</v>
      </c>
      <c r="N8" s="106">
        <f>'Summary-Cost-E - PF.PV'!N16</f>
        <v>39057.250644</v>
      </c>
      <c r="O8" s="106">
        <f>'Summary-Cost-E - PF.PV'!O16</f>
        <v>889.211952</v>
      </c>
      <c r="P8" s="106">
        <f>'Summary-Cost-E - PF.PV'!P16</f>
        <v>3764.2439520000003</v>
      </c>
      <c r="Q8" s="117">
        <f t="shared" ref="Q8:Q13" si="1">SUBTOTAL(9,E8:P8)</f>
        <v>143875.83026400002</v>
      </c>
      <c r="R8" s="117">
        <f>SUBTOTAL(9,$E8:Q8)</f>
        <v>143875.83026400002</v>
      </c>
      <c r="S8" s="106">
        <f>'Summary-Cost-E - PF.PV'!R16</f>
        <v>116996.23869034676</v>
      </c>
      <c r="T8" s="106">
        <f>'Summary-Cost-E - PF.PV'!S16</f>
        <v>116996.23869034676</v>
      </c>
      <c r="U8" s="106">
        <f>'Summary-Cost-E - PF.PV'!T16</f>
        <v>116996.23869034676</v>
      </c>
      <c r="V8" s="106">
        <f>'Summary-Cost-E - PF.PV'!U16</f>
        <v>223465.36856774264</v>
      </c>
      <c r="W8" s="106">
        <f>'Summary-Cost-E - PF.PV'!V16</f>
        <v>223465.36856774264</v>
      </c>
      <c r="X8" s="106">
        <f>'Summary-Cost-E - PF.PV'!W16</f>
        <v>560713.18616774259</v>
      </c>
      <c r="Y8" s="106">
        <f>'Summary-Cost-E - PF.PV'!X16</f>
        <v>0</v>
      </c>
      <c r="Z8" s="106">
        <f>'Summary-Cost-E - PF.PV'!Y16</f>
        <v>0</v>
      </c>
      <c r="AA8" s="106">
        <f>'Summary-Cost-E - PF.PV'!Z16</f>
        <v>0</v>
      </c>
      <c r="AB8" s="106">
        <f>'Summary-Cost-E - PF.PV'!AA16</f>
        <v>0</v>
      </c>
      <c r="AC8" s="106">
        <f>'Summary-Cost-E - PF.PV'!AB16</f>
        <v>0</v>
      </c>
      <c r="AD8" s="106">
        <f>'Summary-Cost-E - PF.PV'!AC16</f>
        <v>0</v>
      </c>
      <c r="AE8" s="117">
        <f t="shared" ref="AE8:AE13" si="2">SUBTOTAL(9,S8:AD8)</f>
        <v>1358632.6393742682</v>
      </c>
      <c r="AF8" s="106">
        <f>'Summary-Cost-E - PF.PV'!AD16</f>
        <v>0</v>
      </c>
      <c r="AG8" s="106">
        <f>'Summary-Cost-E - PF.PV'!AE16</f>
        <v>0</v>
      </c>
      <c r="AH8" s="106">
        <f>'Summary-Cost-E - PF.PV'!AF16</f>
        <v>0</v>
      </c>
      <c r="AI8" s="106"/>
      <c r="AJ8" s="106"/>
      <c r="AK8" s="106"/>
      <c r="AL8" s="106"/>
      <c r="AM8" s="106"/>
      <c r="AN8" s="106"/>
      <c r="AO8" s="106"/>
      <c r="AP8" s="106"/>
      <c r="AQ8" s="106"/>
      <c r="AR8" s="117">
        <f t="shared" ref="AR8:AR13" si="3">SUBTOTAL(9,AF8:AQ8)</f>
        <v>0</v>
      </c>
      <c r="AS8" s="119">
        <f>SUBTOTAL(9,$E8:AR8)</f>
        <v>1502508.4696382682</v>
      </c>
    </row>
    <row r="9" spans="1:45">
      <c r="D9" s="104" t="s">
        <v>141</v>
      </c>
      <c r="E9" s="106">
        <f>'Summary-Cost-E - PF.PV'!E17</f>
        <v>0</v>
      </c>
      <c r="F9" s="106">
        <f>'Summary-Cost-E - PF.PV'!F17</f>
        <v>0</v>
      </c>
      <c r="G9" s="106">
        <f>'Summary-Cost-E - PF.PV'!G17</f>
        <v>0</v>
      </c>
      <c r="H9" s="106">
        <f>'Summary-Cost-E - PF.PV'!H17</f>
        <v>0</v>
      </c>
      <c r="I9" s="106">
        <f>'Summary-Cost-E - PF.PV'!I17</f>
        <v>0</v>
      </c>
      <c r="J9" s="106">
        <f>'Summary-Cost-E - PF.PV'!J17</f>
        <v>309000.98921999999</v>
      </c>
      <c r="K9" s="106">
        <f>'Summary-Cost-E - PF.PV'!K17</f>
        <v>34588.453187999999</v>
      </c>
      <c r="L9" s="106">
        <f>'Summary-Cost-E - PF.PV'!L17</f>
        <v>3702.496404</v>
      </c>
      <c r="M9" s="106">
        <f>'Summary-Cost-E - PF.PV'!M17</f>
        <v>158988.08808000002</v>
      </c>
      <c r="N9" s="106">
        <f>'Summary-Cost-E - PF.PV'!N17</f>
        <v>13763.388636000003</v>
      </c>
      <c r="O9" s="106">
        <f>'Summary-Cost-E - PF.PV'!O17</f>
        <v>9428.8052880000014</v>
      </c>
      <c r="P9" s="106">
        <f>'Summary-Cost-E - PF.PV'!P17</f>
        <v>25417.370232000001</v>
      </c>
      <c r="Q9" s="117">
        <f t="shared" si="1"/>
        <v>554889.59104800003</v>
      </c>
      <c r="R9" s="117">
        <f>SUBTOTAL(9,$E9:Q9)</f>
        <v>554889.59104800003</v>
      </c>
      <c r="S9" s="106">
        <f>'Summary-Cost-E - PF.PV'!R17</f>
        <v>0</v>
      </c>
      <c r="T9" s="106">
        <f>'Summary-Cost-E - PF.PV'!S17</f>
        <v>0</v>
      </c>
      <c r="U9" s="106">
        <f>'Summary-Cost-E - PF.PV'!T17</f>
        <v>0</v>
      </c>
      <c r="V9" s="106">
        <f>'Summary-Cost-E - PF.PV'!U17</f>
        <v>669739.90347669658</v>
      </c>
      <c r="W9" s="106">
        <f>'Summary-Cost-E - PF.PV'!V17</f>
        <v>1631939.1839504428</v>
      </c>
      <c r="X9" s="106">
        <f>'Summary-Cost-E - PF.PV'!W17</f>
        <v>333170.8034766966</v>
      </c>
      <c r="Y9" s="106">
        <f>'Summary-Cost-E - PF.PV'!X17</f>
        <v>0</v>
      </c>
      <c r="Z9" s="106">
        <f>'Summary-Cost-E - PF.PV'!Y17</f>
        <v>0</v>
      </c>
      <c r="AA9" s="106">
        <f>'Summary-Cost-E - PF.PV'!Z17</f>
        <v>0</v>
      </c>
      <c r="AB9" s="106">
        <f>'Summary-Cost-E - PF.PV'!AA17</f>
        <v>0</v>
      </c>
      <c r="AC9" s="106">
        <f>'Summary-Cost-E - PF.PV'!AB17</f>
        <v>0</v>
      </c>
      <c r="AD9" s="106">
        <f>'Summary-Cost-E - PF.PV'!AC17</f>
        <v>0</v>
      </c>
      <c r="AE9" s="117">
        <f t="shared" si="2"/>
        <v>2634849.8909038361</v>
      </c>
      <c r="AF9" s="106">
        <f>'Summary-Cost-E - PF.PV'!AD17</f>
        <v>0</v>
      </c>
      <c r="AG9" s="106">
        <f>'Summary-Cost-E - PF.PV'!AE17</f>
        <v>0</v>
      </c>
      <c r="AH9" s="106">
        <f>'Summary-Cost-E - PF.PV'!AF17</f>
        <v>0</v>
      </c>
      <c r="AI9" s="106"/>
      <c r="AJ9" s="106"/>
      <c r="AK9" s="106"/>
      <c r="AL9" s="106"/>
      <c r="AM9" s="106"/>
      <c r="AN9" s="106"/>
      <c r="AO9" s="106"/>
      <c r="AP9" s="106"/>
      <c r="AQ9" s="106"/>
      <c r="AR9" s="117">
        <f t="shared" si="3"/>
        <v>0</v>
      </c>
      <c r="AS9" s="119">
        <f>SUBTOTAL(9,$E9:AR9)</f>
        <v>3189739.4819518365</v>
      </c>
    </row>
    <row r="10" spans="1:45">
      <c r="D10" s="104" t="s">
        <v>148</v>
      </c>
      <c r="E10" s="106">
        <f>'Summary-Cost-E - PF.PV'!E18</f>
        <v>0</v>
      </c>
      <c r="F10" s="106">
        <f>'Summary-Cost-E - PF.PV'!F18</f>
        <v>0</v>
      </c>
      <c r="G10" s="106">
        <f>'Summary-Cost-E - PF.PV'!G18</f>
        <v>0</v>
      </c>
      <c r="H10" s="106">
        <f>'Summary-Cost-E - PF.PV'!H18</f>
        <v>0</v>
      </c>
      <c r="I10" s="106">
        <f>'Summary-Cost-E - PF.PV'!I18</f>
        <v>0</v>
      </c>
      <c r="J10" s="106">
        <f>'Summary-Cost-E - PF.PV'!J18</f>
        <v>0</v>
      </c>
      <c r="K10" s="106">
        <f>'Summary-Cost-E - PF.PV'!K18</f>
        <v>0</v>
      </c>
      <c r="L10" s="106">
        <f>'Summary-Cost-E - PF.PV'!L18</f>
        <v>0</v>
      </c>
      <c r="M10" s="106">
        <f>'Summary-Cost-E - PF.PV'!M18</f>
        <v>0</v>
      </c>
      <c r="N10" s="106">
        <f>'Summary-Cost-E - PF.PV'!N18</f>
        <v>0</v>
      </c>
      <c r="O10" s="106">
        <f>'Summary-Cost-E - PF.PV'!O18</f>
        <v>0</v>
      </c>
      <c r="P10" s="106">
        <f>'Summary-Cost-E - PF.PV'!P18</f>
        <v>447082.47473999998</v>
      </c>
      <c r="Q10" s="117">
        <f t="shared" si="1"/>
        <v>447082.47473999998</v>
      </c>
      <c r="R10" s="117">
        <f>SUBTOTAL(9,$E10:Q10)</f>
        <v>447082.47473999998</v>
      </c>
      <c r="S10" s="106">
        <f>'Summary-Cost-E - PF.PV'!R18</f>
        <v>0</v>
      </c>
      <c r="T10" s="106">
        <f>'Summary-Cost-E - PF.PV'!S18</f>
        <v>0</v>
      </c>
      <c r="U10" s="106">
        <f>'Summary-Cost-E - PF.PV'!T18</f>
        <v>0</v>
      </c>
      <c r="V10" s="106">
        <f>'Summary-Cost-E - PF.PV'!U18</f>
        <v>0</v>
      </c>
      <c r="W10" s="106">
        <f>'Summary-Cost-E - PF.PV'!V18</f>
        <v>0</v>
      </c>
      <c r="X10" s="106">
        <f>'Summary-Cost-E - PF.PV'!W18</f>
        <v>0</v>
      </c>
      <c r="Y10" s="106">
        <f>'Summary-Cost-E - PF.PV'!X18</f>
        <v>0</v>
      </c>
      <c r="Z10" s="106">
        <f>'Summary-Cost-E - PF.PV'!Y18</f>
        <v>0</v>
      </c>
      <c r="AA10" s="106">
        <f>'Summary-Cost-E - PF.PV'!Z18</f>
        <v>0</v>
      </c>
      <c r="AB10" s="106">
        <f>'Summary-Cost-E - PF.PV'!AA18</f>
        <v>0</v>
      </c>
      <c r="AC10" s="106">
        <f>'Summary-Cost-E - PF.PV'!AB18</f>
        <v>0</v>
      </c>
      <c r="AD10" s="106">
        <f>'Summary-Cost-E - PF.PV'!AC18</f>
        <v>0</v>
      </c>
      <c r="AE10" s="117">
        <f t="shared" si="2"/>
        <v>0</v>
      </c>
      <c r="AF10" s="106">
        <f>'Summary-Cost-E - PF.PV'!AD18</f>
        <v>0</v>
      </c>
      <c r="AG10" s="106">
        <f>'Summary-Cost-E - PF.PV'!AE18</f>
        <v>0</v>
      </c>
      <c r="AH10" s="106">
        <f>'Summary-Cost-E - PF.PV'!AF18</f>
        <v>0</v>
      </c>
      <c r="AI10" s="106"/>
      <c r="AJ10" s="106"/>
      <c r="AK10" s="106"/>
      <c r="AL10" s="106"/>
      <c r="AM10" s="106"/>
      <c r="AN10" s="106"/>
      <c r="AO10" s="106"/>
      <c r="AP10" s="106"/>
      <c r="AQ10" s="106"/>
      <c r="AR10" s="117">
        <f>SUBTOTAL(9,AF10:AQ10)</f>
        <v>0</v>
      </c>
      <c r="AS10" s="119">
        <f>SUBTOTAL(9,$E10:AR10)</f>
        <v>447082.47473999998</v>
      </c>
    </row>
    <row r="11" spans="1:45">
      <c r="D11" s="104" t="s">
        <v>138</v>
      </c>
      <c r="E11" s="106">
        <f>'Summary-Cost-E - PF.PV'!E19</f>
        <v>0</v>
      </c>
      <c r="F11" s="106">
        <f>'Summary-Cost-E - PF.PV'!F19</f>
        <v>0</v>
      </c>
      <c r="G11" s="106">
        <f>'Summary-Cost-E - PF.PV'!G19</f>
        <v>0</v>
      </c>
      <c r="H11" s="106">
        <f>'Summary-Cost-E - PF.PV'!H19</f>
        <v>0</v>
      </c>
      <c r="I11" s="106">
        <f>'Summary-Cost-E - PF.PV'!I19</f>
        <v>0</v>
      </c>
      <c r="J11" s="106">
        <f>'Summary-Cost-E - PF.PV'!J19</f>
        <v>0</v>
      </c>
      <c r="K11" s="106">
        <f>'Summary-Cost-E - PF.PV'!K19</f>
        <v>27392.810719199999</v>
      </c>
      <c r="L11" s="106">
        <f>'Summary-Cost-E - PF.PV'!L19</f>
        <v>133028.790843</v>
      </c>
      <c r="M11" s="106">
        <f>'Summary-Cost-E - PF.PV'!M19</f>
        <v>36557.254958058846</v>
      </c>
      <c r="N11" s="106">
        <f>'Summary-Cost-E - PF.PV'!N19</f>
        <v>214605.87277506635</v>
      </c>
      <c r="O11" s="106">
        <f>'Summary-Cost-E - PF.PV'!O19</f>
        <v>12956.608926443159</v>
      </c>
      <c r="P11" s="106">
        <f>'Summary-Cost-E - PF.PV'!P19</f>
        <v>7789.2686346522296</v>
      </c>
      <c r="Q11" s="117">
        <f t="shared" si="1"/>
        <v>432330.60685642064</v>
      </c>
      <c r="R11" s="117">
        <f>SUBTOTAL(9,$E11:Q11)</f>
        <v>432330.60685642064</v>
      </c>
      <c r="S11" s="106">
        <f>'Summary-Cost-E - PF.PV'!R19</f>
        <v>0</v>
      </c>
      <c r="T11" s="106">
        <f>'Summary-Cost-E - PF.PV'!S19</f>
        <v>0</v>
      </c>
      <c r="U11" s="106">
        <f>'Summary-Cost-E - PF.PV'!T19</f>
        <v>180551.74639832755</v>
      </c>
      <c r="V11" s="106">
        <f>'Summary-Cost-E - PF.PV'!U19</f>
        <v>60713.282598327562</v>
      </c>
      <c r="W11" s="106">
        <f>'Summary-Cost-E - PF.PV'!V19</f>
        <v>60713.282598327562</v>
      </c>
      <c r="X11" s="106">
        <f>'Summary-Cost-E - PF.PV'!W19</f>
        <v>60713.282598327562</v>
      </c>
      <c r="Y11" s="106">
        <f>'Summary-Cost-E - PF.PV'!X19</f>
        <v>0</v>
      </c>
      <c r="Z11" s="106">
        <f>'Summary-Cost-E - PF.PV'!Y19</f>
        <v>0</v>
      </c>
      <c r="AA11" s="106">
        <f>'Summary-Cost-E - PF.PV'!Z19</f>
        <v>0</v>
      </c>
      <c r="AB11" s="106">
        <f>'Summary-Cost-E - PF.PV'!AA19</f>
        <v>0</v>
      </c>
      <c r="AC11" s="106">
        <f>'Summary-Cost-E - PF.PV'!AB19</f>
        <v>0</v>
      </c>
      <c r="AD11" s="106">
        <f>'Summary-Cost-E - PF.PV'!AC19</f>
        <v>0</v>
      </c>
      <c r="AE11" s="117">
        <f t="shared" si="2"/>
        <v>362691.59419331024</v>
      </c>
      <c r="AF11" s="106">
        <f>'Summary-Cost-E - PF.PV'!AD19</f>
        <v>0</v>
      </c>
      <c r="AG11" s="106">
        <f>'Summary-Cost-E - PF.PV'!AE19</f>
        <v>0</v>
      </c>
      <c r="AH11" s="106">
        <f>'Summary-Cost-E - PF.PV'!AF19</f>
        <v>0</v>
      </c>
      <c r="AI11" s="106"/>
      <c r="AJ11" s="106"/>
      <c r="AK11" s="106"/>
      <c r="AL11" s="106"/>
      <c r="AM11" s="106"/>
      <c r="AN11" s="106"/>
      <c r="AO11" s="106"/>
      <c r="AP11" s="106"/>
      <c r="AQ11" s="106"/>
      <c r="AR11" s="117">
        <f t="shared" si="3"/>
        <v>0</v>
      </c>
      <c r="AS11" s="119">
        <f>SUBTOTAL(9,$E11:AR11)</f>
        <v>795022.201049731</v>
      </c>
    </row>
    <row r="12" spans="1:45">
      <c r="D12" s="104" t="s">
        <v>150</v>
      </c>
      <c r="E12" s="106">
        <f>'Summary-Cost-E - PF.PV'!E20</f>
        <v>53862.245801100005</v>
      </c>
      <c r="F12" s="106">
        <f>'Summary-Cost-E - PF.PV'!F20</f>
        <v>8159.0989872</v>
      </c>
      <c r="G12" s="106">
        <f>'Summary-Cost-E - PF.PV'!G20</f>
        <v>2370.6019503000002</v>
      </c>
      <c r="H12" s="106">
        <f>'Summary-Cost-E - PF.PV'!H20</f>
        <v>895.29182220000007</v>
      </c>
      <c r="I12" s="106">
        <f>'Summary-Cost-E - PF.PV'!I20</f>
        <v>0</v>
      </c>
      <c r="J12" s="106">
        <f>'Summary-Cost-E - PF.PV'!J20</f>
        <v>0</v>
      </c>
      <c r="K12" s="106">
        <f>'Summary-Cost-E - PF.PV'!K20</f>
        <v>363.95489670000001</v>
      </c>
      <c r="L12" s="106">
        <f>'Summary-Cost-E - PF.PV'!L20</f>
        <v>-33036.190747499997</v>
      </c>
      <c r="M12" s="106">
        <f>'Summary-Cost-E - PF.PV'!M20</f>
        <v>0</v>
      </c>
      <c r="N12" s="106">
        <f>'Summary-Cost-E - PF.PV'!N20</f>
        <v>0</v>
      </c>
      <c r="O12" s="106">
        <f>'Summary-Cost-E - PF.PV'!O20</f>
        <v>0</v>
      </c>
      <c r="P12" s="106">
        <f>'Summary-Cost-E - PF.PV'!P20</f>
        <v>0</v>
      </c>
      <c r="Q12" s="117">
        <f t="shared" si="1"/>
        <v>32615.002710000008</v>
      </c>
      <c r="R12" s="117">
        <f>SUBTOTAL(9,$E12:Q12)</f>
        <v>32615.002710000008</v>
      </c>
      <c r="S12" s="106">
        <f>'Summary-Cost-E - PF.PV'!R20</f>
        <v>0</v>
      </c>
      <c r="T12" s="106">
        <f>'Summary-Cost-E - PF.PV'!S20</f>
        <v>0</v>
      </c>
      <c r="U12" s="106">
        <f>'Summary-Cost-E - PF.PV'!T20</f>
        <v>0</v>
      </c>
      <c r="V12" s="106">
        <f>'Summary-Cost-E - PF.PV'!U20</f>
        <v>0</v>
      </c>
      <c r="W12" s="106">
        <f>'Summary-Cost-E - PF.PV'!V20</f>
        <v>0</v>
      </c>
      <c r="X12" s="106">
        <f>'Summary-Cost-E - PF.PV'!W20</f>
        <v>0</v>
      </c>
      <c r="Y12" s="106">
        <f>'Summary-Cost-E - PF.PV'!X20</f>
        <v>0</v>
      </c>
      <c r="Z12" s="106">
        <f>'Summary-Cost-E - PF.PV'!Y20</f>
        <v>0</v>
      </c>
      <c r="AA12" s="106">
        <f>'Summary-Cost-E - PF.PV'!Z20</f>
        <v>0</v>
      </c>
      <c r="AB12" s="106">
        <f>'Summary-Cost-E - PF.PV'!AA20</f>
        <v>0</v>
      </c>
      <c r="AC12" s="106">
        <f>'Summary-Cost-E - PF.PV'!AB20</f>
        <v>0</v>
      </c>
      <c r="AD12" s="106">
        <f>'Summary-Cost-E - PF.PV'!AC20</f>
        <v>0</v>
      </c>
      <c r="AE12" s="117">
        <f t="shared" si="2"/>
        <v>0</v>
      </c>
      <c r="AF12" s="106">
        <f>'Summary-Cost-E - PF.PV'!AD20</f>
        <v>0</v>
      </c>
      <c r="AG12" s="106">
        <f>'Summary-Cost-E - PF.PV'!AE20</f>
        <v>0</v>
      </c>
      <c r="AH12" s="106">
        <f>'Summary-Cost-E - PF.PV'!AF20</f>
        <v>0</v>
      </c>
      <c r="AI12" s="106"/>
      <c r="AJ12" s="106"/>
      <c r="AK12" s="106"/>
      <c r="AL12" s="106"/>
      <c r="AM12" s="106"/>
      <c r="AN12" s="106"/>
      <c r="AO12" s="106"/>
      <c r="AP12" s="106"/>
      <c r="AQ12" s="106"/>
      <c r="AR12" s="117">
        <f t="shared" si="3"/>
        <v>0</v>
      </c>
      <c r="AS12" s="119">
        <f>SUBTOTAL(9,$E12:AR12)</f>
        <v>32615.002710000008</v>
      </c>
    </row>
    <row r="13" spans="1:45">
      <c r="D13" s="104" t="s">
        <v>19</v>
      </c>
      <c r="E13" s="106">
        <f>'Summary-Cost-E - PF.PV'!E21</f>
        <v>194862.86176500001</v>
      </c>
      <c r="F13" s="106">
        <f>'Summary-Cost-E - PF.PV'!F21</f>
        <v>29517.985448700001</v>
      </c>
      <c r="G13" s="106">
        <f>'Summary-Cost-E - PF.PV'!G21</f>
        <v>8576.3570894999993</v>
      </c>
      <c r="H13" s="106">
        <f>'Summary-Cost-E - PF.PV'!H21</f>
        <v>8554.8974324426927</v>
      </c>
      <c r="I13" s="106">
        <f>'Summary-Cost-E - PF.PV'!I21</f>
        <v>0</v>
      </c>
      <c r="J13" s="106">
        <f>'Summary-Cost-E - PF.PV'!J21</f>
        <v>0</v>
      </c>
      <c r="K13" s="106">
        <f>'Summary-Cost-E - PF.PV'!K21</f>
        <v>1316.7151022999999</v>
      </c>
      <c r="L13" s="106">
        <f>'Summary-Cost-E - PF.PV'!L21</f>
        <v>-99051.532830900003</v>
      </c>
      <c r="M13" s="106">
        <f>'Summary-Cost-E - PF.PV'!M21</f>
        <v>0</v>
      </c>
      <c r="N13" s="106">
        <f>'Summary-Cost-E - PF.PV'!N21</f>
        <v>0</v>
      </c>
      <c r="O13" s="106">
        <f>'Summary-Cost-E - PF.PV'!O21</f>
        <v>0</v>
      </c>
      <c r="P13" s="106">
        <f>'Summary-Cost-E - PF.PV'!P21</f>
        <v>0</v>
      </c>
      <c r="Q13" s="117">
        <f t="shared" si="1"/>
        <v>143777.2840070427</v>
      </c>
      <c r="R13" s="117">
        <f>SUBTOTAL(9,$E13:Q13)</f>
        <v>143777.2840070427</v>
      </c>
      <c r="S13" s="106">
        <f>'Summary-Cost-E - PF.PV'!R21</f>
        <v>113002.47411173211</v>
      </c>
      <c r="T13" s="106">
        <f>'Summary-Cost-E - PF.PV'!S21</f>
        <v>113002.47411173211</v>
      </c>
      <c r="U13" s="106">
        <f>'Summary-Cost-E - PF.PV'!T21</f>
        <v>113002.47411173211</v>
      </c>
      <c r="V13" s="106">
        <f>'Summary-Cost-E - PF.PV'!U21</f>
        <v>2944293.8760718941</v>
      </c>
      <c r="W13" s="106">
        <f>'Summary-Cost-E - PF.PV'!V21</f>
        <v>113718.61046646682</v>
      </c>
      <c r="X13" s="106">
        <f>'Summary-Cost-E - PF.PV'!W21</f>
        <v>113718.61046646682</v>
      </c>
      <c r="Y13" s="106">
        <f>'Summary-Cost-E - PF.PV'!X21</f>
        <v>0</v>
      </c>
      <c r="Z13" s="106">
        <f>'Summary-Cost-E - PF.PV'!Y21</f>
        <v>0</v>
      </c>
      <c r="AA13" s="106">
        <f>'Summary-Cost-E - PF.PV'!Z21</f>
        <v>0</v>
      </c>
      <c r="AB13" s="106">
        <f>'Summary-Cost-E - PF.PV'!AA21</f>
        <v>0</v>
      </c>
      <c r="AC13" s="106">
        <f>'Summary-Cost-E - PF.PV'!AB21</f>
        <v>0</v>
      </c>
      <c r="AD13" s="106">
        <f>'Summary-Cost-E - PF.PV'!AC21</f>
        <v>0</v>
      </c>
      <c r="AE13" s="117">
        <f t="shared" si="2"/>
        <v>3510738.5193400239</v>
      </c>
      <c r="AF13" s="106">
        <f>'Summary-Cost-E - PF.PV'!AD21</f>
        <v>0</v>
      </c>
      <c r="AG13" s="106">
        <f>'Summary-Cost-E - PF.PV'!AE21</f>
        <v>0</v>
      </c>
      <c r="AH13" s="106">
        <f>'Summary-Cost-E - PF.PV'!AF21</f>
        <v>6297776.6624666657</v>
      </c>
      <c r="AI13" s="106"/>
      <c r="AJ13" s="106"/>
      <c r="AK13" s="106"/>
      <c r="AL13" s="106"/>
      <c r="AM13" s="106"/>
      <c r="AN13" s="106"/>
      <c r="AO13" s="106"/>
      <c r="AP13" s="106"/>
      <c r="AQ13" s="106"/>
      <c r="AR13" s="117">
        <f t="shared" si="3"/>
        <v>6297776.6624666657</v>
      </c>
      <c r="AS13" s="119">
        <f>SUBTOTAL(9,$E13:AR13)</f>
        <v>9952292.4658137318</v>
      </c>
    </row>
    <row r="14" spans="1:45">
      <c r="E14" s="109">
        <f t="shared" ref="E14" si="4">SUM(E7:E13)</f>
        <v>248725.10756610002</v>
      </c>
      <c r="F14" s="109">
        <f t="shared" ref="F14" si="5">SUM(F7:F13)</f>
        <v>37677.084435900004</v>
      </c>
      <c r="G14" s="109">
        <f t="shared" ref="G14" si="6">SUM(G7:G13)</f>
        <v>10946.9590398</v>
      </c>
      <c r="H14" s="109">
        <f t="shared" ref="H14" si="7">SUM(H7:H13)</f>
        <v>9450.1892546426934</v>
      </c>
      <c r="I14" s="109">
        <f t="shared" ref="I14" si="8">SUM(I7:I13)</f>
        <v>0</v>
      </c>
      <c r="J14" s="109">
        <f t="shared" ref="J14" si="9">SUM(J7:J13)</f>
        <v>309000.98921999999</v>
      </c>
      <c r="K14" s="109">
        <f t="shared" ref="K14" si="10">SUM(K7:K13)</f>
        <v>63661.9339062</v>
      </c>
      <c r="L14" s="109">
        <f t="shared" ref="L14" si="11">SUM(L7:L13)</f>
        <v>104808.68738460001</v>
      </c>
      <c r="M14" s="109">
        <f t="shared" ref="M14" si="12">SUM(M7:M13)</f>
        <v>195545.34303805887</v>
      </c>
      <c r="N14" s="109">
        <f t="shared" ref="N14" si="13">SUM(N7:N13)</f>
        <v>267426.51205506636</v>
      </c>
      <c r="O14" s="109">
        <f t="shared" ref="O14" si="14">SUM(O7:O13)</f>
        <v>23274.626166443159</v>
      </c>
      <c r="P14" s="109">
        <f t="shared" ref="P14:R14" si="15">SUM(P7:P13)</f>
        <v>484053.35755865223</v>
      </c>
      <c r="Q14" s="118">
        <f t="shared" si="15"/>
        <v>1754570.7896254633</v>
      </c>
      <c r="R14" s="118">
        <f t="shared" si="15"/>
        <v>1754570.7896254633</v>
      </c>
      <c r="S14" s="109">
        <f t="shared" ref="S14:AN14" si="16">SUM(S7:S13)</f>
        <v>229998.71280207887</v>
      </c>
      <c r="T14" s="107">
        <f t="shared" si="16"/>
        <v>229998.71280207887</v>
      </c>
      <c r="U14" s="107">
        <f t="shared" si="16"/>
        <v>410550.45920040639</v>
      </c>
      <c r="V14" s="107">
        <f t="shared" si="16"/>
        <v>3898212.4307146608</v>
      </c>
      <c r="W14" s="107">
        <f t="shared" si="16"/>
        <v>2029836.4455829798</v>
      </c>
      <c r="X14" s="107">
        <f t="shared" si="16"/>
        <v>1255456.3334894155</v>
      </c>
      <c r="Y14" s="107">
        <f t="shared" si="16"/>
        <v>0</v>
      </c>
      <c r="Z14" s="107">
        <f t="shared" si="16"/>
        <v>0</v>
      </c>
      <c r="AA14" s="107">
        <f t="shared" si="16"/>
        <v>0</v>
      </c>
      <c r="AB14" s="107">
        <f t="shared" si="16"/>
        <v>0</v>
      </c>
      <c r="AC14" s="107">
        <f t="shared" si="16"/>
        <v>0</v>
      </c>
      <c r="AD14" s="107">
        <f t="shared" si="16"/>
        <v>0</v>
      </c>
      <c r="AE14" s="118">
        <f t="shared" ref="AE14" si="17">SUM(AE7:AE13)</f>
        <v>8054053.0945916213</v>
      </c>
      <c r="AF14" s="107">
        <f t="shared" si="16"/>
        <v>0</v>
      </c>
      <c r="AG14" s="107">
        <f t="shared" si="16"/>
        <v>0</v>
      </c>
      <c r="AH14" s="107">
        <f t="shared" si="16"/>
        <v>6297776.6624666657</v>
      </c>
      <c r="AI14" s="107">
        <f t="shared" si="16"/>
        <v>0</v>
      </c>
      <c r="AJ14" s="107">
        <f t="shared" si="16"/>
        <v>0</v>
      </c>
      <c r="AK14" s="107">
        <f t="shared" si="16"/>
        <v>0</v>
      </c>
      <c r="AL14" s="107">
        <f t="shared" si="16"/>
        <v>0</v>
      </c>
      <c r="AM14" s="107">
        <f t="shared" si="16"/>
        <v>0</v>
      </c>
      <c r="AN14" s="107">
        <f t="shared" si="16"/>
        <v>0</v>
      </c>
      <c r="AO14" s="107">
        <f t="shared" ref="AO14" si="18">SUM(AO7:AO13)</f>
        <v>0</v>
      </c>
      <c r="AP14" s="107">
        <f t="shared" ref="AP14" si="19">SUM(AP7:AP13)</f>
        <v>0</v>
      </c>
      <c r="AQ14" s="107">
        <f t="shared" ref="AQ14:AS14" si="20">SUM(AQ7:AQ13)</f>
        <v>0</v>
      </c>
      <c r="AR14" s="118">
        <f t="shared" si="20"/>
        <v>6297776.6624666657</v>
      </c>
      <c r="AS14" s="118">
        <f t="shared" si="20"/>
        <v>16106400.546683751</v>
      </c>
    </row>
    <row r="15" spans="1:45" hidden="1" outlineLevel="1">
      <c r="D15" s="121" t="s">
        <v>165</v>
      </c>
      <c r="E15" s="123">
        <f>E14-'Summary-Cost-E - PF.PV'!E23</f>
        <v>0</v>
      </c>
      <c r="F15" s="123">
        <f>F14-'Summary-Cost-E - PF.PV'!F23</f>
        <v>0</v>
      </c>
      <c r="G15" s="123">
        <f>G14-'Summary-Cost-E - PF.PV'!G23</f>
        <v>0</v>
      </c>
      <c r="H15" s="123">
        <f>H14-'Summary-Cost-E - PF.PV'!H23</f>
        <v>0</v>
      </c>
      <c r="I15" s="123">
        <f>I14-'Summary-Cost-E - PF.PV'!I23</f>
        <v>0</v>
      </c>
      <c r="J15" s="123">
        <f>J14-'Summary-Cost-E - PF.PV'!J23</f>
        <v>0</v>
      </c>
      <c r="K15" s="123">
        <f>K14-'Summary-Cost-E - PF.PV'!K23</f>
        <v>0</v>
      </c>
      <c r="L15" s="123">
        <f>L14-'Summary-Cost-E - PF.PV'!L23</f>
        <v>0</v>
      </c>
      <c r="M15" s="123">
        <f>M14-'Summary-Cost-E - PF.PV'!M23</f>
        <v>0</v>
      </c>
      <c r="N15" s="123">
        <f>N14-'Summary-Cost-E - PF.PV'!N23</f>
        <v>0</v>
      </c>
      <c r="O15" s="123">
        <f>O14-'Summary-Cost-E - PF.PV'!O23</f>
        <v>0</v>
      </c>
      <c r="P15" s="123">
        <f>P14-'Summary-Cost-E - PF.PV'!P23</f>
        <v>0</v>
      </c>
      <c r="Q15" s="79"/>
      <c r="R15" s="79"/>
      <c r="S15" s="123">
        <f>S14-'Summary-Cost-E - PF.PV'!R23</f>
        <v>0</v>
      </c>
      <c r="T15" s="123">
        <f>T14-'Summary-Cost-E - PF.PV'!S23</f>
        <v>0</v>
      </c>
      <c r="U15" s="123">
        <f>U14-'Summary-Cost-E - PF.PV'!T23</f>
        <v>0</v>
      </c>
      <c r="V15" s="123">
        <f>V14-'Summary-Cost-E - PF.PV'!U23</f>
        <v>0</v>
      </c>
      <c r="W15" s="123">
        <f>W14-'Summary-Cost-E - PF.PV'!V23</f>
        <v>0</v>
      </c>
      <c r="X15" s="123">
        <f>X14-'Summary-Cost-E - PF.PV'!W23</f>
        <v>0</v>
      </c>
      <c r="Y15" s="123">
        <f>Y14-'Summary-Cost-E - PF.PV'!X23</f>
        <v>0</v>
      </c>
      <c r="Z15" s="123">
        <f>Z14-'Summary-Cost-E - PF.PV'!Y23</f>
        <v>0</v>
      </c>
      <c r="AA15" s="123">
        <f>AA14-'Summary-Cost-E - PF.PV'!Z23</f>
        <v>0</v>
      </c>
      <c r="AB15" s="123">
        <f>AB14-'Summary-Cost-E - PF.PV'!AA23</f>
        <v>0</v>
      </c>
      <c r="AC15" s="123">
        <f>AC14-'Summary-Cost-E - PF.PV'!AB23</f>
        <v>0</v>
      </c>
      <c r="AD15" s="123">
        <f>AD14-'Summary-Cost-E - PF.PV'!AC23</f>
        <v>0</v>
      </c>
      <c r="AE15" s="79"/>
      <c r="AF15" s="123">
        <f>AF14-'Summary-Cost-E - PF.PV'!AD23</f>
        <v>0</v>
      </c>
      <c r="AG15" s="123">
        <f>AG14-'Summary-Cost-E - PF.PV'!AE23</f>
        <v>0</v>
      </c>
      <c r="AH15" s="123">
        <f>AH14-'Summary-Cost-E - PF.PV'!AF23</f>
        <v>0</v>
      </c>
      <c r="AI15" s="123">
        <f>AI14-'Summary-Cost-E - PF.PV'!AG23</f>
        <v>-842464.1283666665</v>
      </c>
      <c r="AJ15" s="123">
        <f>AJ14-'Summary-Cost-E - PF.PV'!AH23</f>
        <v>-803949.51486666652</v>
      </c>
      <c r="AK15" s="123">
        <f>AK14-'Summary-Cost-E - PF.PV'!AI23</f>
        <v>0</v>
      </c>
      <c r="AL15" s="123">
        <f>AL14-'Summary-Cost-E - PF.PV'!AJ23</f>
        <v>0</v>
      </c>
      <c r="AM15" s="123">
        <f>AM14-'Summary-Cost-E - PF.PV'!AK23</f>
        <v>0</v>
      </c>
      <c r="AN15" s="123">
        <f>AN14-'Summary-Cost-E - PF.PV'!AL23</f>
        <v>0</v>
      </c>
      <c r="AR15" s="79"/>
    </row>
    <row r="16" spans="1:45" collapsed="1">
      <c r="Q16" s="79"/>
      <c r="R16" s="79"/>
      <c r="AE16" s="79"/>
      <c r="AR16" s="79"/>
    </row>
    <row r="17" spans="2:46">
      <c r="Q17" s="79"/>
      <c r="R17" s="79"/>
      <c r="AE17" s="79"/>
      <c r="AR17" s="79"/>
    </row>
    <row r="18" spans="2:46">
      <c r="B18" s="1" t="s">
        <v>155</v>
      </c>
      <c r="Q18" s="79"/>
      <c r="R18" s="79"/>
      <c r="AE18" s="79"/>
      <c r="AR18" s="79"/>
    </row>
    <row r="19" spans="2:46">
      <c r="D19" s="104" t="s">
        <v>17</v>
      </c>
      <c r="E19" s="2">
        <f>SUMIF('EIM - 2020 WA E Detail - Actual'!$C$4:$C$15,"Elec Distribution 360-373",'EIM - 2020 WA E Detail - Actual'!U$4:U$15)</f>
        <v>0</v>
      </c>
      <c r="F19" s="2">
        <f>SUMIF('EIM - 2020 WA E Detail - Actual'!$C$4:$C$15,"Elec Distribution 360-373",'EIM - 2020 WA E Detail - Actual'!V$4:V$15)</f>
        <v>0</v>
      </c>
      <c r="G19" s="2">
        <f>SUMIF('EIM - 2020 WA E Detail - Actual'!$C$4:$C$15,"Elec Distribution 360-373",'EIM - 2020 WA E Detail - Actual'!W$4:W$15)</f>
        <v>0</v>
      </c>
      <c r="H19" s="2">
        <f>SUMIF('EIM - 2020 WA E Detail - Actual'!$C$4:$C$15,"Elec Distribution 360-373",'EIM - 2020 WA E Detail - Actual'!X$4:X$15)</f>
        <v>0</v>
      </c>
      <c r="I19" s="2">
        <f>SUMIF('EIM - 2020 WA E Detail - Actual'!$C$4:$C$15,"Elec Distribution 360-373",'EIM - 2020 WA E Detail - Actual'!Y$4:Y$15)</f>
        <v>0</v>
      </c>
      <c r="J19" s="2">
        <f>SUMIF('EIM - 2020 WA E Detail - Actual'!$C$4:$C$15,"Elec Distribution 360-373",'EIM - 2020 WA E Detail - Actual'!Z$4:Z$15)</f>
        <v>0</v>
      </c>
      <c r="K19" s="2">
        <f>SUMIF('EIM - 2020 WA E Detail - Actual'!$C$4:$C$15,"Elec Distribution 360-373",'EIM - 2020 WA E Detail - Actual'!AA$4:AA$15)</f>
        <v>0</v>
      </c>
      <c r="L19" s="2">
        <f>SUMIF('EIM - 2020 WA E Detail - Actual'!$C$4:$C$15,"Elec Distribution 360-373",'EIM - 2020 WA E Detail - Actual'!AB$4:AB$15)</f>
        <v>0</v>
      </c>
      <c r="M19" s="2">
        <f>SUMIF('EIM - 2020 WA E Detail - Actual'!$C$4:$C$15,"Elec Distribution 360-373",'EIM - 2020 WA E Detail - Actual'!AC$4:AC$15)</f>
        <v>0</v>
      </c>
      <c r="N19" s="2">
        <f>SUMIF('EIM - 2020 WA E Detail - Actual'!$C$4:$C$15,"Elec Distribution 360-373",'EIM - 2020 WA E Detail - Actual'!AD$4:AD$15)</f>
        <v>0</v>
      </c>
      <c r="O19" s="2">
        <f>SUMIF('EIM - 2020 WA E Detail - Actual'!$C$4:$C$15,"Elec Distribution 360-373",'EIM - 2020 WA E Detail - Actual'!AE$4:AE$15)</f>
        <v>0</v>
      </c>
      <c r="P19" s="2">
        <f>SUMIF('EIM - 2020 WA E Detail - Actual'!$C$4:$C$15,"Elec Distribution 360-373",'EIM - 2020 WA E Detail - Actual'!AF$4:AF$15)</f>
        <v>0</v>
      </c>
      <c r="Q19" s="119">
        <f t="shared" ref="Q19:Q25" si="21">SUBTOTAL(9,E19:P19)</f>
        <v>0</v>
      </c>
      <c r="R19" s="119">
        <f>SUBTOTAL(9,$E19:Q19)</f>
        <v>0</v>
      </c>
      <c r="S19" s="2">
        <f>SUMIF('EIM - 2021 WA E Detail - Actual'!$C$4:$C$40,"Elec Distribution 360-373",'EIM - 2021 WA E Detail - Actual'!U$4:U$40)</f>
        <v>0</v>
      </c>
      <c r="T19" s="2">
        <f>SUMIF('EIM - 2021 WA E Detail - Actual'!$C$4:$C$40,"Elec Distribution 360-373",'EIM - 2021 WA E Detail - Actual'!V$4:V$40)</f>
        <v>0</v>
      </c>
      <c r="U19" s="2">
        <f>SUMIF('EIM - 2021 WA E Detail - Actual'!$C$4:$C$40,"Elec Distribution 360-373",'EIM - 2021 WA E Detail - Actual'!W$4:W$40)</f>
        <v>25499.71</v>
      </c>
      <c r="V19" s="2">
        <f>SUMIF('EIM - 2021 WA E Detail - Actual'!$C$4:$C$40,"Elec Distribution 360-373",'EIM - 2021 WA E Detail - Actual'!X$4:X$40)</f>
        <v>2894.08</v>
      </c>
      <c r="W19" s="2">
        <f>SUMIF('EIM - 2021 WA E Detail - Actual'!$C$4:$C$40,"Elec Distribution 360-373",'EIM - 2021 WA E Detail - Actual'!Y$4:Y$40)</f>
        <v>708.52</v>
      </c>
      <c r="X19" s="2">
        <f>SUMIF('EIM - 2021 WA E Detail - Actual'!$C$4:$C$40,"Elec Distribution 360-373",'EIM - 2021 WA E Detail - Actual'!Z$4:Z$40)</f>
        <v>92615.95</v>
      </c>
      <c r="Y19" s="2">
        <f>SUMIF('EIM - 2021 WA E Detail - Actual'!$C$4:$C$40,"Elec Distribution 360-373",'EIM - 2021 WA E Detail - Actual'!AA$4:AA$40)</f>
        <v>493.18</v>
      </c>
      <c r="Z19" s="2">
        <f>SUMIF('EIM - 2021 WA E Detail - Actual'!$C$4:$C$40,"Elec Distribution 360-373",'EIM - 2021 WA E Detail - Actual'!AB$4:AB$40)</f>
        <v>268.14</v>
      </c>
      <c r="AA19" s="2">
        <f>SUMIF('EIM - 2021 WA E Detail - Actual'!$C$4:$C$40,"Elec Distribution 360-373",'EIM - 2021 WA E Detail - Actual'!AC$4:AC$40)</f>
        <v>8836.6799999999985</v>
      </c>
      <c r="AB19" s="2">
        <f>SUMIF('EIM - 2021 WA E Detail - Actual'!$C$4:$C$40,"Elec Distribution 360-373",'EIM - 2021 WA E Detail - Actual'!AD$4:AD$40)</f>
        <v>404.2</v>
      </c>
      <c r="AC19" s="2">
        <f>SUMIF('EIM - 2021 WA E Detail - Actual'!$C$4:$C$40,"Elec Distribution 360-373",'EIM - 2021 WA E Detail - Actual'!AE$4:AE$40)</f>
        <v>2956.96</v>
      </c>
      <c r="AD19" s="2">
        <f>SUMIF('EIM - 2021 WA E Detail - Actual'!$C$4:$C$40,"Elec Distribution 360-373",'EIM - 2021 WA E Detail - Actual'!AF$4:AF$40)</f>
        <v>0</v>
      </c>
      <c r="AE19" s="119">
        <f t="shared" ref="AE19:AE25" si="22">SUBTOTAL(9,S19:AD19)</f>
        <v>134677.41999999998</v>
      </c>
      <c r="AF19" s="2">
        <f>SUMIF('EIM - 2022 WA E Detail - Actual'!$C$4:$C$47,"Elec Distribution 360-373",'EIM - 2022 WA E Detail - Actual'!U$4:U$47)</f>
        <v>0</v>
      </c>
      <c r="AG19" s="2">
        <f>SUMIF('EIM - 2022 WA E Detail - Actual'!$C$4:$C$47,"Elec Distribution 360-373",'EIM - 2022 WA E Detail - Actual'!V$4:V$47)</f>
        <v>2230.88</v>
      </c>
      <c r="AH19" s="2">
        <f>SUMIF('EIM - 2022 WA E Detail - Actual'!$C$4:$C$47,"Elec Distribution 360-373",'EIM - 2022 WA E Detail - Actual'!W$4:W$47)</f>
        <v>580.25</v>
      </c>
      <c r="AI19" s="2"/>
      <c r="AJ19" s="2"/>
      <c r="AK19" s="2"/>
      <c r="AL19" s="2"/>
      <c r="AM19" s="2"/>
      <c r="AN19" s="2"/>
      <c r="AO19" s="2"/>
      <c r="AP19" s="2"/>
      <c r="AQ19" s="2"/>
      <c r="AR19" s="119">
        <f t="shared" ref="AR19:AR25" si="23">SUBTOTAL(9,AF19:AQ19)</f>
        <v>2811.13</v>
      </c>
      <c r="AS19" s="119">
        <f>SUBTOTAL(9,$E19:AR19)</f>
        <v>137488.54999999999</v>
      </c>
    </row>
    <row r="20" spans="2:46">
      <c r="D20" s="104" t="s">
        <v>14</v>
      </c>
      <c r="E20" s="2">
        <f>SUMIF('EIM - 2020 WA E Detail - Actual'!$C$4:$C$15,"Elec Transmission 350-359",'EIM - 2020 WA E Detail - Actual'!U$4:U$15)</f>
        <v>0</v>
      </c>
      <c r="F20" s="2">
        <f>SUMIF('EIM - 2020 WA E Detail - Actual'!$C$4:$C$15,"Elec Transmission 350-359",'EIM - 2020 WA E Detail - Actual'!V$4:V$15)</f>
        <v>0</v>
      </c>
      <c r="G20" s="2">
        <f>SUMIF('EIM - 2020 WA E Detail - Actual'!$C$4:$C$15,"Elec Transmission 350-359",'EIM - 2020 WA E Detail - Actual'!W$4:W$15)</f>
        <v>0</v>
      </c>
      <c r="H20" s="2">
        <f>SUMIF('EIM - 2020 WA E Detail - Actual'!$C$4:$C$15,"Elec Transmission 350-359",'EIM - 2020 WA E Detail - Actual'!X$4:X$15)</f>
        <v>0</v>
      </c>
      <c r="I20" s="2">
        <f>SUMIF('EIM - 2020 WA E Detail - Actual'!$C$4:$C$15,"Elec Transmission 350-359",'EIM - 2020 WA E Detail - Actual'!Y$4:Y$15)</f>
        <v>0</v>
      </c>
      <c r="J20" s="2">
        <f>SUMIF('EIM - 2020 WA E Detail - Actual'!$C$4:$C$15,"Elec Transmission 350-359",'EIM - 2020 WA E Detail - Actual'!Z$4:Z$15)</f>
        <v>0</v>
      </c>
      <c r="K20" s="2">
        <f>SUMIF('EIM - 2020 WA E Detail - Actual'!$C$4:$C$15,"Elec Transmission 350-359",'EIM - 2020 WA E Detail - Actual'!AA$4:AA$15)</f>
        <v>0</v>
      </c>
      <c r="L20" s="2">
        <f>SUMIF('EIM - 2020 WA E Detail - Actual'!$C$4:$C$15,"Elec Transmission 350-359",'EIM - 2020 WA E Detail - Actual'!AB$4:AB$15)</f>
        <v>100165.123716</v>
      </c>
      <c r="M20" s="2">
        <f>SUMIF('EIM - 2020 WA E Detail - Actual'!$C$4:$C$15,"Elec Transmission 350-359",'EIM - 2020 WA E Detail - Actual'!AC$4:AC$15)</f>
        <v>0</v>
      </c>
      <c r="N20" s="2">
        <f>SUMIF('EIM - 2020 WA E Detail - Actual'!$C$4:$C$15,"Elec Transmission 350-359",'EIM - 2020 WA E Detail - Actual'!AD$4:AD$15)</f>
        <v>39057.250644</v>
      </c>
      <c r="O20" s="2">
        <f>SUMIF('EIM - 2020 WA E Detail - Actual'!$C$4:$C$15,"Elec Transmission 350-359",'EIM - 2020 WA E Detail - Actual'!AE$4:AE$15)</f>
        <v>889.211952</v>
      </c>
      <c r="P20" s="2">
        <f>SUMIF('EIM - 2020 WA E Detail - Actual'!$C$4:$C$15,"Elec Transmission 350-359",'EIM - 2020 WA E Detail - Actual'!AF$4:AF$15)</f>
        <v>3764.2439520000003</v>
      </c>
      <c r="Q20" s="119">
        <f t="shared" si="21"/>
        <v>143875.83026400002</v>
      </c>
      <c r="R20" s="119">
        <f>SUBTOTAL(9,$E20:Q20)</f>
        <v>143875.83026400002</v>
      </c>
      <c r="S20" s="2">
        <f>SUMIF('EIM - 2021 WA E Detail - Actual'!$C$4:$C$40,"Elec Transmission 350-359",'EIM - 2021 WA E Detail - Actual'!U$4:U$40)</f>
        <v>242.10001199999999</v>
      </c>
      <c r="T20" s="2">
        <f>SUMIF('EIM - 2021 WA E Detail - Actual'!$C$4:$C$40,"Elec Transmission 350-359",'EIM - 2021 WA E Detail - Actual'!V$4:V$40)</f>
        <v>-4052.6135999999997</v>
      </c>
      <c r="U20" s="2">
        <f>SUMIF('EIM - 2021 WA E Detail - Actual'!$C$4:$C$40,"Elec Transmission 350-359",'EIM - 2021 WA E Detail - Actual'!W$4:W$40)</f>
        <v>181776.97671600003</v>
      </c>
      <c r="V20" s="2">
        <f>SUMIF('EIM - 2021 WA E Detail - Actual'!$C$4:$C$40,"Elec Transmission 350-359",'EIM - 2021 WA E Detail - Actual'!X$4:X$40)</f>
        <v>181667.055972</v>
      </c>
      <c r="W20" s="2">
        <f>SUMIF('EIM - 2021 WA E Detail - Actual'!$C$4:$C$40,"Elec Transmission 350-359",'EIM - 2021 WA E Detail - Actual'!Y$4:Y$40)</f>
        <v>12613.441476000002</v>
      </c>
      <c r="X20" s="2">
        <f>SUMIF('EIM - 2021 WA E Detail - Actual'!$C$4:$C$40,"Elec Transmission 350-359",'EIM - 2021 WA E Detail - Actual'!Z$4:Z$40)</f>
        <v>57037.064064000006</v>
      </c>
      <c r="Y20" s="2">
        <f>SUMIF('EIM - 2021 WA E Detail - Actual'!$C$4:$C$40,"Elec Transmission 350-359",'EIM - 2021 WA E Detail - Actual'!AA$4:AA$40)</f>
        <v>-713.22454799999991</v>
      </c>
      <c r="Z20" s="2">
        <f>SUMIF('EIM - 2021 WA E Detail - Actual'!$C$4:$C$40,"Elec Transmission 350-359",'EIM - 2021 WA E Detail - Actual'!AB$4:AB$40)</f>
        <v>-14076.924660000006</v>
      </c>
      <c r="AA20" s="2">
        <f>SUMIF('EIM - 2021 WA E Detail - Actual'!$C$4:$C$40,"Elec Transmission 350-359",'EIM - 2021 WA E Detail - Actual'!AC$4:AC$40)</f>
        <v>1955.8947719999999</v>
      </c>
      <c r="AB20" s="2">
        <f>SUMIF('EIM - 2021 WA E Detail - Actual'!$C$4:$C$40,"Elec Transmission 350-359",'EIM - 2021 WA E Detail - Actual'!AD$4:AD$40)</f>
        <v>2088.4088039999951</v>
      </c>
      <c r="AC20" s="2">
        <f>SUMIF('EIM - 2021 WA E Detail - Actual'!$C$4:$C$40,"Elec Transmission 350-359",'EIM - 2021 WA E Detail - Actual'!AE$4:AE$40)</f>
        <v>0</v>
      </c>
      <c r="AD20" s="2">
        <f>SUMIF('EIM - 2021 WA E Detail - Actual'!$C$4:$C$40,"Elec Transmission 350-359",'EIM - 2021 WA E Detail - Actual'!AF$4:AF$40)</f>
        <v>-42607.554144000002</v>
      </c>
      <c r="AE20" s="119">
        <f t="shared" si="22"/>
        <v>375930.62486400007</v>
      </c>
      <c r="AF20" s="2">
        <f>SUMIF('EIM - 2022 WA E Detail - Actual'!$C$4:$C$47,"Elec Transmission 350-359",'EIM - 2022 WA E Detail - Actual'!U$4:U$47)</f>
        <v>0</v>
      </c>
      <c r="AG20" s="2">
        <f>SUMIF('EIM - 2022 WA E Detail - Actual'!$C$4:$C$47,"Elec Transmission 350-359",'EIM - 2022 WA E Detail - Actual'!V$4:V$47)</f>
        <v>4808.9439359999997</v>
      </c>
      <c r="AH20" s="2">
        <f>SUMIF('EIM - 2022 WA E Detail - Actual'!$C$4:$C$47,"Elec Transmission 350-359",'EIM - 2022 WA E Detail - Actual'!W$4:W$47)</f>
        <v>1310.4763439999999</v>
      </c>
      <c r="AI20" s="2"/>
      <c r="AJ20" s="2"/>
      <c r="AK20" s="2"/>
      <c r="AL20" s="2"/>
      <c r="AM20" s="2"/>
      <c r="AN20" s="2"/>
      <c r="AO20" s="2"/>
      <c r="AP20" s="2"/>
      <c r="AQ20" s="2"/>
      <c r="AR20" s="119">
        <f t="shared" si="23"/>
        <v>6119.4202799999994</v>
      </c>
      <c r="AS20" s="119">
        <f>SUBTOTAL(9,$E20:AR20)</f>
        <v>525925.87540800008</v>
      </c>
    </row>
    <row r="21" spans="2:46">
      <c r="D21" s="104" t="s">
        <v>141</v>
      </c>
      <c r="E21" s="2">
        <f>SUMIF('EIM - 2020 WA E Detail - Actual'!$C$4:$C$15,"Hydro 331-336",'EIM - 2020 WA E Detail - Actual'!U$4:U$15)</f>
        <v>0</v>
      </c>
      <c r="F21" s="2">
        <f>SUMIF('EIM - 2020 WA E Detail - Actual'!$C$4:$C$15,"Hydro 331-336",'EIM - 2020 WA E Detail - Actual'!V$4:V$15)</f>
        <v>0</v>
      </c>
      <c r="G21" s="2">
        <f>SUMIF('EIM - 2020 WA E Detail - Actual'!$C$4:$C$15,"Hydro 331-336",'EIM - 2020 WA E Detail - Actual'!W$4:W$15)</f>
        <v>0</v>
      </c>
      <c r="H21" s="2">
        <f>SUMIF('EIM - 2020 WA E Detail - Actual'!$C$4:$C$15,"Hydro 331-336",'EIM - 2020 WA E Detail - Actual'!X$4:X$15)</f>
        <v>0</v>
      </c>
      <c r="I21" s="2">
        <f>SUMIF('EIM - 2020 WA E Detail - Actual'!$C$4:$C$15,"Hydro 331-336",'EIM - 2020 WA E Detail - Actual'!Y$4:Y$15)</f>
        <v>0</v>
      </c>
      <c r="J21" s="2">
        <f>SUMIF('EIM - 2020 WA E Detail - Actual'!$C$4:$C$15,"Hydro 331-336",'EIM - 2020 WA E Detail - Actual'!Z$4:Z$15)</f>
        <v>309000.98921999999</v>
      </c>
      <c r="K21" s="2">
        <f>SUMIF('EIM - 2020 WA E Detail - Actual'!$C$4:$C$15,"Hydro 331-336",'EIM - 2020 WA E Detail - Actual'!AA$4:AA$15)</f>
        <v>34588.453187999999</v>
      </c>
      <c r="L21" s="2">
        <f>SUMIF('EIM - 2020 WA E Detail - Actual'!$C$4:$C$15,"Hydro 331-336",'EIM - 2020 WA E Detail - Actual'!AB$4:AB$15)</f>
        <v>3702.496404</v>
      </c>
      <c r="M21" s="2">
        <f>SUMIF('EIM - 2020 WA E Detail - Actual'!$C$4:$C$15,"Hydro 331-336",'EIM - 2020 WA E Detail - Actual'!AC$4:AC$15)</f>
        <v>158988.08808000002</v>
      </c>
      <c r="N21" s="2">
        <f>SUMIF('EIM - 2020 WA E Detail - Actual'!$C$4:$C$15,"Hydro 331-336",'EIM - 2020 WA E Detail - Actual'!AD$4:AD$15)</f>
        <v>13763.388636000003</v>
      </c>
      <c r="O21" s="2">
        <f>SUMIF('EIM - 2020 WA E Detail - Actual'!$C$4:$C$15,"Hydro 331-336",'EIM - 2020 WA E Detail - Actual'!AE$4:AE$15)</f>
        <v>9428.8052880000014</v>
      </c>
      <c r="P21" s="2">
        <f>SUMIF('EIM - 2020 WA E Detail - Actual'!$C$4:$C$15,"Hydro 331-336",'EIM - 2020 WA E Detail - Actual'!AF$4:AF$15)</f>
        <v>25417.370232000001</v>
      </c>
      <c r="Q21" s="119">
        <f t="shared" si="21"/>
        <v>554889.59104800003</v>
      </c>
      <c r="R21" s="119">
        <f>SUBTOTAL(9,$E21:Q21)</f>
        <v>554889.59104800003</v>
      </c>
      <c r="S21" s="2">
        <f>SUMIF('EIM - 2021 WA E Detail - Actual'!$C$4:$C$40,"Hydro 331-336",'EIM - 2021 WA E Detail - Actual'!U$4:U$40)</f>
        <v>253321.163436</v>
      </c>
      <c r="T21" s="2">
        <f>SUMIF('EIM - 2021 WA E Detail - Actual'!$C$4:$C$40,"Hydro 331-336",'EIM - 2021 WA E Detail - Actual'!V$4:V$40)</f>
        <v>5849.3182439999982</v>
      </c>
      <c r="U21" s="2">
        <f>SUMIF('EIM - 2021 WA E Detail - Actual'!$C$4:$C$40,"Hydro 331-336",'EIM - 2021 WA E Detail - Actual'!W$4:W$40)</f>
        <v>-8138.920212</v>
      </c>
      <c r="V21" s="2">
        <f>SUMIF('EIM - 2021 WA E Detail - Actual'!$C$4:$C$40,"Hydro 331-336",'EIM - 2021 WA E Detail - Actual'!X$4:X$40)</f>
        <v>954308.01301200013</v>
      </c>
      <c r="W21" s="2">
        <f>SUMIF('EIM - 2021 WA E Detail - Actual'!$C$4:$C$40,"Hydro 331-336",'EIM - 2021 WA E Detail - Actual'!Y$4:Y$40)</f>
        <v>502700.25103199994</v>
      </c>
      <c r="X21" s="2">
        <f>SUMIF('EIM - 2021 WA E Detail - Actual'!$C$4:$C$40,"Hydro 331-336",'EIM - 2021 WA E Detail - Actual'!Z$4:Z$40)</f>
        <v>13753.463868000001</v>
      </c>
      <c r="Y21" s="2">
        <f>SUMIF('EIM - 2021 WA E Detail - Actual'!$C$4:$C$40,"Hydro 331-336",'EIM - 2021 WA E Detail - Actual'!AA$4:AA$40)</f>
        <v>-41457.213144000008</v>
      </c>
      <c r="Z21" s="2">
        <f>SUMIF('EIM - 2021 WA E Detail - Actual'!$C$4:$C$40,"Hydro 331-336",'EIM - 2021 WA E Detail - Actual'!AB$4:AB$40)</f>
        <v>-13214.802336000001</v>
      </c>
      <c r="AA21" s="2">
        <f>SUMIF('EIM - 2021 WA E Detail - Actual'!$C$4:$C$40,"Hydro 331-336",'EIM - 2021 WA E Detail - Actual'!AC$4:AC$40)</f>
        <v>3525.4325040000003</v>
      </c>
      <c r="AB21" s="2">
        <f>SUMIF('EIM - 2021 WA E Detail - Actual'!$C$4:$C$40,"Hydro 331-336",'EIM - 2021 WA E Detail - Actual'!AD$4:AD$40)</f>
        <v>-3525.5243999999998</v>
      </c>
      <c r="AC21" s="2">
        <f>SUMIF('EIM - 2021 WA E Detail - Actual'!$C$4:$C$40,"Hydro 331-336",'EIM - 2021 WA E Detail - Actual'!AE$4:AE$40)</f>
        <v>0</v>
      </c>
      <c r="AD21" s="2">
        <f>SUMIF('EIM - 2021 WA E Detail - Actual'!$C$4:$C$40,"Hydro 331-336",'EIM - 2021 WA E Detail - Actual'!AF$4:AF$40)</f>
        <v>0</v>
      </c>
      <c r="AE21" s="119">
        <f t="shared" si="22"/>
        <v>1667121.1820040003</v>
      </c>
      <c r="AF21" s="2">
        <f>SUMIF('EIM - 2022 WA E Detail - Actual'!$C$4:$C$47,"Hydro 331-336",'EIM - 2022 WA E Detail - Actual'!U$4:U$47)</f>
        <v>0</v>
      </c>
      <c r="AG21" s="2">
        <f>SUMIF('EIM - 2022 WA E Detail - Actual'!$C$4:$C$47,"Hydro 331-336",'EIM - 2022 WA E Detail - Actual'!V$4:V$47)</f>
        <v>0</v>
      </c>
      <c r="AH21" s="2">
        <f>SUMIF('EIM - 2022 WA E Detail - Actual'!$C$4:$C$47,"Hydro 331-336",'EIM - 2022 WA E Detail - Actual'!W$4:W$47)</f>
        <v>0</v>
      </c>
      <c r="AI21" s="2"/>
      <c r="AJ21" s="2"/>
      <c r="AK21" s="2"/>
      <c r="AL21" s="2"/>
      <c r="AM21" s="2"/>
      <c r="AN21" s="2"/>
      <c r="AO21" s="2"/>
      <c r="AP21" s="2"/>
      <c r="AQ21" s="2"/>
      <c r="AR21" s="119">
        <f t="shared" si="23"/>
        <v>0</v>
      </c>
      <c r="AS21" s="119">
        <f>SUBTOTAL(9,$E21:AR21)</f>
        <v>2222010.773052</v>
      </c>
    </row>
    <row r="22" spans="2:46">
      <c r="D22" s="104" t="s">
        <v>148</v>
      </c>
      <c r="E22" s="2">
        <f>SUMIF('EIM - 2020 WA E Detail - Actual'!$C$4:$C$15,"Other Elec Production / Turbines 340-346",'EIM - 2020 WA E Detail - Actual'!U$4:U$15)</f>
        <v>0</v>
      </c>
      <c r="F22" s="2">
        <f>SUMIF('EIM - 2020 WA E Detail - Actual'!$C$4:$C$15,"Other Elec Production / Turbines 340-346",'EIM - 2020 WA E Detail - Actual'!V$4:V$15)</f>
        <v>0</v>
      </c>
      <c r="G22" s="2">
        <f>SUMIF('EIM - 2020 WA E Detail - Actual'!$C$4:$C$15,"Other Elec Production / Turbines 340-346",'EIM - 2020 WA E Detail - Actual'!W$4:W$15)</f>
        <v>0</v>
      </c>
      <c r="H22" s="2">
        <f>SUMIF('EIM - 2020 WA E Detail - Actual'!$C$4:$C$15,"Other Elec Production / Turbines 340-346",'EIM - 2020 WA E Detail - Actual'!X$4:X$15)</f>
        <v>0</v>
      </c>
      <c r="I22" s="2">
        <f>SUMIF('EIM - 2020 WA E Detail - Actual'!$C$4:$C$15,"Other Elec Production / Turbines 340-346",'EIM - 2020 WA E Detail - Actual'!Y$4:Y$15)</f>
        <v>0</v>
      </c>
      <c r="J22" s="2">
        <f>SUMIF('EIM - 2020 WA E Detail - Actual'!$C$4:$C$15,"Other Elec Production / Turbines 340-346",'EIM - 2020 WA E Detail - Actual'!Z$4:Z$15)</f>
        <v>0</v>
      </c>
      <c r="K22" s="2">
        <f>SUMIF('EIM - 2020 WA E Detail - Actual'!$C$4:$C$15,"Other Elec Production / Turbines 340-346",'EIM - 2020 WA E Detail - Actual'!AA$4:AA$15)</f>
        <v>0</v>
      </c>
      <c r="L22" s="2">
        <f>SUMIF('EIM - 2020 WA E Detail - Actual'!$C$4:$C$15,"Other Elec Production / Turbines 340-346",'EIM - 2020 WA E Detail - Actual'!AB$4:AB$15)</f>
        <v>0</v>
      </c>
      <c r="M22" s="2">
        <f>SUMIF('EIM - 2020 WA E Detail - Actual'!$C$4:$C$15,"Other Elec Production / Turbines 340-346",'EIM - 2020 WA E Detail - Actual'!AC$4:AC$15)</f>
        <v>0</v>
      </c>
      <c r="N22" s="2">
        <f>SUMIF('EIM - 2020 WA E Detail - Actual'!$C$4:$C$15,"Other Elec Production / Turbines 340-346",'EIM - 2020 WA E Detail - Actual'!AD$4:AD$15)</f>
        <v>0</v>
      </c>
      <c r="O22" s="2">
        <f>SUMIF('EIM - 2020 WA E Detail - Actual'!$C$4:$C$15,"Other Elec Production / Turbines 340-346",'EIM - 2020 WA E Detail - Actual'!AE$4:AE$15)</f>
        <v>0</v>
      </c>
      <c r="P22" s="2">
        <f>SUMIF('EIM - 2020 WA E Detail - Actual'!$C$4:$C$15,"Other Elec Production / Turbines 340-346",'EIM - 2020 WA E Detail - Actual'!AF$4:AF$15)</f>
        <v>447082.47473999998</v>
      </c>
      <c r="Q22" s="119">
        <f t="shared" si="21"/>
        <v>447082.47473999998</v>
      </c>
      <c r="R22" s="119">
        <f>SUBTOTAL(9,$E22:Q22)</f>
        <v>447082.47473999998</v>
      </c>
      <c r="S22" s="2">
        <f>SUMIF('EIM - 2021 WA E Detail - Actual'!$C$4:$C$40,"Other Elec Production / Turbines 340-346",'EIM - 2021 WA E Detail - Actual'!U$4:U$40)</f>
        <v>4235.2700279999999</v>
      </c>
      <c r="T22" s="2">
        <f>SUMIF('EIM - 2021 WA E Detail - Actual'!$C$4:$C$40,"Other Elec Production / Turbines 340-346",'EIM - 2021 WA E Detail - Actual'!V$4:V$40)</f>
        <v>3508.4973840000002</v>
      </c>
      <c r="U22" s="2">
        <f>SUMIF('EIM - 2021 WA E Detail - Actual'!$C$4:$C$40,"Other Elec Production / Turbines 340-346",'EIM - 2021 WA E Detail - Actual'!W$4:W$40)</f>
        <v>1580.6768399999999</v>
      </c>
      <c r="V22" s="2">
        <f>SUMIF('EIM - 2021 WA E Detail - Actual'!$C$4:$C$40,"Other Elec Production / Turbines 340-346",'EIM - 2021 WA E Detail - Actual'!X$4:X$40)</f>
        <v>684.06069600000001</v>
      </c>
      <c r="W22" s="2">
        <f>SUMIF('EIM - 2021 WA E Detail - Actual'!$C$4:$C$40,"Other Elec Production / Turbines 340-346",'EIM - 2021 WA E Detail - Actual'!Y$4:Y$40)</f>
        <v>178736.992818</v>
      </c>
      <c r="X22" s="2">
        <f>SUMIF('EIM - 2021 WA E Detail - Actual'!$C$4:$C$40,"Other Elec Production / Turbines 340-346",'EIM - 2021 WA E Detail - Actual'!Z$4:Z$40)</f>
        <v>146379.04819100001</v>
      </c>
      <c r="Y22" s="2">
        <f>SUMIF('EIM - 2021 WA E Detail - Actual'!$C$4:$C$40,"Other Elec Production / Turbines 340-346",'EIM - 2021 WA E Detail - Actual'!AA$4:AA$40)</f>
        <v>425.35358099999996</v>
      </c>
      <c r="Z22" s="2">
        <f>SUMIF('EIM - 2021 WA E Detail - Actual'!$C$4:$C$40,"Other Elec Production / Turbines 340-346",'EIM - 2021 WA E Detail - Actual'!AB$4:AB$40)</f>
        <v>0</v>
      </c>
      <c r="AA22" s="2">
        <f>SUMIF('EIM - 2021 WA E Detail - Actual'!$C$4:$C$40,"Other Elec Production / Turbines 340-346",'EIM - 2021 WA E Detail - Actual'!AC$4:AC$40)</f>
        <v>-4576.9184999999998</v>
      </c>
      <c r="AB22" s="2">
        <f>SUMIF('EIM - 2021 WA E Detail - Actual'!$C$4:$C$40,"Other Elec Production / Turbines 340-346",'EIM - 2021 WA E Detail - Actual'!AD$4:AD$40)</f>
        <v>26476.937675999998</v>
      </c>
      <c r="AC22" s="2">
        <f>SUMIF('EIM - 2021 WA E Detail - Actual'!$C$4:$C$40,"Other Elec Production / Turbines 340-346",'EIM - 2021 WA E Detail - Actual'!AE$4:AE$40)</f>
        <v>0</v>
      </c>
      <c r="AD22" s="2">
        <f>SUMIF('EIM - 2021 WA E Detail - Actual'!$C$4:$C$40,"Other Elec Production / Turbines 340-346",'EIM - 2021 WA E Detail - Actual'!AF$4:AF$40)</f>
        <v>0</v>
      </c>
      <c r="AE22" s="119">
        <f t="shared" si="22"/>
        <v>357449.91871399997</v>
      </c>
      <c r="AF22" s="2">
        <f>SUMIF('EIM - 2022 WA E Detail - Actual'!$C$4:$C$47,"Other Elec Production / Turbines 340-346",'EIM - 2022 WA E Detail - Actual'!U$4:U$47)</f>
        <v>0</v>
      </c>
      <c r="AG22" s="2">
        <f>SUMIF('EIM - 2022 WA E Detail - Actual'!$C$4:$C$47,"Other Elec Production / Turbines 340-346",'EIM - 2022 WA E Detail - Actual'!V$4:V$47)</f>
        <v>0</v>
      </c>
      <c r="AH22" s="2">
        <f>SUMIF('EIM - 2022 WA E Detail - Actual'!$C$4:$C$47,"Other Elec Production / Turbines 340-346",'EIM - 2022 WA E Detail - Actual'!W$4:W$47)</f>
        <v>0</v>
      </c>
      <c r="AI22" s="2"/>
      <c r="AJ22" s="2"/>
      <c r="AK22" s="2"/>
      <c r="AL22" s="2"/>
      <c r="AM22" s="2"/>
      <c r="AN22" s="2"/>
      <c r="AO22" s="2"/>
      <c r="AP22" s="2"/>
      <c r="AQ22" s="2"/>
      <c r="AR22" s="119">
        <f t="shared" si="23"/>
        <v>0</v>
      </c>
      <c r="AS22" s="119">
        <f>SUBTOTAL(9,$E22:AR22)</f>
        <v>804532.39345399989</v>
      </c>
    </row>
    <row r="23" spans="2:46">
      <c r="D23" s="104" t="s">
        <v>138</v>
      </c>
      <c r="E23" s="2">
        <f>SUMIF('EIM - 2020 WA E Detail - Actual'!$C$4:$C$15,"General 389 / 393-395 / 397-398",'EIM - 2020 WA E Detail - Actual'!U$4:U$15)</f>
        <v>0</v>
      </c>
      <c r="F23" s="2">
        <f>SUMIF('EIM - 2020 WA E Detail - Actual'!$C$4:$C$15,"General 389 / 393-395 / 397-398",'EIM - 2020 WA E Detail - Actual'!V$4:V$15)</f>
        <v>0</v>
      </c>
      <c r="G23" s="2">
        <f>SUMIF('EIM - 2020 WA E Detail - Actual'!$C$4:$C$15,"General 389 / 393-395 / 397-398",'EIM - 2020 WA E Detail - Actual'!W$4:W$15)</f>
        <v>0</v>
      </c>
      <c r="H23" s="2">
        <f>SUMIF('EIM - 2020 WA E Detail - Actual'!$C$4:$C$15,"General 389 / 393-395 / 397-398",'EIM - 2020 WA E Detail - Actual'!X$4:X$15)</f>
        <v>0</v>
      </c>
      <c r="I23" s="2">
        <f>SUMIF('EIM - 2020 WA E Detail - Actual'!$C$4:$C$15,"General 389 / 393-395 / 397-398",'EIM - 2020 WA E Detail - Actual'!Y$4:Y$15)</f>
        <v>0</v>
      </c>
      <c r="J23" s="2">
        <f>SUMIF('EIM - 2020 WA E Detail - Actual'!$C$4:$C$15,"General 389 / 393-395 / 397-398",'EIM - 2020 WA E Detail - Actual'!Z$4:Z$15)</f>
        <v>0</v>
      </c>
      <c r="K23" s="2">
        <f>SUMIF('EIM - 2020 WA E Detail - Actual'!$C$4:$C$15,"General 389 / 393-395 / 397-398",'EIM - 2020 WA E Detail - Actual'!AA$4:AA$15)</f>
        <v>27392.810719199999</v>
      </c>
      <c r="L23" s="2">
        <f>SUMIF('EIM - 2020 WA E Detail - Actual'!$C$4:$C$15,"General 389 / 393-395 / 397-398",'EIM - 2020 WA E Detail - Actual'!AB$4:AB$15)</f>
        <v>133028.790843</v>
      </c>
      <c r="M23" s="2">
        <f>SUMIF('EIM - 2020 WA E Detail - Actual'!$C$4:$C$15,"General 389 / 393-395 / 397-398",'EIM - 2020 WA E Detail - Actual'!AC$4:AC$15)</f>
        <v>36557.254958058846</v>
      </c>
      <c r="N23" s="2">
        <f>SUMIF('EIM - 2020 WA E Detail - Actual'!$C$4:$C$15,"General 389 / 393-395 / 397-398",'EIM - 2020 WA E Detail - Actual'!AD$4:AD$15)</f>
        <v>214605.87277506635</v>
      </c>
      <c r="O23" s="2">
        <f>SUMIF('EIM - 2020 WA E Detail - Actual'!$C$4:$C$15,"General 389 / 393-395 / 397-398",'EIM - 2020 WA E Detail - Actual'!AE$4:AE$15)</f>
        <v>12956.608926443159</v>
      </c>
      <c r="P23" s="2">
        <f>SUMIF('EIM - 2020 WA E Detail - Actual'!$C$4:$C$15,"General 389 / 393-395 / 397-398",'EIM - 2020 WA E Detail - Actual'!AF$4:AF$15)</f>
        <v>7789.2686346522296</v>
      </c>
      <c r="Q23" s="119">
        <f t="shared" si="21"/>
        <v>432330.60685642064</v>
      </c>
      <c r="R23" s="119">
        <f>SUBTOTAL(9,$E23:Q23)</f>
        <v>432330.60685642064</v>
      </c>
      <c r="S23" s="2">
        <f>SUMIF('EIM - 2021 WA E Detail - Actual'!$C$4:$C$40,"General 389 / 393-395 / 397-398",'EIM - 2021 WA E Detail - Actual'!U$4:U$40)</f>
        <v>2633.8821407826117</v>
      </c>
      <c r="T23" s="2">
        <f>SUMIF('EIM - 2021 WA E Detail - Actual'!$C$4:$C$40,"General 389 / 393-395 / 397-398",'EIM - 2021 WA E Detail - Actual'!V$4:V$40)</f>
        <v>176932.07894157615</v>
      </c>
      <c r="U23" s="2">
        <f>SUMIF('EIM - 2021 WA E Detail - Actual'!$C$4:$C$40,"General 389 / 393-395 / 397-398",'EIM - 2021 WA E Detail - Actual'!W$4:W$40)</f>
        <v>212328.63741748856</v>
      </c>
      <c r="V23" s="2">
        <f>SUMIF('EIM - 2021 WA E Detail - Actual'!$C$4:$C$40,"General 389 / 393-395 / 397-398",'EIM - 2021 WA E Detail - Actual'!X$4:X$40)</f>
        <v>273929.11235107406</v>
      </c>
      <c r="W23" s="2">
        <f>SUMIF('EIM - 2021 WA E Detail - Actual'!$C$4:$C$40,"General 389 / 393-395 / 397-398",'EIM - 2021 WA E Detail - Actual'!Y$4:Y$40)</f>
        <v>184433.89644884909</v>
      </c>
      <c r="X23" s="2">
        <f>SUMIF('EIM - 2021 WA E Detail - Actual'!$C$4:$C$40,"General 389 / 393-395 / 397-398",'EIM - 2021 WA E Detail - Actual'!Z$4:Z$40)</f>
        <v>286994.48894146999</v>
      </c>
      <c r="Y23" s="2">
        <f>SUMIF('EIM - 2021 WA E Detail - Actual'!$C$4:$C$40,"General 389 / 393-395 / 397-398",'EIM - 2021 WA E Detail - Actual'!AA$4:AA$40)</f>
        <v>44377.829388025624</v>
      </c>
      <c r="Z23" s="2">
        <f>SUMIF('EIM - 2021 WA E Detail - Actual'!$C$4:$C$40,"General 389 / 393-395 / 397-398",'EIM - 2021 WA E Detail - Actual'!AB$4:AB$40)</f>
        <v>18401.943107472096</v>
      </c>
      <c r="AA23" s="2">
        <f>SUMIF('EIM - 2021 WA E Detail - Actual'!$C$4:$C$40,"General 389 / 393-395 / 397-398",'EIM - 2021 WA E Detail - Actual'!AC$4:AC$40)</f>
        <v>-2694.4205430681332</v>
      </c>
      <c r="AB23" s="2">
        <f>SUMIF('EIM - 2021 WA E Detail - Actual'!$C$4:$C$40,"General 389 / 393-395 / 397-398",'EIM - 2021 WA E Detail - Actual'!AD$4:AD$40)</f>
        <v>3825.7642623566994</v>
      </c>
      <c r="AC23" s="2">
        <f>SUMIF('EIM - 2021 WA E Detail - Actual'!$C$4:$C$40,"General 389 / 393-395 / 397-398",'EIM - 2021 WA E Detail - Actual'!AE$4:AE$40)</f>
        <v>2539.9691656630921</v>
      </c>
      <c r="AD23" s="2">
        <f>SUMIF('EIM - 2021 WA E Detail - Actual'!$C$4:$C$40,"General 389 / 393-395 / 397-398",'EIM - 2021 WA E Detail - Actual'!AF$4:AF$40)</f>
        <v>47112.890586433758</v>
      </c>
      <c r="AE23" s="119">
        <f t="shared" si="22"/>
        <v>1250816.0722081237</v>
      </c>
      <c r="AF23" s="2">
        <f>SUMIF('EIM - 2022 WA E Detail - Actual'!$C$4:$C$47,"General 389 / 393-395 / 397-398",'EIM - 2022 WA E Detail - Actual'!U$4:U$47)</f>
        <v>1229.9363028037194</v>
      </c>
      <c r="AG23" s="2">
        <f>SUMIF('EIM - 2022 WA E Detail - Actual'!$C$4:$C$47,"General 389 / 393-395 / 397-398",'EIM - 2022 WA E Detail - Actual'!V$4:V$47)</f>
        <v>1355.486936053788</v>
      </c>
      <c r="AH23" s="2">
        <f>SUMIF('EIM - 2022 WA E Detail - Actual'!$C$4:$C$47,"General 389 / 393-395 / 397-398",'EIM - 2022 WA E Detail - Actual'!W$4:W$47)</f>
        <v>5171.4280049893059</v>
      </c>
      <c r="AI23" s="2"/>
      <c r="AJ23" s="2"/>
      <c r="AK23" s="2"/>
      <c r="AL23" s="2"/>
      <c r="AM23" s="2"/>
      <c r="AN23" s="2"/>
      <c r="AO23" s="2"/>
      <c r="AP23" s="2"/>
      <c r="AQ23" s="2"/>
      <c r="AR23" s="119">
        <f t="shared" si="23"/>
        <v>7756.8512438468133</v>
      </c>
      <c r="AS23" s="119">
        <f>SUBTOTAL(9,$E23:AR23)</f>
        <v>1690903.530308391</v>
      </c>
    </row>
    <row r="24" spans="2:46">
      <c r="D24" s="104" t="s">
        <v>150</v>
      </c>
      <c r="E24" s="2">
        <f>SUMIF('EIM - 2020 WA E Detail - Actual'!$C$4:$C$15,"General - Hardware",'EIM - 2020 WA E Detail - Actual'!U$4:U$15)</f>
        <v>53862.245801100005</v>
      </c>
      <c r="F24" s="2">
        <f>SUMIF('EIM - 2020 WA E Detail - Actual'!$C$4:$C$15,"General - Hardware",'EIM - 2020 WA E Detail - Actual'!V$4:V$15)</f>
        <v>8159.0989872</v>
      </c>
      <c r="G24" s="2">
        <f>SUMIF('EIM - 2020 WA E Detail - Actual'!$C$4:$C$15,"General - Hardware",'EIM - 2020 WA E Detail - Actual'!W$4:W$15)</f>
        <v>2370.6019503000002</v>
      </c>
      <c r="H24" s="2">
        <f>SUMIF('EIM - 2020 WA E Detail - Actual'!$C$4:$C$15,"General - Hardware",'EIM - 2020 WA E Detail - Actual'!X$4:X$15)</f>
        <v>895.29182220000007</v>
      </c>
      <c r="I24" s="2">
        <f>SUMIF('EIM - 2020 WA E Detail - Actual'!$C$4:$C$15,"General - Hardware",'EIM - 2020 WA E Detail - Actual'!Y$4:Y$15)</f>
        <v>0</v>
      </c>
      <c r="J24" s="2">
        <f>SUMIF('EIM - 2020 WA E Detail - Actual'!$C$4:$C$15,"General - Hardware",'EIM - 2020 WA E Detail - Actual'!Z$4:Z$15)</f>
        <v>0</v>
      </c>
      <c r="K24" s="2">
        <f>SUMIF('EIM - 2020 WA E Detail - Actual'!$C$4:$C$15,"General - Hardware",'EIM - 2020 WA E Detail - Actual'!AA$4:AA$15)</f>
        <v>363.95489670000001</v>
      </c>
      <c r="L24" s="2">
        <f>SUMIF('EIM - 2020 WA E Detail - Actual'!$C$4:$C$15,"General - Hardware",'EIM - 2020 WA E Detail - Actual'!AB$4:AB$15)</f>
        <v>-33036.190747499997</v>
      </c>
      <c r="M24" s="2">
        <f>SUMIF('EIM - 2020 WA E Detail - Actual'!$C$4:$C$15,"General - Hardware",'EIM - 2020 WA E Detail - Actual'!AC$4:AC$15)</f>
        <v>0</v>
      </c>
      <c r="N24" s="2">
        <f>SUMIF('EIM - 2020 WA E Detail - Actual'!$C$4:$C$15,"General - Hardware",'EIM - 2020 WA E Detail - Actual'!AD$4:AD$15)</f>
        <v>0</v>
      </c>
      <c r="O24" s="2">
        <f>SUMIF('EIM - 2020 WA E Detail - Actual'!$C$4:$C$15,"General - Hardware",'EIM - 2020 WA E Detail - Actual'!AE$4:AE$15)</f>
        <v>0</v>
      </c>
      <c r="P24" s="2">
        <f>SUMIF('EIM - 2020 WA E Detail - Actual'!$C$4:$C$15,"General - Hardware",'EIM - 2020 WA E Detail - Actual'!AF$4:AF$15)</f>
        <v>0</v>
      </c>
      <c r="Q24" s="119">
        <f t="shared" si="21"/>
        <v>32615.002710000008</v>
      </c>
      <c r="R24" s="119">
        <f>SUBTOTAL(9,$E24:Q24)</f>
        <v>32615.002710000008</v>
      </c>
      <c r="S24" s="2">
        <f>SUMIF('EIM - 2021 WA E Detail - Actual'!$C$4:$C$40,"General - Hardware",'EIM - 2021 WA E Detail - Actual'!U$4:U$40)</f>
        <v>0</v>
      </c>
      <c r="T24" s="2">
        <f>SUMIF('EIM - 2021 WA E Detail - Actual'!$C$4:$C$40,"General - Hardware",'EIM - 2021 WA E Detail - Actual'!V$4:V$40)</f>
        <v>0</v>
      </c>
      <c r="U24" s="2">
        <f>SUMIF('EIM - 2021 WA E Detail - Actual'!$C$4:$C$40,"General - Hardware",'EIM - 2021 WA E Detail - Actual'!W$4:W$40)</f>
        <v>88457.589906900001</v>
      </c>
      <c r="V24" s="2">
        <f>SUMIF('EIM - 2021 WA E Detail - Actual'!$C$4:$C$40,"General - Hardware",'EIM - 2021 WA E Detail - Actual'!X$4:X$40)</f>
        <v>111561.23905981309</v>
      </c>
      <c r="W24" s="2">
        <f>SUMIF('EIM - 2021 WA E Detail - Actual'!$C$4:$C$40,"General - Hardware",'EIM - 2021 WA E Detail - Actual'!Y$4:Y$40)</f>
        <v>4241.7441768955377</v>
      </c>
      <c r="X24" s="2">
        <f>SUMIF('EIM - 2021 WA E Detail - Actual'!$C$4:$C$40,"General - Hardware",'EIM - 2021 WA E Detail - Actual'!Z$4:Z$40)</f>
        <v>3865.0428369000001</v>
      </c>
      <c r="Y24" s="2">
        <f>SUMIF('EIM - 2021 WA E Detail - Actual'!$C$4:$C$40,"General - Hardware",'EIM - 2021 WA E Detail - Actual'!AA$4:AA$40)</f>
        <v>2542.1115083975396</v>
      </c>
      <c r="Z24" s="2">
        <f>SUMIF('EIM - 2021 WA E Detail - Actual'!$C$4:$C$40,"General - Hardware",'EIM - 2021 WA E Detail - Actual'!AB$4:AB$40)</f>
        <v>1001.8013688000001</v>
      </c>
      <c r="AA24" s="2">
        <f>SUMIF('EIM - 2021 WA E Detail - Actual'!$C$4:$C$40,"General - Hardware",'EIM - 2021 WA E Detail - Actual'!AC$4:AC$40)</f>
        <v>901.40121090000002</v>
      </c>
      <c r="AB24" s="2">
        <f>SUMIF('EIM - 2021 WA E Detail - Actual'!$C$4:$C$40,"General - Hardware",'EIM - 2021 WA E Detail - Actual'!AD$4:AD$40)</f>
        <v>0</v>
      </c>
      <c r="AC24" s="2">
        <f>SUMIF('EIM - 2021 WA E Detail - Actual'!$C$4:$C$40,"General - Hardware",'EIM - 2021 WA E Detail - Actual'!AE$4:AE$40)</f>
        <v>0</v>
      </c>
      <c r="AD24" s="2">
        <f>SUMIF('EIM - 2021 WA E Detail - Actual'!$C$4:$C$40,"General - Hardware",'EIM - 2021 WA E Detail - Actual'!AF$4:AF$40)</f>
        <v>0</v>
      </c>
      <c r="AE24" s="119">
        <f t="shared" si="22"/>
        <v>212570.93006860613</v>
      </c>
      <c r="AF24" s="2">
        <f>SUMIF('EIM - 2022 WA E Detail - Actual'!$C$4:$C$47,"General - Hardware",'EIM - 2022 WA E Detail - Actual'!U$4:U$47)</f>
        <v>0</v>
      </c>
      <c r="AG24" s="2">
        <f>SUMIF('EIM - 2022 WA E Detail - Actual'!$C$4:$C$47,"General - Hardware",'EIM - 2022 WA E Detail - Actual'!V$4:V$47)</f>
        <v>0</v>
      </c>
      <c r="AH24" s="2">
        <f>SUMIF('EIM - 2022 WA E Detail - Actual'!$C$4:$C$47,"General - Hardware",'EIM - 2022 WA E Detail - Actual'!W$4:W$47)</f>
        <v>90508.603570999985</v>
      </c>
      <c r="AI24" s="2"/>
      <c r="AJ24" s="2"/>
      <c r="AK24" s="2"/>
      <c r="AL24" s="2"/>
      <c r="AM24" s="2"/>
      <c r="AN24" s="2"/>
      <c r="AO24" s="2"/>
      <c r="AP24" s="2"/>
      <c r="AQ24" s="2"/>
      <c r="AR24" s="119">
        <f t="shared" si="23"/>
        <v>90508.603570999985</v>
      </c>
      <c r="AS24" s="119">
        <f>SUBTOTAL(9,$E24:AR24)</f>
        <v>335694.53634960612</v>
      </c>
    </row>
    <row r="25" spans="2:46">
      <c r="D25" s="104" t="s">
        <v>19</v>
      </c>
      <c r="E25" s="2">
        <f>SUMIF('EIM - 2020 WA E Detail - Actual'!$C$4:$C$15,"Software 303",'EIM - 2020 WA E Detail - Actual'!U$4:U$15)</f>
        <v>194862.86176500001</v>
      </c>
      <c r="F25" s="2">
        <f>SUMIF('EIM - 2020 WA E Detail - Actual'!$C$4:$C$15,"Software 303",'EIM - 2020 WA E Detail - Actual'!V$4:V$15)</f>
        <v>29517.985448700001</v>
      </c>
      <c r="G25" s="2">
        <f>SUMIF('EIM - 2020 WA E Detail - Actual'!$C$4:$C$15,"Software 303",'EIM - 2020 WA E Detail - Actual'!W$4:W$15)</f>
        <v>8576.3570894999993</v>
      </c>
      <c r="H25" s="2">
        <f>SUMIF('EIM - 2020 WA E Detail - Actual'!$C$4:$C$15,"Software 303",'EIM - 2020 WA E Detail - Actual'!X$4:X$15)</f>
        <v>8554.8974324426927</v>
      </c>
      <c r="I25" s="2">
        <f>SUMIF('EIM - 2020 WA E Detail - Actual'!$C$4:$C$15,"Software 303",'EIM - 2020 WA E Detail - Actual'!Y$4:Y$15)</f>
        <v>0</v>
      </c>
      <c r="J25" s="2">
        <f>SUMIF('EIM - 2020 WA E Detail - Actual'!$C$4:$C$15,"Software 303",'EIM - 2020 WA E Detail - Actual'!Z$4:Z$15)</f>
        <v>0</v>
      </c>
      <c r="K25" s="2">
        <f>SUMIF('EIM - 2020 WA E Detail - Actual'!$C$4:$C$15,"Software 303",'EIM - 2020 WA E Detail - Actual'!AA$4:AA$15)</f>
        <v>1316.7151022999999</v>
      </c>
      <c r="L25" s="2">
        <f>SUMIF('EIM - 2020 WA E Detail - Actual'!$C$4:$C$15,"Software 303",'EIM - 2020 WA E Detail - Actual'!AB$4:AB$15)</f>
        <v>-99051.532830900003</v>
      </c>
      <c r="M25" s="2">
        <f>SUMIF('EIM - 2020 WA E Detail - Actual'!$C$4:$C$15,"Software 303",'EIM - 2020 WA E Detail - Actual'!AC$4:AC$15)</f>
        <v>0</v>
      </c>
      <c r="N25" s="2">
        <f>SUMIF('EIM - 2020 WA E Detail - Actual'!$C$4:$C$15,"Software 303",'EIM - 2020 WA E Detail - Actual'!AD$4:AD$15)</f>
        <v>0</v>
      </c>
      <c r="O25" s="2">
        <f>SUMIF('EIM - 2020 WA E Detail - Actual'!$C$4:$C$15,"Software 303",'EIM - 2020 WA E Detail - Actual'!AE$4:AE$15)</f>
        <v>0</v>
      </c>
      <c r="P25" s="2">
        <f>SUMIF('EIM - 2020 WA E Detail - Actual'!$C$4:$C$15,"Software 303",'EIM - 2020 WA E Detail - Actual'!AF$4:AF$15)</f>
        <v>0</v>
      </c>
      <c r="Q25" s="119">
        <f t="shared" si="21"/>
        <v>143777.2840070427</v>
      </c>
      <c r="R25" s="119">
        <f>SUBTOTAL(9,$E25:Q25)</f>
        <v>143777.2840070427</v>
      </c>
      <c r="S25" s="2">
        <f>SUMIF('EIM - 2021 WA E Detail - Actual'!$C$4:$C$40,"Software 303",'EIM - 2021 WA E Detail - Actual'!U$4:U$40)</f>
        <v>0</v>
      </c>
      <c r="T25" s="2">
        <f>SUMIF('EIM - 2021 WA E Detail - Actual'!$C$4:$C$40,"Software 303",'EIM - 2021 WA E Detail - Actual'!V$4:V$40)</f>
        <v>0</v>
      </c>
      <c r="U25" s="2">
        <f>SUMIF('EIM - 2021 WA E Detail - Actual'!$C$4:$C$40,"Software 303",'EIM - 2021 WA E Detail - Actual'!W$4:W$40)</f>
        <v>0</v>
      </c>
      <c r="V25" s="2">
        <f>SUMIF('EIM - 2021 WA E Detail - Actual'!$C$4:$C$40,"Software 303",'EIM - 2021 WA E Detail - Actual'!X$4:X$40)</f>
        <v>0</v>
      </c>
      <c r="W25" s="2">
        <f>SUMIF('EIM - 2021 WA E Detail - Actual'!$C$4:$C$40,"Software 303",'EIM - 2021 WA E Detail - Actual'!Y$4:Y$40)</f>
        <v>0</v>
      </c>
      <c r="X25" s="2">
        <f>SUMIF('EIM - 2021 WA E Detail - Actual'!$C$4:$C$40,"Software 303",'EIM - 2021 WA E Detail - Actual'!Z$4:Z$40)</f>
        <v>2594542.7162520001</v>
      </c>
      <c r="Y25" s="2">
        <f>SUMIF('EIM - 2021 WA E Detail - Actual'!$C$4:$C$40,"Software 303",'EIM - 2021 WA E Detail - Actual'!AA$4:AA$40)</f>
        <v>14165.545224</v>
      </c>
      <c r="Z25" s="2">
        <f>SUMIF('EIM - 2021 WA E Detail - Actual'!$C$4:$C$40,"Software 303",'EIM - 2021 WA E Detail - Actual'!AB$4:AB$40)</f>
        <v>7045.8501120000001</v>
      </c>
      <c r="AA25" s="2">
        <f>SUMIF('EIM - 2021 WA E Detail - Actual'!$C$4:$C$40,"Software 303",'EIM - 2021 WA E Detail - Actual'!AC$4:AC$40)</f>
        <v>5294.2007640000002</v>
      </c>
      <c r="AB25" s="2">
        <f>SUMIF('EIM - 2021 WA E Detail - Actual'!$C$4:$C$40,"Software 303",'EIM - 2021 WA E Detail - Actual'!AD$4:AD$40)</f>
        <v>3009.0163680000005</v>
      </c>
      <c r="AC25" s="2">
        <f>SUMIF('EIM - 2021 WA E Detail - Actual'!$C$4:$C$40,"Software 303",'EIM - 2021 WA E Detail - Actual'!AE$4:AE$40)</f>
        <v>10856.3637</v>
      </c>
      <c r="AD25" s="2">
        <f>SUMIF('EIM - 2021 WA E Detail - Actual'!$C$4:$C$40,"Software 303",'EIM - 2021 WA E Detail - Actual'!AF$4:AF$40)</f>
        <v>858.20361600000001</v>
      </c>
      <c r="AE25" s="119">
        <f t="shared" si="22"/>
        <v>2635771.8960359995</v>
      </c>
      <c r="AF25" s="2">
        <f>SUMIF('EIM - 2022 WA E Detail - Actual'!$C$4:$C$47,"Software 303",'EIM - 2022 WA E Detail - Actual'!U$4:U$47)</f>
        <v>0</v>
      </c>
      <c r="AG25" s="2">
        <f>SUMIF('EIM - 2022 WA E Detail - Actual'!$C$4:$C$47,"Software 303",'EIM - 2022 WA E Detail - Actual'!V$4:V$47)</f>
        <v>0</v>
      </c>
      <c r="AH25" s="2">
        <f>SUMIF('EIM - 2022 WA E Detail - Actual'!$C$4:$C$47,"Software 303",'EIM - 2022 WA E Detail - Actual'!W$4:W$47)</f>
        <v>6599261.4234669991</v>
      </c>
      <c r="AI25" s="2"/>
      <c r="AJ25" s="2"/>
      <c r="AK25" s="2"/>
      <c r="AL25" s="2"/>
      <c r="AM25" s="2"/>
      <c r="AN25" s="2"/>
      <c r="AO25" s="2"/>
      <c r="AP25" s="2"/>
      <c r="AQ25" s="2"/>
      <c r="AR25" s="119">
        <f t="shared" si="23"/>
        <v>6599261.4234669991</v>
      </c>
      <c r="AS25" s="119">
        <f>SUBTOTAL(9,$E25:AR25)</f>
        <v>9378810.6035100408</v>
      </c>
    </row>
    <row r="26" spans="2:46">
      <c r="E26" s="109">
        <f t="shared" ref="E26" si="24">SUM(E19:E25)</f>
        <v>248725.10756610002</v>
      </c>
      <c r="F26" s="109">
        <f t="shared" ref="F26" si="25">SUM(F19:F25)</f>
        <v>37677.084435900004</v>
      </c>
      <c r="G26" s="109">
        <f t="shared" ref="G26" si="26">SUM(G19:G25)</f>
        <v>10946.9590398</v>
      </c>
      <c r="H26" s="109">
        <f t="shared" ref="H26" si="27">SUM(H19:H25)</f>
        <v>9450.1892546426934</v>
      </c>
      <c r="I26" s="109">
        <f t="shared" ref="I26" si="28">SUM(I19:I25)</f>
        <v>0</v>
      </c>
      <c r="J26" s="109">
        <f t="shared" ref="J26" si="29">SUM(J19:J25)</f>
        <v>309000.98921999999</v>
      </c>
      <c r="K26" s="109">
        <f t="shared" ref="K26" si="30">SUM(K19:K25)</f>
        <v>63661.9339062</v>
      </c>
      <c r="L26" s="109">
        <f t="shared" ref="L26" si="31">SUM(L19:L25)</f>
        <v>104808.68738460001</v>
      </c>
      <c r="M26" s="109">
        <f t="shared" ref="M26" si="32">SUM(M19:M25)</f>
        <v>195545.34303805887</v>
      </c>
      <c r="N26" s="109">
        <f t="shared" ref="N26" si="33">SUM(N19:N25)</f>
        <v>267426.51205506636</v>
      </c>
      <c r="O26" s="109">
        <f t="shared" ref="O26" si="34">SUM(O19:O25)</f>
        <v>23274.626166443159</v>
      </c>
      <c r="P26" s="109">
        <f t="shared" ref="P26:S26" si="35">SUM(P19:P25)</f>
        <v>484053.35755865223</v>
      </c>
      <c r="Q26" s="118">
        <f t="shared" si="35"/>
        <v>1754570.7896254633</v>
      </c>
      <c r="R26" s="118">
        <f t="shared" ref="R26" si="36">SUM(R19:R25)</f>
        <v>1754570.7896254633</v>
      </c>
      <c r="S26" s="109">
        <f t="shared" si="35"/>
        <v>260432.41561678261</v>
      </c>
      <c r="T26" s="109">
        <f t="shared" ref="T26" si="37">SUM(T19:T25)</f>
        <v>182237.28096957615</v>
      </c>
      <c r="U26" s="109">
        <f t="shared" ref="U26" si="38">SUM(U19:U25)</f>
        <v>501504.6706683886</v>
      </c>
      <c r="V26" s="109">
        <f t="shared" ref="V26" si="39">SUM(V19:V25)</f>
        <v>1525043.5610908873</v>
      </c>
      <c r="W26" s="109">
        <f t="shared" ref="W26" si="40">SUM(W19:W25)</f>
        <v>883434.8459517447</v>
      </c>
      <c r="X26" s="109">
        <f t="shared" ref="X26" si="41">SUM(X19:X25)</f>
        <v>3195187.7741533699</v>
      </c>
      <c r="Y26" s="109">
        <f t="shared" ref="Y26" si="42">SUM(Y19:Y25)</f>
        <v>19833.58200942316</v>
      </c>
      <c r="Z26" s="109">
        <f t="shared" ref="Z26" si="43">SUM(Z19:Z25)</f>
        <v>-573.99240772790927</v>
      </c>
      <c r="AA26" s="109">
        <f t="shared" ref="AA26" si="44">SUM(AA19:AA25)</f>
        <v>13242.270207831865</v>
      </c>
      <c r="AB26" s="109">
        <f t="shared" ref="AB26" si="45">SUM(AB19:AB25)</f>
        <v>32278.802710356693</v>
      </c>
      <c r="AC26" s="109">
        <f t="shared" ref="AC26" si="46">SUM(AC19:AC25)</f>
        <v>16353.292865663092</v>
      </c>
      <c r="AD26" s="109">
        <f t="shared" ref="AD26:AF26" si="47">SUM(AD19:AD25)</f>
        <v>5363.5400584337558</v>
      </c>
      <c r="AE26" s="118">
        <f t="shared" ref="AE26" si="48">SUM(AE19:AE25)</f>
        <v>6634338.0438947296</v>
      </c>
      <c r="AF26" s="109">
        <f t="shared" si="47"/>
        <v>1229.9363028037194</v>
      </c>
      <c r="AG26" s="109">
        <f t="shared" ref="AG26" si="49">SUM(AG19:AG25)</f>
        <v>8395.3108720537875</v>
      </c>
      <c r="AH26" s="109">
        <f t="shared" ref="AH26" si="50">SUM(AH19:AH25)</f>
        <v>6696832.1813869886</v>
      </c>
      <c r="AI26" s="109">
        <f t="shared" ref="AI26" si="51">SUM(AI19:AI25)</f>
        <v>0</v>
      </c>
      <c r="AJ26" s="109">
        <f t="shared" ref="AJ26" si="52">SUM(AJ19:AJ25)</f>
        <v>0</v>
      </c>
      <c r="AK26" s="109">
        <f t="shared" ref="AK26" si="53">SUM(AK19:AK25)</f>
        <v>0</v>
      </c>
      <c r="AL26" s="109">
        <f t="shared" ref="AL26" si="54">SUM(AL19:AL25)</f>
        <v>0</v>
      </c>
      <c r="AM26" s="109">
        <f t="shared" ref="AM26" si="55">SUM(AM19:AM25)</f>
        <v>0</v>
      </c>
      <c r="AN26" s="109">
        <f t="shared" ref="AN26" si="56">SUM(AN19:AN25)</f>
        <v>0</v>
      </c>
      <c r="AO26" s="109">
        <f t="shared" ref="AO26" si="57">SUM(AO19:AO25)</f>
        <v>0</v>
      </c>
      <c r="AP26" s="109">
        <f t="shared" ref="AP26" si="58">SUM(AP19:AP25)</f>
        <v>0</v>
      </c>
      <c r="AQ26" s="109">
        <f t="shared" ref="AQ26:AR26" si="59">SUM(AQ19:AQ25)</f>
        <v>0</v>
      </c>
      <c r="AR26" s="118">
        <f t="shared" si="59"/>
        <v>6706457.4285618458</v>
      </c>
      <c r="AS26" s="118">
        <f t="shared" ref="AS26" si="60">SUM(AS19:AS25)</f>
        <v>15095366.262082037</v>
      </c>
    </row>
    <row r="27" spans="2:46" hidden="1" outlineLevel="1">
      <c r="D27" s="121" t="s">
        <v>165</v>
      </c>
      <c r="E27" s="123">
        <f>E26-'EIM - 2020 WA E Detail - Actual'!U16</f>
        <v>0</v>
      </c>
      <c r="F27" s="123">
        <f>F26-'EIM - 2020 WA E Detail - Actual'!V16</f>
        <v>0</v>
      </c>
      <c r="G27" s="123">
        <f>G26-'EIM - 2020 WA E Detail - Actual'!W16</f>
        <v>0</v>
      </c>
      <c r="H27" s="123">
        <f>H26-'EIM - 2020 WA E Detail - Actual'!X16</f>
        <v>0</v>
      </c>
      <c r="I27" s="123">
        <f>I26-'EIM - 2020 WA E Detail - Actual'!Y16</f>
        <v>0</v>
      </c>
      <c r="J27" s="123">
        <f>J26-'EIM - 2020 WA E Detail - Actual'!Z16</f>
        <v>0</v>
      </c>
      <c r="K27" s="123">
        <f>K26-'EIM - 2020 WA E Detail - Actual'!AA16</f>
        <v>0</v>
      </c>
      <c r="L27" s="123">
        <f>L26-'EIM - 2020 WA E Detail - Actual'!AB16</f>
        <v>0</v>
      </c>
      <c r="M27" s="123">
        <f>M26-'EIM - 2020 WA E Detail - Actual'!AC16</f>
        <v>0</v>
      </c>
      <c r="N27" s="123">
        <f>N26-'EIM - 2020 WA E Detail - Actual'!AD16</f>
        <v>0</v>
      </c>
      <c r="O27" s="123">
        <f>O26-'EIM - 2020 WA E Detail - Actual'!AE16</f>
        <v>0</v>
      </c>
      <c r="P27" s="123">
        <f>P26-'EIM - 2020 WA E Detail - Actual'!AF16</f>
        <v>0</v>
      </c>
      <c r="S27" s="123">
        <f>S26-'EIM - 2021 WA E Detail - Actual'!U30</f>
        <v>0</v>
      </c>
      <c r="T27" s="123">
        <f>T26-'EIM - 2021 WA E Detail - Actual'!V30</f>
        <v>0</v>
      </c>
      <c r="U27" s="123">
        <f>U26-'EIM - 2021 WA E Detail - Actual'!W30</f>
        <v>0</v>
      </c>
      <c r="V27" s="123">
        <f>V26-'EIM - 2021 WA E Detail - Actual'!X30</f>
        <v>0</v>
      </c>
      <c r="W27" s="123">
        <f>W26-'EIM - 2021 WA E Detail - Actual'!Y30</f>
        <v>0</v>
      </c>
      <c r="X27" s="123">
        <f>X26-'EIM - 2021 WA E Detail - Actual'!Z30</f>
        <v>0</v>
      </c>
      <c r="Y27" s="123">
        <f>Y26-'EIM - 2021 WA E Detail - Actual'!AA30</f>
        <v>0</v>
      </c>
      <c r="Z27" s="125">
        <f>Z26-'EIM - 2021 WA E Detail - Actual'!AB30</f>
        <v>9.0949470177292824E-13</v>
      </c>
      <c r="AA27" s="123">
        <f>AA26-'EIM - 2021 WA E Detail - Actual'!AC30</f>
        <v>0</v>
      </c>
      <c r="AB27" s="123">
        <f>AB26-'EIM - 2021 WA E Detail - Actual'!AD30</f>
        <v>0</v>
      </c>
      <c r="AC27" s="123">
        <f>AC26-'EIM - 2021 WA E Detail - Actual'!AE30</f>
        <v>0</v>
      </c>
      <c r="AD27" s="124">
        <f>AD26-'EIM - 2021 WA E Detail - Actual'!AF30</f>
        <v>0</v>
      </c>
      <c r="AF27" s="124">
        <f>AF26-'EIM - 2022 WA E Detail - Actual'!U13</f>
        <v>0</v>
      </c>
      <c r="AG27" s="124">
        <f>AG26-'EIM - 2022 WA E Detail - Actual'!V13</f>
        <v>0</v>
      </c>
      <c r="AH27" s="124">
        <f>AH26-'EIM - 2022 WA E Detail - Actual'!W13</f>
        <v>0</v>
      </c>
      <c r="AI27" s="124">
        <f>AI26-'EIM - 2022 WA E Detail - Actual'!X13</f>
        <v>0</v>
      </c>
      <c r="AJ27" s="124">
        <f>AJ26-'EIM - 2022 WA E Detail - Actual'!Y13</f>
        <v>0</v>
      </c>
      <c r="AK27" s="124">
        <f>AK26-'EIM - 2022 WA E Detail - Actual'!Z13</f>
        <v>0</v>
      </c>
      <c r="AL27" s="124">
        <f>AL26-'EIM - 2022 WA E Detail - Actual'!AA13</f>
        <v>0</v>
      </c>
      <c r="AM27" s="124">
        <f>AM26-'EIM - 2022 WA E Detail - Actual'!AB13</f>
        <v>0</v>
      </c>
      <c r="AN27" s="124">
        <f>AN26-'EIM - 2022 WA E Detail - Actual'!AC13</f>
        <v>0</v>
      </c>
      <c r="AO27" s="115"/>
    </row>
    <row r="28" spans="2:46" collapsed="1">
      <c r="AO28" s="115"/>
    </row>
    <row r="29" spans="2:46">
      <c r="AO29" s="115"/>
    </row>
    <row r="30" spans="2:46">
      <c r="AO30" s="115"/>
    </row>
    <row r="31" spans="2:46">
      <c r="B31" s="1" t="s">
        <v>163</v>
      </c>
    </row>
    <row r="32" spans="2:46">
      <c r="D32" s="104" t="s">
        <v>17</v>
      </c>
      <c r="E32" s="3">
        <f>E19-E7</f>
        <v>0</v>
      </c>
      <c r="F32" s="3">
        <f t="shared" ref="F32:P32" si="61">F19-F7</f>
        <v>0</v>
      </c>
      <c r="G32" s="3">
        <f t="shared" si="61"/>
        <v>0</v>
      </c>
      <c r="H32" s="3">
        <f t="shared" si="61"/>
        <v>0</v>
      </c>
      <c r="I32" s="3">
        <f t="shared" si="61"/>
        <v>0</v>
      </c>
      <c r="J32" s="3">
        <f t="shared" si="61"/>
        <v>0</v>
      </c>
      <c r="K32" s="3">
        <f t="shared" si="61"/>
        <v>0</v>
      </c>
      <c r="L32" s="3">
        <f t="shared" si="61"/>
        <v>0</v>
      </c>
      <c r="M32" s="3">
        <f t="shared" si="61"/>
        <v>0</v>
      </c>
      <c r="N32" s="3">
        <f t="shared" si="61"/>
        <v>0</v>
      </c>
      <c r="O32" s="3">
        <f t="shared" si="61"/>
        <v>0</v>
      </c>
      <c r="P32" s="3">
        <f t="shared" si="61"/>
        <v>0</v>
      </c>
      <c r="Q32" s="119">
        <f t="shared" ref="Q32:Q38" si="62">SUBTOTAL(9,E32:P32)</f>
        <v>0</v>
      </c>
      <c r="R32" s="119">
        <f>SUBTOTAL(9,$E32:Q32)</f>
        <v>0</v>
      </c>
      <c r="S32" s="3">
        <f>S19-S7</f>
        <v>0</v>
      </c>
      <c r="T32" s="3">
        <f t="shared" ref="T32:AD32" si="63">T19-T7</f>
        <v>0</v>
      </c>
      <c r="U32" s="3">
        <f t="shared" si="63"/>
        <v>25499.71</v>
      </c>
      <c r="V32" s="3">
        <f t="shared" si="63"/>
        <v>2894.08</v>
      </c>
      <c r="W32" s="3">
        <f t="shared" si="63"/>
        <v>708.52</v>
      </c>
      <c r="X32" s="3">
        <f t="shared" si="63"/>
        <v>-94524.500780181916</v>
      </c>
      <c r="Y32" s="3">
        <f t="shared" si="63"/>
        <v>493.18</v>
      </c>
      <c r="Z32" s="3">
        <f t="shared" si="63"/>
        <v>268.14</v>
      </c>
      <c r="AA32" s="3">
        <f t="shared" si="63"/>
        <v>8836.6799999999985</v>
      </c>
      <c r="AB32" s="3">
        <f t="shared" si="63"/>
        <v>404.2</v>
      </c>
      <c r="AC32" s="3">
        <f t="shared" si="63"/>
        <v>2956.96</v>
      </c>
      <c r="AD32" s="3">
        <f t="shared" si="63"/>
        <v>0</v>
      </c>
      <c r="AE32" s="119">
        <f>SUBTOTAL(9,S32:AD32)</f>
        <v>-52463.030780181922</v>
      </c>
      <c r="AF32" s="3">
        <f>AF19-AF7</f>
        <v>0</v>
      </c>
      <c r="AG32" s="3">
        <f t="shared" ref="AG32:AH32" si="64">AG19-AG7</f>
        <v>2230.88</v>
      </c>
      <c r="AH32" s="3">
        <f t="shared" si="64"/>
        <v>580.25</v>
      </c>
      <c r="AI32" s="3"/>
      <c r="AJ32" s="3"/>
      <c r="AK32" s="3"/>
      <c r="AL32" s="3"/>
      <c r="AM32" s="3"/>
      <c r="AN32" s="3"/>
      <c r="AO32" s="3"/>
      <c r="AP32" s="3"/>
      <c r="AQ32" s="3"/>
      <c r="AR32" s="119">
        <f>SUBTOTAL(9,AF32:AQ32)</f>
        <v>2811.13</v>
      </c>
      <c r="AS32" s="119">
        <f>SUBTOTAL(9,$E32:AR32)</f>
        <v>-49651.900780181924</v>
      </c>
      <c r="AT32" s="122">
        <f t="shared" ref="AT32:AT38" si="65">AE19-AE7-AE32</f>
        <v>0</v>
      </c>
    </row>
    <row r="33" spans="2:48">
      <c r="D33" s="104" t="s">
        <v>14</v>
      </c>
      <c r="E33" s="3">
        <f t="shared" ref="E33:P38" si="66">E20-E8</f>
        <v>0</v>
      </c>
      <c r="F33" s="3">
        <f t="shared" si="66"/>
        <v>0</v>
      </c>
      <c r="G33" s="3">
        <f t="shared" si="66"/>
        <v>0</v>
      </c>
      <c r="H33" s="3">
        <f t="shared" si="66"/>
        <v>0</v>
      </c>
      <c r="I33" s="3">
        <f t="shared" si="66"/>
        <v>0</v>
      </c>
      <c r="J33" s="3">
        <f t="shared" si="66"/>
        <v>0</v>
      </c>
      <c r="K33" s="3">
        <f t="shared" si="66"/>
        <v>0</v>
      </c>
      <c r="L33" s="3">
        <f t="shared" si="66"/>
        <v>0</v>
      </c>
      <c r="M33" s="3">
        <f t="shared" si="66"/>
        <v>0</v>
      </c>
      <c r="N33" s="3">
        <f t="shared" si="66"/>
        <v>0</v>
      </c>
      <c r="O33" s="3">
        <f t="shared" si="66"/>
        <v>0</v>
      </c>
      <c r="P33" s="3">
        <f t="shared" si="66"/>
        <v>0</v>
      </c>
      <c r="Q33" s="119">
        <f t="shared" si="62"/>
        <v>0</v>
      </c>
      <c r="R33" s="119">
        <f>SUBTOTAL(9,$E33:Q33)</f>
        <v>0</v>
      </c>
      <c r="S33" s="3">
        <f t="shared" ref="S33:AD33" si="67">S20-S8</f>
        <v>-116754.13867834676</v>
      </c>
      <c r="T33" s="3">
        <f t="shared" si="67"/>
        <v>-121048.85229034675</v>
      </c>
      <c r="U33" s="3">
        <f t="shared" si="67"/>
        <v>64780.738025653278</v>
      </c>
      <c r="V33" s="3">
        <f t="shared" si="67"/>
        <v>-41798.312595742638</v>
      </c>
      <c r="W33" s="3">
        <f t="shared" si="67"/>
        <v>-210851.92709174263</v>
      </c>
      <c r="X33" s="3">
        <f t="shared" si="67"/>
        <v>-503676.12210374256</v>
      </c>
      <c r="Y33" s="3">
        <f t="shared" si="67"/>
        <v>-713.22454799999991</v>
      </c>
      <c r="Z33" s="3">
        <f t="shared" si="67"/>
        <v>-14076.924660000006</v>
      </c>
      <c r="AA33" s="3">
        <f t="shared" si="67"/>
        <v>1955.8947719999999</v>
      </c>
      <c r="AB33" s="3">
        <f t="shared" si="67"/>
        <v>2088.4088039999951</v>
      </c>
      <c r="AC33" s="3">
        <f t="shared" si="67"/>
        <v>0</v>
      </c>
      <c r="AD33" s="3">
        <f t="shared" si="67"/>
        <v>-42607.554144000002</v>
      </c>
      <c r="AE33" s="119">
        <f t="shared" ref="AE33:AE38" si="68">SUBTOTAL(9,S33:AD33)</f>
        <v>-982702.01451026811</v>
      </c>
      <c r="AF33" s="3">
        <f t="shared" ref="AF33:AH33" si="69">AF20-AF8</f>
        <v>0</v>
      </c>
      <c r="AG33" s="3">
        <f t="shared" si="69"/>
        <v>4808.9439359999997</v>
      </c>
      <c r="AH33" s="3">
        <f t="shared" si="69"/>
        <v>1310.4763439999999</v>
      </c>
      <c r="AI33" s="3"/>
      <c r="AJ33" s="3"/>
      <c r="AK33" s="3"/>
      <c r="AL33" s="3"/>
      <c r="AM33" s="3"/>
      <c r="AN33" s="3"/>
      <c r="AO33" s="3"/>
      <c r="AP33" s="3"/>
      <c r="AQ33" s="3"/>
      <c r="AR33" s="119">
        <f t="shared" ref="AR33:AR38" si="70">SUBTOTAL(9,AF33:AQ33)</f>
        <v>6119.4202799999994</v>
      </c>
      <c r="AS33" s="119">
        <f>SUBTOTAL(9,$E33:AR33)</f>
        <v>-976582.59423026815</v>
      </c>
      <c r="AT33" s="122">
        <f t="shared" si="65"/>
        <v>0</v>
      </c>
    </row>
    <row r="34" spans="2:48">
      <c r="D34" s="104" t="s">
        <v>141</v>
      </c>
      <c r="E34" s="3">
        <f t="shared" si="66"/>
        <v>0</v>
      </c>
      <c r="F34" s="3">
        <f t="shared" si="66"/>
        <v>0</v>
      </c>
      <c r="G34" s="3">
        <f t="shared" si="66"/>
        <v>0</v>
      </c>
      <c r="H34" s="3">
        <f t="shared" si="66"/>
        <v>0</v>
      </c>
      <c r="I34" s="3">
        <f t="shared" si="66"/>
        <v>0</v>
      </c>
      <c r="J34" s="3">
        <f t="shared" si="66"/>
        <v>0</v>
      </c>
      <c r="K34" s="3">
        <f t="shared" si="66"/>
        <v>0</v>
      </c>
      <c r="L34" s="3">
        <f t="shared" si="66"/>
        <v>0</v>
      </c>
      <c r="M34" s="3">
        <f t="shared" si="66"/>
        <v>0</v>
      </c>
      <c r="N34" s="3">
        <f t="shared" si="66"/>
        <v>0</v>
      </c>
      <c r="O34" s="3">
        <f t="shared" si="66"/>
        <v>0</v>
      </c>
      <c r="P34" s="3">
        <f t="shared" si="66"/>
        <v>0</v>
      </c>
      <c r="Q34" s="119">
        <f t="shared" si="62"/>
        <v>0</v>
      </c>
      <c r="R34" s="119">
        <f>SUBTOTAL(9,$E34:Q34)</f>
        <v>0</v>
      </c>
      <c r="S34" s="3">
        <f t="shared" ref="S34:AD34" si="71">S21-S9</f>
        <v>253321.163436</v>
      </c>
      <c r="T34" s="3">
        <f t="shared" si="71"/>
        <v>5849.3182439999982</v>
      </c>
      <c r="U34" s="3">
        <f t="shared" si="71"/>
        <v>-8138.920212</v>
      </c>
      <c r="V34" s="3">
        <f t="shared" si="71"/>
        <v>284568.10953530355</v>
      </c>
      <c r="W34" s="3">
        <f t="shared" si="71"/>
        <v>-1129238.9329184429</v>
      </c>
      <c r="X34" s="3">
        <f t="shared" si="71"/>
        <v>-319417.33960869658</v>
      </c>
      <c r="Y34" s="3">
        <f t="shared" si="71"/>
        <v>-41457.213144000008</v>
      </c>
      <c r="Z34" s="3">
        <f t="shared" si="71"/>
        <v>-13214.802336000001</v>
      </c>
      <c r="AA34" s="3">
        <f t="shared" si="71"/>
        <v>3525.4325040000003</v>
      </c>
      <c r="AB34" s="3">
        <f t="shared" si="71"/>
        <v>-3525.5243999999998</v>
      </c>
      <c r="AC34" s="3">
        <f t="shared" si="71"/>
        <v>0</v>
      </c>
      <c r="AD34" s="3">
        <f t="shared" si="71"/>
        <v>0</v>
      </c>
      <c r="AE34" s="119">
        <f t="shared" si="68"/>
        <v>-967728.70889983594</v>
      </c>
      <c r="AF34" s="3">
        <f t="shared" ref="AF34:AH34" si="72">AF21-AF9</f>
        <v>0</v>
      </c>
      <c r="AG34" s="3">
        <f t="shared" si="72"/>
        <v>0</v>
      </c>
      <c r="AH34" s="3">
        <f t="shared" si="72"/>
        <v>0</v>
      </c>
      <c r="AI34" s="3"/>
      <c r="AJ34" s="3"/>
      <c r="AK34" s="3"/>
      <c r="AL34" s="3"/>
      <c r="AM34" s="3"/>
      <c r="AN34" s="3"/>
      <c r="AO34" s="3"/>
      <c r="AP34" s="3"/>
      <c r="AQ34" s="3"/>
      <c r="AR34" s="119">
        <f t="shared" si="70"/>
        <v>0</v>
      </c>
      <c r="AS34" s="119">
        <f>SUBTOTAL(9,$E34:AR34)</f>
        <v>-967728.70889983594</v>
      </c>
      <c r="AT34" s="122">
        <f t="shared" si="65"/>
        <v>0</v>
      </c>
    </row>
    <row r="35" spans="2:48">
      <c r="D35" s="104" t="s">
        <v>148</v>
      </c>
      <c r="E35" s="3">
        <f t="shared" si="66"/>
        <v>0</v>
      </c>
      <c r="F35" s="3">
        <f t="shared" si="66"/>
        <v>0</v>
      </c>
      <c r="G35" s="3">
        <f t="shared" si="66"/>
        <v>0</v>
      </c>
      <c r="H35" s="3">
        <f t="shared" si="66"/>
        <v>0</v>
      </c>
      <c r="I35" s="3">
        <f t="shared" si="66"/>
        <v>0</v>
      </c>
      <c r="J35" s="3">
        <f t="shared" si="66"/>
        <v>0</v>
      </c>
      <c r="K35" s="3">
        <f t="shared" si="66"/>
        <v>0</v>
      </c>
      <c r="L35" s="3">
        <f t="shared" si="66"/>
        <v>0</v>
      </c>
      <c r="M35" s="3">
        <f t="shared" si="66"/>
        <v>0</v>
      </c>
      <c r="N35" s="3">
        <f t="shared" si="66"/>
        <v>0</v>
      </c>
      <c r="O35" s="3">
        <f t="shared" si="66"/>
        <v>0</v>
      </c>
      <c r="P35" s="3">
        <f t="shared" si="66"/>
        <v>0</v>
      </c>
      <c r="Q35" s="119">
        <f t="shared" si="62"/>
        <v>0</v>
      </c>
      <c r="R35" s="119">
        <f>SUBTOTAL(9,$E35:Q35)</f>
        <v>0</v>
      </c>
      <c r="S35" s="3">
        <f t="shared" ref="S35:AD35" si="73">S22-S10</f>
        <v>4235.2700279999999</v>
      </c>
      <c r="T35" s="3">
        <f t="shared" si="73"/>
        <v>3508.4973840000002</v>
      </c>
      <c r="U35" s="3">
        <f t="shared" si="73"/>
        <v>1580.6768399999999</v>
      </c>
      <c r="V35" s="3">
        <f t="shared" si="73"/>
        <v>684.06069600000001</v>
      </c>
      <c r="W35" s="3">
        <f t="shared" si="73"/>
        <v>178736.992818</v>
      </c>
      <c r="X35" s="3">
        <f t="shared" si="73"/>
        <v>146379.04819100001</v>
      </c>
      <c r="Y35" s="3">
        <f t="shared" si="73"/>
        <v>425.35358099999996</v>
      </c>
      <c r="Z35" s="3">
        <f t="shared" si="73"/>
        <v>0</v>
      </c>
      <c r="AA35" s="3">
        <f t="shared" si="73"/>
        <v>-4576.9184999999998</v>
      </c>
      <c r="AB35" s="3">
        <f t="shared" si="73"/>
        <v>26476.937675999998</v>
      </c>
      <c r="AC35" s="3">
        <f t="shared" si="73"/>
        <v>0</v>
      </c>
      <c r="AD35" s="3">
        <f t="shared" si="73"/>
        <v>0</v>
      </c>
      <c r="AE35" s="119">
        <f t="shared" si="68"/>
        <v>357449.91871399997</v>
      </c>
      <c r="AF35" s="3">
        <f t="shared" ref="AF35:AH35" si="74">AF22-AF10</f>
        <v>0</v>
      </c>
      <c r="AG35" s="3">
        <f t="shared" si="74"/>
        <v>0</v>
      </c>
      <c r="AH35" s="3">
        <f t="shared" si="74"/>
        <v>0</v>
      </c>
      <c r="AI35" s="3"/>
      <c r="AJ35" s="3"/>
      <c r="AK35" s="3"/>
      <c r="AL35" s="3"/>
      <c r="AM35" s="3"/>
      <c r="AN35" s="3"/>
      <c r="AO35" s="3"/>
      <c r="AP35" s="3"/>
      <c r="AQ35" s="3"/>
      <c r="AR35" s="119">
        <f t="shared" si="70"/>
        <v>0</v>
      </c>
      <c r="AS35" s="119">
        <f>SUBTOTAL(9,$E35:AR35)</f>
        <v>357449.91871399997</v>
      </c>
      <c r="AT35" s="122">
        <f t="shared" si="65"/>
        <v>0</v>
      </c>
    </row>
    <row r="36" spans="2:48">
      <c r="D36" s="104" t="s">
        <v>138</v>
      </c>
      <c r="E36" s="3">
        <f t="shared" si="66"/>
        <v>0</v>
      </c>
      <c r="F36" s="3">
        <f t="shared" si="66"/>
        <v>0</v>
      </c>
      <c r="G36" s="3">
        <f t="shared" si="66"/>
        <v>0</v>
      </c>
      <c r="H36" s="3">
        <f t="shared" si="66"/>
        <v>0</v>
      </c>
      <c r="I36" s="3">
        <f t="shared" si="66"/>
        <v>0</v>
      </c>
      <c r="J36" s="3">
        <f t="shared" si="66"/>
        <v>0</v>
      </c>
      <c r="K36" s="3">
        <f t="shared" si="66"/>
        <v>0</v>
      </c>
      <c r="L36" s="3">
        <f t="shared" si="66"/>
        <v>0</v>
      </c>
      <c r="M36" s="3">
        <f t="shared" si="66"/>
        <v>0</v>
      </c>
      <c r="N36" s="3">
        <f t="shared" si="66"/>
        <v>0</v>
      </c>
      <c r="O36" s="3">
        <f t="shared" si="66"/>
        <v>0</v>
      </c>
      <c r="P36" s="3">
        <f t="shared" si="66"/>
        <v>0</v>
      </c>
      <c r="Q36" s="119">
        <f t="shared" si="62"/>
        <v>0</v>
      </c>
      <c r="R36" s="119">
        <f>SUBTOTAL(9,$E36:Q36)</f>
        <v>0</v>
      </c>
      <c r="S36" s="3">
        <f t="shared" ref="S36:AD36" si="75">S23-S11</f>
        <v>2633.8821407826117</v>
      </c>
      <c r="T36" s="3">
        <f t="shared" si="75"/>
        <v>176932.07894157615</v>
      </c>
      <c r="U36" s="3">
        <f t="shared" si="75"/>
        <v>31776.891019161005</v>
      </c>
      <c r="V36" s="3">
        <f t="shared" si="75"/>
        <v>213215.8297527465</v>
      </c>
      <c r="W36" s="3">
        <f t="shared" si="75"/>
        <v>123720.61385052153</v>
      </c>
      <c r="X36" s="3">
        <f t="shared" si="75"/>
        <v>226281.20634314243</v>
      </c>
      <c r="Y36" s="3">
        <f t="shared" si="75"/>
        <v>44377.829388025624</v>
      </c>
      <c r="Z36" s="3">
        <f t="shared" si="75"/>
        <v>18401.943107472096</v>
      </c>
      <c r="AA36" s="3">
        <f t="shared" si="75"/>
        <v>-2694.4205430681332</v>
      </c>
      <c r="AB36" s="3">
        <f t="shared" si="75"/>
        <v>3825.7642623566994</v>
      </c>
      <c r="AC36" s="3">
        <f t="shared" si="75"/>
        <v>2539.9691656630921</v>
      </c>
      <c r="AD36" s="3">
        <f t="shared" si="75"/>
        <v>47112.890586433758</v>
      </c>
      <c r="AE36" s="119">
        <f t="shared" si="68"/>
        <v>888124.4780148135</v>
      </c>
      <c r="AF36" s="3">
        <f t="shared" ref="AF36:AH36" si="76">AF23-AF11</f>
        <v>1229.9363028037194</v>
      </c>
      <c r="AG36" s="3">
        <f t="shared" si="76"/>
        <v>1355.486936053788</v>
      </c>
      <c r="AH36" s="3">
        <f t="shared" si="76"/>
        <v>5171.4280049893059</v>
      </c>
      <c r="AI36" s="3"/>
      <c r="AJ36" s="3"/>
      <c r="AK36" s="3"/>
      <c r="AL36" s="3"/>
      <c r="AM36" s="3"/>
      <c r="AN36" s="3"/>
      <c r="AO36" s="3"/>
      <c r="AP36" s="3"/>
      <c r="AQ36" s="3"/>
      <c r="AR36" s="119">
        <f t="shared" si="70"/>
        <v>7756.8512438468133</v>
      </c>
      <c r="AS36" s="119">
        <f>SUBTOTAL(9,$E36:AR36)</f>
        <v>895881.32925866032</v>
      </c>
      <c r="AT36" s="122">
        <f t="shared" si="65"/>
        <v>0</v>
      </c>
    </row>
    <row r="37" spans="2:48">
      <c r="D37" s="104" t="s">
        <v>150</v>
      </c>
      <c r="E37" s="3">
        <f t="shared" si="66"/>
        <v>0</v>
      </c>
      <c r="F37" s="3">
        <f t="shared" si="66"/>
        <v>0</v>
      </c>
      <c r="G37" s="3">
        <f t="shared" si="66"/>
        <v>0</v>
      </c>
      <c r="H37" s="3">
        <f t="shared" si="66"/>
        <v>0</v>
      </c>
      <c r="I37" s="3">
        <f t="shared" si="66"/>
        <v>0</v>
      </c>
      <c r="J37" s="3">
        <f t="shared" si="66"/>
        <v>0</v>
      </c>
      <c r="K37" s="3">
        <f t="shared" si="66"/>
        <v>0</v>
      </c>
      <c r="L37" s="3">
        <f t="shared" si="66"/>
        <v>0</v>
      </c>
      <c r="M37" s="3">
        <f t="shared" si="66"/>
        <v>0</v>
      </c>
      <c r="N37" s="3">
        <f t="shared" si="66"/>
        <v>0</v>
      </c>
      <c r="O37" s="3">
        <f t="shared" si="66"/>
        <v>0</v>
      </c>
      <c r="P37" s="3">
        <f t="shared" si="66"/>
        <v>0</v>
      </c>
      <c r="Q37" s="119">
        <f t="shared" si="62"/>
        <v>0</v>
      </c>
      <c r="R37" s="119">
        <f>SUBTOTAL(9,$E37:Q37)</f>
        <v>0</v>
      </c>
      <c r="S37" s="3">
        <f t="shared" ref="S37:AD37" si="77">S24-S12</f>
        <v>0</v>
      </c>
      <c r="T37" s="3">
        <f t="shared" si="77"/>
        <v>0</v>
      </c>
      <c r="U37" s="3">
        <f t="shared" si="77"/>
        <v>88457.589906900001</v>
      </c>
      <c r="V37" s="3">
        <f t="shared" si="77"/>
        <v>111561.23905981309</v>
      </c>
      <c r="W37" s="3">
        <f t="shared" si="77"/>
        <v>4241.7441768955377</v>
      </c>
      <c r="X37" s="3">
        <f t="shared" si="77"/>
        <v>3865.0428369000001</v>
      </c>
      <c r="Y37" s="3">
        <f t="shared" si="77"/>
        <v>2542.1115083975396</v>
      </c>
      <c r="Z37" s="3">
        <f t="shared" si="77"/>
        <v>1001.8013688000001</v>
      </c>
      <c r="AA37" s="3">
        <f t="shared" si="77"/>
        <v>901.40121090000002</v>
      </c>
      <c r="AB37" s="3">
        <f t="shared" si="77"/>
        <v>0</v>
      </c>
      <c r="AC37" s="3">
        <f t="shared" si="77"/>
        <v>0</v>
      </c>
      <c r="AD37" s="3">
        <f t="shared" si="77"/>
        <v>0</v>
      </c>
      <c r="AE37" s="119">
        <f t="shared" si="68"/>
        <v>212570.93006860613</v>
      </c>
      <c r="AF37" s="3">
        <f t="shared" ref="AF37:AH37" si="78">AF24-AF12</f>
        <v>0</v>
      </c>
      <c r="AG37" s="3">
        <f t="shared" si="78"/>
        <v>0</v>
      </c>
      <c r="AH37" s="3">
        <f t="shared" si="78"/>
        <v>90508.603570999985</v>
      </c>
      <c r="AI37" s="3"/>
      <c r="AJ37" s="3"/>
      <c r="AK37" s="3"/>
      <c r="AL37" s="3"/>
      <c r="AM37" s="3"/>
      <c r="AN37" s="3"/>
      <c r="AO37" s="3"/>
      <c r="AP37" s="3"/>
      <c r="AQ37" s="3"/>
      <c r="AR37" s="119">
        <f t="shared" si="70"/>
        <v>90508.603570999985</v>
      </c>
      <c r="AS37" s="119">
        <f>SUBTOTAL(9,$E37:AR37)</f>
        <v>303079.53363960609</v>
      </c>
      <c r="AT37" s="122">
        <f t="shared" si="65"/>
        <v>0</v>
      </c>
    </row>
    <row r="38" spans="2:48">
      <c r="D38" s="104" t="s">
        <v>19</v>
      </c>
      <c r="E38" s="3">
        <f t="shared" si="66"/>
        <v>0</v>
      </c>
      <c r="F38" s="3">
        <f t="shared" si="66"/>
        <v>0</v>
      </c>
      <c r="G38" s="3">
        <f t="shared" si="66"/>
        <v>0</v>
      </c>
      <c r="H38" s="3">
        <f t="shared" si="66"/>
        <v>0</v>
      </c>
      <c r="I38" s="3">
        <f t="shared" si="66"/>
        <v>0</v>
      </c>
      <c r="J38" s="3">
        <f t="shared" si="66"/>
        <v>0</v>
      </c>
      <c r="K38" s="3">
        <f t="shared" si="66"/>
        <v>0</v>
      </c>
      <c r="L38" s="3">
        <f t="shared" si="66"/>
        <v>0</v>
      </c>
      <c r="M38" s="3">
        <f t="shared" si="66"/>
        <v>0</v>
      </c>
      <c r="N38" s="3">
        <f t="shared" si="66"/>
        <v>0</v>
      </c>
      <c r="O38" s="3">
        <f t="shared" si="66"/>
        <v>0</v>
      </c>
      <c r="P38" s="3">
        <f t="shared" si="66"/>
        <v>0</v>
      </c>
      <c r="Q38" s="119">
        <f t="shared" si="62"/>
        <v>0</v>
      </c>
      <c r="R38" s="119">
        <f>SUBTOTAL(9,$E38:Q38)</f>
        <v>0</v>
      </c>
      <c r="S38" s="3">
        <f t="shared" ref="S38:AD38" si="79">S25-S13</f>
        <v>-113002.47411173211</v>
      </c>
      <c r="T38" s="3">
        <f t="shared" si="79"/>
        <v>-113002.47411173211</v>
      </c>
      <c r="U38" s="3">
        <f t="shared" si="79"/>
        <v>-113002.47411173211</v>
      </c>
      <c r="V38" s="3">
        <f t="shared" si="79"/>
        <v>-2944293.8760718941</v>
      </c>
      <c r="W38" s="3">
        <f t="shared" si="79"/>
        <v>-113718.61046646682</v>
      </c>
      <c r="X38" s="3">
        <f t="shared" si="79"/>
        <v>2480824.1057855333</v>
      </c>
      <c r="Y38" s="3">
        <f t="shared" si="79"/>
        <v>14165.545224</v>
      </c>
      <c r="Z38" s="3">
        <f t="shared" si="79"/>
        <v>7045.8501120000001</v>
      </c>
      <c r="AA38" s="3">
        <f t="shared" si="79"/>
        <v>5294.2007640000002</v>
      </c>
      <c r="AB38" s="3">
        <f t="shared" si="79"/>
        <v>3009.0163680000005</v>
      </c>
      <c r="AC38" s="3">
        <f t="shared" si="79"/>
        <v>10856.3637</v>
      </c>
      <c r="AD38" s="3">
        <f t="shared" si="79"/>
        <v>858.20361600000001</v>
      </c>
      <c r="AE38" s="119">
        <f t="shared" si="68"/>
        <v>-874966.62330402387</v>
      </c>
      <c r="AF38" s="3">
        <f t="shared" ref="AF38:AH38" si="80">AF25-AF13</f>
        <v>0</v>
      </c>
      <c r="AG38" s="3">
        <f t="shared" si="80"/>
        <v>0</v>
      </c>
      <c r="AH38" s="3">
        <f t="shared" si="80"/>
        <v>301484.76100033335</v>
      </c>
      <c r="AI38" s="3"/>
      <c r="AJ38" s="3"/>
      <c r="AK38" s="3"/>
      <c r="AL38" s="3"/>
      <c r="AM38" s="3"/>
      <c r="AN38" s="3"/>
      <c r="AO38" s="3"/>
      <c r="AP38" s="3"/>
      <c r="AQ38" s="3"/>
      <c r="AR38" s="119">
        <f t="shared" si="70"/>
        <v>301484.76100033335</v>
      </c>
      <c r="AS38" s="119">
        <f>SUBTOTAL(9,$E38:AR38)</f>
        <v>-573481.86230369052</v>
      </c>
      <c r="AT38" s="122">
        <f t="shared" si="65"/>
        <v>0</v>
      </c>
    </row>
    <row r="39" spans="2:48">
      <c r="E39" s="109">
        <f t="shared" ref="E39" si="81">SUM(E32:E38)</f>
        <v>0</v>
      </c>
      <c r="F39" s="109">
        <f t="shared" ref="F39" si="82">SUM(F32:F38)</f>
        <v>0</v>
      </c>
      <c r="G39" s="109">
        <f t="shared" ref="G39" si="83">SUM(G32:G38)</f>
        <v>0</v>
      </c>
      <c r="H39" s="109">
        <f t="shared" ref="H39" si="84">SUM(H32:H38)</f>
        <v>0</v>
      </c>
      <c r="I39" s="109">
        <f t="shared" ref="I39" si="85">SUM(I32:I38)</f>
        <v>0</v>
      </c>
      <c r="J39" s="109">
        <f t="shared" ref="J39" si="86">SUM(J32:J38)</f>
        <v>0</v>
      </c>
      <c r="K39" s="109">
        <f t="shared" ref="K39" si="87">SUM(K32:K38)</f>
        <v>0</v>
      </c>
      <c r="L39" s="109">
        <f t="shared" ref="L39" si="88">SUM(L32:L38)</f>
        <v>0</v>
      </c>
      <c r="M39" s="109">
        <f t="shared" ref="M39" si="89">SUM(M32:M38)</f>
        <v>0</v>
      </c>
      <c r="N39" s="109">
        <f t="shared" ref="N39" si="90">SUM(N32:N38)</f>
        <v>0</v>
      </c>
      <c r="O39" s="109">
        <f t="shared" ref="O39" si="91">SUM(O32:O38)</f>
        <v>0</v>
      </c>
      <c r="P39" s="109">
        <f t="shared" ref="P39" si="92">SUM(P32:P38)</f>
        <v>0</v>
      </c>
      <c r="Q39" s="118">
        <f t="shared" ref="Q39" si="93">SUM(Q32:Q38)</f>
        <v>0</v>
      </c>
      <c r="R39" s="118">
        <f t="shared" ref="R39" si="94">SUM(R32:R38)</f>
        <v>0</v>
      </c>
      <c r="S39" s="109">
        <f t="shared" ref="S39" si="95">SUM(S32:S38)</f>
        <v>30433.702814703734</v>
      </c>
      <c r="T39" s="109">
        <f t="shared" ref="T39" si="96">SUM(T32:T38)</f>
        <v>-47761.431832502712</v>
      </c>
      <c r="U39" s="109">
        <f t="shared" ref="U39" si="97">SUM(U32:U38)</f>
        <v>90954.211467982197</v>
      </c>
      <c r="V39" s="109">
        <f t="shared" ref="V39" si="98">SUM(V32:V38)</f>
        <v>-2373168.8696237737</v>
      </c>
      <c r="W39" s="109">
        <f t="shared" ref="W39" si="99">SUM(W32:W38)</f>
        <v>-1146401.5996312352</v>
      </c>
      <c r="X39" s="109">
        <f t="shared" ref="X39" si="100">SUM(X32:X38)</f>
        <v>1939731.4406639547</v>
      </c>
      <c r="Y39" s="109">
        <f t="shared" ref="Y39" si="101">SUM(Y32:Y38)</f>
        <v>19833.58200942316</v>
      </c>
      <c r="Z39" s="109">
        <f t="shared" ref="Z39" si="102">SUM(Z32:Z38)</f>
        <v>-573.99240772790927</v>
      </c>
      <c r="AA39" s="109">
        <f t="shared" ref="AA39" si="103">SUM(AA32:AA38)</f>
        <v>13242.270207831865</v>
      </c>
      <c r="AB39" s="109">
        <f t="shared" ref="AB39" si="104">SUM(AB32:AB38)</f>
        <v>32278.802710356693</v>
      </c>
      <c r="AC39" s="109">
        <f t="shared" ref="AC39" si="105">SUM(AC32:AC38)</f>
        <v>16353.292865663092</v>
      </c>
      <c r="AD39" s="109">
        <f t="shared" ref="AD39" si="106">SUM(AD32:AD38)</f>
        <v>5363.5400584337558</v>
      </c>
      <c r="AE39" s="118">
        <f t="shared" ref="AE39" si="107">SUM(AE32:AE38)</f>
        <v>-1419715.0506968903</v>
      </c>
      <c r="AF39" s="109">
        <f t="shared" ref="AF39" si="108">SUM(AF32:AF38)</f>
        <v>1229.9363028037194</v>
      </c>
      <c r="AG39" s="109">
        <f t="shared" ref="AG39" si="109">SUM(AG32:AG38)</f>
        <v>8395.3108720537875</v>
      </c>
      <c r="AH39" s="109">
        <f t="shared" ref="AH39" si="110">SUM(AH32:AH38)</f>
        <v>399055.51892032265</v>
      </c>
      <c r="AI39" s="109">
        <f t="shared" ref="AI39" si="111">SUM(AI32:AI38)</f>
        <v>0</v>
      </c>
      <c r="AJ39" s="109">
        <f t="shared" ref="AJ39" si="112">SUM(AJ32:AJ38)</f>
        <v>0</v>
      </c>
      <c r="AK39" s="109">
        <f t="shared" ref="AK39" si="113">SUM(AK32:AK38)</f>
        <v>0</v>
      </c>
      <c r="AL39" s="109">
        <f t="shared" ref="AL39" si="114">SUM(AL32:AL38)</f>
        <v>0</v>
      </c>
      <c r="AM39" s="109">
        <f t="shared" ref="AM39" si="115">SUM(AM32:AM38)</f>
        <v>0</v>
      </c>
      <c r="AN39" s="109">
        <f t="shared" ref="AN39" si="116">SUM(AN32:AN38)</f>
        <v>0</v>
      </c>
      <c r="AO39" s="109">
        <f t="shared" ref="AO39" si="117">SUM(AO32:AO38)</f>
        <v>0</v>
      </c>
      <c r="AP39" s="109">
        <f t="shared" ref="AP39" si="118">SUM(AP32:AP38)</f>
        <v>0</v>
      </c>
      <c r="AQ39" s="109">
        <f t="shared" ref="AQ39:AR39" si="119">SUM(AQ32:AQ38)</f>
        <v>0</v>
      </c>
      <c r="AR39" s="118">
        <f t="shared" si="119"/>
        <v>408680.76609518018</v>
      </c>
      <c r="AS39" s="118">
        <f t="shared" ref="AS39" si="120">SUM(AS32:AS38)</f>
        <v>-1011034.2846017103</v>
      </c>
    </row>
    <row r="41" spans="2:48">
      <c r="AE41" s="156"/>
      <c r="AR41" s="1" t="s">
        <v>178</v>
      </c>
    </row>
    <row r="42" spans="2:48">
      <c r="AE42" s="157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54" t="s">
        <v>167</v>
      </c>
      <c r="AS42" s="155" t="s">
        <v>180</v>
      </c>
    </row>
    <row r="43" spans="2:48" ht="15">
      <c r="AD43" s="129" t="s">
        <v>177</v>
      </c>
      <c r="AE43" s="158"/>
      <c r="AR43" s="159">
        <f>'EIM - 2020 WA E Detail - Actual'!R17+'EIM - 2021 WA E Detail - Actual'!R30+'EIM - 2022 WA E Detail - Actual'!R13</f>
        <v>22818491.399999999</v>
      </c>
      <c r="AS43" s="136">
        <f>'EIM - 2020 WA E Detail - Actual'!R17+'EIM - 2021 WA E Detail - FCst'!R15+'EIM - 2022 WA E Detail - FCst'!H4</f>
        <v>24312409.666666664</v>
      </c>
      <c r="AU43" s="153"/>
      <c r="AV43" s="153"/>
    </row>
    <row r="44" spans="2:48">
      <c r="B44" s="108" t="s">
        <v>159</v>
      </c>
    </row>
    <row r="45" spans="2:48">
      <c r="AE45" s="137"/>
      <c r="AU45" s="153"/>
    </row>
    <row r="46" spans="2:48">
      <c r="AA46" s="104"/>
      <c r="AH46" s="160" t="s">
        <v>166</v>
      </c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</row>
    <row r="47" spans="2:48">
      <c r="AH47" s="104" t="s">
        <v>129</v>
      </c>
      <c r="AR47" s="111">
        <v>73122.98</v>
      </c>
      <c r="AS47" t="s">
        <v>181</v>
      </c>
    </row>
    <row r="48" spans="2:48">
      <c r="AR48" s="107">
        <f>SUM(AR47:AR47)</f>
        <v>73122.98</v>
      </c>
    </row>
    <row r="53" spans="44:45">
      <c r="AR53" s="153"/>
      <c r="AS53" s="153"/>
    </row>
  </sheetData>
  <mergeCells count="1">
    <mergeCell ref="AH46:AR46"/>
  </mergeCells>
  <pageMargins left="0.7" right="0.7" top="0.75" bottom="0.75" header="0.3" footer="0.3"/>
  <pageSetup scale="83" orientation="landscape" horizontalDpi="1200" verticalDpi="1200" r:id="rId1"/>
  <headerFooter scaleWithDoc="0">
    <oddHeader>&amp;CAttachment A
January 14, 2022 EIM Capital Report</oddHead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:AG40"/>
  <sheetViews>
    <sheetView topLeftCell="D1" workbookViewId="0">
      <selection activeCell="R25" sqref="R25"/>
    </sheetView>
  </sheetViews>
  <sheetFormatPr defaultColWidth="9.140625" defaultRowHeight="15" outlineLevelCol="1"/>
  <cols>
    <col min="1" max="1" width="5.140625" style="18" customWidth="1"/>
    <col min="2" max="2" width="37.28515625" style="18" customWidth="1"/>
    <col min="3" max="3" width="19.85546875" style="18" customWidth="1"/>
    <col min="4" max="4" width="7.85546875" style="18" customWidth="1"/>
    <col min="5" max="5" width="5.85546875" style="18" customWidth="1"/>
    <col min="6" max="6" width="8" style="18" customWidth="1"/>
    <col min="7" max="12" width="7.28515625" style="18" bestFit="1" customWidth="1"/>
    <col min="13" max="13" width="7.7109375" style="18" bestFit="1" customWidth="1"/>
    <col min="14" max="16" width="7.28515625" style="18" bestFit="1" customWidth="1"/>
    <col min="17" max="17" width="11.28515625" style="18" bestFit="1" customWidth="1"/>
    <col min="18" max="18" width="11.5703125" style="18" customWidth="1"/>
    <col min="19" max="19" width="4.5703125" style="18" customWidth="1"/>
    <col min="20" max="20" width="17.85546875" style="18" bestFit="1" customWidth="1"/>
    <col min="21" max="21" width="9" style="18" bestFit="1" customWidth="1" outlineLevel="1"/>
    <col min="22" max="23" width="8" style="18" bestFit="1" customWidth="1" outlineLevel="1"/>
    <col min="24" max="24" width="7.42578125" style="18" bestFit="1" customWidth="1" outlineLevel="1"/>
    <col min="25" max="25" width="7.42578125" style="18" customWidth="1" outlineLevel="1"/>
    <col min="26" max="26" width="9" style="18" bestFit="1" customWidth="1" outlineLevel="1"/>
    <col min="27" max="27" width="8" style="18" bestFit="1" customWidth="1" outlineLevel="1"/>
    <col min="28" max="30" width="9" style="18" bestFit="1" customWidth="1" outlineLevel="1"/>
    <col min="31" max="31" width="8" style="18" bestFit="1" customWidth="1" outlineLevel="1"/>
    <col min="32" max="32" width="9" style="18" bestFit="1" customWidth="1" outlineLevel="1"/>
    <col min="33" max="33" width="13.5703125" style="18" customWidth="1"/>
    <col min="34" max="16384" width="9.140625" style="18"/>
  </cols>
  <sheetData>
    <row r="1" spans="1:33">
      <c r="A1" s="17" t="s">
        <v>122</v>
      </c>
      <c r="F1" s="71" t="s">
        <v>114</v>
      </c>
      <c r="R1" s="65"/>
      <c r="S1" s="65"/>
      <c r="T1" s="7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65" t="s">
        <v>43</v>
      </c>
      <c r="G2" s="65" t="s">
        <v>43</v>
      </c>
      <c r="H2" s="65" t="s">
        <v>43</v>
      </c>
      <c r="I2" s="65" t="s">
        <v>43</v>
      </c>
      <c r="J2" s="65" t="s">
        <v>43</v>
      </c>
      <c r="K2" s="65" t="s">
        <v>43</v>
      </c>
      <c r="L2" s="65" t="s">
        <v>43</v>
      </c>
      <c r="M2" s="65" t="s">
        <v>43</v>
      </c>
      <c r="N2" s="65" t="s">
        <v>43</v>
      </c>
      <c r="O2" s="65" t="s">
        <v>43</v>
      </c>
      <c r="P2" s="65" t="s">
        <v>43</v>
      </c>
      <c r="Q2" s="65" t="s">
        <v>43</v>
      </c>
      <c r="R2" s="65" t="s">
        <v>43</v>
      </c>
      <c r="S2" s="65"/>
      <c r="T2" s="65" t="s">
        <v>115</v>
      </c>
      <c r="U2" s="64" t="s">
        <v>43</v>
      </c>
      <c r="V2" s="64" t="s">
        <v>43</v>
      </c>
      <c r="W2" s="64" t="s">
        <v>43</v>
      </c>
      <c r="X2" s="64" t="s">
        <v>43</v>
      </c>
      <c r="Y2" s="64" t="s">
        <v>43</v>
      </c>
      <c r="Z2" s="64" t="s">
        <v>43</v>
      </c>
      <c r="AA2" s="64" t="s">
        <v>43</v>
      </c>
      <c r="AB2" s="64" t="s">
        <v>43</v>
      </c>
      <c r="AC2" s="64" t="s">
        <v>43</v>
      </c>
      <c r="AD2" s="64" t="s">
        <v>43</v>
      </c>
      <c r="AE2" s="64" t="s">
        <v>43</v>
      </c>
      <c r="AF2" s="64" t="s">
        <v>43</v>
      </c>
      <c r="AG2" s="68"/>
    </row>
    <row r="3" spans="1:33">
      <c r="A3" s="18" t="s">
        <v>26</v>
      </c>
      <c r="B3" s="75" t="s">
        <v>108</v>
      </c>
      <c r="C3" s="75" t="s">
        <v>107</v>
      </c>
      <c r="D3" s="75" t="s">
        <v>113</v>
      </c>
      <c r="E3" s="75" t="s">
        <v>109</v>
      </c>
      <c r="F3" s="65" t="s">
        <v>29</v>
      </c>
      <c r="G3" s="65" t="s">
        <v>30</v>
      </c>
      <c r="H3" s="65" t="s">
        <v>31</v>
      </c>
      <c r="I3" s="65" t="s">
        <v>32</v>
      </c>
      <c r="J3" s="65" t="s">
        <v>33</v>
      </c>
      <c r="K3" s="65" t="s">
        <v>34</v>
      </c>
      <c r="L3" s="65" t="s">
        <v>35</v>
      </c>
      <c r="M3" s="65" t="s">
        <v>36</v>
      </c>
      <c r="N3" s="65" t="s">
        <v>37</v>
      </c>
      <c r="O3" s="65" t="s">
        <v>38</v>
      </c>
      <c r="P3" s="65" t="s">
        <v>39</v>
      </c>
      <c r="Q3" s="65" t="s">
        <v>40</v>
      </c>
      <c r="R3" s="70" t="s">
        <v>114</v>
      </c>
      <c r="S3" s="70"/>
      <c r="T3" s="69" t="s">
        <v>116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3" t="s">
        <v>117</v>
      </c>
    </row>
    <row r="4" spans="1:33">
      <c r="A4" s="18">
        <v>7141</v>
      </c>
      <c r="B4" s="89" t="s">
        <v>130</v>
      </c>
      <c r="C4" s="90" t="s">
        <v>147</v>
      </c>
      <c r="D4" s="91" t="s">
        <v>133</v>
      </c>
      <c r="E4" s="91" t="s">
        <v>139</v>
      </c>
      <c r="F4" s="96">
        <v>0</v>
      </c>
      <c r="G4" s="97">
        <v>0</v>
      </c>
      <c r="H4" s="97">
        <v>0</v>
      </c>
      <c r="I4" s="97">
        <v>0</v>
      </c>
      <c r="J4" s="97">
        <v>0</v>
      </c>
      <c r="K4" s="97">
        <v>0</v>
      </c>
      <c r="L4" s="97">
        <v>0</v>
      </c>
      <c r="M4" s="97">
        <v>0</v>
      </c>
      <c r="N4" s="97">
        <v>73727.509999999995</v>
      </c>
      <c r="O4" s="97">
        <v>444234.48</v>
      </c>
      <c r="P4" s="97">
        <v>26820.2</v>
      </c>
      <c r="Q4" s="97">
        <v>16121.85</v>
      </c>
      <c r="R4" s="66">
        <f>+SUM(F4:Q4)</f>
        <v>560904.03999999992</v>
      </c>
      <c r="S4" s="66"/>
      <c r="T4" s="72">
        <v>0.48309143579999997</v>
      </c>
      <c r="U4" s="92">
        <f>+F4*$T4</f>
        <v>0</v>
      </c>
      <c r="V4" s="92">
        <f t="shared" ref="V4:AF4" si="0">+G4*$T4</f>
        <v>0</v>
      </c>
      <c r="W4" s="92">
        <f t="shared" si="0"/>
        <v>0</v>
      </c>
      <c r="X4" s="92">
        <f t="shared" si="0"/>
        <v>0</v>
      </c>
      <c r="Y4" s="92">
        <f t="shared" si="0"/>
        <v>0</v>
      </c>
      <c r="Z4" s="92">
        <f t="shared" si="0"/>
        <v>0</v>
      </c>
      <c r="AA4" s="92">
        <f t="shared" si="0"/>
        <v>0</v>
      </c>
      <c r="AB4" s="92">
        <f t="shared" si="0"/>
        <v>0</v>
      </c>
      <c r="AC4" s="92">
        <f t="shared" si="0"/>
        <v>35617.12866385885</v>
      </c>
      <c r="AD4" s="92">
        <f t="shared" si="0"/>
        <v>214605.87277506635</v>
      </c>
      <c r="AE4" s="92">
        <f t="shared" si="0"/>
        <v>12956.608926443159</v>
      </c>
      <c r="AF4" s="92">
        <f t="shared" si="0"/>
        <v>7788.3276642522296</v>
      </c>
      <c r="AG4" s="19">
        <f>SUM(U4:AF4)</f>
        <v>270967.93802962062</v>
      </c>
    </row>
    <row r="5" spans="1:33">
      <c r="A5" s="18">
        <v>7141</v>
      </c>
      <c r="B5" s="89" t="s">
        <v>130</v>
      </c>
      <c r="C5" s="90" t="s">
        <v>147</v>
      </c>
      <c r="D5" s="91" t="s">
        <v>112</v>
      </c>
      <c r="E5" s="91" t="s">
        <v>111</v>
      </c>
      <c r="F5" s="96">
        <v>0</v>
      </c>
      <c r="G5" s="97">
        <v>0</v>
      </c>
      <c r="H5" s="97">
        <v>0</v>
      </c>
      <c r="I5" s="97">
        <v>0</v>
      </c>
      <c r="J5" s="97">
        <v>0</v>
      </c>
      <c r="K5" s="97">
        <v>0</v>
      </c>
      <c r="L5" s="97">
        <v>39591.279999999999</v>
      </c>
      <c r="M5" s="97">
        <v>1360.14</v>
      </c>
      <c r="N5" s="97">
        <v>1358.7799999999988</v>
      </c>
      <c r="O5" s="97">
        <v>0</v>
      </c>
      <c r="P5" s="97">
        <v>0</v>
      </c>
      <c r="Q5" s="97">
        <v>1.36</v>
      </c>
      <c r="R5" s="66">
        <f t="shared" ref="R5:R15" si="1">+SUM(F5:Q5)</f>
        <v>42311.56</v>
      </c>
      <c r="S5" s="66"/>
      <c r="T5" s="72">
        <v>0.69189000000000001</v>
      </c>
      <c r="U5" s="92">
        <f t="shared" ref="U5:U15" si="2">+F5*$T5</f>
        <v>0</v>
      </c>
      <c r="V5" s="92">
        <f t="shared" ref="V5:V15" si="3">+G5*$T5</f>
        <v>0</v>
      </c>
      <c r="W5" s="92">
        <f t="shared" ref="W5:W15" si="4">+H5*$T5</f>
        <v>0</v>
      </c>
      <c r="X5" s="92">
        <f t="shared" ref="X5:X15" si="5">+I5*$T5</f>
        <v>0</v>
      </c>
      <c r="Y5" s="92">
        <f t="shared" ref="Y5:Y15" si="6">+J5*$T5</f>
        <v>0</v>
      </c>
      <c r="Z5" s="92">
        <f t="shared" ref="Z5:Z15" si="7">+K5*$T5</f>
        <v>0</v>
      </c>
      <c r="AA5" s="92">
        <f t="shared" ref="AA5:AA15" si="8">+L5*$T5</f>
        <v>27392.810719199999</v>
      </c>
      <c r="AB5" s="92">
        <f t="shared" ref="AB5:AB15" si="9">+M5*$T5</f>
        <v>941.06726460000004</v>
      </c>
      <c r="AC5" s="92">
        <f t="shared" ref="AC5:AC15" si="10">+N5*$T5</f>
        <v>940.12629419999917</v>
      </c>
      <c r="AD5" s="92">
        <f t="shared" ref="AD5:AD15" si="11">+O5*$T5</f>
        <v>0</v>
      </c>
      <c r="AE5" s="92">
        <f t="shared" ref="AE5:AE15" si="12">+P5*$T5</f>
        <v>0</v>
      </c>
      <c r="AF5" s="92">
        <f t="shared" ref="AF5:AF15" si="13">+Q5*$T5</f>
        <v>0.9409704000000001</v>
      </c>
      <c r="AG5" s="19">
        <f t="shared" ref="AG5:AG15" si="14">SUM(U5:AF5)</f>
        <v>29274.945248399996</v>
      </c>
    </row>
    <row r="6" spans="1:33">
      <c r="A6" s="18">
        <v>7141</v>
      </c>
      <c r="B6" s="89" t="s">
        <v>130</v>
      </c>
      <c r="C6" s="90" t="s">
        <v>132</v>
      </c>
      <c r="D6" s="91" t="s">
        <v>112</v>
      </c>
      <c r="E6" s="91" t="s">
        <v>111</v>
      </c>
      <c r="F6" s="96">
        <v>0</v>
      </c>
      <c r="G6" s="97">
        <v>0</v>
      </c>
      <c r="H6" s="97">
        <v>0</v>
      </c>
      <c r="I6" s="97">
        <v>0</v>
      </c>
      <c r="J6" s="97">
        <v>0</v>
      </c>
      <c r="K6" s="97">
        <v>50488.76</v>
      </c>
      <c r="L6" s="97">
        <v>49322.07</v>
      </c>
      <c r="M6" s="97">
        <v>1471.7199999999998</v>
      </c>
      <c r="N6" s="97">
        <v>104.91999999999825</v>
      </c>
      <c r="O6" s="97">
        <v>57904.62</v>
      </c>
      <c r="P6" s="97">
        <v>13718.720000000001</v>
      </c>
      <c r="Q6" s="97">
        <v>38722.380000000005</v>
      </c>
      <c r="R6" s="66">
        <f t="shared" si="1"/>
        <v>211733.19</v>
      </c>
      <c r="S6" s="66"/>
      <c r="T6" s="72">
        <v>0.65639999999999998</v>
      </c>
      <c r="U6" s="92">
        <f t="shared" si="2"/>
        <v>0</v>
      </c>
      <c r="V6" s="92">
        <f t="shared" si="3"/>
        <v>0</v>
      </c>
      <c r="W6" s="92">
        <f t="shared" si="4"/>
        <v>0</v>
      </c>
      <c r="X6" s="92">
        <f t="shared" si="5"/>
        <v>0</v>
      </c>
      <c r="Y6" s="92">
        <f t="shared" si="6"/>
        <v>0</v>
      </c>
      <c r="Z6" s="92">
        <f t="shared" si="7"/>
        <v>33140.822064</v>
      </c>
      <c r="AA6" s="92">
        <f t="shared" si="8"/>
        <v>32375.006748</v>
      </c>
      <c r="AB6" s="92">
        <f t="shared" si="9"/>
        <v>966.0370079999999</v>
      </c>
      <c r="AC6" s="92">
        <f t="shared" si="10"/>
        <v>68.869487999998853</v>
      </c>
      <c r="AD6" s="92">
        <f t="shared" si="11"/>
        <v>38008.592568</v>
      </c>
      <c r="AE6" s="92">
        <f t="shared" si="12"/>
        <v>9004.9678080000012</v>
      </c>
      <c r="AF6" s="92">
        <f t="shared" si="13"/>
        <v>25417.370232000001</v>
      </c>
      <c r="AG6" s="19">
        <f t="shared" si="14"/>
        <v>138981.665916</v>
      </c>
    </row>
    <row r="7" spans="1:33" ht="14.25" customHeight="1">
      <c r="A7" s="18">
        <v>7141</v>
      </c>
      <c r="B7" s="89" t="s">
        <v>129</v>
      </c>
      <c r="C7" s="90" t="s">
        <v>147</v>
      </c>
      <c r="D7" s="91" t="s">
        <v>112</v>
      </c>
      <c r="E7" s="91" t="s">
        <v>111</v>
      </c>
      <c r="F7" s="96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190908.56</v>
      </c>
      <c r="N7" s="97">
        <v>0</v>
      </c>
      <c r="O7" s="97">
        <v>0</v>
      </c>
      <c r="P7" s="97">
        <v>0</v>
      </c>
      <c r="Q7" s="97">
        <v>0</v>
      </c>
      <c r="R7" s="66">
        <f t="shared" si="1"/>
        <v>190908.56</v>
      </c>
      <c r="S7" s="66"/>
      <c r="T7" s="72">
        <v>0.69189000000000001</v>
      </c>
      <c r="U7" s="92">
        <f t="shared" si="2"/>
        <v>0</v>
      </c>
      <c r="V7" s="92">
        <f t="shared" si="3"/>
        <v>0</v>
      </c>
      <c r="W7" s="92">
        <f t="shared" si="4"/>
        <v>0</v>
      </c>
      <c r="X7" s="92">
        <f t="shared" si="5"/>
        <v>0</v>
      </c>
      <c r="Y7" s="92">
        <f t="shared" si="6"/>
        <v>0</v>
      </c>
      <c r="Z7" s="92">
        <f t="shared" si="7"/>
        <v>0</v>
      </c>
      <c r="AA7" s="92">
        <f t="shared" si="8"/>
        <v>0</v>
      </c>
      <c r="AB7" s="92">
        <f t="shared" si="9"/>
        <v>132087.72357840001</v>
      </c>
      <c r="AC7" s="92">
        <f t="shared" si="10"/>
        <v>0</v>
      </c>
      <c r="AD7" s="92">
        <f t="shared" si="11"/>
        <v>0</v>
      </c>
      <c r="AE7" s="92">
        <f t="shared" si="12"/>
        <v>0</v>
      </c>
      <c r="AF7" s="92">
        <f t="shared" si="13"/>
        <v>0</v>
      </c>
      <c r="AG7" s="19">
        <f t="shared" si="14"/>
        <v>132087.72357840001</v>
      </c>
    </row>
    <row r="8" spans="1:33" ht="14.25" customHeight="1">
      <c r="A8" s="18">
        <v>7141</v>
      </c>
      <c r="B8" s="89" t="s">
        <v>129</v>
      </c>
      <c r="C8" s="90" t="s">
        <v>121</v>
      </c>
      <c r="D8" s="91" t="s">
        <v>133</v>
      </c>
      <c r="E8" s="91" t="s">
        <v>139</v>
      </c>
      <c r="F8" s="96">
        <v>0</v>
      </c>
      <c r="G8" s="97">
        <v>0</v>
      </c>
      <c r="H8" s="97">
        <v>0</v>
      </c>
      <c r="I8" s="97">
        <v>11003.93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66">
        <f t="shared" si="1"/>
        <v>11003.93</v>
      </c>
      <c r="S8" s="66"/>
      <c r="T8" s="72">
        <v>0.48309143579999997</v>
      </c>
      <c r="U8" s="92">
        <f t="shared" si="2"/>
        <v>0</v>
      </c>
      <c r="V8" s="92">
        <f t="shared" si="3"/>
        <v>0</v>
      </c>
      <c r="W8" s="92">
        <f t="shared" si="4"/>
        <v>0</v>
      </c>
      <c r="X8" s="92">
        <f t="shared" si="5"/>
        <v>5315.9043431426935</v>
      </c>
      <c r="Y8" s="92">
        <f t="shared" si="6"/>
        <v>0</v>
      </c>
      <c r="Z8" s="92">
        <f t="shared" si="7"/>
        <v>0</v>
      </c>
      <c r="AA8" s="92">
        <f t="shared" si="8"/>
        <v>0</v>
      </c>
      <c r="AB8" s="92">
        <f t="shared" si="9"/>
        <v>0</v>
      </c>
      <c r="AC8" s="92">
        <f t="shared" si="10"/>
        <v>0</v>
      </c>
      <c r="AD8" s="92">
        <f t="shared" si="11"/>
        <v>0</v>
      </c>
      <c r="AE8" s="92">
        <f t="shared" si="12"/>
        <v>0</v>
      </c>
      <c r="AF8" s="92">
        <f t="shared" si="13"/>
        <v>0</v>
      </c>
      <c r="AG8" s="19">
        <f t="shared" si="14"/>
        <v>5315.9043431426935</v>
      </c>
    </row>
    <row r="9" spans="1:33" ht="14.25" customHeight="1">
      <c r="A9" s="18">
        <v>7141</v>
      </c>
      <c r="B9" s="89" t="s">
        <v>129</v>
      </c>
      <c r="C9" s="90" t="s">
        <v>121</v>
      </c>
      <c r="D9" s="91" t="s">
        <v>112</v>
      </c>
      <c r="E9" s="91" t="s">
        <v>111</v>
      </c>
      <c r="F9" s="96">
        <v>281638.5</v>
      </c>
      <c r="G9" s="97">
        <v>42662.83</v>
      </c>
      <c r="H9" s="97">
        <v>12395.55</v>
      </c>
      <c r="I9" s="97">
        <v>4681.37</v>
      </c>
      <c r="J9" s="97">
        <v>0</v>
      </c>
      <c r="K9" s="97">
        <v>0</v>
      </c>
      <c r="L9" s="97">
        <v>1903.07</v>
      </c>
      <c r="M9" s="97">
        <v>-143160.81</v>
      </c>
      <c r="N9" s="97">
        <v>0</v>
      </c>
      <c r="O9" s="97">
        <v>0</v>
      </c>
      <c r="P9" s="97">
        <v>0</v>
      </c>
      <c r="Q9" s="97">
        <v>0</v>
      </c>
      <c r="R9" s="66">
        <f t="shared" si="1"/>
        <v>200120.51</v>
      </c>
      <c r="S9" s="66"/>
      <c r="T9" s="72">
        <v>0.69189000000000001</v>
      </c>
      <c r="U9" s="92">
        <f t="shared" si="2"/>
        <v>194862.86176500001</v>
      </c>
      <c r="V9" s="92">
        <f t="shared" si="3"/>
        <v>29517.985448700001</v>
      </c>
      <c r="W9" s="92">
        <f t="shared" si="4"/>
        <v>8576.3570894999993</v>
      </c>
      <c r="X9" s="92">
        <f t="shared" si="5"/>
        <v>3238.9930893000001</v>
      </c>
      <c r="Y9" s="92">
        <f t="shared" si="6"/>
        <v>0</v>
      </c>
      <c r="Z9" s="92">
        <f t="shared" si="7"/>
        <v>0</v>
      </c>
      <c r="AA9" s="92">
        <f t="shared" si="8"/>
        <v>1316.7151022999999</v>
      </c>
      <c r="AB9" s="92">
        <f t="shared" si="9"/>
        <v>-99051.532830900003</v>
      </c>
      <c r="AC9" s="92">
        <f t="shared" si="10"/>
        <v>0</v>
      </c>
      <c r="AD9" s="92">
        <f t="shared" si="11"/>
        <v>0</v>
      </c>
      <c r="AE9" s="92">
        <f t="shared" si="12"/>
        <v>0</v>
      </c>
      <c r="AF9" s="92">
        <f t="shared" si="13"/>
        <v>0</v>
      </c>
      <c r="AG9" s="19">
        <f t="shared" si="14"/>
        <v>138461.37966390001</v>
      </c>
    </row>
    <row r="10" spans="1:33">
      <c r="A10" s="18">
        <v>7141</v>
      </c>
      <c r="B10" s="89" t="s">
        <v>129</v>
      </c>
      <c r="C10" s="90" t="s">
        <v>149</v>
      </c>
      <c r="D10" s="91" t="s">
        <v>112</v>
      </c>
      <c r="E10" s="91" t="s">
        <v>111</v>
      </c>
      <c r="F10" s="96">
        <v>77847.990000000005</v>
      </c>
      <c r="G10" s="97">
        <v>11792.48</v>
      </c>
      <c r="H10" s="97">
        <v>3426.27</v>
      </c>
      <c r="I10" s="97">
        <v>1293.98</v>
      </c>
      <c r="J10" s="97">
        <v>0</v>
      </c>
      <c r="K10" s="97">
        <v>0</v>
      </c>
      <c r="L10" s="97">
        <v>526.03</v>
      </c>
      <c r="M10" s="97">
        <v>-47747.75</v>
      </c>
      <c r="N10" s="97">
        <v>0</v>
      </c>
      <c r="O10" s="97">
        <v>0</v>
      </c>
      <c r="P10" s="97">
        <v>0</v>
      </c>
      <c r="Q10" s="97">
        <v>0</v>
      </c>
      <c r="R10" s="66">
        <f t="shared" si="1"/>
        <v>47139</v>
      </c>
      <c r="S10" s="66"/>
      <c r="T10" s="72">
        <v>0.69189000000000001</v>
      </c>
      <c r="U10" s="92">
        <f t="shared" si="2"/>
        <v>53862.245801100005</v>
      </c>
      <c r="V10" s="92">
        <f t="shared" si="3"/>
        <v>8159.0989872</v>
      </c>
      <c r="W10" s="92">
        <f t="shared" si="4"/>
        <v>2370.6019503000002</v>
      </c>
      <c r="X10" s="92">
        <f t="shared" si="5"/>
        <v>895.29182220000007</v>
      </c>
      <c r="Y10" s="92">
        <f t="shared" si="6"/>
        <v>0</v>
      </c>
      <c r="Z10" s="92">
        <f t="shared" si="7"/>
        <v>0</v>
      </c>
      <c r="AA10" s="92">
        <f t="shared" si="8"/>
        <v>363.95489670000001</v>
      </c>
      <c r="AB10" s="92">
        <f t="shared" si="9"/>
        <v>-33036.190747499997</v>
      </c>
      <c r="AC10" s="92">
        <f t="shared" si="10"/>
        <v>0</v>
      </c>
      <c r="AD10" s="92">
        <f t="shared" si="11"/>
        <v>0</v>
      </c>
      <c r="AE10" s="92">
        <f t="shared" si="12"/>
        <v>0</v>
      </c>
      <c r="AF10" s="92">
        <f t="shared" si="13"/>
        <v>0</v>
      </c>
      <c r="AG10" s="19">
        <f t="shared" si="14"/>
        <v>32615.002710000008</v>
      </c>
    </row>
    <row r="11" spans="1:33">
      <c r="A11" s="18">
        <v>7141</v>
      </c>
      <c r="B11" s="89" t="s">
        <v>127</v>
      </c>
      <c r="C11" s="90" t="s">
        <v>132</v>
      </c>
      <c r="D11" s="91" t="s">
        <v>112</v>
      </c>
      <c r="E11" s="91" t="s">
        <v>111</v>
      </c>
      <c r="F11" s="96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240132.2</v>
      </c>
      <c r="O11" s="97">
        <v>-36989.279999999999</v>
      </c>
      <c r="P11" s="97">
        <v>645.70000000000005</v>
      </c>
      <c r="Q11" s="97">
        <v>0</v>
      </c>
      <c r="R11" s="66">
        <f t="shared" si="1"/>
        <v>203788.62000000002</v>
      </c>
      <c r="S11" s="66"/>
      <c r="T11" s="72">
        <v>0.65639999999999998</v>
      </c>
      <c r="U11" s="92">
        <f t="shared" si="2"/>
        <v>0</v>
      </c>
      <c r="V11" s="92">
        <f t="shared" si="3"/>
        <v>0</v>
      </c>
      <c r="W11" s="92">
        <f t="shared" si="4"/>
        <v>0</v>
      </c>
      <c r="X11" s="92">
        <f t="shared" si="5"/>
        <v>0</v>
      </c>
      <c r="Y11" s="92">
        <f t="shared" si="6"/>
        <v>0</v>
      </c>
      <c r="Z11" s="92">
        <f t="shared" si="7"/>
        <v>0</v>
      </c>
      <c r="AA11" s="92">
        <f t="shared" si="8"/>
        <v>0</v>
      </c>
      <c r="AB11" s="92">
        <f t="shared" si="9"/>
        <v>0</v>
      </c>
      <c r="AC11" s="92">
        <f t="shared" si="10"/>
        <v>157622.77608000001</v>
      </c>
      <c r="AD11" s="92">
        <f t="shared" si="11"/>
        <v>-24279.763391999997</v>
      </c>
      <c r="AE11" s="92">
        <f t="shared" si="12"/>
        <v>423.83748000000003</v>
      </c>
      <c r="AF11" s="92">
        <f t="shared" si="13"/>
        <v>0</v>
      </c>
      <c r="AG11" s="19">
        <f t="shared" si="14"/>
        <v>133766.850168</v>
      </c>
    </row>
    <row r="12" spans="1:33">
      <c r="A12" s="18">
        <v>7141</v>
      </c>
      <c r="B12" s="89" t="s">
        <v>128</v>
      </c>
      <c r="C12" s="90" t="s">
        <v>132</v>
      </c>
      <c r="D12" s="91" t="s">
        <v>112</v>
      </c>
      <c r="E12" s="91" t="s">
        <v>111</v>
      </c>
      <c r="F12" s="96">
        <v>0</v>
      </c>
      <c r="G12" s="97">
        <v>0</v>
      </c>
      <c r="H12" s="97">
        <v>0</v>
      </c>
      <c r="I12" s="97">
        <v>0</v>
      </c>
      <c r="J12" s="97">
        <v>0</v>
      </c>
      <c r="K12" s="97">
        <v>420262.29</v>
      </c>
      <c r="L12" s="97">
        <v>3372.1</v>
      </c>
      <c r="M12" s="97">
        <v>4168.8900000000003</v>
      </c>
      <c r="N12" s="97">
        <v>1975.08</v>
      </c>
      <c r="O12" s="97">
        <v>52.65</v>
      </c>
      <c r="P12" s="97">
        <v>0</v>
      </c>
      <c r="Q12" s="97">
        <v>0</v>
      </c>
      <c r="R12" s="66">
        <f t="shared" si="1"/>
        <v>429831.01</v>
      </c>
      <c r="S12" s="66"/>
      <c r="T12" s="72">
        <v>0.65639999999999998</v>
      </c>
      <c r="U12" s="92">
        <f t="shared" si="2"/>
        <v>0</v>
      </c>
      <c r="V12" s="92">
        <f t="shared" si="3"/>
        <v>0</v>
      </c>
      <c r="W12" s="92">
        <f t="shared" si="4"/>
        <v>0</v>
      </c>
      <c r="X12" s="92">
        <f t="shared" si="5"/>
        <v>0</v>
      </c>
      <c r="Y12" s="92">
        <f t="shared" si="6"/>
        <v>0</v>
      </c>
      <c r="Z12" s="92">
        <f t="shared" si="7"/>
        <v>275860.16715599998</v>
      </c>
      <c r="AA12" s="92">
        <f t="shared" si="8"/>
        <v>2213.4464399999997</v>
      </c>
      <c r="AB12" s="92">
        <f t="shared" si="9"/>
        <v>2736.4593960000002</v>
      </c>
      <c r="AC12" s="92">
        <f t="shared" si="10"/>
        <v>1296.4425119999999</v>
      </c>
      <c r="AD12" s="92">
        <f t="shared" si="11"/>
        <v>34.559460000000001</v>
      </c>
      <c r="AE12" s="92">
        <f t="shared" si="12"/>
        <v>0</v>
      </c>
      <c r="AF12" s="92">
        <f t="shared" si="13"/>
        <v>0</v>
      </c>
      <c r="AG12" s="19">
        <f t="shared" si="14"/>
        <v>282141.07496400003</v>
      </c>
    </row>
    <row r="13" spans="1:33">
      <c r="A13" s="18">
        <v>7141</v>
      </c>
      <c r="B13" s="89" t="s">
        <v>128</v>
      </c>
      <c r="C13" s="90" t="s">
        <v>148</v>
      </c>
      <c r="D13" s="91" t="s">
        <v>112</v>
      </c>
      <c r="E13" s="91" t="s">
        <v>111</v>
      </c>
      <c r="F13" s="96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681112.85</v>
      </c>
      <c r="R13" s="66">
        <f t="shared" si="1"/>
        <v>681112.85</v>
      </c>
      <c r="S13" s="66"/>
      <c r="T13" s="72">
        <v>0.65639999999999998</v>
      </c>
      <c r="U13" s="92">
        <f t="shared" si="2"/>
        <v>0</v>
      </c>
      <c r="V13" s="92">
        <f t="shared" si="3"/>
        <v>0</v>
      </c>
      <c r="W13" s="92">
        <f t="shared" si="4"/>
        <v>0</v>
      </c>
      <c r="X13" s="92">
        <f t="shared" si="5"/>
        <v>0</v>
      </c>
      <c r="Y13" s="92">
        <f t="shared" si="6"/>
        <v>0</v>
      </c>
      <c r="Z13" s="92">
        <f t="shared" si="7"/>
        <v>0</v>
      </c>
      <c r="AA13" s="92">
        <f t="shared" si="8"/>
        <v>0</v>
      </c>
      <c r="AB13" s="92">
        <f t="shared" si="9"/>
        <v>0</v>
      </c>
      <c r="AC13" s="92">
        <f t="shared" si="10"/>
        <v>0</v>
      </c>
      <c r="AD13" s="92">
        <f t="shared" si="11"/>
        <v>0</v>
      </c>
      <c r="AE13" s="92">
        <f t="shared" si="12"/>
        <v>0</v>
      </c>
      <c r="AF13" s="92">
        <f t="shared" si="13"/>
        <v>447082.47473999998</v>
      </c>
      <c r="AG13" s="19">
        <f t="shared" si="14"/>
        <v>447082.47473999998</v>
      </c>
    </row>
    <row r="14" spans="1:33">
      <c r="A14" s="18">
        <v>7141</v>
      </c>
      <c r="B14" s="89" t="s">
        <v>124</v>
      </c>
      <c r="C14" s="90" t="s">
        <v>42</v>
      </c>
      <c r="D14" s="91" t="s">
        <v>112</v>
      </c>
      <c r="E14" s="91" t="s">
        <v>110</v>
      </c>
      <c r="F14" s="96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33962.11</v>
      </c>
      <c r="P14" s="97">
        <v>51.9</v>
      </c>
      <c r="Q14" s="97">
        <v>270.23</v>
      </c>
      <c r="R14" s="66">
        <f t="shared" si="1"/>
        <v>34284.240000000005</v>
      </c>
      <c r="S14" s="66"/>
      <c r="T14" s="72">
        <v>0</v>
      </c>
      <c r="U14" s="92">
        <f t="shared" ref="U14" si="15">+F14*$T14</f>
        <v>0</v>
      </c>
      <c r="V14" s="92">
        <f t="shared" ref="V14" si="16">+G14*$T14</f>
        <v>0</v>
      </c>
      <c r="W14" s="92">
        <f t="shared" ref="W14" si="17">+H14*$T14</f>
        <v>0</v>
      </c>
      <c r="X14" s="92">
        <f t="shared" ref="X14" si="18">+I14*$T14</f>
        <v>0</v>
      </c>
      <c r="Y14" s="92">
        <f t="shared" ref="Y14" si="19">+J14*$T14</f>
        <v>0</v>
      </c>
      <c r="Z14" s="92">
        <f t="shared" ref="Z14" si="20">+K14*$T14</f>
        <v>0</v>
      </c>
      <c r="AA14" s="92">
        <f t="shared" ref="AA14" si="21">+L14*$T14</f>
        <v>0</v>
      </c>
      <c r="AB14" s="92">
        <f t="shared" ref="AB14" si="22">+M14*$T14</f>
        <v>0</v>
      </c>
      <c r="AC14" s="92">
        <f t="shared" ref="AC14" si="23">+N14*$T14</f>
        <v>0</v>
      </c>
      <c r="AD14" s="92">
        <f t="shared" ref="AD14" si="24">+O14*$T14</f>
        <v>0</v>
      </c>
      <c r="AE14" s="92">
        <f t="shared" ref="AE14" si="25">+P14*$T14</f>
        <v>0</v>
      </c>
      <c r="AF14" s="92">
        <f t="shared" ref="AF14" si="26">+Q14*$T14</f>
        <v>0</v>
      </c>
      <c r="AG14" s="19">
        <f t="shared" ref="AG14" si="27">SUM(U14:AF14)</f>
        <v>0</v>
      </c>
    </row>
    <row r="15" spans="1:33">
      <c r="A15" s="18">
        <v>7141</v>
      </c>
      <c r="B15" s="89" t="s">
        <v>125</v>
      </c>
      <c r="C15" s="90" t="s">
        <v>41</v>
      </c>
      <c r="D15" s="91" t="s">
        <v>112</v>
      </c>
      <c r="E15" s="91" t="s">
        <v>111</v>
      </c>
      <c r="F15" s="96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152597.69</v>
      </c>
      <c r="N15" s="97">
        <v>0</v>
      </c>
      <c r="O15" s="97">
        <v>59502.21</v>
      </c>
      <c r="P15" s="97">
        <v>1354.68</v>
      </c>
      <c r="Q15" s="97">
        <v>5734.68</v>
      </c>
      <c r="R15" s="66">
        <f t="shared" si="1"/>
        <v>219189.25999999998</v>
      </c>
      <c r="S15" s="66"/>
      <c r="T15" s="72">
        <v>0.65639999999999998</v>
      </c>
      <c r="U15" s="92">
        <f t="shared" si="2"/>
        <v>0</v>
      </c>
      <c r="V15" s="92">
        <f t="shared" si="3"/>
        <v>0</v>
      </c>
      <c r="W15" s="92">
        <f t="shared" si="4"/>
        <v>0</v>
      </c>
      <c r="X15" s="92">
        <f t="shared" si="5"/>
        <v>0</v>
      </c>
      <c r="Y15" s="92">
        <f t="shared" si="6"/>
        <v>0</v>
      </c>
      <c r="Z15" s="92">
        <f t="shared" si="7"/>
        <v>0</v>
      </c>
      <c r="AA15" s="92">
        <f t="shared" si="8"/>
        <v>0</v>
      </c>
      <c r="AB15" s="92">
        <f t="shared" si="9"/>
        <v>100165.123716</v>
      </c>
      <c r="AC15" s="92">
        <f t="shared" si="10"/>
        <v>0</v>
      </c>
      <c r="AD15" s="92">
        <f t="shared" si="11"/>
        <v>39057.250644</v>
      </c>
      <c r="AE15" s="92">
        <f t="shared" si="12"/>
        <v>889.211952</v>
      </c>
      <c r="AF15" s="92">
        <f t="shared" si="13"/>
        <v>3764.2439520000003</v>
      </c>
      <c r="AG15" s="19">
        <f t="shared" si="14"/>
        <v>143875.83026400002</v>
      </c>
    </row>
    <row r="16" spans="1:33" ht="15.75" thickBot="1">
      <c r="B16" s="74"/>
      <c r="C16" s="74"/>
      <c r="D16"/>
      <c r="E16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66"/>
      <c r="S16" s="66"/>
      <c r="T16" s="72"/>
      <c r="U16" s="110">
        <f>SUM(U4:U15)</f>
        <v>248725.10756610002</v>
      </c>
      <c r="V16" s="110">
        <f t="shared" ref="V16:AF16" si="28">SUM(V4:V15)</f>
        <v>37677.084435900004</v>
      </c>
      <c r="W16" s="110">
        <f t="shared" si="28"/>
        <v>10946.9590398</v>
      </c>
      <c r="X16" s="110">
        <f t="shared" si="28"/>
        <v>9450.1892546426934</v>
      </c>
      <c r="Y16" s="110">
        <f t="shared" si="28"/>
        <v>0</v>
      </c>
      <c r="Z16" s="110">
        <f t="shared" si="28"/>
        <v>309000.98921999999</v>
      </c>
      <c r="AA16" s="110">
        <f t="shared" si="28"/>
        <v>63661.9339062</v>
      </c>
      <c r="AB16" s="110">
        <f t="shared" si="28"/>
        <v>104808.68738460001</v>
      </c>
      <c r="AC16" s="110">
        <f t="shared" si="28"/>
        <v>195545.34303805887</v>
      </c>
      <c r="AD16" s="110">
        <f t="shared" si="28"/>
        <v>267426.51205506636</v>
      </c>
      <c r="AE16" s="110">
        <f t="shared" si="28"/>
        <v>23274.626166443159</v>
      </c>
      <c r="AF16" s="110">
        <f t="shared" si="28"/>
        <v>484053.35755865218</v>
      </c>
      <c r="AG16" s="110"/>
    </row>
    <row r="17" spans="2:33" ht="15.75" thickBot="1">
      <c r="R17" s="20">
        <f>SUM(R4:R16)</f>
        <v>2832326.77</v>
      </c>
      <c r="AG17" s="20">
        <f>SUM(AG4:AG16)</f>
        <v>1754570.7896254633</v>
      </c>
    </row>
    <row r="18" spans="2:33">
      <c r="E18" s="29"/>
      <c r="R18" s="98" t="s">
        <v>151</v>
      </c>
      <c r="AA18" s="24"/>
      <c r="AG18" s="23" t="s">
        <v>152</v>
      </c>
    </row>
    <row r="21" spans="2:33">
      <c r="B21" s="83"/>
      <c r="C21" s="126"/>
      <c r="D21" s="84"/>
      <c r="E21" s="84"/>
      <c r="F21" s="2"/>
      <c r="G21" s="2"/>
      <c r="H21" s="2"/>
      <c r="I21" s="2"/>
      <c r="J21" s="2"/>
      <c r="K21" s="2"/>
      <c r="L21" s="111"/>
      <c r="M21" s="111"/>
      <c r="N21" s="111"/>
    </row>
    <row r="22" spans="2:33">
      <c r="B22" s="83"/>
      <c r="C22" s="89"/>
      <c r="D22" s="84"/>
      <c r="E22" s="84"/>
      <c r="F22" s="2"/>
      <c r="G22" s="2"/>
      <c r="H22" s="2"/>
      <c r="I22" s="2"/>
      <c r="J22" s="2"/>
      <c r="K22" s="2"/>
      <c r="L22" s="111"/>
      <c r="M22" s="111"/>
      <c r="N22" s="111"/>
    </row>
    <row r="23" spans="2:33">
      <c r="B23" s="83"/>
      <c r="C23" s="89"/>
      <c r="D23" s="84"/>
      <c r="E23" s="84"/>
      <c r="F23" s="2"/>
      <c r="G23" s="2"/>
      <c r="H23" s="2"/>
      <c r="I23" s="2"/>
      <c r="J23" s="2"/>
      <c r="K23" s="2"/>
      <c r="L23" s="111"/>
      <c r="M23" s="111"/>
      <c r="N23" s="111"/>
    </row>
    <row r="24" spans="2:33">
      <c r="B24" s="83"/>
      <c r="C24" s="89"/>
      <c r="D24" s="84"/>
      <c r="E24" s="84"/>
      <c r="F24" s="2"/>
      <c r="G24" s="2"/>
      <c r="H24" s="2"/>
      <c r="I24" s="2"/>
      <c r="J24" s="2"/>
      <c r="K24" s="2"/>
      <c r="L24" s="111"/>
      <c r="M24" s="111"/>
      <c r="N24" s="111"/>
    </row>
    <row r="25" spans="2:33">
      <c r="B25" s="83"/>
      <c r="C25" s="127"/>
      <c r="D25" s="84"/>
      <c r="E25" s="84"/>
      <c r="F25" s="2"/>
      <c r="G25" s="2"/>
      <c r="H25" s="2"/>
      <c r="I25" s="2"/>
      <c r="J25" s="2"/>
      <c r="K25" s="2"/>
      <c r="L25" s="111"/>
      <c r="M25" s="111"/>
      <c r="N25" s="111"/>
    </row>
    <row r="26" spans="2:33">
      <c r="B26" s="83"/>
      <c r="C26" s="127"/>
      <c r="D26" s="84"/>
      <c r="E26" s="84"/>
      <c r="F26" s="2"/>
      <c r="G26" s="2"/>
      <c r="H26" s="2"/>
      <c r="I26" s="2"/>
      <c r="J26" s="2"/>
      <c r="K26" s="2"/>
      <c r="L26" s="111"/>
      <c r="M26" s="111"/>
      <c r="N26" s="111"/>
    </row>
    <row r="27" spans="2:33">
      <c r="B27" s="83"/>
      <c r="C27" s="127"/>
      <c r="D27" s="84"/>
      <c r="E27" s="84"/>
      <c r="F27" s="2"/>
      <c r="G27" s="2"/>
      <c r="H27" s="2"/>
      <c r="I27" s="2"/>
      <c r="J27" s="2"/>
      <c r="K27" s="2"/>
      <c r="L27" s="111"/>
      <c r="M27" s="111"/>
      <c r="N27" s="111"/>
    </row>
    <row r="28" spans="2:33">
      <c r="B28" s="83"/>
      <c r="C28" s="89"/>
      <c r="D28" s="84"/>
      <c r="E28" s="84"/>
      <c r="F28" s="2"/>
      <c r="G28" s="2"/>
      <c r="H28" s="2"/>
      <c r="I28" s="2"/>
      <c r="J28" s="2"/>
      <c r="K28" s="2"/>
      <c r="L28" s="111"/>
      <c r="M28" s="111"/>
      <c r="N28" s="111"/>
    </row>
    <row r="29" spans="2:33">
      <c r="B29" s="83"/>
      <c r="C29" s="89"/>
      <c r="D29" s="84"/>
      <c r="E29" s="84"/>
      <c r="F29" s="2"/>
      <c r="G29" s="2"/>
      <c r="H29" s="2"/>
      <c r="I29" s="2"/>
      <c r="J29" s="2"/>
      <c r="K29" s="2"/>
      <c r="L29" s="111"/>
      <c r="M29" s="111"/>
      <c r="N29" s="111"/>
    </row>
    <row r="30" spans="2:33">
      <c r="B30" s="83"/>
      <c r="C30" s="89"/>
      <c r="D30" s="84"/>
      <c r="E30" s="84"/>
      <c r="F30" s="2"/>
      <c r="G30" s="2"/>
      <c r="H30" s="2"/>
      <c r="I30" s="2"/>
      <c r="J30" s="2"/>
      <c r="K30" s="2"/>
      <c r="L30" s="111"/>
      <c r="M30" s="111"/>
      <c r="N30" s="111"/>
    </row>
    <row r="31" spans="2:33">
      <c r="B31" s="83"/>
      <c r="C31" s="89"/>
      <c r="D31" s="84"/>
      <c r="E31" s="84"/>
      <c r="F31" s="2"/>
      <c r="G31" s="2"/>
      <c r="H31" s="2"/>
      <c r="I31" s="2"/>
      <c r="J31" s="2"/>
      <c r="K31" s="2"/>
      <c r="L31" s="111"/>
      <c r="M31" s="111"/>
      <c r="N31" s="111"/>
    </row>
    <row r="32" spans="2:33">
      <c r="B32" s="83"/>
      <c r="C32" s="127"/>
      <c r="D32" s="84"/>
      <c r="E32" s="84"/>
      <c r="F32" s="2"/>
      <c r="G32" s="2"/>
      <c r="H32" s="2"/>
      <c r="I32" s="2"/>
      <c r="J32" s="2"/>
      <c r="K32" s="2"/>
      <c r="L32" s="111"/>
      <c r="M32" s="111"/>
      <c r="N32" s="111"/>
    </row>
    <row r="33" spans="2:14">
      <c r="B33" s="83"/>
      <c r="C33" s="89"/>
      <c r="D33" s="84"/>
      <c r="E33" s="84"/>
      <c r="F33" s="2"/>
      <c r="G33" s="2"/>
      <c r="H33" s="2"/>
      <c r="I33" s="2"/>
      <c r="J33" s="2"/>
      <c r="K33" s="2"/>
      <c r="L33" s="111"/>
      <c r="M33" s="111"/>
      <c r="N33" s="111"/>
    </row>
    <row r="34" spans="2:14">
      <c r="B34" s="83"/>
      <c r="C34" s="89"/>
      <c r="D34" s="84"/>
      <c r="E34" s="84"/>
      <c r="F34" s="2"/>
      <c r="G34" s="2"/>
      <c r="H34" s="2"/>
      <c r="I34" s="2"/>
      <c r="J34" s="2"/>
      <c r="K34" s="2"/>
      <c r="L34" s="111"/>
      <c r="M34" s="111"/>
      <c r="N34" s="111"/>
    </row>
    <row r="35" spans="2:14">
      <c r="B35" s="83"/>
      <c r="C35" s="89"/>
      <c r="D35" s="84"/>
      <c r="E35" s="84"/>
      <c r="F35" s="112"/>
      <c r="G35" s="112"/>
      <c r="H35" s="112"/>
      <c r="I35" s="112"/>
      <c r="J35" s="112"/>
      <c r="K35" s="112"/>
      <c r="L35" s="113"/>
      <c r="M35" s="113"/>
      <c r="N35" s="113"/>
    </row>
    <row r="36" spans="2:14">
      <c r="B36" s="83"/>
      <c r="C36" s="89"/>
      <c r="D36" s="84"/>
      <c r="E36" s="84"/>
      <c r="F36" s="112"/>
      <c r="G36" s="112"/>
      <c r="H36" s="112"/>
      <c r="I36" s="112"/>
      <c r="J36" s="112"/>
      <c r="K36" s="112"/>
      <c r="L36" s="111"/>
      <c r="M36" s="113"/>
      <c r="N36" s="113"/>
    </row>
    <row r="37" spans="2:14">
      <c r="B37" s="83"/>
      <c r="C37" s="89"/>
      <c r="D37" s="84"/>
      <c r="E37" s="84"/>
      <c r="F37" s="112"/>
      <c r="G37" s="112"/>
      <c r="H37" s="112"/>
      <c r="I37" s="112"/>
      <c r="J37" s="112"/>
      <c r="K37" s="112"/>
      <c r="L37" s="111"/>
      <c r="M37" s="113"/>
      <c r="N37" s="113"/>
    </row>
    <row r="38" spans="2:14">
      <c r="B38" s="83"/>
      <c r="C38" s="89"/>
      <c r="D38" s="84"/>
      <c r="E38" s="84"/>
      <c r="F38" s="112"/>
      <c r="G38" s="112"/>
      <c r="H38" s="112"/>
      <c r="I38" s="112"/>
      <c r="J38" s="112"/>
      <c r="K38" s="112"/>
      <c r="L38" s="113"/>
      <c r="M38" s="113"/>
      <c r="N38" s="113"/>
    </row>
    <row r="39" spans="2:14">
      <c r="B39" s="83"/>
      <c r="C39" s="89"/>
      <c r="D39" s="84"/>
      <c r="E39" s="84"/>
      <c r="F39" s="112"/>
      <c r="G39" s="112"/>
      <c r="H39" s="112"/>
      <c r="I39" s="112"/>
      <c r="J39" s="112"/>
      <c r="K39" s="112"/>
      <c r="L39" s="113"/>
      <c r="M39" s="113"/>
      <c r="N39" s="113"/>
    </row>
    <row r="40" spans="2:14">
      <c r="B40" s="83"/>
      <c r="C40" s="127"/>
      <c r="D40" s="84"/>
      <c r="E40" s="84"/>
      <c r="F40" s="112"/>
      <c r="G40" s="112"/>
      <c r="H40" s="112"/>
      <c r="I40" s="112"/>
      <c r="J40" s="112"/>
      <c r="K40" s="112"/>
      <c r="L40" s="113"/>
      <c r="M40" s="113"/>
      <c r="N40" s="113"/>
    </row>
  </sheetData>
  <autoFilter ref="A3:AG6" xr:uid="{00000000-0009-0000-0000-000004000000}"/>
  <phoneticPr fontId="25" type="noConversion"/>
  <pageMargins left="0.7" right="0.7" top="0.75" bottom="0.75" header="0.3" footer="0.3"/>
  <pageSetup scale="40" fitToHeight="0" orientation="landscape" r:id="rId1"/>
  <headerFooter>
    <oddHeader>&amp;CAttachment A
January 14, 2022 EIM Capital Report</oddHead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9.9978637043366805E-2"/>
    <pageSetUpPr fitToPage="1"/>
  </sheetPr>
  <dimension ref="A1:AG31"/>
  <sheetViews>
    <sheetView workbookViewId="0">
      <selection activeCell="AG15" activeCellId="1" sqref="R15 AG15"/>
    </sheetView>
  </sheetViews>
  <sheetFormatPr defaultColWidth="9.140625" defaultRowHeight="15" outlineLevelCol="1"/>
  <cols>
    <col min="1" max="1" width="6" style="18" customWidth="1"/>
    <col min="2" max="2" width="38.42578125" style="18" customWidth="1"/>
    <col min="3" max="3" width="19.140625" style="18" customWidth="1"/>
    <col min="4" max="4" width="7.28515625" style="18" customWidth="1"/>
    <col min="5" max="5" width="5.85546875" style="18" bestFit="1" customWidth="1"/>
    <col min="6" max="6" width="12.28515625" style="18" hidden="1" customWidth="1" outlineLevel="1"/>
    <col min="7" max="17" width="10.28515625" style="18" hidden="1" customWidth="1" outlineLevel="1"/>
    <col min="18" max="18" width="26.42578125" style="18" customWidth="1" collapsed="1"/>
    <col min="19" max="19" width="9" style="18" customWidth="1"/>
    <col min="20" max="20" width="16.140625" style="18" customWidth="1"/>
    <col min="21" max="21" width="11.5703125" style="18" bestFit="1" customWidth="1"/>
    <col min="22" max="22" width="14.28515625" style="18" bestFit="1" customWidth="1"/>
    <col min="23" max="26" width="11.5703125" style="18" bestFit="1" customWidth="1"/>
    <col min="27" max="32" width="8.7109375" style="18" customWidth="1"/>
    <col min="33" max="33" width="13.5703125" style="18" customWidth="1"/>
    <col min="34" max="16384" width="9.140625" style="18"/>
  </cols>
  <sheetData>
    <row r="1" spans="1:33">
      <c r="A1" s="17" t="s">
        <v>122</v>
      </c>
      <c r="F1" s="21" t="s">
        <v>119</v>
      </c>
      <c r="T1" s="2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8" t="s">
        <v>25</v>
      </c>
      <c r="G2" s="18" t="s">
        <v>25</v>
      </c>
      <c r="H2" s="18" t="s">
        <v>25</v>
      </c>
      <c r="I2" s="18" t="s">
        <v>25</v>
      </c>
      <c r="J2" s="18" t="s">
        <v>25</v>
      </c>
      <c r="K2" s="18" t="s">
        <v>25</v>
      </c>
      <c r="L2" s="18" t="s">
        <v>25</v>
      </c>
      <c r="M2" s="18" t="s">
        <v>25</v>
      </c>
      <c r="N2" s="18" t="s">
        <v>25</v>
      </c>
      <c r="O2" s="18" t="s">
        <v>25</v>
      </c>
      <c r="P2" s="18" t="s">
        <v>25</v>
      </c>
      <c r="Q2" s="18" t="s">
        <v>25</v>
      </c>
      <c r="R2" s="70" t="s">
        <v>120</v>
      </c>
      <c r="S2" s="70"/>
      <c r="U2" s="18" t="s">
        <v>25</v>
      </c>
      <c r="V2" s="18" t="s">
        <v>25</v>
      </c>
      <c r="W2" s="18" t="s">
        <v>25</v>
      </c>
      <c r="X2" s="18" t="s">
        <v>25</v>
      </c>
      <c r="Y2" s="18" t="s">
        <v>25</v>
      </c>
      <c r="Z2" s="18" t="s">
        <v>25</v>
      </c>
      <c r="AA2" s="18" t="s">
        <v>25</v>
      </c>
      <c r="AB2" s="18" t="s">
        <v>25</v>
      </c>
      <c r="AC2" s="18" t="s">
        <v>25</v>
      </c>
      <c r="AD2" s="18" t="s">
        <v>25</v>
      </c>
      <c r="AE2" s="18" t="s">
        <v>25</v>
      </c>
      <c r="AF2" s="18" t="s">
        <v>25</v>
      </c>
      <c r="AG2" s="70" t="s">
        <v>120</v>
      </c>
    </row>
    <row r="3" spans="1:33">
      <c r="A3" s="18" t="s">
        <v>26</v>
      </c>
      <c r="B3" s="75" t="s">
        <v>108</v>
      </c>
      <c r="C3" s="18" t="s">
        <v>27</v>
      </c>
      <c r="D3" s="70" t="s">
        <v>113</v>
      </c>
      <c r="E3" s="85" t="s">
        <v>137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70" t="s">
        <v>114</v>
      </c>
      <c r="S3" s="70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0" t="s">
        <v>117</v>
      </c>
    </row>
    <row r="4" spans="1:33">
      <c r="A4" s="18">
        <v>7141</v>
      </c>
      <c r="B4" s="83" t="s">
        <v>134</v>
      </c>
      <c r="C4" s="83" t="s">
        <v>42</v>
      </c>
      <c r="D4" s="84" t="s">
        <v>112</v>
      </c>
      <c r="E4" s="84" t="s">
        <v>111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270864.74277056294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5">
        <f>SUM(F4:Q4)</f>
        <v>270864.74277056294</v>
      </c>
      <c r="S4" s="25"/>
      <c r="T4" s="77">
        <v>0.69089999999999996</v>
      </c>
      <c r="U4" s="2">
        <f>+$T4*F4</f>
        <v>0</v>
      </c>
      <c r="V4" s="2">
        <f t="shared" ref="V4:AF12" si="0">+$T4*G4</f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187140.45078018191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187140.45078018191</v>
      </c>
    </row>
    <row r="5" spans="1:33">
      <c r="A5" s="18">
        <v>7141</v>
      </c>
      <c r="B5" s="83" t="s">
        <v>124</v>
      </c>
      <c r="C5" s="83" t="s">
        <v>41</v>
      </c>
      <c r="D5" s="84" t="s">
        <v>112</v>
      </c>
      <c r="E5" s="84" t="s">
        <v>111</v>
      </c>
      <c r="F5" s="2">
        <v>0</v>
      </c>
      <c r="G5" s="2">
        <v>0</v>
      </c>
      <c r="H5" s="2">
        <v>0</v>
      </c>
      <c r="I5" s="2">
        <v>162201.59944758663</v>
      </c>
      <c r="J5" s="2">
        <v>162201.59944758663</v>
      </c>
      <c r="K5" s="2">
        <v>696790.59944758669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5">
        <f t="shared" ref="R5:R12" si="1">SUM(F5:Q5)</f>
        <v>1021193.79834276</v>
      </c>
      <c r="S5" s="25"/>
      <c r="T5" s="78">
        <v>0.65639999999999998</v>
      </c>
      <c r="U5" s="2">
        <f t="shared" ref="U5:U12" si="2">+$T5*F5</f>
        <v>0</v>
      </c>
      <c r="V5" s="2">
        <f t="shared" si="0"/>
        <v>0</v>
      </c>
      <c r="W5" s="2">
        <f t="shared" si="0"/>
        <v>0</v>
      </c>
      <c r="X5" s="2">
        <f t="shared" si="0"/>
        <v>106469.12987739587</v>
      </c>
      <c r="Y5" s="2">
        <f t="shared" si="0"/>
        <v>106469.12987739587</v>
      </c>
      <c r="Z5" s="2">
        <f t="shared" si="0"/>
        <v>457373.34947739588</v>
      </c>
      <c r="AA5" s="2">
        <f t="shared" si="0"/>
        <v>0</v>
      </c>
      <c r="AB5" s="2">
        <f t="shared" si="0"/>
        <v>0</v>
      </c>
      <c r="AC5" s="2">
        <f t="shared" si="0"/>
        <v>0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5">
        <f t="shared" ref="AG5:AG12" si="3">SUM(U5:AF5)</f>
        <v>670311.60923218762</v>
      </c>
    </row>
    <row r="6" spans="1:33">
      <c r="A6" s="18">
        <v>7141</v>
      </c>
      <c r="B6" s="83" t="s">
        <v>125</v>
      </c>
      <c r="C6" s="83" t="s">
        <v>41</v>
      </c>
      <c r="D6" s="84" t="s">
        <v>112</v>
      </c>
      <c r="E6" s="84" t="s">
        <v>111</v>
      </c>
      <c r="F6" s="2">
        <v>178239.24236798714</v>
      </c>
      <c r="G6" s="2">
        <v>178239.24236798714</v>
      </c>
      <c r="H6" s="2">
        <v>178239.24236798714</v>
      </c>
      <c r="I6" s="2">
        <v>178239.24236798714</v>
      </c>
      <c r="J6" s="2">
        <v>178239.24236798714</v>
      </c>
      <c r="K6" s="2">
        <v>157434.24236798714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5">
        <f t="shared" si="1"/>
        <v>1048630.4542079228</v>
      </c>
      <c r="S6" s="25"/>
      <c r="T6" s="78">
        <v>0.65639999999999998</v>
      </c>
      <c r="U6" s="2">
        <f t="shared" si="2"/>
        <v>116996.23869034676</v>
      </c>
      <c r="V6" s="2">
        <f t="shared" si="0"/>
        <v>116996.23869034676</v>
      </c>
      <c r="W6" s="2">
        <f t="shared" si="0"/>
        <v>116996.23869034676</v>
      </c>
      <c r="X6" s="2">
        <f t="shared" si="0"/>
        <v>116996.23869034676</v>
      </c>
      <c r="Y6" s="2">
        <f t="shared" si="0"/>
        <v>116996.23869034676</v>
      </c>
      <c r="Z6" s="2">
        <f t="shared" si="0"/>
        <v>103339.83669034675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5">
        <f t="shared" si="3"/>
        <v>688321.0301420805</v>
      </c>
    </row>
    <row r="7" spans="1:33">
      <c r="A7" s="18">
        <v>7141</v>
      </c>
      <c r="B7" s="83" t="s">
        <v>126</v>
      </c>
      <c r="C7" s="83" t="s">
        <v>131</v>
      </c>
      <c r="D7" s="84" t="s">
        <v>112</v>
      </c>
      <c r="E7" s="84" t="s">
        <v>111</v>
      </c>
      <c r="F7" s="67">
        <v>0</v>
      </c>
      <c r="G7" s="67">
        <v>0</v>
      </c>
      <c r="H7" s="67">
        <v>260950.63795104434</v>
      </c>
      <c r="I7" s="67">
        <v>87748.637951044322</v>
      </c>
      <c r="J7" s="67">
        <v>87748.637951044322</v>
      </c>
      <c r="K7" s="67">
        <v>87748.637951044322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25">
        <f t="shared" si="1"/>
        <v>524196.55180417729</v>
      </c>
      <c r="T7" s="78">
        <v>0.69189999999999996</v>
      </c>
      <c r="U7" s="2">
        <f t="shared" si="2"/>
        <v>0</v>
      </c>
      <c r="V7" s="2">
        <f t="shared" si="0"/>
        <v>0</v>
      </c>
      <c r="W7" s="2">
        <f t="shared" si="0"/>
        <v>180551.74639832755</v>
      </c>
      <c r="X7" s="2">
        <f t="shared" si="0"/>
        <v>60713.282598327562</v>
      </c>
      <c r="Y7" s="2">
        <f t="shared" si="0"/>
        <v>60713.282598327562</v>
      </c>
      <c r="Z7" s="2">
        <f t="shared" si="0"/>
        <v>60713.282598327562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>
        <f t="shared" si="0"/>
        <v>0</v>
      </c>
      <c r="AG7" s="25">
        <f t="shared" si="3"/>
        <v>362691.59419331024</v>
      </c>
    </row>
    <row r="8" spans="1:33">
      <c r="A8" s="18">
        <v>7141</v>
      </c>
      <c r="B8" s="83" t="s">
        <v>127</v>
      </c>
      <c r="C8" s="83" t="s">
        <v>132</v>
      </c>
      <c r="D8" s="84" t="s">
        <v>112</v>
      </c>
      <c r="E8" s="84" t="s">
        <v>111</v>
      </c>
      <c r="F8" s="67">
        <v>0</v>
      </c>
      <c r="G8" s="67">
        <v>0</v>
      </c>
      <c r="H8" s="67">
        <v>0</v>
      </c>
      <c r="I8" s="67">
        <v>322248.38258207403</v>
      </c>
      <c r="J8" s="67">
        <v>108248.38258207406</v>
      </c>
      <c r="K8" s="67">
        <v>409598.38258207403</v>
      </c>
      <c r="L8" s="2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25">
        <f t="shared" si="1"/>
        <v>840095.14774622209</v>
      </c>
      <c r="T8" s="78">
        <v>0.65639999999999998</v>
      </c>
      <c r="U8" s="2">
        <f t="shared" si="2"/>
        <v>0</v>
      </c>
      <c r="V8" s="2">
        <f t="shared" si="0"/>
        <v>0</v>
      </c>
      <c r="W8" s="2">
        <f t="shared" si="0"/>
        <v>0</v>
      </c>
      <c r="X8" s="2">
        <f t="shared" si="0"/>
        <v>211523.8383268734</v>
      </c>
      <c r="Y8" s="2">
        <f t="shared" si="0"/>
        <v>71054.238326873412</v>
      </c>
      <c r="Z8" s="2">
        <f t="shared" si="0"/>
        <v>268860.37832687341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>
        <f t="shared" si="0"/>
        <v>0</v>
      </c>
      <c r="AG8" s="25">
        <f t="shared" si="3"/>
        <v>551438.45498062018</v>
      </c>
    </row>
    <row r="9" spans="1:33">
      <c r="A9" s="18">
        <v>7141</v>
      </c>
      <c r="B9" s="83" t="s">
        <v>128</v>
      </c>
      <c r="C9" s="83" t="s">
        <v>132</v>
      </c>
      <c r="D9" s="84" t="s">
        <v>112</v>
      </c>
      <c r="E9" s="84" t="s">
        <v>111</v>
      </c>
      <c r="F9" s="67">
        <v>0</v>
      </c>
      <c r="G9" s="67">
        <v>0</v>
      </c>
      <c r="H9" s="67">
        <v>0</v>
      </c>
      <c r="I9" s="67">
        <v>698074.4441648738</v>
      </c>
      <c r="J9" s="67">
        <v>488014.4441648738</v>
      </c>
      <c r="K9" s="67">
        <v>97974.444164873799</v>
      </c>
      <c r="L9" s="2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25">
        <f t="shared" si="1"/>
        <v>1284063.3324946214</v>
      </c>
      <c r="T9" s="77">
        <v>0.65639999999999998</v>
      </c>
      <c r="U9" s="2">
        <f t="shared" si="2"/>
        <v>0</v>
      </c>
      <c r="V9" s="2">
        <f t="shared" si="0"/>
        <v>0</v>
      </c>
      <c r="W9" s="2">
        <f t="shared" si="0"/>
        <v>0</v>
      </c>
      <c r="X9" s="2">
        <f t="shared" si="0"/>
        <v>458216.06514982315</v>
      </c>
      <c r="Y9" s="2">
        <f t="shared" si="0"/>
        <v>320332.68114982313</v>
      </c>
      <c r="Z9" s="2">
        <f t="shared" si="0"/>
        <v>64310.425149823161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0</v>
      </c>
      <c r="AF9" s="2">
        <f t="shared" si="0"/>
        <v>0</v>
      </c>
      <c r="AG9" s="25">
        <f t="shared" si="3"/>
        <v>842859.17144946952</v>
      </c>
    </row>
    <row r="10" spans="1:33">
      <c r="A10" s="18">
        <v>7141</v>
      </c>
      <c r="B10" s="83" t="s">
        <v>135</v>
      </c>
      <c r="C10" s="83" t="s">
        <v>132</v>
      </c>
      <c r="D10" s="84" t="s">
        <v>112</v>
      </c>
      <c r="E10" s="84" t="s">
        <v>111</v>
      </c>
      <c r="F10" s="67">
        <v>0</v>
      </c>
      <c r="G10" s="67">
        <v>0</v>
      </c>
      <c r="H10" s="67">
        <v>0</v>
      </c>
      <c r="I10" s="67">
        <v>0</v>
      </c>
      <c r="J10" s="67">
        <v>1889933.3706181389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25">
        <f t="shared" si="1"/>
        <v>1889933.3706181389</v>
      </c>
      <c r="T10" s="72">
        <v>0.65639999999999998</v>
      </c>
      <c r="U10" s="2">
        <f t="shared" si="2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1240552.2644737463</v>
      </c>
      <c r="Z10" s="2">
        <f t="shared" si="0"/>
        <v>0</v>
      </c>
      <c r="AA10" s="2">
        <f t="shared" si="0"/>
        <v>0</v>
      </c>
      <c r="AB10" s="2">
        <f t="shared" si="0"/>
        <v>0</v>
      </c>
      <c r="AC10" s="2">
        <f t="shared" si="0"/>
        <v>0</v>
      </c>
      <c r="AD10" s="2">
        <f t="shared" si="0"/>
        <v>0</v>
      </c>
      <c r="AE10" s="2">
        <f t="shared" si="0"/>
        <v>0</v>
      </c>
      <c r="AF10" s="2">
        <f t="shared" si="0"/>
        <v>0</v>
      </c>
      <c r="AG10" s="25">
        <f t="shared" si="3"/>
        <v>1240552.2644737463</v>
      </c>
    </row>
    <row r="11" spans="1:33">
      <c r="A11" s="18">
        <v>7141</v>
      </c>
      <c r="B11" s="83" t="s">
        <v>129</v>
      </c>
      <c r="C11" s="83" t="s">
        <v>121</v>
      </c>
      <c r="D11" s="84" t="s">
        <v>112</v>
      </c>
      <c r="E11" s="84" t="s">
        <v>111</v>
      </c>
      <c r="F11" s="67">
        <v>0</v>
      </c>
      <c r="G11" s="67">
        <v>0</v>
      </c>
      <c r="H11" s="67">
        <v>0</v>
      </c>
      <c r="I11" s="67">
        <v>4091017.8719546576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25">
        <f t="shared" si="1"/>
        <v>4091017.8719546576</v>
      </c>
      <c r="T11" s="72">
        <v>0.69189999999999996</v>
      </c>
      <c r="U11" s="2">
        <f t="shared" si="2"/>
        <v>0</v>
      </c>
      <c r="V11" s="2">
        <f t="shared" si="0"/>
        <v>0</v>
      </c>
      <c r="W11" s="2">
        <f t="shared" si="0"/>
        <v>0</v>
      </c>
      <c r="X11" s="2">
        <f t="shared" si="0"/>
        <v>2830575.2656054273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0"/>
        <v>0</v>
      </c>
      <c r="AC11" s="2">
        <f t="shared" si="0"/>
        <v>0</v>
      </c>
      <c r="AD11" s="2">
        <f t="shared" si="0"/>
        <v>0</v>
      </c>
      <c r="AE11" s="2">
        <f t="shared" si="0"/>
        <v>0</v>
      </c>
      <c r="AF11" s="2">
        <f t="shared" si="0"/>
        <v>0</v>
      </c>
      <c r="AG11" s="25">
        <f t="shared" si="3"/>
        <v>2830575.2656054273</v>
      </c>
    </row>
    <row r="12" spans="1:33">
      <c r="A12" s="18">
        <v>7141</v>
      </c>
      <c r="B12" s="83" t="s">
        <v>130</v>
      </c>
      <c r="C12" s="83" t="s">
        <v>121</v>
      </c>
      <c r="D12" s="84" t="s">
        <v>133</v>
      </c>
      <c r="E12" s="84" t="s">
        <v>139</v>
      </c>
      <c r="F12" s="67">
        <v>233915.29167682279</v>
      </c>
      <c r="G12" s="67">
        <v>233915.29167682279</v>
      </c>
      <c r="H12" s="67">
        <v>233915.29167682279</v>
      </c>
      <c r="I12" s="67">
        <v>235397.69501015614</v>
      </c>
      <c r="J12" s="67">
        <v>235397.69501015614</v>
      </c>
      <c r="K12" s="67">
        <v>235397.69501015614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25">
        <f t="shared" si="1"/>
        <v>1407938.9600609366</v>
      </c>
      <c r="T12" s="72">
        <v>0.48309143579999997</v>
      </c>
      <c r="U12" s="2">
        <f t="shared" si="2"/>
        <v>113002.47411173211</v>
      </c>
      <c r="V12" s="2">
        <f t="shared" si="0"/>
        <v>113002.47411173211</v>
      </c>
      <c r="W12" s="2">
        <f t="shared" si="0"/>
        <v>113002.47411173211</v>
      </c>
      <c r="X12" s="2">
        <f t="shared" si="0"/>
        <v>113718.61046646682</v>
      </c>
      <c r="Y12" s="2">
        <f t="shared" si="0"/>
        <v>113718.61046646682</v>
      </c>
      <c r="Z12" s="2">
        <f t="shared" si="0"/>
        <v>113718.61046646682</v>
      </c>
      <c r="AA12" s="2">
        <f t="shared" si="0"/>
        <v>0</v>
      </c>
      <c r="AB12" s="2">
        <f t="shared" si="0"/>
        <v>0</v>
      </c>
      <c r="AC12" s="2">
        <f t="shared" si="0"/>
        <v>0</v>
      </c>
      <c r="AD12" s="2">
        <f t="shared" si="0"/>
        <v>0</v>
      </c>
      <c r="AE12" s="2">
        <f t="shared" si="0"/>
        <v>0</v>
      </c>
      <c r="AF12" s="2">
        <f t="shared" si="0"/>
        <v>0</v>
      </c>
      <c r="AG12" s="25">
        <f t="shared" si="3"/>
        <v>680163.25373459689</v>
      </c>
    </row>
    <row r="13" spans="1:33">
      <c r="B13" s="83"/>
      <c r="C13" s="83"/>
      <c r="D13" s="84"/>
      <c r="E13" s="84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25"/>
      <c r="T13" s="7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5"/>
    </row>
    <row r="14" spans="1:33" ht="15.75" thickBot="1">
      <c r="B14" s="74"/>
      <c r="C14" s="74"/>
      <c r="D14"/>
      <c r="E14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25"/>
      <c r="T14" s="7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5">
        <f t="shared" ref="AG14" si="4">SUM(U14:AF14)</f>
        <v>0</v>
      </c>
    </row>
    <row r="15" spans="1:33" ht="15.75" thickBot="1"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0">
        <f>SUM(R4:R14)</f>
        <v>12377934.23</v>
      </c>
      <c r="S15" s="76"/>
      <c r="U15" s="110">
        <f>SUM(U4:U12)</f>
        <v>229998.71280207887</v>
      </c>
      <c r="V15" s="110">
        <f t="shared" ref="V15:AF15" si="5">SUM(V4:V12)</f>
        <v>229998.71280207887</v>
      </c>
      <c r="W15" s="110">
        <f t="shared" si="5"/>
        <v>410550.45920040639</v>
      </c>
      <c r="X15" s="110">
        <f t="shared" si="5"/>
        <v>3898212.4307146608</v>
      </c>
      <c r="Y15" s="110">
        <f t="shared" si="5"/>
        <v>2029836.4455829798</v>
      </c>
      <c r="Z15" s="110">
        <f t="shared" si="5"/>
        <v>1255456.3334894152</v>
      </c>
      <c r="AA15" s="110">
        <f t="shared" si="5"/>
        <v>0</v>
      </c>
      <c r="AB15" s="110">
        <f t="shared" si="5"/>
        <v>0</v>
      </c>
      <c r="AC15" s="110">
        <f t="shared" si="5"/>
        <v>0</v>
      </c>
      <c r="AD15" s="110">
        <f t="shared" si="5"/>
        <v>0</v>
      </c>
      <c r="AE15" s="110">
        <f t="shared" si="5"/>
        <v>0</v>
      </c>
      <c r="AF15" s="110">
        <f t="shared" si="5"/>
        <v>0</v>
      </c>
      <c r="AG15" s="20">
        <f>SUM(AG4:AG14)</f>
        <v>8054053.0945916204</v>
      </c>
    </row>
    <row r="16" spans="1:33">
      <c r="R16" s="81" t="s">
        <v>136</v>
      </c>
      <c r="S16" s="23"/>
      <c r="AG16" s="81" t="str">
        <f>+R16</f>
        <v>EIM 2021 PF</v>
      </c>
    </row>
    <row r="17" spans="6:33">
      <c r="R17" s="98" t="s">
        <v>151</v>
      </c>
      <c r="AG17" s="99" t="s">
        <v>153</v>
      </c>
    </row>
    <row r="18" spans="6:33">
      <c r="V18" s="67"/>
    </row>
    <row r="20" spans="6:33"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31" spans="6:33">
      <c r="AA31" s="100" t="s">
        <v>154</v>
      </c>
    </row>
  </sheetData>
  <autoFilter ref="A3:R6" xr:uid="{00000000-0009-0000-0000-000005000000}"/>
  <pageMargins left="0.7" right="0.7" top="0.75" bottom="0.75" header="0.3" footer="0.3"/>
  <pageSetup scale="47" fitToHeight="0" orientation="landscape" r:id="rId1"/>
  <headerFooter>
    <oddHeader>&amp;CAttachment A
January 14, 2022 EIM Capital Report</oddHead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AG78"/>
  <sheetViews>
    <sheetView topLeftCell="L1" workbookViewId="0">
      <selection activeCell="R30" sqref="R30"/>
    </sheetView>
  </sheetViews>
  <sheetFormatPr defaultColWidth="9.140625" defaultRowHeight="15" outlineLevelCol="1"/>
  <cols>
    <col min="1" max="1" width="6" style="18" customWidth="1"/>
    <col min="2" max="2" width="38.42578125" style="18" customWidth="1"/>
    <col min="3" max="3" width="37.7109375" style="18" bestFit="1" customWidth="1"/>
    <col min="4" max="4" width="7.28515625" style="18" customWidth="1"/>
    <col min="5" max="5" width="5.85546875" style="18" bestFit="1" customWidth="1"/>
    <col min="6" max="6" width="12.28515625" style="18" customWidth="1" outlineLevel="1"/>
    <col min="7" max="17" width="10.28515625" style="18" customWidth="1" outlineLevel="1"/>
    <col min="18" max="18" width="26.42578125" style="18" customWidth="1" outlineLevel="1"/>
    <col min="19" max="19" width="4.85546875" style="18" customWidth="1"/>
    <col min="20" max="20" width="16.140625" style="18" customWidth="1"/>
    <col min="21" max="21" width="11.5703125" style="18" bestFit="1" customWidth="1"/>
    <col min="22" max="22" width="14.42578125" style="18" bestFit="1" customWidth="1"/>
    <col min="23" max="23" width="11.7109375" style="18" bestFit="1" customWidth="1"/>
    <col min="24" max="24" width="13.28515625" style="18" bestFit="1" customWidth="1"/>
    <col min="25" max="25" width="11.7109375" style="18" bestFit="1" customWidth="1"/>
    <col min="26" max="26" width="13.28515625" style="18" bestFit="1" customWidth="1"/>
    <col min="27" max="32" width="8.7109375" style="18" customWidth="1"/>
    <col min="33" max="33" width="13.5703125" style="18" customWidth="1"/>
    <col min="34" max="16384" width="9.140625" style="18"/>
  </cols>
  <sheetData>
    <row r="1" spans="1:33">
      <c r="A1" s="17" t="s">
        <v>122</v>
      </c>
      <c r="F1" s="21" t="s">
        <v>119</v>
      </c>
      <c r="T1" s="2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01" t="s">
        <v>155</v>
      </c>
      <c r="G2" s="101" t="s">
        <v>155</v>
      </c>
      <c r="H2" s="101" t="s">
        <v>155</v>
      </c>
      <c r="I2" s="101" t="s">
        <v>155</v>
      </c>
      <c r="J2" s="101" t="s">
        <v>155</v>
      </c>
      <c r="K2" s="101" t="s">
        <v>155</v>
      </c>
      <c r="L2" s="101" t="s">
        <v>155</v>
      </c>
      <c r="M2" s="101" t="s">
        <v>155</v>
      </c>
      <c r="N2" s="101" t="s">
        <v>155</v>
      </c>
      <c r="O2" s="101" t="s">
        <v>155</v>
      </c>
      <c r="P2" s="101" t="s">
        <v>155</v>
      </c>
      <c r="Q2" s="101" t="s">
        <v>155</v>
      </c>
      <c r="R2" s="70"/>
      <c r="S2" s="70"/>
      <c r="U2" s="101" t="s">
        <v>155</v>
      </c>
      <c r="V2" s="101" t="s">
        <v>155</v>
      </c>
      <c r="W2" s="101" t="s">
        <v>155</v>
      </c>
      <c r="X2" s="101" t="s">
        <v>155</v>
      </c>
      <c r="Y2" s="101" t="s">
        <v>155</v>
      </c>
      <c r="Z2" s="101" t="s">
        <v>155</v>
      </c>
      <c r="AA2" s="101" t="s">
        <v>155</v>
      </c>
      <c r="AB2" s="101" t="s">
        <v>155</v>
      </c>
      <c r="AC2" s="101" t="s">
        <v>155</v>
      </c>
      <c r="AD2" s="101" t="s">
        <v>155</v>
      </c>
      <c r="AE2" s="101" t="s">
        <v>155</v>
      </c>
      <c r="AF2" s="101" t="s">
        <v>155</v>
      </c>
      <c r="AG2" s="70"/>
    </row>
    <row r="3" spans="1:33">
      <c r="A3" s="18" t="s">
        <v>26</v>
      </c>
      <c r="B3" s="75" t="s">
        <v>108</v>
      </c>
      <c r="C3" s="18" t="s">
        <v>27</v>
      </c>
      <c r="D3" s="70" t="s">
        <v>113</v>
      </c>
      <c r="E3" s="85" t="s">
        <v>137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70" t="s">
        <v>114</v>
      </c>
      <c r="S3" s="70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0" t="s">
        <v>117</v>
      </c>
    </row>
    <row r="4" spans="1:33">
      <c r="A4" s="18">
        <v>7141</v>
      </c>
      <c r="B4" s="83" t="s">
        <v>126</v>
      </c>
      <c r="C4" s="83" t="s">
        <v>149</v>
      </c>
      <c r="D4" s="84" t="s">
        <v>112</v>
      </c>
      <c r="E4" s="84" t="s">
        <v>111</v>
      </c>
      <c r="F4" s="2">
        <v>0</v>
      </c>
      <c r="G4" s="2">
        <v>0</v>
      </c>
      <c r="H4" s="2">
        <v>127849.20999999999</v>
      </c>
      <c r="I4" s="2">
        <v>645.29</v>
      </c>
      <c r="J4" s="2">
        <v>1053.1300000000001</v>
      </c>
      <c r="K4" s="2">
        <v>5586.21</v>
      </c>
      <c r="L4" s="2">
        <v>3013.43</v>
      </c>
      <c r="M4" s="2">
        <v>1447.92</v>
      </c>
      <c r="N4" s="2">
        <v>1302.81</v>
      </c>
      <c r="O4" s="2"/>
      <c r="P4" s="2"/>
      <c r="Q4" s="2"/>
      <c r="R4" s="25">
        <f>SUM(F4:Q4)</f>
        <v>140898</v>
      </c>
      <c r="S4" s="25"/>
      <c r="T4" s="77">
        <v>0.69189000000000001</v>
      </c>
      <c r="U4" s="2">
        <f>+$T4*F4</f>
        <v>0</v>
      </c>
      <c r="V4" s="2">
        <f t="shared" ref="V4:AF6" si="0">+$T4*G4</f>
        <v>0</v>
      </c>
      <c r="W4" s="2">
        <f t="shared" si="0"/>
        <v>88457.589906900001</v>
      </c>
      <c r="X4" s="2">
        <f t="shared" si="0"/>
        <v>446.46969809999996</v>
      </c>
      <c r="Y4" s="2">
        <f t="shared" si="0"/>
        <v>728.65011570000013</v>
      </c>
      <c r="Z4" s="2">
        <f t="shared" si="0"/>
        <v>3865.0428369000001</v>
      </c>
      <c r="AA4" s="2">
        <f t="shared" si="0"/>
        <v>2084.9620826999999</v>
      </c>
      <c r="AB4" s="2">
        <f t="shared" si="0"/>
        <v>1001.8013688000001</v>
      </c>
      <c r="AC4" s="2">
        <f t="shared" si="0"/>
        <v>901.40121090000002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97485.917220000018</v>
      </c>
    </row>
    <row r="5" spans="1:33">
      <c r="A5" s="18">
        <v>7141</v>
      </c>
      <c r="B5" s="83" t="s">
        <v>126</v>
      </c>
      <c r="C5" s="83" t="s">
        <v>147</v>
      </c>
      <c r="D5" s="84" t="s">
        <v>112</v>
      </c>
      <c r="E5" s="84" t="s">
        <v>111</v>
      </c>
      <c r="F5" s="2">
        <v>0</v>
      </c>
      <c r="G5" s="2">
        <v>0</v>
      </c>
      <c r="H5" s="2">
        <v>112930.32</v>
      </c>
      <c r="I5" s="2">
        <v>707.56</v>
      </c>
      <c r="J5" s="2">
        <v>1189.25</v>
      </c>
      <c r="K5" s="2">
        <v>6701.41</v>
      </c>
      <c r="L5" s="2">
        <v>3375.49</v>
      </c>
      <c r="M5" s="2">
        <v>1579.99</v>
      </c>
      <c r="N5" s="2">
        <v>969.54</v>
      </c>
      <c r="O5" s="2"/>
      <c r="P5" s="2"/>
      <c r="Q5" s="2"/>
      <c r="R5" s="25">
        <f t="shared" ref="R5:R27" si="1">SUM(F5:Q5)</f>
        <v>127453.56000000001</v>
      </c>
      <c r="S5" s="25"/>
      <c r="T5" s="77">
        <v>0.69189000000000001</v>
      </c>
      <c r="U5" s="2">
        <f t="shared" ref="U5:U6" si="2">+$T5*F5</f>
        <v>0</v>
      </c>
      <c r="V5" s="2">
        <f t="shared" si="0"/>
        <v>0</v>
      </c>
      <c r="W5" s="2">
        <f t="shared" si="0"/>
        <v>78135.359104800009</v>
      </c>
      <c r="X5" s="2">
        <f t="shared" si="0"/>
        <v>489.55368839999994</v>
      </c>
      <c r="Y5" s="2">
        <f t="shared" si="0"/>
        <v>822.83018249999998</v>
      </c>
      <c r="Z5" s="2">
        <f t="shared" si="0"/>
        <v>4636.6385649000003</v>
      </c>
      <c r="AA5" s="2">
        <f t="shared" si="0"/>
        <v>2335.4677760999998</v>
      </c>
      <c r="AB5" s="2">
        <f t="shared" si="0"/>
        <v>1093.1792811</v>
      </c>
      <c r="AC5" s="2">
        <f t="shared" si="0"/>
        <v>670.8150306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5">
        <f t="shared" ref="AG5:AG27" si="3">SUM(U5:AF5)</f>
        <v>88183.84362840002</v>
      </c>
    </row>
    <row r="6" spans="1:33">
      <c r="A6" s="18">
        <v>7141</v>
      </c>
      <c r="B6" s="83" t="s">
        <v>130</v>
      </c>
      <c r="C6" s="83" t="s">
        <v>147</v>
      </c>
      <c r="D6" s="84" t="s">
        <v>133</v>
      </c>
      <c r="E6" s="84" t="s">
        <v>139</v>
      </c>
      <c r="F6" s="2">
        <v>5452.1399999999994</v>
      </c>
      <c r="G6" s="2">
        <v>366249.67</v>
      </c>
      <c r="H6" s="2">
        <v>10980.630000000003</v>
      </c>
      <c r="I6" s="2">
        <v>315850.17</v>
      </c>
      <c r="J6" s="2">
        <v>150595.72999999998</v>
      </c>
      <c r="K6" s="2">
        <v>175618.38</v>
      </c>
      <c r="L6" s="2">
        <v>72894.849999999991</v>
      </c>
      <c r="M6" s="2">
        <v>33065.31</v>
      </c>
      <c r="N6" s="2">
        <v>10504.41</v>
      </c>
      <c r="O6" s="130">
        <v>2786.4999999999995</v>
      </c>
      <c r="P6" s="130">
        <v>5257.7400000000007</v>
      </c>
      <c r="Q6" s="130">
        <v>2595.58</v>
      </c>
      <c r="R6" s="25">
        <f t="shared" si="1"/>
        <v>1151851.1100000001</v>
      </c>
      <c r="S6" s="25"/>
      <c r="T6" s="78">
        <v>0.48309143579999997</v>
      </c>
      <c r="U6" s="2">
        <f t="shared" si="2"/>
        <v>2633.8821407826117</v>
      </c>
      <c r="V6" s="2">
        <f t="shared" si="0"/>
        <v>176932.07894157615</v>
      </c>
      <c r="W6" s="2">
        <f t="shared" si="0"/>
        <v>5304.6483126885551</v>
      </c>
      <c r="X6" s="2">
        <f t="shared" si="0"/>
        <v>152584.51212297406</v>
      </c>
      <c r="Y6" s="2">
        <f t="shared" si="0"/>
        <v>72751.507431049118</v>
      </c>
      <c r="Z6" s="2">
        <f t="shared" si="0"/>
        <v>84839.735347070004</v>
      </c>
      <c r="AA6" s="2">
        <f t="shared" si="0"/>
        <v>35214.877748925624</v>
      </c>
      <c r="AB6" s="2">
        <f t="shared" si="0"/>
        <v>15973.568083072096</v>
      </c>
      <c r="AC6" s="2">
        <f t="shared" si="0"/>
        <v>5074.5905091318773</v>
      </c>
      <c r="AD6" s="2">
        <f t="shared" si="0"/>
        <v>1346.1342858566998</v>
      </c>
      <c r="AE6" s="2">
        <f t="shared" si="0"/>
        <v>2539.9691656630921</v>
      </c>
      <c r="AF6" s="2">
        <f t="shared" si="0"/>
        <v>1253.9024689337639</v>
      </c>
      <c r="AG6" s="25">
        <f t="shared" si="3"/>
        <v>556449.40655772365</v>
      </c>
    </row>
    <row r="7" spans="1:33">
      <c r="A7" s="18">
        <v>7141</v>
      </c>
      <c r="B7" s="83" t="s">
        <v>130</v>
      </c>
      <c r="C7" s="83" t="s">
        <v>147</v>
      </c>
      <c r="D7" s="84" t="s">
        <v>112</v>
      </c>
      <c r="E7" s="84" t="s">
        <v>111</v>
      </c>
      <c r="F7" s="2">
        <v>0</v>
      </c>
      <c r="G7" s="2">
        <v>0</v>
      </c>
      <c r="H7" s="2">
        <v>0</v>
      </c>
      <c r="I7" s="2">
        <v>51849.2</v>
      </c>
      <c r="J7" s="2">
        <v>153686.39999999999</v>
      </c>
      <c r="K7" s="2">
        <v>7007.89</v>
      </c>
      <c r="L7" s="2">
        <v>8213.0400000000009</v>
      </c>
      <c r="M7" s="2">
        <v>105.22</v>
      </c>
      <c r="N7" s="2">
        <v>14.03</v>
      </c>
      <c r="O7" s="2"/>
      <c r="P7" s="2"/>
      <c r="Q7" s="2"/>
      <c r="R7" s="25">
        <f t="shared" si="1"/>
        <v>220875.78</v>
      </c>
      <c r="S7" s="25"/>
      <c r="T7" s="78">
        <v>0.69189999999999996</v>
      </c>
      <c r="U7" s="2">
        <f t="shared" ref="U7:U24" si="4">+$T7*F7</f>
        <v>0</v>
      </c>
      <c r="V7" s="2">
        <f t="shared" ref="V7:V24" si="5">+$T7*G7</f>
        <v>0</v>
      </c>
      <c r="W7" s="2">
        <f t="shared" ref="W7:W24" si="6">+$T7*H7</f>
        <v>0</v>
      </c>
      <c r="X7" s="2">
        <f t="shared" ref="X7:X24" si="7">+$T7*I7</f>
        <v>35874.461479999998</v>
      </c>
      <c r="Y7" s="2">
        <f t="shared" ref="Y7:Y24" si="8">+$T7*J7</f>
        <v>106335.62015999999</v>
      </c>
      <c r="Z7" s="2">
        <f t="shared" ref="Z7:Z24" si="9">+$T7*K7</f>
        <v>4848.7590909999999</v>
      </c>
      <c r="AA7" s="2">
        <f t="shared" ref="AA7:AA24" si="10">+$T7*L7</f>
        <v>5682.6023759999998</v>
      </c>
      <c r="AB7" s="2">
        <f t="shared" ref="AB7:AB24" si="11">+$T7*M7</f>
        <v>72.801717999999994</v>
      </c>
      <c r="AC7" s="2">
        <f t="shared" ref="AC7:AC24" si="12">+$T7*N7</f>
        <v>9.7073569999999982</v>
      </c>
      <c r="AD7" s="2">
        <f t="shared" ref="AD7:AD24" si="13">+$T7*O7</f>
        <v>0</v>
      </c>
      <c r="AE7" s="2">
        <f t="shared" ref="AE7:AE24" si="14">+$T7*P7</f>
        <v>0</v>
      </c>
      <c r="AF7" s="2">
        <f t="shared" ref="AF7:AF24" si="15">+$T7*Q7</f>
        <v>0</v>
      </c>
      <c r="AG7" s="25">
        <f t="shared" ref="AG7:AG24" si="16">SUM(U7:AF7)</f>
        <v>152823.95218200001</v>
      </c>
    </row>
    <row r="8" spans="1:33">
      <c r="A8" s="18">
        <v>7141</v>
      </c>
      <c r="B8" s="83" t="s">
        <v>130</v>
      </c>
      <c r="C8" s="83" t="s">
        <v>132</v>
      </c>
      <c r="D8" s="84" t="s">
        <v>112</v>
      </c>
      <c r="E8" s="84" t="s">
        <v>111</v>
      </c>
      <c r="F8" s="2">
        <v>362.6</v>
      </c>
      <c r="G8" s="2">
        <v>-30005.85</v>
      </c>
      <c r="H8" s="2">
        <v>403.85</v>
      </c>
      <c r="I8" s="2">
        <v>0</v>
      </c>
      <c r="J8" s="2">
        <v>0</v>
      </c>
      <c r="K8" s="2">
        <v>0</v>
      </c>
      <c r="L8" s="2">
        <v>-56553.62</v>
      </c>
      <c r="M8" s="2">
        <v>-24138.74</v>
      </c>
      <c r="N8" s="2">
        <v>-0.2</v>
      </c>
      <c r="O8" s="2"/>
      <c r="P8" s="2"/>
      <c r="Q8" s="2"/>
      <c r="R8" s="25">
        <f t="shared" si="1"/>
        <v>-109931.96</v>
      </c>
      <c r="S8" s="25"/>
      <c r="T8" s="78">
        <v>0.65639999999999998</v>
      </c>
      <c r="U8" s="2">
        <f t="shared" si="4"/>
        <v>238.01064</v>
      </c>
      <c r="V8" s="2">
        <f t="shared" si="5"/>
        <v>-19695.839939999998</v>
      </c>
      <c r="W8" s="2">
        <f t="shared" si="6"/>
        <v>265.08714000000003</v>
      </c>
      <c r="X8" s="2">
        <f t="shared" si="7"/>
        <v>0</v>
      </c>
      <c r="Y8" s="2">
        <f t="shared" si="8"/>
        <v>0</v>
      </c>
      <c r="Z8" s="2">
        <f t="shared" si="9"/>
        <v>0</v>
      </c>
      <c r="AA8" s="2">
        <f t="shared" si="10"/>
        <v>-37121.796168000001</v>
      </c>
      <c r="AB8" s="2">
        <f t="shared" si="11"/>
        <v>-15844.668936</v>
      </c>
      <c r="AC8" s="2">
        <f t="shared" si="12"/>
        <v>-0.13128000000000001</v>
      </c>
      <c r="AD8" s="2">
        <f t="shared" si="13"/>
        <v>0</v>
      </c>
      <c r="AE8" s="2">
        <f t="shared" si="14"/>
        <v>0</v>
      </c>
      <c r="AF8" s="2">
        <f t="shared" si="15"/>
        <v>0</v>
      </c>
      <c r="AG8" s="25">
        <f t="shared" si="16"/>
        <v>-72159.338543999998</v>
      </c>
    </row>
    <row r="9" spans="1:33">
      <c r="A9" s="18">
        <v>7141</v>
      </c>
      <c r="B9" s="83" t="s">
        <v>129</v>
      </c>
      <c r="C9" s="83" t="s">
        <v>121</v>
      </c>
      <c r="D9" s="84" t="s">
        <v>112</v>
      </c>
      <c r="E9" s="84" t="s">
        <v>111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3952685.43</v>
      </c>
      <c r="L9" s="2">
        <v>21580.66</v>
      </c>
      <c r="M9" s="2">
        <v>10734.08</v>
      </c>
      <c r="N9" s="2">
        <v>8065.51</v>
      </c>
      <c r="O9" s="2">
        <v>4584.1200000000008</v>
      </c>
      <c r="P9" s="2">
        <v>16539.25</v>
      </c>
      <c r="Q9" s="2">
        <v>1307.44</v>
      </c>
      <c r="R9" s="25">
        <f t="shared" si="1"/>
        <v>4015496.49</v>
      </c>
      <c r="S9" s="25"/>
      <c r="T9" s="78">
        <v>0.65639999999999998</v>
      </c>
      <c r="U9" s="2">
        <f t="shared" si="4"/>
        <v>0</v>
      </c>
      <c r="V9" s="2">
        <f t="shared" si="5"/>
        <v>0</v>
      </c>
      <c r="W9" s="2">
        <f t="shared" si="6"/>
        <v>0</v>
      </c>
      <c r="X9" s="2">
        <f t="shared" si="7"/>
        <v>0</v>
      </c>
      <c r="Y9" s="2">
        <f t="shared" si="8"/>
        <v>0</v>
      </c>
      <c r="Z9" s="2">
        <f t="shared" si="9"/>
        <v>2594542.7162520001</v>
      </c>
      <c r="AA9" s="2">
        <f t="shared" si="10"/>
        <v>14165.545224</v>
      </c>
      <c r="AB9" s="2">
        <f t="shared" si="11"/>
        <v>7045.8501120000001</v>
      </c>
      <c r="AC9" s="2">
        <f t="shared" si="12"/>
        <v>5294.2007640000002</v>
      </c>
      <c r="AD9" s="2">
        <f t="shared" si="13"/>
        <v>3009.0163680000005</v>
      </c>
      <c r="AE9" s="2">
        <f t="shared" si="14"/>
        <v>10856.3637</v>
      </c>
      <c r="AF9" s="2">
        <f t="shared" si="15"/>
        <v>858.20361600000001</v>
      </c>
      <c r="AG9" s="25">
        <f t="shared" si="16"/>
        <v>2635771.8960359995</v>
      </c>
    </row>
    <row r="10" spans="1:33">
      <c r="A10" s="18">
        <v>7141</v>
      </c>
      <c r="B10" s="83" t="s">
        <v>127</v>
      </c>
      <c r="C10" s="83" t="s">
        <v>132</v>
      </c>
      <c r="D10" s="84" t="s">
        <v>112</v>
      </c>
      <c r="E10" s="84" t="s">
        <v>111</v>
      </c>
      <c r="F10" s="2">
        <v>385562.39</v>
      </c>
      <c r="G10" s="2">
        <v>38917.06</v>
      </c>
      <c r="H10" s="2">
        <v>-14344.25</v>
      </c>
      <c r="I10" s="2">
        <v>330150.35000000003</v>
      </c>
      <c r="J10" s="2">
        <v>2505.63</v>
      </c>
      <c r="K10" s="2">
        <v>953.5400000000011</v>
      </c>
      <c r="L10" s="2">
        <v>95.02</v>
      </c>
      <c r="M10" s="2">
        <v>0</v>
      </c>
      <c r="N10" s="2">
        <v>0</v>
      </c>
      <c r="O10" s="2"/>
      <c r="P10" s="2"/>
      <c r="Q10" s="2"/>
      <c r="R10" s="25">
        <f t="shared" si="1"/>
        <v>743839.74000000011</v>
      </c>
      <c r="S10" s="25"/>
      <c r="T10" s="78">
        <v>0.65639999999999998</v>
      </c>
      <c r="U10" s="2">
        <f t="shared" si="4"/>
        <v>253083.15279600001</v>
      </c>
      <c r="V10" s="2">
        <f t="shared" si="5"/>
        <v>25545.158183999996</v>
      </c>
      <c r="W10" s="2">
        <f t="shared" si="6"/>
        <v>-9415.5656999999992</v>
      </c>
      <c r="X10" s="2">
        <f t="shared" si="7"/>
        <v>216710.68974000003</v>
      </c>
      <c r="Y10" s="2">
        <f t="shared" si="8"/>
        <v>1644.695532</v>
      </c>
      <c r="Z10" s="2">
        <f t="shared" si="9"/>
        <v>625.90365600000075</v>
      </c>
      <c r="AA10" s="2">
        <f t="shared" si="10"/>
        <v>62.371127999999999</v>
      </c>
      <c r="AB10" s="2">
        <f t="shared" si="11"/>
        <v>0</v>
      </c>
      <c r="AC10" s="2">
        <f t="shared" si="12"/>
        <v>0</v>
      </c>
      <c r="AD10" s="2">
        <f t="shared" si="13"/>
        <v>0</v>
      </c>
      <c r="AE10" s="2">
        <f t="shared" si="14"/>
        <v>0</v>
      </c>
      <c r="AF10" s="2">
        <f t="shared" si="15"/>
        <v>0</v>
      </c>
      <c r="AG10" s="25">
        <f t="shared" si="16"/>
        <v>488256.40533600008</v>
      </c>
    </row>
    <row r="11" spans="1:33">
      <c r="A11" s="18">
        <v>7141</v>
      </c>
      <c r="B11" s="83" t="s">
        <v>127</v>
      </c>
      <c r="C11" s="83" t="s">
        <v>148</v>
      </c>
      <c r="D11" s="84" t="s">
        <v>112</v>
      </c>
      <c r="E11" s="84" t="s">
        <v>111</v>
      </c>
      <c r="F11" s="2">
        <v>0</v>
      </c>
      <c r="G11" s="2">
        <v>0</v>
      </c>
      <c r="H11" s="2">
        <v>0</v>
      </c>
      <c r="I11" s="2">
        <v>0</v>
      </c>
      <c r="J11" s="2">
        <v>256277.46</v>
      </c>
      <c r="K11" s="2">
        <v>5025.17</v>
      </c>
      <c r="L11" s="2">
        <v>46.59</v>
      </c>
      <c r="M11" s="2">
        <v>0</v>
      </c>
      <c r="N11" s="2">
        <v>-6615</v>
      </c>
      <c r="O11" s="2"/>
      <c r="P11" s="2"/>
      <c r="Q11" s="2"/>
      <c r="R11" s="25">
        <f t="shared" si="1"/>
        <v>254734.22</v>
      </c>
      <c r="S11" s="25"/>
      <c r="T11" s="78">
        <v>0.69189999999999996</v>
      </c>
      <c r="U11" s="2">
        <f t="shared" si="4"/>
        <v>0</v>
      </c>
      <c r="V11" s="2">
        <f t="shared" si="5"/>
        <v>0</v>
      </c>
      <c r="W11" s="2">
        <f t="shared" si="6"/>
        <v>0</v>
      </c>
      <c r="X11" s="2">
        <f t="shared" si="7"/>
        <v>0</v>
      </c>
      <c r="Y11" s="2">
        <f t="shared" si="8"/>
        <v>177318.37457399999</v>
      </c>
      <c r="Z11" s="2">
        <f t="shared" si="9"/>
        <v>3476.9151229999998</v>
      </c>
      <c r="AA11" s="2">
        <f t="shared" si="10"/>
        <v>32.235621000000002</v>
      </c>
      <c r="AB11" s="2">
        <f t="shared" si="11"/>
        <v>0</v>
      </c>
      <c r="AC11" s="2">
        <f t="shared" si="12"/>
        <v>-4576.9184999999998</v>
      </c>
      <c r="AD11" s="2">
        <f t="shared" si="13"/>
        <v>0</v>
      </c>
      <c r="AE11" s="2">
        <f t="shared" si="14"/>
        <v>0</v>
      </c>
      <c r="AF11" s="2">
        <f t="shared" si="15"/>
        <v>0</v>
      </c>
      <c r="AG11" s="25">
        <f t="shared" si="16"/>
        <v>176250.606818</v>
      </c>
    </row>
    <row r="12" spans="1:33">
      <c r="A12" s="18">
        <v>7141</v>
      </c>
      <c r="B12" s="83" t="s">
        <v>128</v>
      </c>
      <c r="C12" s="83" t="s">
        <v>132</v>
      </c>
      <c r="D12" s="84" t="s">
        <v>112</v>
      </c>
      <c r="E12" s="84" t="s">
        <v>111</v>
      </c>
      <c r="F12" s="2">
        <v>0</v>
      </c>
      <c r="G12" s="2">
        <v>0</v>
      </c>
      <c r="H12" s="2">
        <v>1541.07</v>
      </c>
      <c r="I12" s="2">
        <v>569808.17000000004</v>
      </c>
      <c r="J12" s="2">
        <v>7672.92</v>
      </c>
      <c r="K12" s="2">
        <v>6825.54</v>
      </c>
      <c r="L12" s="2">
        <v>659.03</v>
      </c>
      <c r="M12" s="2">
        <v>0</v>
      </c>
      <c r="N12" s="2">
        <v>0</v>
      </c>
      <c r="O12" s="2"/>
      <c r="P12" s="2"/>
      <c r="Q12" s="2"/>
      <c r="R12" s="25">
        <f t="shared" si="1"/>
        <v>586506.7300000001</v>
      </c>
      <c r="S12" s="25"/>
      <c r="T12" s="72">
        <v>0.65639999999999998</v>
      </c>
      <c r="U12" s="2">
        <f t="shared" ref="U12:AF17" si="17">+$T12*F12</f>
        <v>0</v>
      </c>
      <c r="V12" s="2">
        <f t="shared" si="17"/>
        <v>0</v>
      </c>
      <c r="W12" s="2">
        <f t="shared" si="17"/>
        <v>1011.5583479999999</v>
      </c>
      <c r="X12" s="2">
        <f t="shared" si="17"/>
        <v>374022.082788</v>
      </c>
      <c r="Y12" s="2">
        <f t="shared" si="17"/>
        <v>5036.504688</v>
      </c>
      <c r="Z12" s="2">
        <f t="shared" si="17"/>
        <v>4480.2844559999994</v>
      </c>
      <c r="AA12" s="2">
        <f t="shared" si="17"/>
        <v>432.58729199999999</v>
      </c>
      <c r="AB12" s="2">
        <f t="shared" si="17"/>
        <v>0</v>
      </c>
      <c r="AC12" s="2">
        <f t="shared" si="17"/>
        <v>0</v>
      </c>
      <c r="AD12" s="2">
        <f t="shared" si="17"/>
        <v>0</v>
      </c>
      <c r="AE12" s="2">
        <f t="shared" si="17"/>
        <v>0</v>
      </c>
      <c r="AF12" s="2">
        <f t="shared" si="17"/>
        <v>0</v>
      </c>
      <c r="AG12" s="25">
        <f t="shared" si="16"/>
        <v>384983.01757200004</v>
      </c>
    </row>
    <row r="13" spans="1:33">
      <c r="A13" s="18">
        <v>7141</v>
      </c>
      <c r="B13" s="83" t="s">
        <v>128</v>
      </c>
      <c r="C13" s="83" t="s">
        <v>148</v>
      </c>
      <c r="D13" s="84" t="s">
        <v>112</v>
      </c>
      <c r="E13" s="84" t="s">
        <v>111</v>
      </c>
      <c r="F13" s="2">
        <v>6452.27</v>
      </c>
      <c r="G13" s="2">
        <v>5345.06</v>
      </c>
      <c r="H13" s="2">
        <v>2408.1</v>
      </c>
      <c r="I13" s="2">
        <v>1042.1400000000001</v>
      </c>
      <c r="J13" s="2">
        <v>2161.21</v>
      </c>
      <c r="K13" s="2">
        <v>0</v>
      </c>
      <c r="L13" s="2">
        <v>0</v>
      </c>
      <c r="M13" s="2">
        <v>0</v>
      </c>
      <c r="N13" s="2">
        <v>0</v>
      </c>
      <c r="O13" s="2"/>
      <c r="P13" s="2"/>
      <c r="Q13" s="2"/>
      <c r="R13" s="25">
        <f t="shared" si="1"/>
        <v>17408.780000000002</v>
      </c>
      <c r="S13" s="25"/>
      <c r="T13" s="72">
        <v>0.65639999999999998</v>
      </c>
      <c r="U13" s="2">
        <f t="shared" si="17"/>
        <v>4235.2700279999999</v>
      </c>
      <c r="V13" s="2">
        <f t="shared" si="17"/>
        <v>3508.4973840000002</v>
      </c>
      <c r="W13" s="2">
        <f t="shared" si="17"/>
        <v>1580.6768399999999</v>
      </c>
      <c r="X13" s="2">
        <f t="shared" si="17"/>
        <v>684.06069600000001</v>
      </c>
      <c r="Y13" s="2">
        <f t="shared" si="17"/>
        <v>1418.618244</v>
      </c>
      <c r="Z13" s="2">
        <f t="shared" si="17"/>
        <v>0</v>
      </c>
      <c r="AA13" s="2">
        <f t="shared" si="17"/>
        <v>0</v>
      </c>
      <c r="AB13" s="2">
        <f t="shared" si="17"/>
        <v>0</v>
      </c>
      <c r="AC13" s="2">
        <f t="shared" si="17"/>
        <v>0</v>
      </c>
      <c r="AD13" s="2">
        <f t="shared" si="17"/>
        <v>0</v>
      </c>
      <c r="AE13" s="2">
        <f t="shared" si="17"/>
        <v>0</v>
      </c>
      <c r="AF13" s="2">
        <f t="shared" si="17"/>
        <v>0</v>
      </c>
      <c r="AG13" s="25">
        <f t="shared" si="16"/>
        <v>11427.123191999999</v>
      </c>
    </row>
    <row r="14" spans="1:33">
      <c r="A14" s="18">
        <v>7141</v>
      </c>
      <c r="B14" s="83" t="s">
        <v>135</v>
      </c>
      <c r="C14" s="83" t="s">
        <v>132</v>
      </c>
      <c r="D14" s="84" t="s">
        <v>112</v>
      </c>
      <c r="E14" s="84" t="s">
        <v>111</v>
      </c>
      <c r="F14" s="2">
        <v>0</v>
      </c>
      <c r="G14" s="2">
        <v>0</v>
      </c>
      <c r="H14" s="2">
        <v>0</v>
      </c>
      <c r="I14" s="2">
        <v>553892.81000000006</v>
      </c>
      <c r="J14" s="2">
        <v>755665.83</v>
      </c>
      <c r="K14" s="2">
        <v>13173.79</v>
      </c>
      <c r="L14" s="2">
        <v>-7358.8899999999994</v>
      </c>
      <c r="M14" s="2">
        <v>4006.5</v>
      </c>
      <c r="N14" s="2">
        <v>5371.06</v>
      </c>
      <c r="O14" s="2">
        <v>-5371</v>
      </c>
      <c r="P14" s="2"/>
      <c r="Q14" s="2"/>
      <c r="R14" s="25">
        <f t="shared" si="1"/>
        <v>1319380.1000000003</v>
      </c>
      <c r="S14" s="25"/>
      <c r="T14" s="72">
        <v>0.65639999999999998</v>
      </c>
      <c r="U14" s="2">
        <f t="shared" si="17"/>
        <v>0</v>
      </c>
      <c r="V14" s="2">
        <f t="shared" si="17"/>
        <v>0</v>
      </c>
      <c r="W14" s="2">
        <f t="shared" si="17"/>
        <v>0</v>
      </c>
      <c r="X14" s="2">
        <f t="shared" si="17"/>
        <v>363575.24048400001</v>
      </c>
      <c r="Y14" s="2">
        <f t="shared" si="17"/>
        <v>496019.05081199994</v>
      </c>
      <c r="Z14" s="2">
        <f t="shared" si="17"/>
        <v>8647.2757560000009</v>
      </c>
      <c r="AA14" s="2">
        <f t="shared" si="17"/>
        <v>-4830.3753959999995</v>
      </c>
      <c r="AB14" s="2">
        <f t="shared" si="17"/>
        <v>2629.8665999999998</v>
      </c>
      <c r="AC14" s="2">
        <f t="shared" si="17"/>
        <v>3525.5637840000004</v>
      </c>
      <c r="AD14" s="2">
        <f t="shared" si="17"/>
        <v>-3525.5243999999998</v>
      </c>
      <c r="AE14" s="2">
        <f t="shared" si="17"/>
        <v>0</v>
      </c>
      <c r="AF14" s="2">
        <f t="shared" si="17"/>
        <v>0</v>
      </c>
      <c r="AG14" s="25">
        <f t="shared" si="16"/>
        <v>866041.09763999982</v>
      </c>
    </row>
    <row r="15" spans="1:33" s="68" customFormat="1">
      <c r="A15" s="68">
        <v>7141</v>
      </c>
      <c r="B15" s="83" t="s">
        <v>124</v>
      </c>
      <c r="C15" s="83" t="s">
        <v>42</v>
      </c>
      <c r="D15" s="84" t="s">
        <v>112</v>
      </c>
      <c r="E15" s="84" t="s">
        <v>110</v>
      </c>
      <c r="F15" s="111">
        <v>-29.64</v>
      </c>
      <c r="G15" s="111">
        <v>417.13</v>
      </c>
      <c r="H15" s="111">
        <v>45264.26</v>
      </c>
      <c r="I15" s="111">
        <v>50913.039999999994</v>
      </c>
      <c r="J15" s="111">
        <v>2091.98</v>
      </c>
      <c r="K15" s="111">
        <v>1061.71</v>
      </c>
      <c r="L15" s="111">
        <v>541.77</v>
      </c>
      <c r="M15" s="111">
        <v>-20378.84</v>
      </c>
      <c r="N15" s="111">
        <v>0</v>
      </c>
      <c r="O15" s="131">
        <v>447.15</v>
      </c>
      <c r="P15" s="111"/>
      <c r="Q15" s="111"/>
      <c r="R15" s="132">
        <f t="shared" si="1"/>
        <v>80328.56</v>
      </c>
      <c r="S15" s="132"/>
      <c r="T15" s="78">
        <v>0</v>
      </c>
      <c r="U15" s="111">
        <f t="shared" si="17"/>
        <v>0</v>
      </c>
      <c r="V15" s="111">
        <f t="shared" si="17"/>
        <v>0</v>
      </c>
      <c r="W15" s="111">
        <f t="shared" si="17"/>
        <v>0</v>
      </c>
      <c r="X15" s="111">
        <f t="shared" si="17"/>
        <v>0</v>
      </c>
      <c r="Y15" s="111">
        <f t="shared" si="17"/>
        <v>0</v>
      </c>
      <c r="Z15" s="111">
        <f t="shared" si="17"/>
        <v>0</v>
      </c>
      <c r="AA15" s="111">
        <f t="shared" si="17"/>
        <v>0</v>
      </c>
      <c r="AB15" s="111">
        <f t="shared" si="17"/>
        <v>0</v>
      </c>
      <c r="AC15" s="111">
        <f t="shared" si="17"/>
        <v>0</v>
      </c>
      <c r="AD15" s="111">
        <f t="shared" si="17"/>
        <v>0</v>
      </c>
      <c r="AE15" s="111">
        <f t="shared" si="17"/>
        <v>0</v>
      </c>
      <c r="AF15" s="111">
        <f t="shared" si="17"/>
        <v>0</v>
      </c>
      <c r="AG15" s="132">
        <f t="shared" si="16"/>
        <v>0</v>
      </c>
    </row>
    <row r="16" spans="1:33" s="68" customFormat="1">
      <c r="A16" s="68">
        <v>7141</v>
      </c>
      <c r="B16" s="83" t="s">
        <v>124</v>
      </c>
      <c r="C16" s="83" t="s">
        <v>42</v>
      </c>
      <c r="D16" s="84" t="s">
        <v>112</v>
      </c>
      <c r="E16" s="84" t="s">
        <v>160</v>
      </c>
      <c r="F16" s="111">
        <v>0</v>
      </c>
      <c r="G16" s="111">
        <v>0</v>
      </c>
      <c r="H16" s="111">
        <v>25499.71</v>
      </c>
      <c r="I16" s="111">
        <v>2894.08</v>
      </c>
      <c r="J16" s="111">
        <v>708.52</v>
      </c>
      <c r="K16" s="111">
        <v>150.59</v>
      </c>
      <c r="L16" s="111">
        <v>183.5</v>
      </c>
      <c r="M16" s="111">
        <v>77.200000000000017</v>
      </c>
      <c r="N16" s="111">
        <v>8836.6799999999985</v>
      </c>
      <c r="O16" s="131">
        <v>153.13999999999999</v>
      </c>
      <c r="P16" s="131">
        <v>2956.96</v>
      </c>
      <c r="Q16" s="111"/>
      <c r="R16" s="132">
        <f t="shared" si="1"/>
        <v>41460.379999999997</v>
      </c>
      <c r="S16" s="132"/>
      <c r="T16" s="78">
        <v>1</v>
      </c>
      <c r="U16" s="111">
        <f t="shared" si="17"/>
        <v>0</v>
      </c>
      <c r="V16" s="111">
        <f t="shared" si="17"/>
        <v>0</v>
      </c>
      <c r="W16" s="111">
        <f t="shared" si="17"/>
        <v>25499.71</v>
      </c>
      <c r="X16" s="111">
        <f t="shared" si="17"/>
        <v>2894.08</v>
      </c>
      <c r="Y16" s="111">
        <f t="shared" si="17"/>
        <v>708.52</v>
      </c>
      <c r="Z16" s="111">
        <f t="shared" si="17"/>
        <v>150.59</v>
      </c>
      <c r="AA16" s="111">
        <f t="shared" si="17"/>
        <v>183.5</v>
      </c>
      <c r="AB16" s="111">
        <f t="shared" si="17"/>
        <v>77.200000000000017</v>
      </c>
      <c r="AC16" s="111">
        <f t="shared" si="17"/>
        <v>8836.6799999999985</v>
      </c>
      <c r="AD16" s="111">
        <f t="shared" si="17"/>
        <v>153.13999999999999</v>
      </c>
      <c r="AE16" s="111">
        <f t="shared" si="17"/>
        <v>2956.96</v>
      </c>
      <c r="AF16" s="111">
        <f t="shared" si="17"/>
        <v>0</v>
      </c>
      <c r="AG16" s="132">
        <f t="shared" si="16"/>
        <v>41460.379999999997</v>
      </c>
    </row>
    <row r="17" spans="1:33" s="68" customFormat="1">
      <c r="A17" s="68">
        <v>7141</v>
      </c>
      <c r="B17" s="83" t="s">
        <v>124</v>
      </c>
      <c r="C17" s="83" t="s">
        <v>149</v>
      </c>
      <c r="D17" s="84" t="s">
        <v>133</v>
      </c>
      <c r="E17" s="84" t="s">
        <v>139</v>
      </c>
      <c r="F17" s="111">
        <v>0</v>
      </c>
      <c r="G17" s="111">
        <v>0</v>
      </c>
      <c r="H17" s="111">
        <v>0</v>
      </c>
      <c r="I17" s="111">
        <v>230007.74</v>
      </c>
      <c r="J17" s="111">
        <v>7272.11</v>
      </c>
      <c r="K17" s="111">
        <v>0</v>
      </c>
      <c r="L17" s="111">
        <v>946.3</v>
      </c>
      <c r="M17" s="111">
        <v>0</v>
      </c>
      <c r="N17" s="111">
        <v>0</v>
      </c>
      <c r="O17" s="111"/>
      <c r="P17" s="111"/>
      <c r="Q17" s="111"/>
      <c r="R17" s="132">
        <f t="shared" si="1"/>
        <v>238226.14999999997</v>
      </c>
      <c r="S17" s="132"/>
      <c r="T17" s="78">
        <v>0.48309143579999997</v>
      </c>
      <c r="U17" s="111">
        <f t="shared" si="17"/>
        <v>0</v>
      </c>
      <c r="V17" s="111">
        <f t="shared" si="17"/>
        <v>0</v>
      </c>
      <c r="W17" s="111">
        <f t="shared" si="17"/>
        <v>0</v>
      </c>
      <c r="X17" s="111">
        <f t="shared" si="17"/>
        <v>111114.76936171309</v>
      </c>
      <c r="Y17" s="111">
        <f t="shared" si="17"/>
        <v>3513.0940611955375</v>
      </c>
      <c r="Z17" s="111">
        <f t="shared" si="17"/>
        <v>0</v>
      </c>
      <c r="AA17" s="111">
        <f t="shared" si="17"/>
        <v>457.14942569753993</v>
      </c>
      <c r="AB17" s="111">
        <f t="shared" si="17"/>
        <v>0</v>
      </c>
      <c r="AC17" s="111">
        <f t="shared" si="17"/>
        <v>0</v>
      </c>
      <c r="AD17" s="111">
        <f t="shared" si="17"/>
        <v>0</v>
      </c>
      <c r="AE17" s="111">
        <f t="shared" si="17"/>
        <v>0</v>
      </c>
      <c r="AF17" s="111">
        <f t="shared" si="17"/>
        <v>0</v>
      </c>
      <c r="AG17" s="132">
        <f t="shared" si="16"/>
        <v>115085.01284860616</v>
      </c>
    </row>
    <row r="18" spans="1:33" s="68" customFormat="1">
      <c r="A18" s="68">
        <v>7141</v>
      </c>
      <c r="B18" s="83" t="s">
        <v>124</v>
      </c>
      <c r="C18" s="83" t="s">
        <v>147</v>
      </c>
      <c r="D18" s="84" t="s">
        <v>112</v>
      </c>
      <c r="E18" s="84" t="s">
        <v>111</v>
      </c>
      <c r="F18" s="111">
        <v>0</v>
      </c>
      <c r="G18" s="111">
        <v>0</v>
      </c>
      <c r="H18" s="111">
        <v>0</v>
      </c>
      <c r="I18" s="111">
        <v>2922.98</v>
      </c>
      <c r="J18" s="111">
        <v>59.52</v>
      </c>
      <c r="K18" s="111">
        <v>18.34</v>
      </c>
      <c r="L18" s="111">
        <v>-1.84</v>
      </c>
      <c r="M18" s="111">
        <v>0</v>
      </c>
      <c r="N18" s="111">
        <v>0</v>
      </c>
      <c r="O18" s="133">
        <v>1011</v>
      </c>
      <c r="P18" s="111"/>
      <c r="Q18" s="111"/>
      <c r="R18" s="132">
        <f t="shared" si="1"/>
        <v>4010</v>
      </c>
      <c r="S18" s="132"/>
      <c r="T18" s="72">
        <v>0.69189000000000001</v>
      </c>
      <c r="U18" s="111">
        <f t="shared" si="4"/>
        <v>0</v>
      </c>
      <c r="V18" s="111">
        <f t="shared" si="5"/>
        <v>0</v>
      </c>
      <c r="W18" s="111">
        <f t="shared" si="6"/>
        <v>0</v>
      </c>
      <c r="X18" s="111">
        <f t="shared" si="7"/>
        <v>2022.3806322</v>
      </c>
      <c r="Y18" s="111">
        <f t="shared" si="8"/>
        <v>41.181292800000001</v>
      </c>
      <c r="Z18" s="111">
        <f t="shared" si="9"/>
        <v>12.689262599999999</v>
      </c>
      <c r="AA18" s="111">
        <f t="shared" si="10"/>
        <v>-1.2730776000000001</v>
      </c>
      <c r="AB18" s="111">
        <f t="shared" si="11"/>
        <v>0</v>
      </c>
      <c r="AC18" s="111">
        <f t="shared" si="12"/>
        <v>0</v>
      </c>
      <c r="AD18" s="111">
        <f t="shared" si="13"/>
        <v>699.50079000000005</v>
      </c>
      <c r="AE18" s="111">
        <f t="shared" si="14"/>
        <v>0</v>
      </c>
      <c r="AF18" s="111">
        <f t="shared" si="15"/>
        <v>0</v>
      </c>
      <c r="AG18" s="132">
        <f t="shared" si="16"/>
        <v>2774.4789000000001</v>
      </c>
    </row>
    <row r="19" spans="1:33" s="68" customFormat="1">
      <c r="A19" s="68">
        <v>7141</v>
      </c>
      <c r="B19" s="83" t="s">
        <v>124</v>
      </c>
      <c r="C19" s="83" t="s">
        <v>147</v>
      </c>
      <c r="D19" s="84" t="s">
        <v>112</v>
      </c>
      <c r="E19" s="84" t="s">
        <v>160</v>
      </c>
      <c r="F19" s="111">
        <v>0</v>
      </c>
      <c r="G19" s="111">
        <v>0</v>
      </c>
      <c r="H19" s="111">
        <v>128888.63</v>
      </c>
      <c r="I19" s="111">
        <v>38912.660000000003</v>
      </c>
      <c r="J19" s="111">
        <v>4019.71</v>
      </c>
      <c r="K19" s="111">
        <v>813.19</v>
      </c>
      <c r="L19" s="111">
        <v>1194.4900000000002</v>
      </c>
      <c r="M19" s="111">
        <v>1232.1099999999999</v>
      </c>
      <c r="N19" s="111">
        <v>-8600.4900000000107</v>
      </c>
      <c r="O19" s="111"/>
      <c r="P19" s="111"/>
      <c r="Q19" s="111"/>
      <c r="R19" s="132">
        <f t="shared" si="1"/>
        <v>166460.29999999996</v>
      </c>
      <c r="S19" s="132"/>
      <c r="T19" s="78">
        <v>1</v>
      </c>
      <c r="U19" s="111">
        <f t="shared" si="4"/>
        <v>0</v>
      </c>
      <c r="V19" s="111">
        <f t="shared" si="5"/>
        <v>0</v>
      </c>
      <c r="W19" s="111">
        <f t="shared" si="6"/>
        <v>128888.63</v>
      </c>
      <c r="X19" s="111">
        <f t="shared" si="7"/>
        <v>38912.660000000003</v>
      </c>
      <c r="Y19" s="111">
        <f t="shared" si="8"/>
        <v>4019.71</v>
      </c>
      <c r="Z19" s="111">
        <f t="shared" si="9"/>
        <v>813.19</v>
      </c>
      <c r="AA19" s="111">
        <f t="shared" si="10"/>
        <v>1194.4900000000002</v>
      </c>
      <c r="AB19" s="111">
        <f t="shared" si="11"/>
        <v>1232.1099999999999</v>
      </c>
      <c r="AC19" s="111">
        <f t="shared" si="12"/>
        <v>-8600.4900000000107</v>
      </c>
      <c r="AD19" s="111">
        <f t="shared" si="13"/>
        <v>0</v>
      </c>
      <c r="AE19" s="111">
        <f t="shared" si="14"/>
        <v>0</v>
      </c>
      <c r="AF19" s="111">
        <f t="shared" si="15"/>
        <v>0</v>
      </c>
      <c r="AG19" s="132">
        <f t="shared" si="16"/>
        <v>166460.29999999996</v>
      </c>
    </row>
    <row r="20" spans="1:33" s="68" customFormat="1">
      <c r="A20" s="68">
        <v>7141</v>
      </c>
      <c r="B20" s="83" t="s">
        <v>124</v>
      </c>
      <c r="C20" s="83" t="s">
        <v>148</v>
      </c>
      <c r="D20" s="84" t="s">
        <v>112</v>
      </c>
      <c r="E20" s="84" t="s">
        <v>111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217705.87</v>
      </c>
      <c r="L20" s="111">
        <v>598.9</v>
      </c>
      <c r="M20" s="111">
        <v>0</v>
      </c>
      <c r="N20" s="111">
        <v>0</v>
      </c>
      <c r="O20" s="131">
        <v>40336.589999999997</v>
      </c>
      <c r="P20" s="111"/>
      <c r="Q20" s="111"/>
      <c r="R20" s="132">
        <f t="shared" si="1"/>
        <v>258641.36</v>
      </c>
      <c r="S20" s="132"/>
      <c r="T20" s="72">
        <v>0.65639999999999998</v>
      </c>
      <c r="U20" s="111">
        <f t="shared" si="4"/>
        <v>0</v>
      </c>
      <c r="V20" s="111">
        <f t="shared" si="5"/>
        <v>0</v>
      </c>
      <c r="W20" s="111">
        <f t="shared" si="6"/>
        <v>0</v>
      </c>
      <c r="X20" s="111">
        <f t="shared" si="7"/>
        <v>0</v>
      </c>
      <c r="Y20" s="111">
        <f t="shared" si="8"/>
        <v>0</v>
      </c>
      <c r="Z20" s="111">
        <f t="shared" si="9"/>
        <v>142902.133068</v>
      </c>
      <c r="AA20" s="111">
        <f t="shared" si="10"/>
        <v>393.11795999999998</v>
      </c>
      <c r="AB20" s="111">
        <f t="shared" si="11"/>
        <v>0</v>
      </c>
      <c r="AC20" s="111">
        <f t="shared" si="12"/>
        <v>0</v>
      </c>
      <c r="AD20" s="111">
        <f t="shared" si="13"/>
        <v>26476.937675999998</v>
      </c>
      <c r="AE20" s="111">
        <f t="shared" si="14"/>
        <v>0</v>
      </c>
      <c r="AF20" s="111">
        <f t="shared" si="15"/>
        <v>0</v>
      </c>
      <c r="AG20" s="132">
        <f t="shared" si="16"/>
        <v>169772.188704</v>
      </c>
    </row>
    <row r="21" spans="1:33" s="68" customFormat="1">
      <c r="A21" s="68">
        <v>7141</v>
      </c>
      <c r="B21" s="83" t="s">
        <v>124</v>
      </c>
      <c r="C21" s="83" t="s">
        <v>41</v>
      </c>
      <c r="D21" s="84" t="s">
        <v>112</v>
      </c>
      <c r="E21" s="84" t="s">
        <v>111</v>
      </c>
      <c r="F21" s="111">
        <v>0</v>
      </c>
      <c r="G21" s="111">
        <v>-6174</v>
      </c>
      <c r="H21" s="111">
        <v>0</v>
      </c>
      <c r="I21" s="111">
        <v>121701.98</v>
      </c>
      <c r="J21" s="111">
        <v>199.81</v>
      </c>
      <c r="K21" s="111">
        <v>1371.29</v>
      </c>
      <c r="L21" s="111">
        <v>-32.229999999999997</v>
      </c>
      <c r="M21" s="111">
        <v>524.72</v>
      </c>
      <c r="N21" s="111">
        <v>0</v>
      </c>
      <c r="O21" s="131">
        <v>1632</v>
      </c>
      <c r="P21" s="111"/>
      <c r="Q21" s="111"/>
      <c r="R21" s="132">
        <f t="shared" si="1"/>
        <v>119223.56999999999</v>
      </c>
      <c r="S21" s="132"/>
      <c r="T21" s="72">
        <v>0.65639999999999998</v>
      </c>
      <c r="U21" s="111">
        <f t="shared" si="4"/>
        <v>0</v>
      </c>
      <c r="V21" s="111">
        <f t="shared" si="5"/>
        <v>-4052.6135999999997</v>
      </c>
      <c r="W21" s="111">
        <f t="shared" si="6"/>
        <v>0</v>
      </c>
      <c r="X21" s="111">
        <f t="shared" si="7"/>
        <v>79885.179671999998</v>
      </c>
      <c r="Y21" s="111">
        <f t="shared" si="8"/>
        <v>131.15528399999999</v>
      </c>
      <c r="Z21" s="111">
        <f t="shared" si="9"/>
        <v>900.11475599999994</v>
      </c>
      <c r="AA21" s="111">
        <f t="shared" si="10"/>
        <v>-21.155771999999999</v>
      </c>
      <c r="AB21" s="111">
        <f t="shared" si="11"/>
        <v>344.42620800000003</v>
      </c>
      <c r="AC21" s="111">
        <f t="shared" si="12"/>
        <v>0</v>
      </c>
      <c r="AD21" s="111">
        <f t="shared" si="13"/>
        <v>1071.2447999999999</v>
      </c>
      <c r="AE21" s="111">
        <f t="shared" si="14"/>
        <v>0</v>
      </c>
      <c r="AF21" s="111">
        <f t="shared" si="15"/>
        <v>0</v>
      </c>
      <c r="AG21" s="132">
        <f t="shared" si="16"/>
        <v>78258.351347999997</v>
      </c>
    </row>
    <row r="22" spans="1:33">
      <c r="A22" s="18">
        <v>7141</v>
      </c>
      <c r="B22" s="83" t="s">
        <v>125</v>
      </c>
      <c r="C22" s="83" t="s">
        <v>42</v>
      </c>
      <c r="D22" s="84" t="s">
        <v>112</v>
      </c>
      <c r="E22" s="84" t="s">
        <v>110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35608.01</v>
      </c>
      <c r="L22" s="2">
        <v>279.01</v>
      </c>
      <c r="M22" s="2">
        <v>168.78</v>
      </c>
      <c r="N22" s="2">
        <v>155.01999999999998</v>
      </c>
      <c r="O22" s="2">
        <v>50.97</v>
      </c>
      <c r="P22" s="2"/>
      <c r="Q22" s="2"/>
      <c r="R22" s="25">
        <f t="shared" si="1"/>
        <v>36261.79</v>
      </c>
      <c r="S22" s="25"/>
      <c r="T22" s="78">
        <v>0</v>
      </c>
      <c r="U22" s="2">
        <f t="shared" si="4"/>
        <v>0</v>
      </c>
      <c r="V22" s="2">
        <f t="shared" si="5"/>
        <v>0</v>
      </c>
      <c r="W22" s="2">
        <f t="shared" si="6"/>
        <v>0</v>
      </c>
      <c r="X22" s="2">
        <f t="shared" si="7"/>
        <v>0</v>
      </c>
      <c r="Y22" s="2">
        <f t="shared" si="8"/>
        <v>0</v>
      </c>
      <c r="Z22" s="2">
        <f t="shared" si="9"/>
        <v>0</v>
      </c>
      <c r="AA22" s="2">
        <f t="shared" si="10"/>
        <v>0</v>
      </c>
      <c r="AB22" s="2">
        <f t="shared" si="11"/>
        <v>0</v>
      </c>
      <c r="AC22" s="2">
        <f t="shared" si="12"/>
        <v>0</v>
      </c>
      <c r="AD22" s="2">
        <f t="shared" si="13"/>
        <v>0</v>
      </c>
      <c r="AE22" s="2">
        <f t="shared" si="14"/>
        <v>0</v>
      </c>
      <c r="AF22" s="2">
        <f t="shared" si="15"/>
        <v>0</v>
      </c>
      <c r="AG22" s="25">
        <f t="shared" si="16"/>
        <v>0</v>
      </c>
    </row>
    <row r="23" spans="1:33">
      <c r="A23" s="18">
        <v>7141</v>
      </c>
      <c r="B23" s="83" t="s">
        <v>125</v>
      </c>
      <c r="C23" s="83" t="s">
        <v>42</v>
      </c>
      <c r="D23" s="84" t="s">
        <v>112</v>
      </c>
      <c r="E23" s="84" t="s">
        <v>160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92465.36</v>
      </c>
      <c r="L23" s="2">
        <v>309.68</v>
      </c>
      <c r="M23" s="2">
        <v>190.94</v>
      </c>
      <c r="N23" s="2">
        <v>0</v>
      </c>
      <c r="O23" s="2">
        <v>251.06</v>
      </c>
      <c r="P23" s="2"/>
      <c r="Q23" s="2"/>
      <c r="R23" s="25">
        <f t="shared" si="1"/>
        <v>93217.04</v>
      </c>
      <c r="S23" s="25"/>
      <c r="T23" s="78">
        <v>1</v>
      </c>
      <c r="U23" s="2">
        <f t="shared" si="4"/>
        <v>0</v>
      </c>
      <c r="V23" s="2">
        <f t="shared" si="5"/>
        <v>0</v>
      </c>
      <c r="W23" s="2">
        <f t="shared" si="6"/>
        <v>0</v>
      </c>
      <c r="X23" s="2">
        <f t="shared" si="7"/>
        <v>0</v>
      </c>
      <c r="Y23" s="2">
        <f t="shared" si="8"/>
        <v>0</v>
      </c>
      <c r="Z23" s="2">
        <f t="shared" si="9"/>
        <v>92465.36</v>
      </c>
      <c r="AA23" s="2">
        <f t="shared" si="10"/>
        <v>309.68</v>
      </c>
      <c r="AB23" s="2">
        <f t="shared" si="11"/>
        <v>190.94</v>
      </c>
      <c r="AC23" s="2">
        <f t="shared" si="12"/>
        <v>0</v>
      </c>
      <c r="AD23" s="2">
        <f t="shared" si="13"/>
        <v>251.06</v>
      </c>
      <c r="AE23" s="2">
        <f t="shared" si="14"/>
        <v>0</v>
      </c>
      <c r="AF23" s="2">
        <f t="shared" si="15"/>
        <v>0</v>
      </c>
      <c r="AG23" s="25">
        <f t="shared" si="16"/>
        <v>93217.04</v>
      </c>
    </row>
    <row r="24" spans="1:33">
      <c r="A24" s="18">
        <v>7141</v>
      </c>
      <c r="B24" s="83" t="s">
        <v>125</v>
      </c>
      <c r="C24" s="83" t="s">
        <v>147</v>
      </c>
      <c r="D24" s="84" t="s">
        <v>112</v>
      </c>
      <c r="E24" s="84" t="s">
        <v>111</v>
      </c>
      <c r="F24" s="2">
        <v>0</v>
      </c>
      <c r="G24" s="2">
        <v>0</v>
      </c>
      <c r="H24" s="2">
        <v>0</v>
      </c>
      <c r="I24" s="2">
        <v>63659.75</v>
      </c>
      <c r="J24" s="2">
        <v>669.25</v>
      </c>
      <c r="K24" s="2">
        <v>277271.31</v>
      </c>
      <c r="L24" s="2">
        <v>-69.86</v>
      </c>
      <c r="M24" s="2">
        <v>43.769999999999982</v>
      </c>
      <c r="N24" s="2">
        <v>218.18</v>
      </c>
      <c r="O24" s="3">
        <v>2572.8499999999995</v>
      </c>
      <c r="P24" s="3">
        <v>0</v>
      </c>
      <c r="Q24" s="3">
        <v>66280.75</v>
      </c>
      <c r="R24" s="25">
        <f t="shared" si="1"/>
        <v>410646</v>
      </c>
      <c r="S24" s="25"/>
      <c r="T24" s="72">
        <v>0.69189000000000001</v>
      </c>
      <c r="U24" s="2">
        <f t="shared" si="4"/>
        <v>0</v>
      </c>
      <c r="V24" s="2">
        <f t="shared" si="5"/>
        <v>0</v>
      </c>
      <c r="W24" s="2">
        <f t="shared" si="6"/>
        <v>0</v>
      </c>
      <c r="X24" s="2">
        <f t="shared" si="7"/>
        <v>44045.544427499997</v>
      </c>
      <c r="Y24" s="2">
        <f t="shared" si="8"/>
        <v>463.04738250000003</v>
      </c>
      <c r="Z24" s="2">
        <f t="shared" si="9"/>
        <v>191841.24667590001</v>
      </c>
      <c r="AA24" s="2">
        <f t="shared" si="10"/>
        <v>-48.335435400000001</v>
      </c>
      <c r="AB24" s="2">
        <f t="shared" si="11"/>
        <v>30.284025299999989</v>
      </c>
      <c r="AC24" s="2">
        <f t="shared" si="12"/>
        <v>150.95656020000001</v>
      </c>
      <c r="AD24" s="2">
        <f t="shared" si="13"/>
        <v>1780.1291864999996</v>
      </c>
      <c r="AE24" s="2">
        <f t="shared" si="14"/>
        <v>0</v>
      </c>
      <c r="AF24" s="2">
        <f t="shared" si="15"/>
        <v>45858.988117499997</v>
      </c>
      <c r="AG24" s="25">
        <f t="shared" si="16"/>
        <v>284121.86094000004</v>
      </c>
    </row>
    <row r="25" spans="1:33">
      <c r="A25" s="18">
        <v>7141</v>
      </c>
      <c r="B25" s="83" t="s">
        <v>125</v>
      </c>
      <c r="C25" s="83" t="s">
        <v>147</v>
      </c>
      <c r="D25" s="84" t="s">
        <v>112</v>
      </c>
      <c r="E25" s="84" t="s">
        <v>110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115995.17</v>
      </c>
      <c r="L25" s="67">
        <v>773.21</v>
      </c>
      <c r="M25" s="67">
        <v>557.01</v>
      </c>
      <c r="N25" s="67">
        <v>485.39</v>
      </c>
      <c r="O25" s="67"/>
      <c r="P25" s="67"/>
      <c r="Q25" s="67"/>
      <c r="R25" s="25">
        <f t="shared" si="1"/>
        <v>117810.78</v>
      </c>
      <c r="T25" s="78">
        <v>0</v>
      </c>
      <c r="U25" s="2">
        <f t="shared" ref="U25:AF27" si="18">+$T25*F25</f>
        <v>0</v>
      </c>
      <c r="V25" s="2">
        <f t="shared" si="18"/>
        <v>0</v>
      </c>
      <c r="W25" s="2">
        <f t="shared" si="18"/>
        <v>0</v>
      </c>
      <c r="X25" s="2">
        <f t="shared" si="18"/>
        <v>0</v>
      </c>
      <c r="Y25" s="2">
        <f t="shared" si="18"/>
        <v>0</v>
      </c>
      <c r="Z25" s="2">
        <f t="shared" si="18"/>
        <v>0</v>
      </c>
      <c r="AA25" s="2">
        <f t="shared" si="18"/>
        <v>0</v>
      </c>
      <c r="AB25" s="2">
        <f t="shared" si="18"/>
        <v>0</v>
      </c>
      <c r="AC25" s="2">
        <f t="shared" si="18"/>
        <v>0</v>
      </c>
      <c r="AD25" s="2">
        <f t="shared" si="18"/>
        <v>0</v>
      </c>
      <c r="AE25" s="2">
        <f t="shared" si="18"/>
        <v>0</v>
      </c>
      <c r="AF25" s="2">
        <f t="shared" si="18"/>
        <v>0</v>
      </c>
      <c r="AG25" s="25">
        <f t="shared" si="3"/>
        <v>0</v>
      </c>
    </row>
    <row r="26" spans="1:33">
      <c r="A26" s="18">
        <v>7141</v>
      </c>
      <c r="B26" s="83" t="s">
        <v>125</v>
      </c>
      <c r="C26" s="83" t="s">
        <v>147</v>
      </c>
      <c r="D26" s="84" t="s">
        <v>112</v>
      </c>
      <c r="E26" s="84" t="s">
        <v>160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2.23</v>
      </c>
      <c r="L26" s="2">
        <v>0</v>
      </c>
      <c r="M26" s="67">
        <v>0</v>
      </c>
      <c r="N26" s="67">
        <v>0</v>
      </c>
      <c r="O26" s="67"/>
      <c r="P26" s="67"/>
      <c r="Q26" s="67"/>
      <c r="R26" s="25">
        <f t="shared" si="1"/>
        <v>2.23</v>
      </c>
      <c r="T26" s="78">
        <v>1</v>
      </c>
      <c r="U26" s="2">
        <f t="shared" si="18"/>
        <v>0</v>
      </c>
      <c r="V26" s="2">
        <f t="shared" si="18"/>
        <v>0</v>
      </c>
      <c r="W26" s="2">
        <f t="shared" si="18"/>
        <v>0</v>
      </c>
      <c r="X26" s="2">
        <f t="shared" si="18"/>
        <v>0</v>
      </c>
      <c r="Y26" s="2">
        <f t="shared" si="18"/>
        <v>0</v>
      </c>
      <c r="Z26" s="2">
        <f t="shared" si="18"/>
        <v>2.23</v>
      </c>
      <c r="AA26" s="2">
        <f t="shared" si="18"/>
        <v>0</v>
      </c>
      <c r="AB26" s="2">
        <f t="shared" si="18"/>
        <v>0</v>
      </c>
      <c r="AC26" s="2">
        <f t="shared" si="18"/>
        <v>0</v>
      </c>
      <c r="AD26" s="2">
        <f t="shared" si="18"/>
        <v>0</v>
      </c>
      <c r="AE26" s="2">
        <f t="shared" si="18"/>
        <v>0</v>
      </c>
      <c r="AF26" s="2">
        <f t="shared" si="18"/>
        <v>0</v>
      </c>
      <c r="AG26" s="25">
        <f t="shared" si="3"/>
        <v>2.23</v>
      </c>
    </row>
    <row r="27" spans="1:33">
      <c r="A27" s="18">
        <v>7141</v>
      </c>
      <c r="B27" s="83" t="s">
        <v>125</v>
      </c>
      <c r="C27" s="83" t="s">
        <v>41</v>
      </c>
      <c r="D27" s="84" t="s">
        <v>112</v>
      </c>
      <c r="E27" s="84" t="s">
        <v>111</v>
      </c>
      <c r="F27" s="67">
        <v>368.83</v>
      </c>
      <c r="G27" s="67">
        <v>0</v>
      </c>
      <c r="H27" s="67">
        <v>276930.19000000006</v>
      </c>
      <c r="I27" s="67">
        <v>155060.75</v>
      </c>
      <c r="J27" s="67">
        <v>19016.280000000002</v>
      </c>
      <c r="K27" s="67">
        <v>85522.47</v>
      </c>
      <c r="L27" s="2">
        <v>-1054.3399999999999</v>
      </c>
      <c r="M27" s="67">
        <v>-21970.37000000001</v>
      </c>
      <c r="N27" s="67">
        <v>2979.73</v>
      </c>
      <c r="O27" s="130">
        <v>1549.6099999999931</v>
      </c>
      <c r="P27" s="130"/>
      <c r="Q27" s="130">
        <v>-64910.96</v>
      </c>
      <c r="R27" s="25">
        <f t="shared" si="1"/>
        <v>453492.19000000012</v>
      </c>
      <c r="T27" s="114">
        <v>0.65639999999999998</v>
      </c>
      <c r="U27" s="2">
        <f t="shared" si="18"/>
        <v>242.10001199999999</v>
      </c>
      <c r="V27" s="2">
        <f t="shared" si="18"/>
        <v>0</v>
      </c>
      <c r="W27" s="2">
        <f t="shared" si="18"/>
        <v>181776.97671600003</v>
      </c>
      <c r="X27" s="2">
        <f t="shared" si="18"/>
        <v>101781.8763</v>
      </c>
      <c r="Y27" s="2">
        <f t="shared" si="18"/>
        <v>12482.286192000001</v>
      </c>
      <c r="Z27" s="2">
        <f t="shared" si="18"/>
        <v>56136.949308000003</v>
      </c>
      <c r="AA27" s="2">
        <f t="shared" si="18"/>
        <v>-692.06877599999996</v>
      </c>
      <c r="AB27" s="2">
        <f t="shared" si="18"/>
        <v>-14421.350868000007</v>
      </c>
      <c r="AC27" s="2">
        <f t="shared" si="18"/>
        <v>1955.8947719999999</v>
      </c>
      <c r="AD27" s="2">
        <f t="shared" si="18"/>
        <v>1017.1640039999954</v>
      </c>
      <c r="AE27" s="2">
        <f t="shared" si="18"/>
        <v>0</v>
      </c>
      <c r="AF27" s="2">
        <f t="shared" si="18"/>
        <v>-42607.554144000002</v>
      </c>
      <c r="AG27" s="25">
        <f t="shared" si="3"/>
        <v>297672.27351600013</v>
      </c>
    </row>
    <row r="28" spans="1:33">
      <c r="B28" s="83"/>
      <c r="C28" s="83"/>
      <c r="D28" s="84"/>
      <c r="E28" s="84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25"/>
      <c r="T28" s="7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5"/>
    </row>
    <row r="29" spans="1:33" ht="15.75" thickBot="1">
      <c r="B29" s="74"/>
      <c r="C29" s="74"/>
      <c r="D29"/>
      <c r="E29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25"/>
      <c r="T29" s="7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5">
        <f t="shared" ref="AG29" si="19">SUM(U29:AF29)</f>
        <v>0</v>
      </c>
    </row>
    <row r="30" spans="1:33" ht="15.75" thickBot="1"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0">
        <f>SUM(R4:R29)</f>
        <v>10488292.9</v>
      </c>
      <c r="S30" s="76"/>
      <c r="U30" s="110">
        <f t="shared" ref="U30:Z30" si="20">SUM(U4:U29)</f>
        <v>260432.41561678264</v>
      </c>
      <c r="V30" s="110">
        <f t="shared" si="20"/>
        <v>182237.28096957612</v>
      </c>
      <c r="W30" s="110">
        <f t="shared" si="20"/>
        <v>501504.67066838848</v>
      </c>
      <c r="X30" s="110">
        <f t="shared" si="20"/>
        <v>1525043.5610908875</v>
      </c>
      <c r="Y30" s="110">
        <f t="shared" si="20"/>
        <v>883434.84595174459</v>
      </c>
      <c r="Z30" s="110">
        <f t="shared" si="20"/>
        <v>3195187.7741533704</v>
      </c>
      <c r="AA30" s="110">
        <f t="shared" ref="AA30:AF30" si="21">SUM(AA4:AA29)</f>
        <v>19833.582009423171</v>
      </c>
      <c r="AB30" s="110">
        <f t="shared" si="21"/>
        <v>-573.99240772791018</v>
      </c>
      <c r="AC30" s="110">
        <f t="shared" si="21"/>
        <v>13242.270207831867</v>
      </c>
      <c r="AD30" s="110">
        <f t="shared" si="21"/>
        <v>32278.802710356693</v>
      </c>
      <c r="AE30" s="110">
        <f t="shared" si="21"/>
        <v>16353.29286566309</v>
      </c>
      <c r="AF30" s="110">
        <f t="shared" si="21"/>
        <v>5363.5400584337622</v>
      </c>
      <c r="AG30" s="20">
        <f>SUM(AG4:AG29)</f>
        <v>6634338.0438947296</v>
      </c>
    </row>
    <row r="31" spans="1:33">
      <c r="R31" s="81" t="s">
        <v>136</v>
      </c>
      <c r="S31" s="23"/>
      <c r="AG31" s="81" t="str">
        <f>+R31</f>
        <v>EIM 2021 PF</v>
      </c>
    </row>
    <row r="32" spans="1:33">
      <c r="R32" s="98" t="s">
        <v>151</v>
      </c>
      <c r="AG32" s="99" t="s">
        <v>153</v>
      </c>
    </row>
    <row r="33" spans="6:27">
      <c r="V33" s="67"/>
    </row>
    <row r="35" spans="6:27"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46" spans="6:27">
      <c r="AA46" s="100" t="s">
        <v>154</v>
      </c>
    </row>
    <row r="70" spans="2:20">
      <c r="B70" s="18" t="s">
        <v>134</v>
      </c>
      <c r="C70" s="18" t="s">
        <v>42</v>
      </c>
      <c r="D70" s="18" t="s">
        <v>112</v>
      </c>
      <c r="E70" s="18" t="s">
        <v>111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270864.74277056294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270864.74277056294</v>
      </c>
      <c r="T70" s="77">
        <v>0.69089999999999996</v>
      </c>
    </row>
    <row r="71" spans="2:20">
      <c r="B71" s="18" t="s">
        <v>124</v>
      </c>
      <c r="C71" s="18" t="s">
        <v>41</v>
      </c>
      <c r="D71" s="18" t="s">
        <v>112</v>
      </c>
      <c r="E71" s="18" t="s">
        <v>111</v>
      </c>
      <c r="F71" s="18">
        <v>0</v>
      </c>
      <c r="G71" s="18">
        <v>0</v>
      </c>
      <c r="H71" s="18">
        <v>0</v>
      </c>
      <c r="I71" s="18">
        <v>162201.59944758663</v>
      </c>
      <c r="J71" s="18">
        <v>162201.59944758663</v>
      </c>
      <c r="K71" s="18">
        <v>696790.59944758669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1021193.79834276</v>
      </c>
      <c r="T71" s="78">
        <v>0.65639999999999998</v>
      </c>
    </row>
    <row r="72" spans="2:20">
      <c r="B72" s="18" t="s">
        <v>125</v>
      </c>
      <c r="C72" s="18" t="s">
        <v>41</v>
      </c>
      <c r="D72" s="18" t="s">
        <v>112</v>
      </c>
      <c r="E72" s="18" t="s">
        <v>111</v>
      </c>
      <c r="F72" s="18">
        <v>178239.24236798714</v>
      </c>
      <c r="G72" s="18">
        <v>178239.24236798714</v>
      </c>
      <c r="H72" s="18">
        <v>178239.24236798714</v>
      </c>
      <c r="I72" s="18">
        <v>178239.24236798714</v>
      </c>
      <c r="J72" s="18">
        <v>178239.24236798714</v>
      </c>
      <c r="K72" s="18">
        <v>157434.24236798714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1048630.4542079228</v>
      </c>
      <c r="T72" s="78">
        <v>0.65639999999999998</v>
      </c>
    </row>
    <row r="73" spans="2:20">
      <c r="B73" s="18" t="s">
        <v>126</v>
      </c>
      <c r="C73" s="18" t="s">
        <v>131</v>
      </c>
      <c r="D73" s="18" t="s">
        <v>112</v>
      </c>
      <c r="E73" s="18" t="s">
        <v>111</v>
      </c>
      <c r="F73" s="18">
        <v>0</v>
      </c>
      <c r="G73" s="18">
        <v>0</v>
      </c>
      <c r="H73" s="18">
        <v>260950.63795104434</v>
      </c>
      <c r="I73" s="18">
        <v>87748.637951044322</v>
      </c>
      <c r="J73" s="18">
        <v>87748.637951044322</v>
      </c>
      <c r="K73" s="18">
        <v>87748.637951044322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524196.55180417729</v>
      </c>
      <c r="T73" s="18">
        <v>0.69189999999999996</v>
      </c>
    </row>
    <row r="74" spans="2:20">
      <c r="B74" s="18" t="s">
        <v>127</v>
      </c>
      <c r="C74" s="18" t="s">
        <v>132</v>
      </c>
      <c r="D74" s="18" t="s">
        <v>112</v>
      </c>
      <c r="E74" s="18" t="s">
        <v>111</v>
      </c>
      <c r="F74" s="18">
        <v>0</v>
      </c>
      <c r="G74" s="18">
        <v>0</v>
      </c>
      <c r="H74" s="18">
        <v>0</v>
      </c>
      <c r="I74" s="18">
        <v>322248.38258207403</v>
      </c>
      <c r="J74" s="18">
        <v>108248.38258207406</v>
      </c>
      <c r="K74" s="18">
        <v>409598.38258207403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840095.14774622209</v>
      </c>
      <c r="T74" s="18">
        <v>0.65639999999999998</v>
      </c>
    </row>
    <row r="75" spans="2:20">
      <c r="B75" s="18" t="s">
        <v>128</v>
      </c>
      <c r="C75" s="18" t="s">
        <v>132</v>
      </c>
      <c r="D75" s="18" t="s">
        <v>112</v>
      </c>
      <c r="E75" s="18" t="s">
        <v>111</v>
      </c>
      <c r="F75" s="18">
        <v>0</v>
      </c>
      <c r="G75" s="18">
        <v>0</v>
      </c>
      <c r="H75" s="18">
        <v>0</v>
      </c>
      <c r="I75" s="18">
        <v>698074.4441648738</v>
      </c>
      <c r="J75" s="18">
        <v>488014.4441648738</v>
      </c>
      <c r="K75" s="18">
        <v>97974.444164873799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1284063.3324946214</v>
      </c>
      <c r="T75" s="18">
        <v>0.65639999999999998</v>
      </c>
    </row>
    <row r="76" spans="2:20">
      <c r="B76" s="18" t="s">
        <v>135</v>
      </c>
      <c r="C76" s="18" t="s">
        <v>132</v>
      </c>
      <c r="D76" s="18" t="s">
        <v>112</v>
      </c>
      <c r="E76" s="18" t="s">
        <v>111</v>
      </c>
      <c r="F76" s="18">
        <v>0</v>
      </c>
      <c r="G76" s="18">
        <v>0</v>
      </c>
      <c r="H76" s="18">
        <v>0</v>
      </c>
      <c r="I76" s="18">
        <v>0</v>
      </c>
      <c r="J76" s="18">
        <v>1889933.3706181389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1889933.3706181389</v>
      </c>
      <c r="T76" s="18">
        <v>0.65639999999999998</v>
      </c>
    </row>
    <row r="77" spans="2:20">
      <c r="B77" s="18" t="s">
        <v>129</v>
      </c>
      <c r="C77" s="18" t="s">
        <v>121</v>
      </c>
      <c r="D77" s="18" t="s">
        <v>112</v>
      </c>
      <c r="E77" s="18" t="s">
        <v>111</v>
      </c>
      <c r="F77" s="18">
        <v>0</v>
      </c>
      <c r="G77" s="18">
        <v>0</v>
      </c>
      <c r="H77" s="18">
        <v>0</v>
      </c>
      <c r="I77" s="18">
        <v>4091017.8719546576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4091017.8719546576</v>
      </c>
      <c r="T77" s="18">
        <v>0.69189999999999996</v>
      </c>
    </row>
    <row r="78" spans="2:20">
      <c r="B78" s="18" t="s">
        <v>130</v>
      </c>
      <c r="C78" s="18" t="s">
        <v>121</v>
      </c>
      <c r="D78" s="18" t="s">
        <v>133</v>
      </c>
      <c r="E78" s="18" t="s">
        <v>139</v>
      </c>
      <c r="F78" s="18">
        <v>233915.29167682279</v>
      </c>
      <c r="G78" s="18">
        <v>233915.29167682279</v>
      </c>
      <c r="H78" s="18">
        <v>233915.29167682279</v>
      </c>
      <c r="I78" s="18">
        <v>235397.69501015614</v>
      </c>
      <c r="J78" s="18">
        <v>235397.69501015614</v>
      </c>
      <c r="K78" s="18">
        <v>235397.69501015614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1407938.9600609366</v>
      </c>
      <c r="T78" s="18">
        <v>0.48309143579999997</v>
      </c>
    </row>
  </sheetData>
  <pageMargins left="0.7" right="0.7" top="0.75" bottom="0.75" header="0.3" footer="0.3"/>
  <pageSetup scale="55" orientation="landscape" horizontalDpi="1200" verticalDpi="1200" r:id="rId1"/>
  <headerFooter>
    <oddHeader>&amp;CAttachment A
January 14, 2022 EIM Capital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9.9978637043366805E-2"/>
  </sheetPr>
  <dimension ref="A1:AG9"/>
  <sheetViews>
    <sheetView workbookViewId="0">
      <selection activeCell="W12" sqref="W12"/>
    </sheetView>
  </sheetViews>
  <sheetFormatPr defaultColWidth="9.140625" defaultRowHeight="15" outlineLevelCol="1"/>
  <cols>
    <col min="1" max="1" width="6.5703125" style="18" customWidth="1"/>
    <col min="2" max="2" width="32.42578125" style="18" customWidth="1"/>
    <col min="3" max="3" width="19.42578125" style="18" customWidth="1"/>
    <col min="4" max="4" width="7.140625" style="18" customWidth="1"/>
    <col min="5" max="5" width="6" style="18" customWidth="1"/>
    <col min="6" max="6" width="12.7109375" style="18" bestFit="1" customWidth="1" outlineLevel="1"/>
    <col min="7" max="17" width="8.42578125" style="18" bestFit="1" customWidth="1" outlineLevel="1"/>
    <col min="18" max="18" width="26.42578125" style="18" bestFit="1" customWidth="1"/>
    <col min="19" max="19" width="9" style="18" customWidth="1"/>
    <col min="20" max="20" width="16" style="18" customWidth="1"/>
    <col min="21" max="22" width="8.42578125" style="18" bestFit="1" customWidth="1"/>
    <col min="23" max="23" width="14.28515625" style="18" bestFit="1" customWidth="1"/>
    <col min="24" max="25" width="9" style="18" bestFit="1" customWidth="1"/>
    <col min="26" max="32" width="8.42578125" style="18" bestFit="1" customWidth="1"/>
    <col min="33" max="33" width="15.5703125" style="18" customWidth="1"/>
    <col min="34" max="16384" width="9.140625" style="18"/>
  </cols>
  <sheetData>
    <row r="1" spans="1:33">
      <c r="A1" s="17" t="s">
        <v>122</v>
      </c>
      <c r="F1" s="21" t="s">
        <v>119</v>
      </c>
      <c r="O1" s="73"/>
      <c r="T1" s="2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8" t="s">
        <v>25</v>
      </c>
      <c r="G2" s="18" t="s">
        <v>25</v>
      </c>
      <c r="H2" s="18" t="s">
        <v>25</v>
      </c>
      <c r="I2" s="18" t="s">
        <v>25</v>
      </c>
      <c r="J2" s="18" t="s">
        <v>25</v>
      </c>
      <c r="K2" s="18" t="s">
        <v>25</v>
      </c>
      <c r="L2" s="18" t="s">
        <v>25</v>
      </c>
      <c r="M2" s="18" t="s">
        <v>25</v>
      </c>
      <c r="N2" s="18" t="s">
        <v>25</v>
      </c>
      <c r="O2" s="18" t="s">
        <v>25</v>
      </c>
      <c r="P2" s="18" t="s">
        <v>25</v>
      </c>
      <c r="Q2" s="18" t="s">
        <v>25</v>
      </c>
      <c r="R2" s="70" t="s">
        <v>120</v>
      </c>
      <c r="S2" s="70"/>
      <c r="U2" s="18" t="s">
        <v>25</v>
      </c>
      <c r="V2" s="18" t="s">
        <v>25</v>
      </c>
      <c r="W2" s="18" t="s">
        <v>25</v>
      </c>
      <c r="X2" s="18" t="s">
        <v>25</v>
      </c>
      <c r="Y2" s="18" t="s">
        <v>25</v>
      </c>
      <c r="Z2" s="18" t="s">
        <v>25</v>
      </c>
      <c r="AA2" s="18" t="s">
        <v>25</v>
      </c>
      <c r="AB2" s="18" t="s">
        <v>25</v>
      </c>
      <c r="AC2" s="18" t="s">
        <v>25</v>
      </c>
      <c r="AD2" s="18" t="s">
        <v>25</v>
      </c>
      <c r="AE2" s="18" t="s">
        <v>25</v>
      </c>
      <c r="AF2" s="18" t="s">
        <v>25</v>
      </c>
      <c r="AG2" s="70" t="s">
        <v>120</v>
      </c>
    </row>
    <row r="3" spans="1:33">
      <c r="A3" s="18" t="s">
        <v>26</v>
      </c>
      <c r="B3" s="75" t="s">
        <v>108</v>
      </c>
      <c r="C3" s="18" t="s">
        <v>27</v>
      </c>
      <c r="D3" s="70" t="s">
        <v>113</v>
      </c>
      <c r="E3" s="70" t="s">
        <v>109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70" t="s">
        <v>114</v>
      </c>
      <c r="S3" s="70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0" t="s">
        <v>117</v>
      </c>
    </row>
    <row r="4" spans="1:33">
      <c r="A4" s="18">
        <v>7141</v>
      </c>
      <c r="B4" s="83" t="s">
        <v>129</v>
      </c>
      <c r="C4" s="87" t="s">
        <v>121</v>
      </c>
      <c r="D4" s="88" t="s">
        <v>112</v>
      </c>
      <c r="E4" s="88" t="s">
        <v>111</v>
      </c>
      <c r="F4" s="86">
        <v>0</v>
      </c>
      <c r="G4" s="86">
        <v>0</v>
      </c>
      <c r="H4" s="86">
        <v>9102148.666666666</v>
      </c>
      <c r="I4" s="86">
        <v>1217609.6666666665</v>
      </c>
      <c r="J4" s="86">
        <v>1161944.6666666665</v>
      </c>
      <c r="K4" s="86">
        <v>0</v>
      </c>
      <c r="L4" s="86">
        <v>0</v>
      </c>
      <c r="M4" s="86">
        <v>0</v>
      </c>
      <c r="N4" s="86">
        <v>0</v>
      </c>
      <c r="O4" s="86">
        <v>0</v>
      </c>
      <c r="P4" s="86">
        <v>0</v>
      </c>
      <c r="Q4" s="86">
        <v>0</v>
      </c>
      <c r="R4" s="25">
        <f>SUM(F4:Q4)</f>
        <v>11481702.999999998</v>
      </c>
      <c r="S4" s="25"/>
      <c r="T4" s="77">
        <v>0.69189999999999996</v>
      </c>
      <c r="U4" s="2">
        <f>+$T4*F4</f>
        <v>0</v>
      </c>
      <c r="V4" s="2">
        <f t="shared" ref="V4:AF4" si="0">+$T4*G4</f>
        <v>0</v>
      </c>
      <c r="W4" s="2">
        <f t="shared" si="0"/>
        <v>6297776.6624666657</v>
      </c>
      <c r="X4" s="2">
        <f t="shared" si="0"/>
        <v>842464.1283666665</v>
      </c>
      <c r="Y4" s="2">
        <f t="shared" si="0"/>
        <v>803949.51486666652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7944190.3056999994</v>
      </c>
    </row>
    <row r="5" spans="1:33" ht="15.75" thickBot="1">
      <c r="B5" s="74"/>
      <c r="C5" s="74"/>
      <c r="D5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5"/>
      <c r="S5" s="25"/>
      <c r="T5" s="78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5"/>
    </row>
    <row r="6" spans="1:33" ht="15.75" thickBot="1"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2">
        <f>SUM(R4:R5)</f>
        <v>11481702.999999998</v>
      </c>
      <c r="S6" s="76"/>
      <c r="U6" s="26"/>
      <c r="V6" s="26"/>
      <c r="W6" s="22">
        <f>SUM(U4:W4)</f>
        <v>6297776.6624666657</v>
      </c>
      <c r="X6" s="26"/>
      <c r="Y6" s="26"/>
      <c r="Z6" s="26"/>
      <c r="AA6" s="26"/>
      <c r="AB6" s="26"/>
      <c r="AC6" s="26"/>
      <c r="AD6" s="26"/>
      <c r="AE6" s="26"/>
      <c r="AF6" s="26"/>
      <c r="AG6" s="22">
        <f>SUM(AG4:AG5)</f>
        <v>7944190.3056999994</v>
      </c>
    </row>
    <row r="7" spans="1:33">
      <c r="R7" s="81" t="s">
        <v>123</v>
      </c>
      <c r="S7" s="23"/>
      <c r="W7" s="81" t="s">
        <v>179</v>
      </c>
      <c r="AG7" s="81" t="str">
        <f>+R7</f>
        <v>EIM 2022 PF</v>
      </c>
    </row>
    <row r="8" spans="1:33">
      <c r="R8" s="98" t="s">
        <v>151</v>
      </c>
      <c r="W8" s="99" t="s">
        <v>153</v>
      </c>
      <c r="AG8" s="99" t="s">
        <v>153</v>
      </c>
    </row>
    <row r="9" spans="1:33" ht="15" customHeight="1"/>
  </sheetData>
  <autoFilter ref="A3:R5" xr:uid="{00000000-0009-0000-0000-000007000000}"/>
  <pageMargins left="0.7" right="0.7" top="0.75" bottom="0.75" header="0.3" footer="0.3"/>
  <pageSetup scale="65" fitToHeight="0" orientation="landscape" r:id="rId1"/>
  <headerFooter>
    <oddHeader>&amp;CAttachment A
January 14, 2022 EIM Capital Report</oddHead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AG16"/>
  <sheetViews>
    <sheetView topLeftCell="G1" workbookViewId="0">
      <selection activeCell="AC30" sqref="AC30"/>
    </sheetView>
  </sheetViews>
  <sheetFormatPr defaultColWidth="9.140625" defaultRowHeight="15" outlineLevelCol="1"/>
  <cols>
    <col min="1" max="1" width="6.5703125" style="18" customWidth="1"/>
    <col min="2" max="2" width="36" style="18" bestFit="1" customWidth="1"/>
    <col min="3" max="3" width="24" style="18" bestFit="1" customWidth="1"/>
    <col min="4" max="4" width="7.140625" style="18" customWidth="1"/>
    <col min="5" max="5" width="6" style="18" customWidth="1"/>
    <col min="6" max="6" width="12.7109375" style="18" bestFit="1" customWidth="1" outlineLevel="1"/>
    <col min="7" max="17" width="8.42578125" style="18" bestFit="1" customWidth="1" outlineLevel="1"/>
    <col min="18" max="18" width="26.42578125" style="18" bestFit="1" customWidth="1"/>
    <col min="19" max="19" width="9" style="18" customWidth="1"/>
    <col min="20" max="20" width="16" style="18" customWidth="1"/>
    <col min="21" max="22" width="9.5703125" style="18" bestFit="1" customWidth="1"/>
    <col min="23" max="23" width="10.5703125" style="18" bestFit="1" customWidth="1"/>
    <col min="24" max="25" width="9" style="18" bestFit="1" customWidth="1"/>
    <col min="26" max="32" width="8.42578125" style="18" bestFit="1" customWidth="1"/>
    <col min="33" max="33" width="15.5703125" style="18" customWidth="1"/>
    <col min="34" max="16384" width="9.140625" style="18"/>
  </cols>
  <sheetData>
    <row r="1" spans="1:33">
      <c r="A1" s="17" t="s">
        <v>122</v>
      </c>
      <c r="F1" s="21" t="s">
        <v>119</v>
      </c>
      <c r="O1" s="73"/>
      <c r="T1" s="21" t="s">
        <v>118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10</v>
      </c>
      <c r="AE1" s="18">
        <v>11</v>
      </c>
      <c r="AF1" s="18">
        <v>12</v>
      </c>
    </row>
    <row r="2" spans="1:33">
      <c r="F2" s="101" t="s">
        <v>155</v>
      </c>
      <c r="G2" s="101" t="s">
        <v>155</v>
      </c>
      <c r="H2" s="101" t="s">
        <v>155</v>
      </c>
      <c r="I2" s="101" t="s">
        <v>155</v>
      </c>
      <c r="J2" s="101" t="s">
        <v>155</v>
      </c>
      <c r="K2" s="101" t="s">
        <v>155</v>
      </c>
      <c r="L2" s="101" t="s">
        <v>155</v>
      </c>
      <c r="M2" s="101" t="s">
        <v>155</v>
      </c>
      <c r="N2" s="101" t="s">
        <v>155</v>
      </c>
      <c r="O2" s="101" t="s">
        <v>155</v>
      </c>
      <c r="P2" s="101" t="s">
        <v>155</v>
      </c>
      <c r="Q2" s="101" t="s">
        <v>155</v>
      </c>
      <c r="R2" s="70"/>
      <c r="S2" s="70"/>
      <c r="U2" s="101" t="s">
        <v>155</v>
      </c>
      <c r="V2" s="101" t="s">
        <v>155</v>
      </c>
      <c r="W2" s="101" t="s">
        <v>155</v>
      </c>
      <c r="X2" s="101" t="s">
        <v>155</v>
      </c>
      <c r="Y2" s="101" t="s">
        <v>155</v>
      </c>
      <c r="Z2" s="101" t="s">
        <v>155</v>
      </c>
      <c r="AA2" s="101" t="s">
        <v>155</v>
      </c>
      <c r="AB2" s="101" t="s">
        <v>155</v>
      </c>
      <c r="AC2" s="101" t="s">
        <v>155</v>
      </c>
      <c r="AD2" s="101" t="s">
        <v>155</v>
      </c>
      <c r="AE2" s="101" t="s">
        <v>155</v>
      </c>
      <c r="AF2" s="101" t="s">
        <v>155</v>
      </c>
      <c r="AG2" s="70"/>
    </row>
    <row r="3" spans="1:33">
      <c r="A3" s="18" t="s">
        <v>26</v>
      </c>
      <c r="B3" s="75" t="s">
        <v>108</v>
      </c>
      <c r="C3" s="18" t="s">
        <v>27</v>
      </c>
      <c r="D3" s="70" t="s">
        <v>113</v>
      </c>
      <c r="E3" s="70" t="s">
        <v>109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8" t="s">
        <v>34</v>
      </c>
      <c r="L3" s="18" t="s">
        <v>35</v>
      </c>
      <c r="M3" s="18" t="s">
        <v>36</v>
      </c>
      <c r="N3" s="18" t="s">
        <v>37</v>
      </c>
      <c r="O3" s="18" t="s">
        <v>38</v>
      </c>
      <c r="P3" s="18" t="s">
        <v>39</v>
      </c>
      <c r="Q3" s="18" t="s">
        <v>40</v>
      </c>
      <c r="R3" s="70" t="s">
        <v>114</v>
      </c>
      <c r="S3" s="70"/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8" t="s">
        <v>38</v>
      </c>
      <c r="AE3" s="18" t="s">
        <v>39</v>
      </c>
      <c r="AF3" s="18" t="s">
        <v>40</v>
      </c>
      <c r="AG3" s="70" t="s">
        <v>117</v>
      </c>
    </row>
    <row r="4" spans="1:33">
      <c r="A4" s="18">
        <v>7141</v>
      </c>
      <c r="B4" s="83" t="s">
        <v>130</v>
      </c>
      <c r="C4" s="83" t="s">
        <v>147</v>
      </c>
      <c r="D4" s="88" t="s">
        <v>133</v>
      </c>
      <c r="E4" s="88" t="s">
        <v>139</v>
      </c>
      <c r="F4" s="86">
        <v>2545.9699999999866</v>
      </c>
      <c r="G4" s="86">
        <v>2805.86</v>
      </c>
      <c r="H4" s="86">
        <v>5536.07</v>
      </c>
      <c r="I4" s="86"/>
      <c r="J4" s="86"/>
      <c r="K4" s="86"/>
      <c r="L4" s="86"/>
      <c r="M4" s="86"/>
      <c r="N4" s="86"/>
      <c r="O4" s="86"/>
      <c r="P4" s="86"/>
      <c r="Q4" s="86"/>
      <c r="R4" s="25">
        <f>SUM(F4:Q4)</f>
        <v>10887.899999999987</v>
      </c>
      <c r="S4" s="25"/>
      <c r="T4" s="78">
        <v>0.48309143579999997</v>
      </c>
      <c r="U4" s="2">
        <f>+$T4*F4</f>
        <v>1229.9363028037194</v>
      </c>
      <c r="V4" s="2">
        <f t="shared" ref="V4:AF4" si="0">+$T4*G4</f>
        <v>1355.486936053788</v>
      </c>
      <c r="W4" s="2">
        <f t="shared" si="0"/>
        <v>2674.4280049893055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5">
        <f>SUM(U4:AF4)</f>
        <v>5259.8512438468133</v>
      </c>
    </row>
    <row r="5" spans="1:33">
      <c r="A5" s="18">
        <v>7141</v>
      </c>
      <c r="B5" s="83" t="s">
        <v>129</v>
      </c>
      <c r="C5" s="87" t="s">
        <v>121</v>
      </c>
      <c r="D5" s="88" t="s">
        <v>112</v>
      </c>
      <c r="E5" s="88" t="s">
        <v>111</v>
      </c>
      <c r="F5" s="86"/>
      <c r="G5" s="86"/>
      <c r="H5" s="86">
        <v>8936700.9299999997</v>
      </c>
      <c r="I5" s="86"/>
      <c r="J5" s="86"/>
      <c r="K5" s="86"/>
      <c r="L5" s="86"/>
      <c r="M5" s="86"/>
      <c r="N5" s="86"/>
      <c r="O5" s="86"/>
      <c r="P5" s="86"/>
      <c r="Q5" s="86"/>
      <c r="R5" s="25">
        <f t="shared" ref="R5:R11" si="1">SUM(F5:Q5)</f>
        <v>8936700.9299999997</v>
      </c>
      <c r="S5" s="25"/>
      <c r="T5" s="78">
        <v>0.69189999999999996</v>
      </c>
      <c r="U5" s="2">
        <f t="shared" ref="U5:U11" si="2">+$T5*F5</f>
        <v>0</v>
      </c>
      <c r="V5" s="2">
        <f t="shared" ref="V5:V11" si="3">+$T5*G5</f>
        <v>0</v>
      </c>
      <c r="W5" s="2">
        <f t="shared" ref="W5:W11" si="4">+$T5*H5</f>
        <v>6183303.3734669993</v>
      </c>
      <c r="X5" s="2">
        <f t="shared" ref="X5:X11" si="5">+$T5*I5</f>
        <v>0</v>
      </c>
      <c r="Y5" s="2">
        <f t="shared" ref="Y5:Y11" si="6">+$T5*J5</f>
        <v>0</v>
      </c>
      <c r="Z5" s="2">
        <f t="shared" ref="Z5:Z11" si="7">+$T5*K5</f>
        <v>0</v>
      </c>
      <c r="AA5" s="2">
        <f t="shared" ref="AA5:AA11" si="8">+$T5*L5</f>
        <v>0</v>
      </c>
      <c r="AB5" s="2">
        <f t="shared" ref="AB5:AB11" si="9">+$T5*M5</f>
        <v>0</v>
      </c>
      <c r="AC5" s="2">
        <f t="shared" ref="AC5:AC11" si="10">+$T5*N5</f>
        <v>0</v>
      </c>
      <c r="AD5" s="2">
        <f t="shared" ref="AD5:AD11" si="11">+$T5*O5</f>
        <v>0</v>
      </c>
      <c r="AE5" s="2">
        <f t="shared" ref="AE5:AE11" si="12">+$T5*P5</f>
        <v>0</v>
      </c>
      <c r="AF5" s="2">
        <f t="shared" ref="AF5:AF11" si="13">+$T5*Q5</f>
        <v>0</v>
      </c>
      <c r="AG5" s="25">
        <f t="shared" ref="AG5:AG11" si="14">SUM(U5:AF5)</f>
        <v>6183303.3734669993</v>
      </c>
    </row>
    <row r="6" spans="1:33">
      <c r="A6" s="18">
        <v>7141</v>
      </c>
      <c r="B6" s="83" t="s">
        <v>129</v>
      </c>
      <c r="C6" s="83" t="s">
        <v>149</v>
      </c>
      <c r="D6" s="88" t="s">
        <v>112</v>
      </c>
      <c r="E6" s="88" t="s">
        <v>111</v>
      </c>
      <c r="F6" s="86"/>
      <c r="G6" s="86"/>
      <c r="H6" s="86">
        <v>94727.09</v>
      </c>
      <c r="I6" s="86"/>
      <c r="J6" s="86"/>
      <c r="K6" s="86"/>
      <c r="L6" s="86"/>
      <c r="M6" s="86"/>
      <c r="N6" s="86"/>
      <c r="O6" s="86"/>
      <c r="P6" s="86"/>
      <c r="Q6" s="86"/>
      <c r="R6" s="25">
        <f t="shared" si="1"/>
        <v>94727.09</v>
      </c>
      <c r="S6" s="25"/>
      <c r="T6" s="78">
        <v>0.69189999999999996</v>
      </c>
      <c r="U6" s="2">
        <f t="shared" si="2"/>
        <v>0</v>
      </c>
      <c r="V6" s="2">
        <f t="shared" si="3"/>
        <v>0</v>
      </c>
      <c r="W6" s="2">
        <f t="shared" si="4"/>
        <v>65541.673570999992</v>
      </c>
      <c r="X6" s="2">
        <f t="shared" si="5"/>
        <v>0</v>
      </c>
      <c r="Y6" s="2">
        <f t="shared" si="6"/>
        <v>0</v>
      </c>
      <c r="Z6" s="2">
        <f t="shared" si="7"/>
        <v>0</v>
      </c>
      <c r="AA6" s="2">
        <f t="shared" si="8"/>
        <v>0</v>
      </c>
      <c r="AB6" s="2">
        <f t="shared" si="9"/>
        <v>0</v>
      </c>
      <c r="AC6" s="2">
        <f t="shared" si="10"/>
        <v>0</v>
      </c>
      <c r="AD6" s="2">
        <f t="shared" si="11"/>
        <v>0</v>
      </c>
      <c r="AE6" s="2">
        <f t="shared" si="12"/>
        <v>0</v>
      </c>
      <c r="AF6" s="2">
        <f t="shared" si="13"/>
        <v>0</v>
      </c>
      <c r="AG6" s="25">
        <f t="shared" si="14"/>
        <v>65541.673570999992</v>
      </c>
    </row>
    <row r="7" spans="1:33">
      <c r="A7" s="18">
        <v>7141</v>
      </c>
      <c r="B7" s="83" t="s">
        <v>124</v>
      </c>
      <c r="C7" s="83" t="s">
        <v>41</v>
      </c>
      <c r="D7" s="84" t="s">
        <v>112</v>
      </c>
      <c r="E7" s="84" t="s">
        <v>111</v>
      </c>
      <c r="F7" s="86"/>
      <c r="G7" s="86">
        <v>7326.24</v>
      </c>
      <c r="H7" s="86">
        <v>1996.46</v>
      </c>
      <c r="I7" s="86"/>
      <c r="J7" s="86"/>
      <c r="K7" s="86"/>
      <c r="L7" s="86"/>
      <c r="M7" s="86"/>
      <c r="N7" s="86"/>
      <c r="O7" s="86"/>
      <c r="P7" s="86"/>
      <c r="Q7" s="86"/>
      <c r="R7" s="25">
        <f t="shared" si="1"/>
        <v>9322.7000000000007</v>
      </c>
      <c r="S7" s="25"/>
      <c r="T7" s="78">
        <v>0.65639999999999998</v>
      </c>
      <c r="U7" s="2">
        <f t="shared" si="2"/>
        <v>0</v>
      </c>
      <c r="V7" s="2">
        <f t="shared" si="3"/>
        <v>4808.9439359999997</v>
      </c>
      <c r="W7" s="2">
        <f t="shared" si="4"/>
        <v>1310.4763439999999</v>
      </c>
      <c r="X7" s="2">
        <f t="shared" si="5"/>
        <v>0</v>
      </c>
      <c r="Y7" s="2">
        <f t="shared" si="6"/>
        <v>0</v>
      </c>
      <c r="Z7" s="2">
        <f t="shared" si="7"/>
        <v>0</v>
      </c>
      <c r="AA7" s="2">
        <f t="shared" si="8"/>
        <v>0</v>
      </c>
      <c r="AB7" s="2">
        <f t="shared" si="9"/>
        <v>0</v>
      </c>
      <c r="AC7" s="2">
        <f t="shared" si="10"/>
        <v>0</v>
      </c>
      <c r="AD7" s="2">
        <f t="shared" si="11"/>
        <v>0</v>
      </c>
      <c r="AE7" s="2">
        <f t="shared" si="12"/>
        <v>0</v>
      </c>
      <c r="AF7" s="2">
        <f t="shared" si="13"/>
        <v>0</v>
      </c>
      <c r="AG7" s="25">
        <f t="shared" si="14"/>
        <v>6119.4202799999994</v>
      </c>
    </row>
    <row r="8" spans="1:33">
      <c r="A8" s="18">
        <v>7141</v>
      </c>
      <c r="B8" s="83" t="s">
        <v>124</v>
      </c>
      <c r="C8" s="83" t="s">
        <v>42</v>
      </c>
      <c r="D8" s="84" t="s">
        <v>112</v>
      </c>
      <c r="E8" s="84" t="s">
        <v>160</v>
      </c>
      <c r="F8" s="86"/>
      <c r="G8" s="86">
        <v>2230.88</v>
      </c>
      <c r="H8" s="86">
        <v>580.25</v>
      </c>
      <c r="I8" s="86"/>
      <c r="J8" s="86"/>
      <c r="K8" s="86"/>
      <c r="L8" s="86"/>
      <c r="M8" s="86"/>
      <c r="N8" s="86"/>
      <c r="O8" s="86"/>
      <c r="P8" s="86"/>
      <c r="Q8" s="86"/>
      <c r="R8" s="25">
        <f t="shared" si="1"/>
        <v>2811.13</v>
      </c>
      <c r="S8" s="25"/>
      <c r="T8" s="77">
        <v>1</v>
      </c>
      <c r="U8" s="2">
        <f t="shared" si="2"/>
        <v>0</v>
      </c>
      <c r="V8" s="2">
        <f t="shared" si="3"/>
        <v>2230.88</v>
      </c>
      <c r="W8" s="2">
        <f t="shared" si="4"/>
        <v>580.25</v>
      </c>
      <c r="X8" s="2">
        <f t="shared" si="5"/>
        <v>0</v>
      </c>
      <c r="Y8" s="2">
        <f t="shared" si="6"/>
        <v>0</v>
      </c>
      <c r="Z8" s="2">
        <f t="shared" si="7"/>
        <v>0</v>
      </c>
      <c r="AA8" s="2">
        <f t="shared" si="8"/>
        <v>0</v>
      </c>
      <c r="AB8" s="2">
        <f t="shared" si="9"/>
        <v>0</v>
      </c>
      <c r="AC8" s="2">
        <f t="shared" si="10"/>
        <v>0</v>
      </c>
      <c r="AD8" s="2">
        <f t="shared" si="11"/>
        <v>0</v>
      </c>
      <c r="AE8" s="2">
        <f t="shared" si="12"/>
        <v>0</v>
      </c>
      <c r="AF8" s="2">
        <f t="shared" si="13"/>
        <v>0</v>
      </c>
      <c r="AG8" s="25">
        <f t="shared" si="14"/>
        <v>2811.13</v>
      </c>
    </row>
    <row r="9" spans="1:33">
      <c r="A9" s="18">
        <v>7141</v>
      </c>
      <c r="B9" s="83" t="s">
        <v>175</v>
      </c>
      <c r="C9" s="87" t="s">
        <v>121</v>
      </c>
      <c r="D9" s="84" t="s">
        <v>112</v>
      </c>
      <c r="E9" s="84" t="s">
        <v>160</v>
      </c>
      <c r="F9" s="86"/>
      <c r="G9" s="86"/>
      <c r="H9" s="86">
        <v>415958.05</v>
      </c>
      <c r="I9" s="86"/>
      <c r="J9" s="86"/>
      <c r="K9" s="86"/>
      <c r="L9" s="86"/>
      <c r="M9" s="86"/>
      <c r="N9" s="86"/>
      <c r="O9" s="86"/>
      <c r="P9" s="86"/>
      <c r="Q9" s="86"/>
      <c r="R9" s="25">
        <f t="shared" si="1"/>
        <v>415958.05</v>
      </c>
      <c r="S9" s="25"/>
      <c r="T9" s="77">
        <v>1</v>
      </c>
      <c r="U9" s="2">
        <f t="shared" si="2"/>
        <v>0</v>
      </c>
      <c r="V9" s="2">
        <f t="shared" si="3"/>
        <v>0</v>
      </c>
      <c r="W9" s="2">
        <f t="shared" si="4"/>
        <v>415958.05</v>
      </c>
      <c r="X9" s="2">
        <f t="shared" si="5"/>
        <v>0</v>
      </c>
      <c r="Y9" s="2">
        <f t="shared" si="6"/>
        <v>0</v>
      </c>
      <c r="Z9" s="2">
        <f t="shared" si="7"/>
        <v>0</v>
      </c>
      <c r="AA9" s="2">
        <f t="shared" si="8"/>
        <v>0</v>
      </c>
      <c r="AB9" s="2">
        <f t="shared" si="9"/>
        <v>0</v>
      </c>
      <c r="AC9" s="2">
        <f t="shared" si="10"/>
        <v>0</v>
      </c>
      <c r="AD9" s="2">
        <f t="shared" si="11"/>
        <v>0</v>
      </c>
      <c r="AE9" s="2">
        <f t="shared" si="12"/>
        <v>0</v>
      </c>
      <c r="AF9" s="2">
        <f t="shared" si="13"/>
        <v>0</v>
      </c>
      <c r="AG9" s="25">
        <f t="shared" si="14"/>
        <v>415958.05</v>
      </c>
    </row>
    <row r="10" spans="1:33">
      <c r="A10" s="18">
        <v>7141</v>
      </c>
      <c r="B10" s="83" t="s">
        <v>175</v>
      </c>
      <c r="C10" s="83" t="s">
        <v>149</v>
      </c>
      <c r="D10" s="84" t="s">
        <v>112</v>
      </c>
      <c r="E10" s="84" t="s">
        <v>160</v>
      </c>
      <c r="F10" s="86"/>
      <c r="G10" s="86"/>
      <c r="H10" s="86">
        <v>24966.93</v>
      </c>
      <c r="I10" s="86"/>
      <c r="J10" s="86"/>
      <c r="K10" s="86"/>
      <c r="L10" s="86"/>
      <c r="M10" s="86"/>
      <c r="N10" s="86"/>
      <c r="O10" s="86"/>
      <c r="P10" s="86"/>
      <c r="Q10" s="86"/>
      <c r="R10" s="25">
        <f t="shared" si="1"/>
        <v>24966.93</v>
      </c>
      <c r="S10" s="25"/>
      <c r="T10" s="77">
        <v>1</v>
      </c>
      <c r="U10" s="2">
        <f t="shared" si="2"/>
        <v>0</v>
      </c>
      <c r="V10" s="2">
        <f t="shared" si="3"/>
        <v>0</v>
      </c>
      <c r="W10" s="2">
        <f t="shared" si="4"/>
        <v>24966.93</v>
      </c>
      <c r="X10" s="2">
        <f t="shared" si="5"/>
        <v>0</v>
      </c>
      <c r="Y10" s="2">
        <f t="shared" si="6"/>
        <v>0</v>
      </c>
      <c r="Z10" s="2">
        <f t="shared" si="7"/>
        <v>0</v>
      </c>
      <c r="AA10" s="2">
        <f t="shared" si="8"/>
        <v>0</v>
      </c>
      <c r="AB10" s="2">
        <f t="shared" si="9"/>
        <v>0</v>
      </c>
      <c r="AC10" s="2">
        <f t="shared" si="10"/>
        <v>0</v>
      </c>
      <c r="AD10" s="2">
        <f t="shared" si="11"/>
        <v>0</v>
      </c>
      <c r="AE10" s="2">
        <f t="shared" si="12"/>
        <v>0</v>
      </c>
      <c r="AF10" s="2">
        <f t="shared" si="13"/>
        <v>0</v>
      </c>
      <c r="AG10" s="25">
        <f t="shared" si="14"/>
        <v>24966.93</v>
      </c>
    </row>
    <row r="11" spans="1:33">
      <c r="A11" s="18">
        <v>7141</v>
      </c>
      <c r="B11" s="83" t="s">
        <v>175</v>
      </c>
      <c r="C11" s="83" t="s">
        <v>147</v>
      </c>
      <c r="D11" s="84" t="s">
        <v>112</v>
      </c>
      <c r="E11" s="84" t="s">
        <v>160</v>
      </c>
      <c r="F11" s="86"/>
      <c r="G11" s="86"/>
      <c r="H11" s="86">
        <v>2497</v>
      </c>
      <c r="I11" s="86"/>
      <c r="J11" s="86"/>
      <c r="K11" s="86"/>
      <c r="L11" s="86"/>
      <c r="M11" s="86"/>
      <c r="N11" s="86"/>
      <c r="O11" s="86"/>
      <c r="P11" s="86"/>
      <c r="Q11" s="86"/>
      <c r="R11" s="25">
        <f t="shared" si="1"/>
        <v>2497</v>
      </c>
      <c r="S11" s="25"/>
      <c r="T11" s="77">
        <v>1</v>
      </c>
      <c r="U11" s="2">
        <f t="shared" si="2"/>
        <v>0</v>
      </c>
      <c r="V11" s="2">
        <f t="shared" si="3"/>
        <v>0</v>
      </c>
      <c r="W11" s="2">
        <f t="shared" si="4"/>
        <v>2497</v>
      </c>
      <c r="X11" s="2">
        <f t="shared" si="5"/>
        <v>0</v>
      </c>
      <c r="Y11" s="2">
        <f t="shared" si="6"/>
        <v>0</v>
      </c>
      <c r="Z11" s="2">
        <f t="shared" si="7"/>
        <v>0</v>
      </c>
      <c r="AA11" s="2">
        <f t="shared" si="8"/>
        <v>0</v>
      </c>
      <c r="AB11" s="2">
        <f t="shared" si="9"/>
        <v>0</v>
      </c>
      <c r="AC11" s="2">
        <f t="shared" si="10"/>
        <v>0</v>
      </c>
      <c r="AD11" s="2">
        <f t="shared" si="11"/>
        <v>0</v>
      </c>
      <c r="AE11" s="2">
        <f t="shared" si="12"/>
        <v>0</v>
      </c>
      <c r="AF11" s="2">
        <f t="shared" si="13"/>
        <v>0</v>
      </c>
      <c r="AG11" s="25">
        <f t="shared" si="14"/>
        <v>2497</v>
      </c>
    </row>
    <row r="12" spans="1:33" ht="15.75" thickBot="1">
      <c r="B12" s="74"/>
      <c r="C12" s="74"/>
      <c r="D12"/>
      <c r="E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5"/>
      <c r="S12" s="25"/>
      <c r="T12" s="77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5"/>
    </row>
    <row r="13" spans="1:33" ht="15.75" thickBot="1"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2">
        <f>SUM(R4:R12)</f>
        <v>9497871.7300000004</v>
      </c>
      <c r="S13" s="76"/>
      <c r="U13" s="110">
        <f>SUM(U4:U12)</f>
        <v>1229.9363028037194</v>
      </c>
      <c r="V13" s="110">
        <f t="shared" ref="V13:W13" si="15">SUM(V4:V12)</f>
        <v>8395.3108720537875</v>
      </c>
      <c r="W13" s="110">
        <f t="shared" si="15"/>
        <v>6696832.1813869877</v>
      </c>
      <c r="X13" s="120">
        <f t="shared" ref="X13:AF13" si="16">SUM(X4)</f>
        <v>0</v>
      </c>
      <c r="Y13" s="120">
        <f t="shared" si="16"/>
        <v>0</v>
      </c>
      <c r="Z13" s="120">
        <f t="shared" si="16"/>
        <v>0</v>
      </c>
      <c r="AA13" s="120">
        <f t="shared" si="16"/>
        <v>0</v>
      </c>
      <c r="AB13" s="120">
        <f t="shared" si="16"/>
        <v>0</v>
      </c>
      <c r="AC13" s="120">
        <f t="shared" si="16"/>
        <v>0</v>
      </c>
      <c r="AD13" s="120">
        <f t="shared" si="16"/>
        <v>0</v>
      </c>
      <c r="AE13" s="120">
        <f t="shared" si="16"/>
        <v>0</v>
      </c>
      <c r="AF13" s="120">
        <f t="shared" si="16"/>
        <v>0</v>
      </c>
      <c r="AG13" s="22">
        <f>SUM(AG4:AG12)</f>
        <v>6706457.4285618458</v>
      </c>
    </row>
    <row r="14" spans="1:33">
      <c r="R14" s="81" t="s">
        <v>123</v>
      </c>
      <c r="S14" s="23"/>
      <c r="AG14" s="81" t="str">
        <f>+R14</f>
        <v>EIM 2022 PF</v>
      </c>
    </row>
    <row r="15" spans="1:33">
      <c r="R15" s="98" t="s">
        <v>151</v>
      </c>
      <c r="AG15" s="99" t="s">
        <v>153</v>
      </c>
    </row>
    <row r="16" spans="1:33" ht="15" customHeight="1"/>
  </sheetData>
  <pageMargins left="0.7" right="0.7" top="0.75" bottom="0.75" header="0.3" footer="0.3"/>
  <pageSetup scale="60" orientation="landscape" horizontalDpi="1200" verticalDpi="1200" r:id="rId1"/>
  <headerFooter>
    <oddHeader>&amp;CAttachment A
January 14, 2022 EIM Capital Report</oddHeader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2:XFD170"/>
  <sheetViews>
    <sheetView topLeftCell="A6" workbookViewId="0">
      <selection activeCell="M7" sqref="M7"/>
    </sheetView>
  </sheetViews>
  <sheetFormatPr defaultRowHeight="12.75"/>
  <cols>
    <col min="1" max="1" width="17" bestFit="1" customWidth="1"/>
    <col min="2" max="2" width="13.7109375" bestFit="1" customWidth="1"/>
    <col min="3" max="3" width="15.28515625" bestFit="1" customWidth="1"/>
    <col min="4" max="14" width="13.7109375" bestFit="1" customWidth="1"/>
    <col min="15" max="15" width="14.28515625" bestFit="1" customWidth="1"/>
    <col min="17" max="17" width="22.85546875" customWidth="1"/>
  </cols>
  <sheetData>
    <row r="2" spans="1:16384">
      <c r="A2" s="63" t="s">
        <v>106</v>
      </c>
    </row>
    <row r="3" spans="1:16384">
      <c r="B3" s="134">
        <f>'Summary-Cost-E - PF.PV'!Z3</f>
        <v>202109</v>
      </c>
      <c r="C3" s="134">
        <f>'Summary-Cost-E - PF.PV'!AA3</f>
        <v>202110</v>
      </c>
      <c r="D3" s="134">
        <f>'Summary-Cost-E - PF.PV'!AB3</f>
        <v>202111</v>
      </c>
      <c r="E3" s="134">
        <f>'Summary-Cost-E - PF.PV'!AC3</f>
        <v>202112</v>
      </c>
      <c r="F3" s="6">
        <f>'Summary-Cost-E - PF.PV'!AD3</f>
        <v>202201</v>
      </c>
      <c r="G3" s="6">
        <f>'Summary-Cost-E - PF.PV'!AE3</f>
        <v>202202</v>
      </c>
      <c r="H3" s="6">
        <f>'Summary-Cost-E - PF.PV'!AF3</f>
        <v>202203</v>
      </c>
      <c r="I3" s="6">
        <f>'Summary-Cost-E - PF.PV'!AG3</f>
        <v>202204</v>
      </c>
      <c r="J3" s="6">
        <f>'Summary-Cost-E - PF.PV'!AH3</f>
        <v>202205</v>
      </c>
      <c r="K3" s="6">
        <f>'Summary-Cost-E - PF.PV'!AI3</f>
        <v>202206</v>
      </c>
      <c r="L3" s="6">
        <f>'Summary-Cost-E - PF.PV'!AJ3</f>
        <v>202207</v>
      </c>
      <c r="M3" s="6">
        <f>'Summary-Cost-E - PF.PV'!AK3</f>
        <v>202208</v>
      </c>
      <c r="N3" s="6">
        <f>'Summary-Cost-E - PF.PV'!AL3</f>
        <v>202209</v>
      </c>
      <c r="O3" s="6" t="s">
        <v>9</v>
      </c>
    </row>
    <row r="4" spans="1:16384" s="2" customFormat="1">
      <c r="A4" t="s">
        <v>17</v>
      </c>
      <c r="B4" s="8">
        <f>'Summary-Cost-E - PF.PV'!Z4</f>
        <v>187140.45078018191</v>
      </c>
      <c r="C4" s="8">
        <f>'Summary-Cost-E - PF.PV'!AA4</f>
        <v>187140.45078018191</v>
      </c>
      <c r="D4" s="8">
        <f>'Summary-Cost-E - PF.PV'!AB4</f>
        <v>187140.45078018191</v>
      </c>
      <c r="E4" s="8">
        <f>'Summary-Cost-E - PF.PV'!AC4</f>
        <v>187140.45078018191</v>
      </c>
      <c r="F4" s="8">
        <f>'Summary-Cost-E - PF.PV'!AD4</f>
        <v>187140.45078018191</v>
      </c>
      <c r="G4" s="8">
        <f>'Summary-Cost-E - PF.PV'!AE4</f>
        <v>187140.45078018191</v>
      </c>
      <c r="H4" s="8">
        <f>'Summary-Cost-E - PF.PV'!AF4</f>
        <v>187140.45078018191</v>
      </c>
      <c r="I4" s="8">
        <f>'Summary-Cost-E - PF.PV'!AG4</f>
        <v>187140.45078018191</v>
      </c>
      <c r="J4" s="8">
        <f>'Summary-Cost-E - PF.PV'!AH4</f>
        <v>187140.45078018191</v>
      </c>
      <c r="K4" s="8">
        <f>'Summary-Cost-E - PF.PV'!AI4</f>
        <v>187140.45078018191</v>
      </c>
      <c r="L4" s="8">
        <f>'Summary-Cost-E - PF.PV'!AJ4</f>
        <v>187140.45078018191</v>
      </c>
      <c r="M4" s="8">
        <f>'Summary-Cost-E - PF.PV'!AK4</f>
        <v>187140.45078018191</v>
      </c>
      <c r="N4" s="8">
        <f>'Summary-Cost-E - PF.PV'!AL4</f>
        <v>187140.45078018191</v>
      </c>
      <c r="O4" s="27">
        <f>(((B4+N4)/2)+C4+D4+E4+F4+G4+H4+I4+J4+K4+L4+M4)/12</f>
        <v>187140.45078018191</v>
      </c>
    </row>
    <row r="5" spans="1:16384" s="2" customFormat="1">
      <c r="A5" t="s">
        <v>13</v>
      </c>
      <c r="B5" s="8">
        <f>'Summary-Cost-E - PF.PV'!Z5</f>
        <v>1502508.4696382682</v>
      </c>
      <c r="C5" s="8">
        <f>'Summary-Cost-E - PF.PV'!AA5</f>
        <v>1502508.4696382682</v>
      </c>
      <c r="D5" s="8">
        <f>'Summary-Cost-E - PF.PV'!AB5</f>
        <v>1502508.4696382682</v>
      </c>
      <c r="E5" s="8">
        <f>'Summary-Cost-E - PF.PV'!AC5</f>
        <v>1502508.4696382682</v>
      </c>
      <c r="F5" s="8">
        <f>'Summary-Cost-E - PF.PV'!AD5</f>
        <v>1502508.4696382682</v>
      </c>
      <c r="G5" s="8">
        <f>'Summary-Cost-E - PF.PV'!AE5</f>
        <v>1502508.4696382682</v>
      </c>
      <c r="H5" s="8">
        <f>'Summary-Cost-E - PF.PV'!AF5</f>
        <v>1502508.4696382682</v>
      </c>
      <c r="I5" s="8">
        <f>'Summary-Cost-E - PF.PV'!AG5</f>
        <v>1502508.4696382682</v>
      </c>
      <c r="J5" s="8">
        <f>'Summary-Cost-E - PF.PV'!AH5</f>
        <v>1502508.4696382682</v>
      </c>
      <c r="K5" s="8">
        <f>'Summary-Cost-E - PF.PV'!AI5</f>
        <v>1502508.4696382682</v>
      </c>
      <c r="L5" s="8">
        <f>'Summary-Cost-E - PF.PV'!AJ5</f>
        <v>1502508.4696382682</v>
      </c>
      <c r="M5" s="8">
        <f>'Summary-Cost-E - PF.PV'!AK5</f>
        <v>1502508.4696382682</v>
      </c>
      <c r="N5" s="8">
        <f>'Summary-Cost-E - PF.PV'!AL5</f>
        <v>1502508.4696382682</v>
      </c>
      <c r="O5" s="27">
        <f t="shared" ref="O5:O10" si="0">(((B5+N5)/2)+C5+D5+E5+F5+G5+H5+I5+J5+K5+L5+M5)/12</f>
        <v>1502508.4696382678</v>
      </c>
    </row>
    <row r="6" spans="1:16384" s="2" customFormat="1">
      <c r="A6" t="s">
        <v>141</v>
      </c>
      <c r="B6" s="8">
        <f>'Summary-Cost-E - PF.PV'!Z6</f>
        <v>3189739.4819518365</v>
      </c>
      <c r="C6" s="8">
        <f>'Summary-Cost-E - PF.PV'!AA6</f>
        <v>3189739.4819518365</v>
      </c>
      <c r="D6" s="8">
        <f>'Summary-Cost-E - PF.PV'!AB6</f>
        <v>3189739.4819518365</v>
      </c>
      <c r="E6" s="8">
        <f>'Summary-Cost-E - PF.PV'!AC6</f>
        <v>3189739.4819518365</v>
      </c>
      <c r="F6" s="8">
        <f>'Summary-Cost-E - PF.PV'!AD6</f>
        <v>3189739.4819518365</v>
      </c>
      <c r="G6" s="8">
        <f>'Summary-Cost-E - PF.PV'!AE6</f>
        <v>3189739.4819518365</v>
      </c>
      <c r="H6" s="8">
        <f>'Summary-Cost-E - PF.PV'!AF6</f>
        <v>3189739.4819518365</v>
      </c>
      <c r="I6" s="8">
        <f>'Summary-Cost-E - PF.PV'!AG6</f>
        <v>3189739.4819518365</v>
      </c>
      <c r="J6" s="8">
        <f>'Summary-Cost-E - PF.PV'!AH6</f>
        <v>3189739.4819518365</v>
      </c>
      <c r="K6" s="8">
        <f>'Summary-Cost-E - PF.PV'!AI6</f>
        <v>3189739.4819518365</v>
      </c>
      <c r="L6" s="8">
        <f>'Summary-Cost-E - PF.PV'!AJ6</f>
        <v>3189739.4819518365</v>
      </c>
      <c r="M6" s="8">
        <f>'Summary-Cost-E - PF.PV'!AK6</f>
        <v>3189739.4819518365</v>
      </c>
      <c r="N6" s="8">
        <f>'Summary-Cost-E - PF.PV'!AL6</f>
        <v>3189739.4819518365</v>
      </c>
      <c r="O6" s="27">
        <f t="shared" si="0"/>
        <v>3189739.4819518365</v>
      </c>
    </row>
    <row r="7" spans="1:16384" s="2" customFormat="1">
      <c r="A7" t="s">
        <v>148</v>
      </c>
      <c r="B7" s="8">
        <f>'Summary-Cost-E - PF.PV'!Z7</f>
        <v>447082.47473999998</v>
      </c>
      <c r="C7" s="8">
        <f>'Summary-Cost-E - PF.PV'!AA7</f>
        <v>447082.47473999998</v>
      </c>
      <c r="D7" s="8">
        <f>'Summary-Cost-E - PF.PV'!AB7</f>
        <v>447082.47473999998</v>
      </c>
      <c r="E7" s="8">
        <f>'Summary-Cost-E - PF.PV'!AC7</f>
        <v>447082.47473999998</v>
      </c>
      <c r="F7" s="8">
        <f>'Summary-Cost-E - PF.PV'!AD7</f>
        <v>447082.47473999998</v>
      </c>
      <c r="G7" s="8">
        <f>'Summary-Cost-E - PF.PV'!AE7</f>
        <v>447082.47473999998</v>
      </c>
      <c r="H7" s="8">
        <f>'Summary-Cost-E - PF.PV'!AF7</f>
        <v>447082.47473999998</v>
      </c>
      <c r="I7" s="8">
        <f>'Summary-Cost-E - PF.PV'!AG7</f>
        <v>447082.47473999998</v>
      </c>
      <c r="J7" s="8">
        <f>'Summary-Cost-E - PF.PV'!AH7</f>
        <v>447082.47473999998</v>
      </c>
      <c r="K7" s="8">
        <f>'Summary-Cost-E - PF.PV'!AI7</f>
        <v>447082.47473999998</v>
      </c>
      <c r="L7" s="8">
        <f>'Summary-Cost-E - PF.PV'!AJ7</f>
        <v>447082.47473999998</v>
      </c>
      <c r="M7" s="8">
        <f>'Summary-Cost-E - PF.PV'!AK7</f>
        <v>447082.47473999998</v>
      </c>
      <c r="N7" s="8">
        <f>'Summary-Cost-E - PF.PV'!AL7</f>
        <v>447082.47473999998</v>
      </c>
      <c r="O7" s="27">
        <f t="shared" si="0"/>
        <v>447082.47473999998</v>
      </c>
    </row>
    <row r="8" spans="1:16384" s="2" customFormat="1">
      <c r="A8" t="s">
        <v>138</v>
      </c>
      <c r="B8" s="8">
        <f>'Summary-Cost-E - PF.PV'!Z8</f>
        <v>795022.201049731</v>
      </c>
      <c r="C8" s="8">
        <f>'Summary-Cost-E - PF.PV'!AA8</f>
        <v>795022.201049731</v>
      </c>
      <c r="D8" s="8">
        <f>'Summary-Cost-E - PF.PV'!AB8</f>
        <v>795022.201049731</v>
      </c>
      <c r="E8" s="8">
        <f>'Summary-Cost-E - PF.PV'!AC8</f>
        <v>795022.201049731</v>
      </c>
      <c r="F8" s="8">
        <f>'Summary-Cost-E - PF.PV'!AD8</f>
        <v>795022.201049731</v>
      </c>
      <c r="G8" s="8">
        <f>'Summary-Cost-E - PF.PV'!AE8</f>
        <v>795022.201049731</v>
      </c>
      <c r="H8" s="8">
        <f>'Summary-Cost-E - PF.PV'!AF8</f>
        <v>795022.201049731</v>
      </c>
      <c r="I8" s="8">
        <f>'Summary-Cost-E - PF.PV'!AG8</f>
        <v>795022.201049731</v>
      </c>
      <c r="J8" s="8">
        <f>'Summary-Cost-E - PF.PV'!AH8</f>
        <v>795022.201049731</v>
      </c>
      <c r="K8" s="8">
        <f>'Summary-Cost-E - PF.PV'!AI8</f>
        <v>795022.201049731</v>
      </c>
      <c r="L8" s="8">
        <f>'Summary-Cost-E - PF.PV'!AJ8</f>
        <v>795022.201049731</v>
      </c>
      <c r="M8" s="8">
        <f>'Summary-Cost-E - PF.PV'!AK8</f>
        <v>795022.201049731</v>
      </c>
      <c r="N8" s="8">
        <f>'Summary-Cost-E - PF.PV'!AL8</f>
        <v>795022.201049731</v>
      </c>
      <c r="O8" s="27">
        <f t="shared" si="0"/>
        <v>795022.201049731</v>
      </c>
    </row>
    <row r="9" spans="1:16384" s="2" customFormat="1">
      <c r="A9" t="s">
        <v>150</v>
      </c>
      <c r="B9" s="8">
        <f>'Summary-Cost-E - PF.PV'!Z9</f>
        <v>32615.002710000008</v>
      </c>
      <c r="C9" s="8">
        <f>'Summary-Cost-E - PF.PV'!AA9</f>
        <v>32615.002710000008</v>
      </c>
      <c r="D9" s="8">
        <f>'Summary-Cost-E - PF.PV'!AB9</f>
        <v>32615.002710000008</v>
      </c>
      <c r="E9" s="8">
        <f>'Summary-Cost-E - PF.PV'!AC9</f>
        <v>32615.002710000008</v>
      </c>
      <c r="F9" s="8">
        <f>'Summary-Cost-E - PF.PV'!AD9</f>
        <v>32615.002710000008</v>
      </c>
      <c r="G9" s="8">
        <f>'Summary-Cost-E - PF.PV'!AE9</f>
        <v>32615.002710000008</v>
      </c>
      <c r="H9" s="8">
        <f>'Summary-Cost-E - PF.PV'!AF9</f>
        <v>32615.002710000008</v>
      </c>
      <c r="I9" s="8">
        <f>'Summary-Cost-E - PF.PV'!AG9</f>
        <v>32615.002710000008</v>
      </c>
      <c r="J9" s="8">
        <f>'Summary-Cost-E - PF.PV'!AH9</f>
        <v>32615.002710000008</v>
      </c>
      <c r="K9" s="8">
        <f>'Summary-Cost-E - PF.PV'!AI9</f>
        <v>32615.002710000008</v>
      </c>
      <c r="L9" s="8">
        <f>'Summary-Cost-E - PF.PV'!AJ9</f>
        <v>32615.002710000008</v>
      </c>
      <c r="M9" s="8">
        <f>'Summary-Cost-E - PF.PV'!AK9</f>
        <v>32615.002710000008</v>
      </c>
      <c r="N9" s="8">
        <f>'Summary-Cost-E - PF.PV'!AL9</f>
        <v>32615.002710000008</v>
      </c>
      <c r="O9" s="27">
        <f t="shared" si="0"/>
        <v>32615.002710000012</v>
      </c>
    </row>
    <row r="10" spans="1:16384" s="2" customFormat="1">
      <c r="A10" t="s">
        <v>19</v>
      </c>
      <c r="B10" s="8">
        <f>'Summary-Cost-E - PF.PV'!Z10</f>
        <v>3654515.8033470665</v>
      </c>
      <c r="C10" s="8">
        <f>'Summary-Cost-E - PF.PV'!AA10</f>
        <v>3654515.8033470665</v>
      </c>
      <c r="D10" s="8">
        <f>'Summary-Cost-E - PF.PV'!AB10</f>
        <v>3654515.8033470665</v>
      </c>
      <c r="E10" s="8">
        <f>'Summary-Cost-E - PF.PV'!AC10</f>
        <v>3654515.8033470665</v>
      </c>
      <c r="F10" s="8">
        <f>'Summary-Cost-E - PF.PV'!AD10</f>
        <v>3654515.8033470665</v>
      </c>
      <c r="G10" s="8">
        <f>'Summary-Cost-E - PF.PV'!AE10</f>
        <v>3654515.8033470665</v>
      </c>
      <c r="H10" s="8">
        <f>'Summary-Cost-E - PF.PV'!AF10</f>
        <v>9952292.4658137318</v>
      </c>
      <c r="I10" s="8">
        <f>'Summary-Cost-E - PF.PV'!AG10</f>
        <v>10794756.594180398</v>
      </c>
      <c r="J10" s="8">
        <f>'Summary-Cost-E - PF.PV'!AH10</f>
        <v>11598706.109047065</v>
      </c>
      <c r="K10" s="8">
        <f>'Summary-Cost-E - PF.PV'!AI10</f>
        <v>11598706.109047065</v>
      </c>
      <c r="L10" s="8">
        <f>'Summary-Cost-E - PF.PV'!AJ10</f>
        <v>11598706.109047065</v>
      </c>
      <c r="M10" s="8">
        <f>'Summary-Cost-E - PF.PV'!AK10</f>
        <v>11598706.109047065</v>
      </c>
      <c r="N10" s="8">
        <f>'Summary-Cost-E - PF.PV'!AL10</f>
        <v>11598706.109047065</v>
      </c>
      <c r="O10" s="27">
        <f t="shared" si="0"/>
        <v>7753421.9557595663</v>
      </c>
    </row>
    <row r="11" spans="1:16384" ht="13.5" thickBot="1">
      <c r="A11" t="s">
        <v>7</v>
      </c>
      <c r="B11" s="5">
        <f>SUM(B4:B10)</f>
        <v>9808623.8842170853</v>
      </c>
      <c r="C11" s="5">
        <f t="shared" ref="C11:N11" si="1">SUM(C4:C10)</f>
        <v>9808623.8842170853</v>
      </c>
      <c r="D11" s="5">
        <f t="shared" si="1"/>
        <v>9808623.8842170853</v>
      </c>
      <c r="E11" s="5">
        <f t="shared" si="1"/>
        <v>9808623.8842170853</v>
      </c>
      <c r="F11" s="5">
        <f t="shared" si="1"/>
        <v>9808623.8842170853</v>
      </c>
      <c r="G11" s="5">
        <f t="shared" si="1"/>
        <v>9808623.8842170853</v>
      </c>
      <c r="H11" s="5">
        <f t="shared" si="1"/>
        <v>16106400.546683751</v>
      </c>
      <c r="I11" s="5">
        <f t="shared" si="1"/>
        <v>16948864.675050415</v>
      </c>
      <c r="J11" s="5">
        <f t="shared" si="1"/>
        <v>17752814.189917084</v>
      </c>
      <c r="K11" s="5">
        <f t="shared" si="1"/>
        <v>17752814.189917084</v>
      </c>
      <c r="L11" s="5">
        <f t="shared" si="1"/>
        <v>17752814.189917084</v>
      </c>
      <c r="M11" s="5">
        <f t="shared" si="1"/>
        <v>17752814.189917084</v>
      </c>
      <c r="N11" s="5">
        <f t="shared" si="1"/>
        <v>17752814.189917084</v>
      </c>
      <c r="O11" s="7">
        <f>SUM(O4:O10)</f>
        <v>13907530.036629584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  <c r="XFC11" s="14"/>
      <c r="XFD11" s="14"/>
    </row>
    <row r="12" spans="1:16384">
      <c r="Q12" s="2"/>
    </row>
    <row r="13" spans="1:16384">
      <c r="A13" t="s">
        <v>17</v>
      </c>
      <c r="B13" s="2">
        <f>'Summary-Cost-E - PF.PV'!Z37</f>
        <v>-1337.2744712000499</v>
      </c>
      <c r="C13" s="2">
        <f>'Summary-Cost-E - PF.PV'!AA37</f>
        <v>-1719.3528915429213</v>
      </c>
      <c r="D13" s="2">
        <f>'Summary-Cost-E - PF.PV'!AB37</f>
        <v>-2101.4313118857926</v>
      </c>
      <c r="E13" s="2">
        <f>'Summary-Cost-E - PF.PV'!AC37</f>
        <v>-2483.5097322286642</v>
      </c>
      <c r="F13" s="2">
        <f>'Summary-Cost-E - PF.PV'!AD37</f>
        <v>-2865.5881525715358</v>
      </c>
      <c r="G13" s="2">
        <f>'Summary-Cost-E - PF.PV'!AE37</f>
        <v>-3247.6665729144074</v>
      </c>
      <c r="H13" s="2">
        <f>'Summary-Cost-E - PF.PV'!AF37</f>
        <v>-3629.744993257279</v>
      </c>
      <c r="I13" s="2">
        <f>'Summary-Cost-E - PF.PV'!AG37</f>
        <v>-4011.8234136001506</v>
      </c>
      <c r="J13" s="2">
        <f>'Summary-Cost-E - PF.PV'!AH37</f>
        <v>-4393.9018339430222</v>
      </c>
      <c r="K13" s="2">
        <f>'Summary-Cost-E - PF.PV'!AI37</f>
        <v>-4775.9802542858934</v>
      </c>
      <c r="L13" s="2">
        <f>'Summary-Cost-E - PF.PV'!AJ37</f>
        <v>-5158.0586746287645</v>
      </c>
      <c r="M13" s="2">
        <f>'Summary-Cost-E - PF.PV'!AK37</f>
        <v>-5540.1370949716356</v>
      </c>
      <c r="N13" s="2">
        <f>'Summary-Cost-E - PF.PV'!AL37</f>
        <v>-5922.2155153145068</v>
      </c>
      <c r="O13" s="28">
        <f t="shared" ref="O13:O19" si="2">(((B13+N13)/2)+C13+D13+E13+F13+G13+H13+I13+J13+K13+L13+M13)/12</f>
        <v>-3629.7449932572795</v>
      </c>
    </row>
    <row r="14" spans="1:16384">
      <c r="A14" t="s">
        <v>13</v>
      </c>
      <c r="B14" s="2">
        <f>'Summary-Cost-E - PF.PV'!Z38</f>
        <v>-14893.885495852681</v>
      </c>
      <c r="C14" s="2">
        <f>'Summary-Cost-E - PF.PV'!AA38</f>
        <v>-17473.19170206504</v>
      </c>
      <c r="D14" s="2">
        <f>'Summary-Cost-E - PF.PV'!AB38</f>
        <v>-20052.497908277401</v>
      </c>
      <c r="E14" s="2">
        <f>'Summary-Cost-E - PF.PV'!AC38</f>
        <v>-22631.804114489762</v>
      </c>
      <c r="F14" s="2">
        <f>'Summary-Cost-E - PF.PV'!AD38</f>
        <v>-25211.110320702122</v>
      </c>
      <c r="G14" s="2">
        <f>'Summary-Cost-E - PF.PV'!AE38</f>
        <v>-27790.416526914483</v>
      </c>
      <c r="H14" s="2">
        <f>'Summary-Cost-E - PF.PV'!AF38</f>
        <v>-30369.722733126844</v>
      </c>
      <c r="I14" s="2">
        <f>'Summary-Cost-E - PF.PV'!AG38</f>
        <v>-32949.028939339201</v>
      </c>
      <c r="J14" s="2">
        <f>'Summary-Cost-E - PF.PV'!AH38</f>
        <v>-35528.335145551559</v>
      </c>
      <c r="K14" s="2">
        <f>'Summary-Cost-E - PF.PV'!AI38</f>
        <v>-38107.641351763916</v>
      </c>
      <c r="L14" s="2">
        <f>'Summary-Cost-E - PF.PV'!AJ38</f>
        <v>-40686.947557976273</v>
      </c>
      <c r="M14" s="2">
        <f>'Summary-Cost-E - PF.PV'!AK38</f>
        <v>-43266.25376418863</v>
      </c>
      <c r="N14" s="2">
        <f>'Summary-Cost-E - PF.PV'!AL38</f>
        <v>-45845.559970400987</v>
      </c>
      <c r="O14" s="28">
        <f t="shared" si="2"/>
        <v>-30369.72273312684</v>
      </c>
    </row>
    <row r="15" spans="1:16384">
      <c r="A15" t="s">
        <v>141</v>
      </c>
      <c r="B15" s="2">
        <f>'Summary-Cost-E - PF.PV'!Z39</f>
        <v>-36704.291722448652</v>
      </c>
      <c r="C15" s="2">
        <f>'Summary-Cost-E - PF.PV'!AA39</f>
        <v>-42552.147439360349</v>
      </c>
      <c r="D15" s="2">
        <f>'Summary-Cost-E - PF.PV'!AB39</f>
        <v>-48400.003156272047</v>
      </c>
      <c r="E15" s="2">
        <f>'Summary-Cost-E - PF.PV'!AC39</f>
        <v>-54247.858873183744</v>
      </c>
      <c r="F15" s="2">
        <f>'Summary-Cost-E - PF.PV'!AD39</f>
        <v>-60095.714590095442</v>
      </c>
      <c r="G15" s="2">
        <f>'Summary-Cost-E - PF.PV'!AE39</f>
        <v>-65943.570307007147</v>
      </c>
      <c r="H15" s="2">
        <f>'Summary-Cost-E - PF.PV'!AF39</f>
        <v>-71791.426023918844</v>
      </c>
      <c r="I15" s="2">
        <f>'Summary-Cost-E - PF.PV'!AG39</f>
        <v>-77639.281740830542</v>
      </c>
      <c r="J15" s="2">
        <f>'Summary-Cost-E - PF.PV'!AH39</f>
        <v>-83487.137457742239</v>
      </c>
      <c r="K15" s="2">
        <f>'Summary-Cost-E - PF.PV'!AI39</f>
        <v>-89334.993174653937</v>
      </c>
      <c r="L15" s="2">
        <f>'Summary-Cost-E - PF.PV'!AJ39</f>
        <v>-95182.848891565634</v>
      </c>
      <c r="M15" s="2">
        <f>'Summary-Cost-E - PF.PV'!AK39</f>
        <v>-101030.70460847733</v>
      </c>
      <c r="N15" s="2">
        <f>'Summary-Cost-E - PF.PV'!AL39</f>
        <v>-106878.56032538903</v>
      </c>
      <c r="O15" s="28">
        <f t="shared" si="2"/>
        <v>-71791.426023918859</v>
      </c>
    </row>
    <row r="16" spans="1:16384">
      <c r="A16" t="s">
        <v>148</v>
      </c>
      <c r="B16" s="2">
        <f>'Summary-Cost-E - PF.PV'!Z40</f>
        <v>-12600.274413089001</v>
      </c>
      <c r="C16" s="2">
        <f>'Summary-Cost-E - PF.PV'!AA40</f>
        <v>-13926.619088151001</v>
      </c>
      <c r="D16" s="2">
        <f>'Summary-Cost-E - PF.PV'!AB40</f>
        <v>-15252.963763213002</v>
      </c>
      <c r="E16" s="2">
        <f>'Summary-Cost-E - PF.PV'!AC40</f>
        <v>-16579.308438275002</v>
      </c>
      <c r="F16" s="2">
        <f>'Summary-Cost-E - PF.PV'!AD40</f>
        <v>-17905.653113337001</v>
      </c>
      <c r="G16" s="2">
        <f>'Summary-Cost-E - PF.PV'!AE40</f>
        <v>-19231.997788399</v>
      </c>
      <c r="H16" s="2">
        <f>'Summary-Cost-E - PF.PV'!AF40</f>
        <v>-20558.342463460998</v>
      </c>
      <c r="I16" s="2">
        <f>'Summary-Cost-E - PF.PV'!AG40</f>
        <v>-21884.687138522997</v>
      </c>
      <c r="J16" s="2">
        <f>'Summary-Cost-E - PF.PV'!AH40</f>
        <v>-23211.031813584996</v>
      </c>
      <c r="K16" s="2">
        <f>'Summary-Cost-E - PF.PV'!AI40</f>
        <v>-24537.376488646994</v>
      </c>
      <c r="L16" s="2">
        <f>'Summary-Cost-E - PF.PV'!AJ40</f>
        <v>-25863.721163708993</v>
      </c>
      <c r="M16" s="2">
        <f>'Summary-Cost-E - PF.PV'!AK40</f>
        <v>-27190.065838770992</v>
      </c>
      <c r="N16" s="2">
        <f>'Summary-Cost-E - PF.PV'!AL40</f>
        <v>-28516.410513832991</v>
      </c>
      <c r="O16" s="28">
        <f t="shared" si="2"/>
        <v>-20558.342463460998</v>
      </c>
    </row>
    <row r="17" spans="1:15">
      <c r="A17" t="s">
        <v>138</v>
      </c>
      <c r="B17" s="2">
        <f>'Summary-Cost-E - PF.PV'!Z41</f>
        <v>-23123.029300983111</v>
      </c>
      <c r="C17" s="2">
        <f>'Summary-Cost-E - PF.PV'!AA41</f>
        <v>-25633.974419298513</v>
      </c>
      <c r="D17" s="2">
        <f>'Summary-Cost-E - PF.PV'!AB41</f>
        <v>-28144.919537613914</v>
      </c>
      <c r="E17" s="2">
        <f>'Summary-Cost-E - PF.PV'!AC41</f>
        <v>-30655.864655929316</v>
      </c>
      <c r="F17" s="2">
        <f>'Summary-Cost-E - PF.PV'!AD41</f>
        <v>-33166.809774244713</v>
      </c>
      <c r="G17" s="2">
        <f>'Summary-Cost-E - PF.PV'!AE41</f>
        <v>-35677.754892560115</v>
      </c>
      <c r="H17" s="2">
        <f>'Summary-Cost-E - PF.PV'!AF41</f>
        <v>-38188.700010875516</v>
      </c>
      <c r="I17" s="2">
        <f>'Summary-Cost-E - PF.PV'!AG41</f>
        <v>-40699.645129190918</v>
      </c>
      <c r="J17" s="2">
        <f>'Summary-Cost-E - PF.PV'!AH41</f>
        <v>-43210.590247506319</v>
      </c>
      <c r="K17" s="2">
        <f>'Summary-Cost-E - PF.PV'!AI41</f>
        <v>-45721.535365821721</v>
      </c>
      <c r="L17" s="2">
        <f>'Summary-Cost-E - PF.PV'!AJ41</f>
        <v>-48232.480484137122</v>
      </c>
      <c r="M17" s="2">
        <f>'Summary-Cost-E - PF.PV'!AK41</f>
        <v>-50743.425602452524</v>
      </c>
      <c r="N17" s="2">
        <f>'Summary-Cost-E - PF.PV'!AL41</f>
        <v>-53254.370720767925</v>
      </c>
      <c r="O17" s="28">
        <f t="shared" si="2"/>
        <v>-38188.700010875524</v>
      </c>
    </row>
    <row r="18" spans="1:15">
      <c r="A18" t="s">
        <v>150</v>
      </c>
      <c r="B18" s="2">
        <f>'Summary-Cost-E - PF.PV'!Z42</f>
        <v>-14701.516384214996</v>
      </c>
      <c r="C18" s="2">
        <f>'Summary-Cost-E - PF.PV'!AA42</f>
        <v>-15245.099762714995</v>
      </c>
      <c r="D18" s="2">
        <f>'Summary-Cost-E - PF.PV'!AB42</f>
        <v>-15788.683141214995</v>
      </c>
      <c r="E18" s="2">
        <f>'Summary-Cost-E - PF.PV'!AC42</f>
        <v>-16332.266519714995</v>
      </c>
      <c r="F18" s="2">
        <f>'Summary-Cost-E - PF.PV'!AD42</f>
        <v>-16875.849898214994</v>
      </c>
      <c r="G18" s="2">
        <f>'Summary-Cost-E - PF.PV'!AE42</f>
        <v>-17419.433276714994</v>
      </c>
      <c r="H18" s="2">
        <f>'Summary-Cost-E - PF.PV'!AF42</f>
        <v>-17963.016655214993</v>
      </c>
      <c r="I18" s="2">
        <f>'Summary-Cost-E - PF.PV'!AG42</f>
        <v>-18506.600033714993</v>
      </c>
      <c r="J18" s="2">
        <f>'Summary-Cost-E - PF.PV'!AH42</f>
        <v>-19050.183412214992</v>
      </c>
      <c r="K18" s="2">
        <f>'Summary-Cost-E - PF.PV'!AI42</f>
        <v>-19593.766790714992</v>
      </c>
      <c r="L18" s="2">
        <f>'Summary-Cost-E - PF.PV'!AJ42</f>
        <v>-20137.350169214991</v>
      </c>
      <c r="M18" s="2">
        <f>'Summary-Cost-E - PF.PV'!AK42</f>
        <v>-20680.933547714991</v>
      </c>
      <c r="N18" s="2">
        <f>'Summary-Cost-E - PF.PV'!AL42</f>
        <v>-21224.51692621499</v>
      </c>
      <c r="O18" s="28">
        <f t="shared" si="2"/>
        <v>-17963.016655214993</v>
      </c>
    </row>
    <row r="19" spans="1:15">
      <c r="A19" t="s">
        <v>19</v>
      </c>
      <c r="B19" s="2">
        <f>'Summary-Cost-E - PF.PV'!Z43</f>
        <v>-386774.67065104947</v>
      </c>
      <c r="C19" s="2">
        <f>'Summary-Cost-E - PF.PV'!AA43</f>
        <v>-447683.26737350057</v>
      </c>
      <c r="D19" s="2">
        <f>'Summary-Cost-E - PF.PV'!AB43</f>
        <v>-508591.86409595166</v>
      </c>
      <c r="E19" s="2">
        <f>'Summary-Cost-E - PF.PV'!AC43</f>
        <v>-569500.46081840282</v>
      </c>
      <c r="F19" s="2">
        <f>'Summary-Cost-E - PF.PV'!AD43</f>
        <v>-630409.05754085397</v>
      </c>
      <c r="G19" s="2">
        <f>'Summary-Cost-E - PF.PV'!AE43</f>
        <v>-691317.65426330513</v>
      </c>
      <c r="H19" s="2">
        <f>'Summary-Cost-E - PF.PV'!AF43</f>
        <v>-804707.7231729785</v>
      </c>
      <c r="I19" s="2">
        <f>'Summary-Cost-E - PF.PV'!AG43</f>
        <v>-977599.79867292964</v>
      </c>
      <c r="J19" s="2">
        <f>'Summary-Cost-E - PF.PV'!AH43</f>
        <v>-1164211.9878664918</v>
      </c>
      <c r="K19" s="2">
        <f>'Summary-Cost-E - PF.PV'!AI43</f>
        <v>-1357523.7563506095</v>
      </c>
      <c r="L19" s="2">
        <f>'Summary-Cost-E - PF.PV'!AJ43</f>
        <v>-1550835.5248347272</v>
      </c>
      <c r="M19" s="2">
        <f>'Summary-Cost-E - PF.PV'!AK43</f>
        <v>-1744147.2933188449</v>
      </c>
      <c r="N19" s="2">
        <f>'Summary-Cost-E - PF.PV'!AL43</f>
        <v>-1937459.0618029626</v>
      </c>
      <c r="O19" s="28">
        <f t="shared" si="2"/>
        <v>-967387.10454463353</v>
      </c>
    </row>
    <row r="20" spans="1:15" ht="13.5" thickBot="1">
      <c r="A20" t="s">
        <v>10</v>
      </c>
      <c r="B20" s="5">
        <f t="shared" ref="B20:M20" si="3">SUM(B13:B19)</f>
        <v>-490134.94243883796</v>
      </c>
      <c r="C20" s="5">
        <f t="shared" si="3"/>
        <v>-564233.65267663333</v>
      </c>
      <c r="D20" s="5">
        <f t="shared" si="3"/>
        <v>-638332.36291442881</v>
      </c>
      <c r="E20" s="5">
        <f t="shared" si="3"/>
        <v>-712431.0731522243</v>
      </c>
      <c r="F20" s="5">
        <f t="shared" si="3"/>
        <v>-786529.78339001979</v>
      </c>
      <c r="G20" s="5">
        <f t="shared" si="3"/>
        <v>-860628.49362781527</v>
      </c>
      <c r="H20" s="5">
        <f t="shared" si="3"/>
        <v>-987208.67605283298</v>
      </c>
      <c r="I20" s="5">
        <f t="shared" si="3"/>
        <v>-1173290.8650681283</v>
      </c>
      <c r="J20" s="5">
        <f t="shared" si="3"/>
        <v>-1373093.1677770349</v>
      </c>
      <c r="K20" s="5">
        <f t="shared" si="3"/>
        <v>-1579595.0497764968</v>
      </c>
      <c r="L20" s="5">
        <f t="shared" si="3"/>
        <v>-1786096.931775959</v>
      </c>
      <c r="M20" s="5">
        <f t="shared" si="3"/>
        <v>-1992598.8137754209</v>
      </c>
      <c r="N20" s="5">
        <f>SUM(N13:N19)</f>
        <v>-2199100.695774883</v>
      </c>
      <c r="O20" s="7">
        <f>SUM(O13:O19)</f>
        <v>-1149888.057424488</v>
      </c>
    </row>
    <row r="22" spans="1:15">
      <c r="A22" t="s">
        <v>11</v>
      </c>
      <c r="B22" s="2">
        <f>'Summary-Cost-E - PF.PV'!Z114</f>
        <v>-89397.497415596241</v>
      </c>
      <c r="C22" s="2">
        <f>'Summary-Cost-E - PF.PV'!AA114</f>
        <v>-92050.705206785176</v>
      </c>
      <c r="D22" s="2">
        <f>'Summary-Cost-E - PF.PV'!AB114</f>
        <v>-94703.912997974097</v>
      </c>
      <c r="E22" s="2">
        <f>'Summary-Cost-E - PF.PV'!AC114</f>
        <v>-97357.120789163033</v>
      </c>
      <c r="F22" s="2">
        <f>'Summary-Cost-E - PF.PV'!AD114</f>
        <v>-135895.08582224208</v>
      </c>
      <c r="G22" s="2">
        <f>'Summary-Cost-E - PF.PV'!AE114</f>
        <v>-174433.05085532111</v>
      </c>
      <c r="H22" s="2">
        <f>'Summary-Cost-E - PF.PV'!AF114</f>
        <v>-201949.90672908351</v>
      </c>
      <c r="I22" s="2">
        <f>'Summary-Cost-E - PF.PV'!AG114</f>
        <v>-216971.34121888757</v>
      </c>
      <c r="J22" s="2">
        <f>'Summary-Cost-E - PF.PV'!AH114</f>
        <v>-229111.55183303333</v>
      </c>
      <c r="K22" s="2">
        <f>'Summary-Cost-E - PF.PV'!AI114</f>
        <v>-239844.85079616241</v>
      </c>
      <c r="L22" s="2">
        <f>'Summary-Cost-E - PF.PV'!AJ114</f>
        <v>-250578.14975929155</v>
      </c>
      <c r="M22" s="2">
        <f>'Summary-Cost-E - PF.PV'!AK114</f>
        <v>-261311.44872242061</v>
      </c>
      <c r="N22" s="2">
        <f>'Summary-Cost-E - PF.PV'!AL114</f>
        <v>-272044.74768554961</v>
      </c>
      <c r="O22" s="16">
        <f>(((B22+N22)/2)+C22+D22+E22+F22+G22+H22+I22+J22+K22+L22+M22)/12</f>
        <v>-181244.0206067448</v>
      </c>
    </row>
    <row r="24" spans="1:15">
      <c r="A24" t="s">
        <v>17</v>
      </c>
      <c r="C24" s="2">
        <f>'Summary-Cost-E - PF.PV'!AA26</f>
        <v>382.07842034287142</v>
      </c>
      <c r="D24" s="2">
        <f>'Summary-Cost-E - PF.PV'!AB26</f>
        <v>382.07842034287142</v>
      </c>
      <c r="E24" s="2">
        <f>'Summary-Cost-E - PF.PV'!AC26</f>
        <v>382.07842034287142</v>
      </c>
      <c r="F24" s="2">
        <f>'Summary-Cost-E - PF.PV'!AD26</f>
        <v>382.07842034287142</v>
      </c>
      <c r="G24" s="2">
        <f>'Summary-Cost-E - PF.PV'!AE26</f>
        <v>382.07842034287142</v>
      </c>
      <c r="H24" s="2">
        <f>'Summary-Cost-E - PF.PV'!AF26</f>
        <v>382.07842034287142</v>
      </c>
      <c r="I24" s="2">
        <f>'Summary-Cost-E - PF.PV'!AG26</f>
        <v>382.07842034287142</v>
      </c>
      <c r="J24" s="2">
        <f>'Summary-Cost-E - PF.PV'!AH26</f>
        <v>382.07842034287142</v>
      </c>
      <c r="K24" s="2">
        <f>'Summary-Cost-E - PF.PV'!AI26</f>
        <v>382.07842034287142</v>
      </c>
      <c r="L24" s="2">
        <f>'Summary-Cost-E - PF.PV'!AJ26</f>
        <v>382.07842034287142</v>
      </c>
      <c r="M24" s="2">
        <f>'Summary-Cost-E - PF.PV'!AK26</f>
        <v>382.07842034287142</v>
      </c>
      <c r="N24" s="2">
        <f>'Summary-Cost-E - PF.PV'!AL26</f>
        <v>382.07842034287142</v>
      </c>
      <c r="O24" s="3">
        <f>SUM(C24:N24)</f>
        <v>4584.9410441144573</v>
      </c>
    </row>
    <row r="25" spans="1:15">
      <c r="A25" t="s">
        <v>13</v>
      </c>
      <c r="C25" s="2">
        <f>'Summary-Cost-E - PF.PV'!AA27</f>
        <v>2579.3062062123604</v>
      </c>
      <c r="D25" s="2">
        <f>'Summary-Cost-E - PF.PV'!AB27</f>
        <v>2579.3062062123604</v>
      </c>
      <c r="E25" s="2">
        <f>'Summary-Cost-E - PF.PV'!AC27</f>
        <v>2579.3062062123604</v>
      </c>
      <c r="F25" s="2">
        <f>'Summary-Cost-E - PF.PV'!AD27</f>
        <v>2579.3062062123604</v>
      </c>
      <c r="G25" s="2">
        <f>'Summary-Cost-E - PF.PV'!AE27</f>
        <v>2579.3062062123604</v>
      </c>
      <c r="H25" s="2">
        <f>'Summary-Cost-E - PF.PV'!AF27</f>
        <v>2579.3062062123604</v>
      </c>
      <c r="I25" s="2">
        <f>'Summary-Cost-E - PF.PV'!AG27</f>
        <v>2579.3062062123604</v>
      </c>
      <c r="J25" s="2">
        <f>'Summary-Cost-E - PF.PV'!AH27</f>
        <v>2579.3062062123604</v>
      </c>
      <c r="K25" s="2">
        <f>'Summary-Cost-E - PF.PV'!AI27</f>
        <v>2579.3062062123604</v>
      </c>
      <c r="L25" s="2">
        <f>'Summary-Cost-E - PF.PV'!AJ27</f>
        <v>2579.3062062123604</v>
      </c>
      <c r="M25" s="2">
        <f>'Summary-Cost-E - PF.PV'!AK27</f>
        <v>2579.3062062123604</v>
      </c>
      <c r="N25" s="2">
        <f>'Summary-Cost-E - PF.PV'!AL27</f>
        <v>2579.3062062123604</v>
      </c>
      <c r="O25" s="3">
        <f>SUM(C24:N24)</f>
        <v>4584.9410441144573</v>
      </c>
    </row>
    <row r="26" spans="1:15">
      <c r="A26" t="s">
        <v>141</v>
      </c>
      <c r="C26" s="2">
        <f>'Summary-Cost-E - PF.PV'!AA28</f>
        <v>5847.8557169117003</v>
      </c>
      <c r="D26" s="2">
        <f>'Summary-Cost-E - PF.PV'!AB28</f>
        <v>5847.8557169117003</v>
      </c>
      <c r="E26" s="2">
        <f>'Summary-Cost-E - PF.PV'!AC28</f>
        <v>5847.8557169117003</v>
      </c>
      <c r="F26" s="2">
        <f>'Summary-Cost-E - PF.PV'!AD28</f>
        <v>5847.8557169117003</v>
      </c>
      <c r="G26" s="2">
        <f>'Summary-Cost-E - PF.PV'!AE28</f>
        <v>5847.8557169117003</v>
      </c>
      <c r="H26" s="2">
        <f>'Summary-Cost-E - PF.PV'!AF28</f>
        <v>5847.8557169117003</v>
      </c>
      <c r="I26" s="2">
        <f>'Summary-Cost-E - PF.PV'!AG28</f>
        <v>5847.8557169117003</v>
      </c>
      <c r="J26" s="2">
        <f>'Summary-Cost-E - PF.PV'!AH28</f>
        <v>5847.8557169117003</v>
      </c>
      <c r="K26" s="2">
        <f>'Summary-Cost-E - PF.PV'!AI28</f>
        <v>5847.8557169117003</v>
      </c>
      <c r="L26" s="2">
        <f>'Summary-Cost-E - PF.PV'!AJ28</f>
        <v>5847.8557169117003</v>
      </c>
      <c r="M26" s="2">
        <f>'Summary-Cost-E - PF.PV'!AK28</f>
        <v>5847.8557169117003</v>
      </c>
      <c r="N26" s="2">
        <f>'Summary-Cost-E - PF.PV'!AL28</f>
        <v>5847.8557169117003</v>
      </c>
      <c r="O26" s="3">
        <f t="shared" ref="O26:O30" si="4">SUM(C26:N26)</f>
        <v>70174.268602940385</v>
      </c>
    </row>
    <row r="27" spans="1:15">
      <c r="A27" t="s">
        <v>148</v>
      </c>
      <c r="C27" s="2">
        <f>'Summary-Cost-E - PF.PV'!AA29</f>
        <v>1326.3446750619999</v>
      </c>
      <c r="D27" s="2">
        <f>'Summary-Cost-E - PF.PV'!AB29</f>
        <v>1326.3446750619999</v>
      </c>
      <c r="E27" s="2">
        <f>'Summary-Cost-E - PF.PV'!AC29</f>
        <v>1326.3446750619999</v>
      </c>
      <c r="F27" s="2">
        <f>'Summary-Cost-E - PF.PV'!AD29</f>
        <v>1326.3446750619999</v>
      </c>
      <c r="G27" s="2">
        <f>'Summary-Cost-E - PF.PV'!AE29</f>
        <v>1326.3446750619999</v>
      </c>
      <c r="H27" s="2">
        <f>'Summary-Cost-E - PF.PV'!AF29</f>
        <v>1326.3446750619999</v>
      </c>
      <c r="I27" s="2">
        <f>'Summary-Cost-E - PF.PV'!AG29</f>
        <v>1326.3446750619999</v>
      </c>
      <c r="J27" s="2">
        <f>'Summary-Cost-E - PF.PV'!AH29</f>
        <v>1326.3446750619999</v>
      </c>
      <c r="K27" s="2">
        <f>'Summary-Cost-E - PF.PV'!AI29</f>
        <v>1326.3446750619999</v>
      </c>
      <c r="L27" s="2">
        <f>'Summary-Cost-E - PF.PV'!AJ29</f>
        <v>1326.3446750619999</v>
      </c>
      <c r="M27" s="2">
        <f>'Summary-Cost-E - PF.PV'!AK29</f>
        <v>1326.3446750619999</v>
      </c>
      <c r="N27" s="2">
        <f>'Summary-Cost-E - PF.PV'!AL29</f>
        <v>1326.3446750619999</v>
      </c>
      <c r="O27" s="3">
        <f t="shared" si="4"/>
        <v>15916.136100744001</v>
      </c>
    </row>
    <row r="28" spans="1:15">
      <c r="A28" t="s">
        <v>138</v>
      </c>
      <c r="C28" s="2">
        <f>'Summary-Cost-E - PF.PV'!AA30</f>
        <v>2510.9451183154006</v>
      </c>
      <c r="D28" s="2">
        <f>'Summary-Cost-E - PF.PV'!AB30</f>
        <v>2510.9451183154006</v>
      </c>
      <c r="E28" s="2">
        <f>'Summary-Cost-E - PF.PV'!AC30</f>
        <v>2510.9451183154006</v>
      </c>
      <c r="F28" s="2">
        <f>'Summary-Cost-E - PF.PV'!AD30</f>
        <v>2510.9451183154006</v>
      </c>
      <c r="G28" s="2">
        <f>'Summary-Cost-E - PF.PV'!AE30</f>
        <v>2510.9451183154006</v>
      </c>
      <c r="H28" s="2">
        <f>'Summary-Cost-E - PF.PV'!AF30</f>
        <v>2510.9451183154006</v>
      </c>
      <c r="I28" s="2">
        <f>'Summary-Cost-E - PF.PV'!AG30</f>
        <v>2510.9451183154006</v>
      </c>
      <c r="J28" s="2">
        <f>'Summary-Cost-E - PF.PV'!AH30</f>
        <v>2510.9451183154006</v>
      </c>
      <c r="K28" s="2">
        <f>'Summary-Cost-E - PF.PV'!AI30</f>
        <v>2510.9451183154006</v>
      </c>
      <c r="L28" s="2">
        <f>'Summary-Cost-E - PF.PV'!AJ30</f>
        <v>2510.9451183154006</v>
      </c>
      <c r="M28" s="2">
        <f>'Summary-Cost-E - PF.PV'!AK30</f>
        <v>2510.9451183154006</v>
      </c>
      <c r="N28" s="2">
        <f>'Summary-Cost-E - PF.PV'!AL30</f>
        <v>2510.9451183154006</v>
      </c>
      <c r="O28" s="3">
        <f t="shared" si="4"/>
        <v>30131.341419784814</v>
      </c>
    </row>
    <row r="29" spans="1:15">
      <c r="A29" t="s">
        <v>150</v>
      </c>
      <c r="C29" s="2">
        <f>'Summary-Cost-E - PF.PV'!AA31</f>
        <v>543.58337850000009</v>
      </c>
      <c r="D29" s="2">
        <f>'Summary-Cost-E - PF.PV'!AB31</f>
        <v>543.58337850000009</v>
      </c>
      <c r="E29" s="2">
        <f>'Summary-Cost-E - PF.PV'!AC31</f>
        <v>543.58337850000009</v>
      </c>
      <c r="F29" s="2">
        <f>'Summary-Cost-E - PF.PV'!AD31</f>
        <v>543.58337850000009</v>
      </c>
      <c r="G29" s="2">
        <f>'Summary-Cost-E - PF.PV'!AE31</f>
        <v>543.58337850000009</v>
      </c>
      <c r="H29" s="2">
        <f>'Summary-Cost-E - PF.PV'!AF31</f>
        <v>543.58337850000009</v>
      </c>
      <c r="I29" s="2">
        <f>'Summary-Cost-E - PF.PV'!AG31</f>
        <v>543.58337850000009</v>
      </c>
      <c r="J29" s="2">
        <f>'Summary-Cost-E - PF.PV'!AH31</f>
        <v>543.58337850000009</v>
      </c>
      <c r="K29" s="2">
        <f>'Summary-Cost-E - PF.PV'!AI31</f>
        <v>543.58337850000009</v>
      </c>
      <c r="L29" s="2">
        <f>'Summary-Cost-E - PF.PV'!AJ31</f>
        <v>543.58337850000009</v>
      </c>
      <c r="M29" s="2">
        <f>'Summary-Cost-E - PF.PV'!AK31</f>
        <v>543.58337850000009</v>
      </c>
      <c r="N29" s="2">
        <f>'Summary-Cost-E - PF.PV'!AL31</f>
        <v>543.58337850000009</v>
      </c>
      <c r="O29" s="3">
        <f t="shared" si="4"/>
        <v>6523.0005420000025</v>
      </c>
    </row>
    <row r="30" spans="1:15">
      <c r="A30" t="s">
        <v>19</v>
      </c>
      <c r="C30" s="2">
        <f>'Summary-Cost-E - PF.PV'!AA32</f>
        <v>60908.596722451119</v>
      </c>
      <c r="D30" s="2">
        <f>'Summary-Cost-E - PF.PV'!AB32</f>
        <v>60908.596722451119</v>
      </c>
      <c r="E30" s="2">
        <f>'Summary-Cost-E - PF.PV'!AC32</f>
        <v>60908.596722451119</v>
      </c>
      <c r="F30" s="2">
        <f>'Summary-Cost-E - PF.PV'!AD32</f>
        <v>60908.596722451119</v>
      </c>
      <c r="G30" s="2">
        <f>'Summary-Cost-E - PF.PV'!AE32</f>
        <v>60908.596722451119</v>
      </c>
      <c r="H30" s="2">
        <f>'Summary-Cost-E - PF.PV'!AF32</f>
        <v>113390.06890967333</v>
      </c>
      <c r="I30" s="2">
        <f>'Summary-Cost-E - PF.PV'!AG32</f>
        <v>172892.07549995111</v>
      </c>
      <c r="J30" s="2">
        <f>'Summary-Cost-E - PF.PV'!AH32</f>
        <v>186612.18919356217</v>
      </c>
      <c r="K30" s="2">
        <f>'Summary-Cost-E - PF.PV'!AI32</f>
        <v>193311.76848411773</v>
      </c>
      <c r="L30" s="2">
        <f>'Summary-Cost-E - PF.PV'!AJ32</f>
        <v>193311.76848411773</v>
      </c>
      <c r="M30" s="2">
        <f>'Summary-Cost-E - PF.PV'!AK32</f>
        <v>193311.76848411773</v>
      </c>
      <c r="N30" s="2">
        <f>'Summary-Cost-E - PF.PV'!AL32</f>
        <v>193311.76848411773</v>
      </c>
      <c r="O30" s="3">
        <f t="shared" si="4"/>
        <v>1550684.391151913</v>
      </c>
    </row>
    <row r="31" spans="1:15" ht="13.5" thickBot="1">
      <c r="A31" t="s">
        <v>12</v>
      </c>
      <c r="C31" s="5">
        <f>SUM(C24:C30)</f>
        <v>74098.710237795458</v>
      </c>
      <c r="D31" s="5">
        <f t="shared" ref="D31:M31" si="5">SUM(D24:D30)</f>
        <v>74098.710237795458</v>
      </c>
      <c r="E31" s="5">
        <f t="shared" si="5"/>
        <v>74098.710237795458</v>
      </c>
      <c r="F31" s="5">
        <f t="shared" si="5"/>
        <v>74098.710237795458</v>
      </c>
      <c r="G31" s="5">
        <f t="shared" si="5"/>
        <v>74098.710237795458</v>
      </c>
      <c r="H31" s="5">
        <f t="shared" si="5"/>
        <v>126580.18242501766</v>
      </c>
      <c r="I31" s="5">
        <f t="shared" si="5"/>
        <v>186082.18901529544</v>
      </c>
      <c r="J31" s="5">
        <f t="shared" si="5"/>
        <v>199802.3027089065</v>
      </c>
      <c r="K31" s="5">
        <f t="shared" si="5"/>
        <v>206501.88199946206</v>
      </c>
      <c r="L31" s="5">
        <f t="shared" si="5"/>
        <v>206501.88199946206</v>
      </c>
      <c r="M31" s="5">
        <f t="shared" si="5"/>
        <v>206501.88199946206</v>
      </c>
      <c r="N31" s="5">
        <f>SUM(N24:N30)</f>
        <v>206501.88199946206</v>
      </c>
      <c r="O31" s="7">
        <f>SUM(O24:O30)</f>
        <v>1682599.0199056112</v>
      </c>
    </row>
    <row r="33" spans="1:16" ht="61.5" customHeight="1">
      <c r="O33" s="161" t="s">
        <v>173</v>
      </c>
      <c r="P33" s="161"/>
    </row>
    <row r="34" spans="1:16" ht="9.75" customHeight="1"/>
    <row r="35" spans="1:16" ht="9.75" hidden="1" customHeight="1">
      <c r="A35" s="63" t="s">
        <v>105</v>
      </c>
    </row>
    <row r="36" spans="1:16" ht="9.75" hidden="1" customHeight="1">
      <c r="B36" s="6">
        <v>202109</v>
      </c>
      <c r="C36" s="6">
        <v>202110</v>
      </c>
      <c r="D36" s="6">
        <v>202111</v>
      </c>
      <c r="E36" s="6">
        <v>202112</v>
      </c>
      <c r="F36" s="6">
        <v>202201</v>
      </c>
      <c r="G36" s="6">
        <v>202202</v>
      </c>
      <c r="H36" s="6">
        <v>202203</v>
      </c>
      <c r="I36" s="6">
        <v>202204</v>
      </c>
      <c r="J36" s="6">
        <v>202205</v>
      </c>
      <c r="K36" s="6">
        <v>202206</v>
      </c>
      <c r="L36" s="6">
        <v>202207</v>
      </c>
      <c r="M36" s="6">
        <v>202208</v>
      </c>
      <c r="N36" s="6">
        <v>202209</v>
      </c>
      <c r="O36" s="6" t="s">
        <v>9</v>
      </c>
    </row>
    <row r="37" spans="1:16" ht="9.75" hidden="1" customHeight="1">
      <c r="A37" t="s">
        <v>17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7"/>
    </row>
    <row r="38" spans="1:16" ht="9.75" hidden="1" customHeight="1">
      <c r="A38" t="s">
        <v>13</v>
      </c>
      <c r="B38" s="8">
        <v>1098163.8150599999</v>
      </c>
      <c r="C38" s="8">
        <v>1098163.8150599999</v>
      </c>
      <c r="D38" s="8">
        <v>1098163.8150599999</v>
      </c>
      <c r="E38" s="8">
        <v>1098163.8150599999</v>
      </c>
      <c r="F38" s="8">
        <v>1098163.8150599999</v>
      </c>
      <c r="G38" s="8">
        <v>1098163.8150599999</v>
      </c>
      <c r="H38" s="8">
        <v>1098163.8150599999</v>
      </c>
      <c r="I38" s="8">
        <v>1098163.8150599999</v>
      </c>
      <c r="J38" s="8">
        <v>1098163.8150599999</v>
      </c>
      <c r="K38" s="8">
        <v>1098163.8150599999</v>
      </c>
      <c r="L38" s="8">
        <v>1098163.8150599999</v>
      </c>
      <c r="M38" s="8">
        <v>1098163.8150599999</v>
      </c>
      <c r="N38" s="8">
        <v>1098163.8150599999</v>
      </c>
      <c r="O38" s="27">
        <v>1098163.8150600002</v>
      </c>
    </row>
    <row r="39" spans="1:16" ht="9.75" hidden="1" customHeight="1">
      <c r="A39" t="s">
        <v>141</v>
      </c>
      <c r="B39" s="8">
        <v>3081888.8883600002</v>
      </c>
      <c r="C39" s="8">
        <v>3081888.8883600002</v>
      </c>
      <c r="D39" s="8">
        <v>3081888.8883600002</v>
      </c>
      <c r="E39" s="8">
        <v>3081888.8883600002</v>
      </c>
      <c r="F39" s="8">
        <v>3081888.8883600002</v>
      </c>
      <c r="G39" s="8">
        <v>3081888.8883600002</v>
      </c>
      <c r="H39" s="8">
        <v>3081888.8883600002</v>
      </c>
      <c r="I39" s="8">
        <v>3081888.8883600002</v>
      </c>
      <c r="J39" s="8">
        <v>3081888.8883600002</v>
      </c>
      <c r="K39" s="8">
        <v>3081888.8883600002</v>
      </c>
      <c r="L39" s="8">
        <v>3081888.8883600002</v>
      </c>
      <c r="M39" s="8">
        <v>3081888.8883600002</v>
      </c>
      <c r="N39" s="8">
        <v>3081888.8883600002</v>
      </c>
      <c r="O39" s="27">
        <v>3081888.8883600007</v>
      </c>
    </row>
    <row r="40" spans="1:16" ht="9.75" hidden="1" customHeight="1">
      <c r="A40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27">
        <v>0</v>
      </c>
    </row>
    <row r="41" spans="1:16" ht="9.75" hidden="1" customHeight="1">
      <c r="A41" t="s">
        <v>138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7">
        <v>0</v>
      </c>
    </row>
    <row r="42" spans="1:16" ht="9.75" hidden="1" customHeight="1">
      <c r="A42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7">
        <v>0</v>
      </c>
    </row>
    <row r="43" spans="1:16" ht="9.75" hidden="1" customHeight="1">
      <c r="A43" t="s">
        <v>19</v>
      </c>
      <c r="B43" s="8">
        <v>2475337.82292266</v>
      </c>
      <c r="C43" s="8">
        <v>2475337.82292266</v>
      </c>
      <c r="D43" s="8">
        <v>2475337.82292266</v>
      </c>
      <c r="E43" s="8">
        <v>2475337.82292266</v>
      </c>
      <c r="F43" s="8">
        <v>2475337.82292266</v>
      </c>
      <c r="G43" s="8">
        <v>2475337.82292266</v>
      </c>
      <c r="H43" s="8">
        <v>10081015.44771266</v>
      </c>
      <c r="I43" s="8">
        <v>10081015.44771266</v>
      </c>
      <c r="J43" s="8">
        <v>10081015.44771266</v>
      </c>
      <c r="K43" s="8">
        <v>10081015.44771266</v>
      </c>
      <c r="L43" s="8">
        <v>10081015.44771266</v>
      </c>
      <c r="M43" s="8">
        <v>10081015.44771266</v>
      </c>
      <c r="N43" s="8">
        <v>10081015.44771266</v>
      </c>
      <c r="O43" s="27">
        <v>6595079.8696839102</v>
      </c>
    </row>
    <row r="44" spans="1:16" ht="9.75" hidden="1" customHeight="1" thickBot="1">
      <c r="A44" t="s">
        <v>7</v>
      </c>
      <c r="B44" s="5">
        <v>6655390.5263426602</v>
      </c>
      <c r="C44" s="5">
        <v>6655390.5263426602</v>
      </c>
      <c r="D44" s="5">
        <v>6655390.5263426602</v>
      </c>
      <c r="E44" s="5">
        <v>6655390.5263426602</v>
      </c>
      <c r="F44" s="5">
        <v>6655390.5263426602</v>
      </c>
      <c r="G44" s="5">
        <v>6655390.5263426602</v>
      </c>
      <c r="H44" s="5">
        <v>14261068.15113266</v>
      </c>
      <c r="I44" s="5">
        <v>14261068.15113266</v>
      </c>
      <c r="J44" s="5">
        <v>14261068.15113266</v>
      </c>
      <c r="K44" s="5">
        <v>14261068.15113266</v>
      </c>
      <c r="L44" s="5">
        <v>14261068.15113266</v>
      </c>
      <c r="M44" s="5">
        <v>14261068.15113266</v>
      </c>
      <c r="N44" s="5">
        <v>14261068.15113266</v>
      </c>
      <c r="O44" s="7">
        <v>10775132.573103912</v>
      </c>
    </row>
    <row r="45" spans="1:16" ht="9.75" hidden="1" customHeight="1"/>
    <row r="46" spans="1:16" ht="9.75" hidden="1" customHeight="1">
      <c r="A46" t="s">
        <v>17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8"/>
    </row>
    <row r="47" spans="1:16" ht="9.75" hidden="1" customHeight="1">
      <c r="A47" t="s">
        <v>13</v>
      </c>
      <c r="B47" s="2">
        <v>-19095.234027580998</v>
      </c>
      <c r="C47" s="2">
        <v>-20980.415243433999</v>
      </c>
      <c r="D47" s="2">
        <v>-22865.596459287</v>
      </c>
      <c r="E47" s="2">
        <v>-24750.777675140002</v>
      </c>
      <c r="F47" s="2">
        <v>-26635.958890993003</v>
      </c>
      <c r="G47" s="2">
        <v>-28521.140106846004</v>
      </c>
      <c r="H47" s="2">
        <v>-30406.321322699005</v>
      </c>
      <c r="I47" s="2">
        <v>-32291.502538552006</v>
      </c>
      <c r="J47" s="2">
        <v>-34176.683754405007</v>
      </c>
      <c r="K47" s="2">
        <v>-36061.864970258008</v>
      </c>
      <c r="L47" s="2">
        <v>-37947.046186111009</v>
      </c>
      <c r="M47" s="2">
        <v>-39832.22740196401</v>
      </c>
      <c r="N47" s="2">
        <v>-41717.408617817011</v>
      </c>
      <c r="O47" s="28">
        <v>-30406.321322699005</v>
      </c>
    </row>
    <row r="48" spans="1:16" ht="9.75" hidden="1" customHeight="1">
      <c r="A48" t="s">
        <v>141</v>
      </c>
      <c r="B48" s="2">
        <v>-45647.738068404993</v>
      </c>
      <c r="C48" s="2">
        <v>-51297.86769706499</v>
      </c>
      <c r="D48" s="2">
        <v>-56947.997325724988</v>
      </c>
      <c r="E48" s="2">
        <v>-62598.126954384985</v>
      </c>
      <c r="F48" s="2">
        <v>-68248.256583044989</v>
      </c>
      <c r="G48" s="2">
        <v>-73898.386211704987</v>
      </c>
      <c r="H48" s="2">
        <v>-79548.515840364984</v>
      </c>
      <c r="I48" s="2">
        <v>-85198.645469024981</v>
      </c>
      <c r="J48" s="2">
        <v>-90848.775097684978</v>
      </c>
      <c r="K48" s="2">
        <v>-96498.904726344976</v>
      </c>
      <c r="L48" s="2">
        <v>-102149.03435500497</v>
      </c>
      <c r="M48" s="2">
        <v>-107799.16398366497</v>
      </c>
      <c r="N48" s="2">
        <v>-113449.29361232497</v>
      </c>
      <c r="O48" s="28">
        <v>-79548.515840364984</v>
      </c>
    </row>
    <row r="49" spans="1:15" ht="9.75" hidden="1" customHeight="1">
      <c r="A49" t="s">
        <v>148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7">
        <v>0</v>
      </c>
    </row>
    <row r="50" spans="1:15" ht="9.75" hidden="1" customHeight="1">
      <c r="A50" t="s">
        <v>138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8">
        <v>0</v>
      </c>
    </row>
    <row r="51" spans="1:15" ht="9.75" hidden="1" customHeight="1">
      <c r="A51" t="s">
        <v>150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7">
        <v>0</v>
      </c>
    </row>
    <row r="52" spans="1:15" ht="9.75" hidden="1" customHeight="1">
      <c r="A52" t="s">
        <v>19</v>
      </c>
      <c r="B52" s="2">
        <v>-517577.20144570339</v>
      </c>
      <c r="C52" s="2">
        <v>-558832.83182774775</v>
      </c>
      <c r="D52" s="2">
        <v>-600088.46220979211</v>
      </c>
      <c r="E52" s="2">
        <v>-641344.09259183647</v>
      </c>
      <c r="F52" s="2">
        <v>-682599.72297388082</v>
      </c>
      <c r="G52" s="2">
        <v>-723855.35335592518</v>
      </c>
      <c r="H52" s="2">
        <v>-828491.63061121956</v>
      </c>
      <c r="I52" s="2">
        <v>-996508.55473976396</v>
      </c>
      <c r="J52" s="2">
        <v>-1164525.4788683082</v>
      </c>
      <c r="K52" s="2">
        <v>-1332542.4029968525</v>
      </c>
      <c r="L52" s="2">
        <v>-1500559.3271253968</v>
      </c>
      <c r="M52" s="2">
        <v>-1668576.2512539411</v>
      </c>
      <c r="N52" s="2">
        <v>-1836593.1753824854</v>
      </c>
      <c r="O52" s="28">
        <v>-989584.10808072984</v>
      </c>
    </row>
    <row r="53" spans="1:15" ht="9.75" hidden="1" customHeight="1" thickBot="1">
      <c r="A53" t="s">
        <v>10</v>
      </c>
      <c r="B53" s="5">
        <v>-582320.17354168941</v>
      </c>
      <c r="C53" s="5">
        <v>-631111.11476824677</v>
      </c>
      <c r="D53" s="5">
        <v>-679902.05599480413</v>
      </c>
      <c r="E53" s="5">
        <v>-728692.9972213615</v>
      </c>
      <c r="F53" s="5">
        <v>-777483.93844791886</v>
      </c>
      <c r="G53" s="5">
        <v>-826274.87967447611</v>
      </c>
      <c r="H53" s="5">
        <v>-938446.46777428361</v>
      </c>
      <c r="I53" s="5">
        <v>-1113998.702747341</v>
      </c>
      <c r="J53" s="5">
        <v>-1289550.9377203982</v>
      </c>
      <c r="K53" s="5">
        <v>-1465103.1726934556</v>
      </c>
      <c r="L53" s="5">
        <v>-1640655.4076665128</v>
      </c>
      <c r="M53" s="5">
        <v>-1816207.6426395702</v>
      </c>
      <c r="N53" s="5">
        <v>-1991759.8776126273</v>
      </c>
      <c r="O53" s="7">
        <v>-1099538.9452437938</v>
      </c>
    </row>
    <row r="54" spans="1:15" ht="9.75" hidden="1" customHeight="1"/>
    <row r="55" spans="1:15" ht="9.75" hidden="1" customHeight="1">
      <c r="A55" t="s">
        <v>11</v>
      </c>
      <c r="B55" s="2">
        <v>-159616.25569550914</v>
      </c>
      <c r="C55" s="2">
        <v>-170007.24705407926</v>
      </c>
      <c r="D55" s="2">
        <v>-180398.23841264934</v>
      </c>
      <c r="E55" s="2">
        <v>-190789.22977121948</v>
      </c>
      <c r="F55" s="2">
        <v>-243298.93371308688</v>
      </c>
      <c r="G55" s="2">
        <v>-295808.63765495428</v>
      </c>
      <c r="H55" s="2">
        <v>-335008.40575343912</v>
      </c>
      <c r="I55" s="2">
        <v>-360898.23800854152</v>
      </c>
      <c r="J55" s="2">
        <v>-386788.07026364387</v>
      </c>
      <c r="K55" s="2">
        <v>-412677.90251874633</v>
      </c>
      <c r="L55" s="2">
        <v>-438567.73477384873</v>
      </c>
      <c r="M55" s="2">
        <v>-464457.56702895113</v>
      </c>
      <c r="N55" s="2">
        <v>-490347.39928405359</v>
      </c>
      <c r="O55" s="16">
        <v>-316973.50270357844</v>
      </c>
    </row>
    <row r="56" spans="1:15" ht="9.75" hidden="1" customHeight="1"/>
    <row r="57" spans="1:15" ht="9.75" hidden="1" customHeight="1">
      <c r="A57" t="s">
        <v>17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</row>
    <row r="58" spans="1:15" ht="9.75" hidden="1" customHeight="1">
      <c r="A58" t="s">
        <v>13</v>
      </c>
      <c r="C58" s="2">
        <v>1885.1812158529999</v>
      </c>
      <c r="D58" s="2">
        <v>1885.1812158529999</v>
      </c>
      <c r="E58" s="2">
        <v>1885.1812158529999</v>
      </c>
      <c r="F58" s="2">
        <v>1885.1812158529999</v>
      </c>
      <c r="G58" s="2">
        <v>1885.1812158529999</v>
      </c>
      <c r="H58" s="2">
        <v>1885.1812158529999</v>
      </c>
      <c r="I58" s="2">
        <v>1885.1812158529999</v>
      </c>
      <c r="J58" s="2">
        <v>1885.1812158529999</v>
      </c>
      <c r="K58" s="2">
        <v>1885.1812158529999</v>
      </c>
      <c r="L58" s="2">
        <v>1885.1812158529999</v>
      </c>
      <c r="M58" s="2">
        <v>1885.1812158529999</v>
      </c>
      <c r="N58" s="2">
        <v>1885.1812158529999</v>
      </c>
      <c r="O58" s="3">
        <v>22622.174590236002</v>
      </c>
    </row>
    <row r="59" spans="1:15" ht="9.75" hidden="1" customHeight="1">
      <c r="A59" t="s">
        <v>141</v>
      </c>
      <c r="C59" s="2">
        <v>5650.12962866</v>
      </c>
      <c r="D59" s="2">
        <v>5650.12962866</v>
      </c>
      <c r="E59" s="2">
        <v>5650.12962866</v>
      </c>
      <c r="F59" s="2">
        <v>5650.12962866</v>
      </c>
      <c r="G59" s="2">
        <v>5650.12962866</v>
      </c>
      <c r="H59" s="2">
        <v>5650.12962866</v>
      </c>
      <c r="I59" s="2">
        <v>5650.12962866</v>
      </c>
      <c r="J59" s="2">
        <v>5650.12962866</v>
      </c>
      <c r="K59" s="2">
        <v>5650.12962866</v>
      </c>
      <c r="L59" s="2">
        <v>5650.12962866</v>
      </c>
      <c r="M59" s="2">
        <v>5650.12962866</v>
      </c>
      <c r="N59" s="2">
        <v>5650.12962866</v>
      </c>
      <c r="O59" s="2">
        <v>67801.555543919982</v>
      </c>
    </row>
    <row r="60" spans="1:15" ht="9.75" hidden="1" customHeight="1">
      <c r="A60" t="s">
        <v>148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 ht="9.75" hidden="1" customHeight="1">
      <c r="A61" t="s">
        <v>138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9.75" hidden="1" customHeight="1">
      <c r="A62" t="s">
        <v>150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9.75" hidden="1" customHeight="1">
      <c r="A63" t="s">
        <v>19</v>
      </c>
      <c r="C63" s="2">
        <v>41255.630382044335</v>
      </c>
      <c r="D63" s="2">
        <v>41255.630382044335</v>
      </c>
      <c r="E63" s="2">
        <v>41255.630382044335</v>
      </c>
      <c r="F63" s="2">
        <v>41255.630382044335</v>
      </c>
      <c r="G63" s="2">
        <v>41255.630382044335</v>
      </c>
      <c r="H63" s="2">
        <v>104636.27725529434</v>
      </c>
      <c r="I63" s="2">
        <v>168016.92412854434</v>
      </c>
      <c r="J63" s="2">
        <v>168016.92412854434</v>
      </c>
      <c r="K63" s="2">
        <v>168016.92412854434</v>
      </c>
      <c r="L63" s="2">
        <v>168016.92412854434</v>
      </c>
      <c r="M63" s="2">
        <v>168016.92412854434</v>
      </c>
      <c r="N63" s="2">
        <v>168016.92412854434</v>
      </c>
      <c r="O63" s="2">
        <v>1319015.9739367818</v>
      </c>
    </row>
    <row r="64" spans="1:15" ht="9.75" hidden="1" customHeight="1" thickBot="1">
      <c r="A64" t="s">
        <v>12</v>
      </c>
      <c r="C64" s="5">
        <v>48790.941226557334</v>
      </c>
      <c r="D64" s="5">
        <v>48790.941226557334</v>
      </c>
      <c r="E64" s="5">
        <v>48790.941226557334</v>
      </c>
      <c r="F64" s="5">
        <v>48790.941226557334</v>
      </c>
      <c r="G64" s="5">
        <v>48790.941226557334</v>
      </c>
      <c r="H64" s="5">
        <v>112171.58809980734</v>
      </c>
      <c r="I64" s="5">
        <v>175552.23497305735</v>
      </c>
      <c r="J64" s="5">
        <v>175552.23497305735</v>
      </c>
      <c r="K64" s="5">
        <v>175552.23497305735</v>
      </c>
      <c r="L64" s="5">
        <v>175552.23497305735</v>
      </c>
      <c r="M64" s="5">
        <v>175552.23497305735</v>
      </c>
      <c r="N64" s="5">
        <v>175552.23497305735</v>
      </c>
      <c r="O64" s="7">
        <v>1409439.7040709378</v>
      </c>
    </row>
    <row r="65" spans="1:15" ht="9.75" customHeight="1"/>
    <row r="66" spans="1:15" ht="12.75" hidden="1" customHeight="1"/>
    <row r="67" spans="1:15" ht="12.75" hidden="1" customHeight="1"/>
    <row r="68" spans="1:15" ht="12.75" hidden="1" customHeight="1">
      <c r="A68" s="63" t="s">
        <v>44</v>
      </c>
    </row>
    <row r="69" spans="1:15" ht="12.75" hidden="1" customHeight="1">
      <c r="B69" s="6">
        <v>202109</v>
      </c>
      <c r="C69" s="6">
        <v>202110</v>
      </c>
      <c r="D69" s="6">
        <v>202111</v>
      </c>
      <c r="E69" s="6">
        <v>202112</v>
      </c>
      <c r="F69" s="6">
        <v>202201</v>
      </c>
      <c r="G69" s="6">
        <v>202202</v>
      </c>
      <c r="H69" s="6">
        <v>202203</v>
      </c>
      <c r="I69" s="6">
        <v>202204</v>
      </c>
      <c r="J69" s="6">
        <v>202205</v>
      </c>
      <c r="K69" s="6">
        <v>202206</v>
      </c>
      <c r="L69" s="6">
        <v>202207</v>
      </c>
      <c r="M69" s="6">
        <v>202208</v>
      </c>
      <c r="N69" s="6">
        <v>202209</v>
      </c>
      <c r="O69" s="6" t="s">
        <v>9</v>
      </c>
    </row>
    <row r="70" spans="1:15" ht="12.75" hidden="1" customHeight="1">
      <c r="A70" t="s">
        <v>17</v>
      </c>
      <c r="B70" s="8">
        <f>+B37-B4</f>
        <v>-187140.45078018191</v>
      </c>
      <c r="C70" s="8">
        <f t="shared" ref="C70:N70" si="6">+C37-C4</f>
        <v>-187140.45078018191</v>
      </c>
      <c r="D70" s="8">
        <f t="shared" si="6"/>
        <v>-187140.45078018191</v>
      </c>
      <c r="E70" s="8">
        <f t="shared" si="6"/>
        <v>-187140.45078018191</v>
      </c>
      <c r="F70" s="8">
        <f t="shared" si="6"/>
        <v>-187140.45078018191</v>
      </c>
      <c r="G70" s="8">
        <f t="shared" si="6"/>
        <v>-187140.45078018191</v>
      </c>
      <c r="H70" s="8">
        <f t="shared" si="6"/>
        <v>-187140.45078018191</v>
      </c>
      <c r="I70" s="8">
        <f t="shared" si="6"/>
        <v>-187140.45078018191</v>
      </c>
      <c r="J70" s="8">
        <f t="shared" si="6"/>
        <v>-187140.45078018191</v>
      </c>
      <c r="K70" s="8">
        <f t="shared" si="6"/>
        <v>-187140.45078018191</v>
      </c>
      <c r="L70" s="8">
        <f t="shared" si="6"/>
        <v>-187140.45078018191</v>
      </c>
      <c r="M70" s="8">
        <f t="shared" si="6"/>
        <v>-187140.45078018191</v>
      </c>
      <c r="N70" s="8">
        <f t="shared" si="6"/>
        <v>-187140.45078018191</v>
      </c>
      <c r="O70" s="27">
        <f>(((B70+N70)/2)+C70+D70+E70+F70+G70+H70+I70+J70+K70+L70+M70)/12</f>
        <v>-187140.45078018191</v>
      </c>
    </row>
    <row r="71" spans="1:15" ht="12.75" hidden="1" customHeight="1">
      <c r="A71" t="s">
        <v>13</v>
      </c>
      <c r="B71" s="8">
        <f t="shared" ref="B71:N76" si="7">+B38-B5</f>
        <v>-404344.6545782683</v>
      </c>
      <c r="C71" s="8">
        <f t="shared" si="7"/>
        <v>-404344.6545782683</v>
      </c>
      <c r="D71" s="8">
        <f t="shared" si="7"/>
        <v>-404344.6545782683</v>
      </c>
      <c r="E71" s="8">
        <f t="shared" si="7"/>
        <v>-404344.6545782683</v>
      </c>
      <c r="F71" s="8">
        <f t="shared" si="7"/>
        <v>-404344.6545782683</v>
      </c>
      <c r="G71" s="8">
        <f t="shared" si="7"/>
        <v>-404344.6545782683</v>
      </c>
      <c r="H71" s="8">
        <f t="shared" si="7"/>
        <v>-404344.6545782683</v>
      </c>
      <c r="I71" s="8">
        <f t="shared" si="7"/>
        <v>-404344.6545782683</v>
      </c>
      <c r="J71" s="8">
        <f t="shared" si="7"/>
        <v>-404344.6545782683</v>
      </c>
      <c r="K71" s="8">
        <f t="shared" si="7"/>
        <v>-404344.6545782683</v>
      </c>
      <c r="L71" s="8">
        <f t="shared" si="7"/>
        <v>-404344.6545782683</v>
      </c>
      <c r="M71" s="8">
        <f t="shared" si="7"/>
        <v>-404344.6545782683</v>
      </c>
      <c r="N71" s="8">
        <f t="shared" si="7"/>
        <v>-404344.6545782683</v>
      </c>
      <c r="O71" s="27">
        <f t="shared" ref="O71:O76" si="8">(((B71+N71)/2)+C71+D71+E71+F71+G71+H71+I71+J71+K71+L71+M71)/12</f>
        <v>-404344.65457826835</v>
      </c>
    </row>
    <row r="72" spans="1:15" ht="12.75" hidden="1" customHeight="1">
      <c r="A72" t="s">
        <v>141</v>
      </c>
      <c r="B72" s="8">
        <f t="shared" si="7"/>
        <v>-107850.59359183628</v>
      </c>
      <c r="C72" s="8">
        <f t="shared" si="7"/>
        <v>-107850.59359183628</v>
      </c>
      <c r="D72" s="8">
        <f t="shared" si="7"/>
        <v>-107850.59359183628</v>
      </c>
      <c r="E72" s="8">
        <f t="shared" si="7"/>
        <v>-107850.59359183628</v>
      </c>
      <c r="F72" s="8">
        <f t="shared" si="7"/>
        <v>-107850.59359183628</v>
      </c>
      <c r="G72" s="8">
        <f t="shared" si="7"/>
        <v>-107850.59359183628</v>
      </c>
      <c r="H72" s="8">
        <f t="shared" si="7"/>
        <v>-107850.59359183628</v>
      </c>
      <c r="I72" s="8">
        <f t="shared" si="7"/>
        <v>-107850.59359183628</v>
      </c>
      <c r="J72" s="8">
        <f t="shared" si="7"/>
        <v>-107850.59359183628</v>
      </c>
      <c r="K72" s="8">
        <f t="shared" si="7"/>
        <v>-107850.59359183628</v>
      </c>
      <c r="L72" s="8">
        <f t="shared" si="7"/>
        <v>-107850.59359183628</v>
      </c>
      <c r="M72" s="8">
        <f t="shared" si="7"/>
        <v>-107850.59359183628</v>
      </c>
      <c r="N72" s="8">
        <f t="shared" si="7"/>
        <v>-107850.59359183628</v>
      </c>
      <c r="O72" s="27">
        <f t="shared" si="8"/>
        <v>-107850.59359183628</v>
      </c>
    </row>
    <row r="73" spans="1:15" ht="12.75" hidden="1" customHeight="1">
      <c r="A73" t="s">
        <v>148</v>
      </c>
      <c r="B73" s="8">
        <f t="shared" si="7"/>
        <v>-447082.47473999998</v>
      </c>
      <c r="C73" s="8">
        <f t="shared" si="7"/>
        <v>-447082.47473999998</v>
      </c>
      <c r="D73" s="8">
        <f t="shared" si="7"/>
        <v>-447082.47473999998</v>
      </c>
      <c r="E73" s="8">
        <f t="shared" si="7"/>
        <v>-447082.47473999998</v>
      </c>
      <c r="F73" s="8">
        <f t="shared" si="7"/>
        <v>-447082.47473999998</v>
      </c>
      <c r="G73" s="8">
        <f t="shared" si="7"/>
        <v>-447082.47473999998</v>
      </c>
      <c r="H73" s="8">
        <f t="shared" si="7"/>
        <v>-447082.47473999998</v>
      </c>
      <c r="I73" s="8">
        <f t="shared" si="7"/>
        <v>-447082.47473999998</v>
      </c>
      <c r="J73" s="8">
        <f t="shared" si="7"/>
        <v>-447082.47473999998</v>
      </c>
      <c r="K73" s="8">
        <f t="shared" si="7"/>
        <v>-447082.47473999998</v>
      </c>
      <c r="L73" s="8">
        <f t="shared" si="7"/>
        <v>-447082.47473999998</v>
      </c>
      <c r="M73" s="8">
        <f t="shared" si="7"/>
        <v>-447082.47473999998</v>
      </c>
      <c r="N73" s="8">
        <f t="shared" si="7"/>
        <v>-447082.47473999998</v>
      </c>
      <c r="O73" s="27">
        <f t="shared" si="8"/>
        <v>-447082.47473999998</v>
      </c>
    </row>
    <row r="74" spans="1:15" ht="12.75" hidden="1" customHeight="1">
      <c r="A74" t="s">
        <v>138</v>
      </c>
      <c r="B74" s="8">
        <f t="shared" si="7"/>
        <v>-795022.201049731</v>
      </c>
      <c r="C74" s="8">
        <f t="shared" si="7"/>
        <v>-795022.201049731</v>
      </c>
      <c r="D74" s="8">
        <f t="shared" si="7"/>
        <v>-795022.201049731</v>
      </c>
      <c r="E74" s="8">
        <f t="shared" si="7"/>
        <v>-795022.201049731</v>
      </c>
      <c r="F74" s="8">
        <f t="shared" si="7"/>
        <v>-795022.201049731</v>
      </c>
      <c r="G74" s="8">
        <f t="shared" si="7"/>
        <v>-795022.201049731</v>
      </c>
      <c r="H74" s="8">
        <f t="shared" si="7"/>
        <v>-795022.201049731</v>
      </c>
      <c r="I74" s="8">
        <f t="shared" si="7"/>
        <v>-795022.201049731</v>
      </c>
      <c r="J74" s="8">
        <f t="shared" si="7"/>
        <v>-795022.201049731</v>
      </c>
      <c r="K74" s="8">
        <f t="shared" si="7"/>
        <v>-795022.201049731</v>
      </c>
      <c r="L74" s="8">
        <f t="shared" si="7"/>
        <v>-795022.201049731</v>
      </c>
      <c r="M74" s="8">
        <f t="shared" si="7"/>
        <v>-795022.201049731</v>
      </c>
      <c r="N74" s="8">
        <f t="shared" si="7"/>
        <v>-795022.201049731</v>
      </c>
      <c r="O74" s="27">
        <f t="shared" si="8"/>
        <v>-795022.201049731</v>
      </c>
    </row>
    <row r="75" spans="1:15" ht="12.75" hidden="1" customHeight="1">
      <c r="A75" t="s">
        <v>150</v>
      </c>
      <c r="B75" s="8">
        <f t="shared" si="7"/>
        <v>-32615.002710000008</v>
      </c>
      <c r="C75" s="8">
        <f t="shared" si="7"/>
        <v>-32615.002710000008</v>
      </c>
      <c r="D75" s="8">
        <f t="shared" si="7"/>
        <v>-32615.002710000008</v>
      </c>
      <c r="E75" s="8">
        <f t="shared" si="7"/>
        <v>-32615.002710000008</v>
      </c>
      <c r="F75" s="8">
        <f t="shared" si="7"/>
        <v>-32615.002710000008</v>
      </c>
      <c r="G75" s="8">
        <f t="shared" si="7"/>
        <v>-32615.002710000008</v>
      </c>
      <c r="H75" s="8">
        <f t="shared" si="7"/>
        <v>-32615.002710000008</v>
      </c>
      <c r="I75" s="8">
        <f t="shared" si="7"/>
        <v>-32615.002710000008</v>
      </c>
      <c r="J75" s="8">
        <f t="shared" si="7"/>
        <v>-32615.002710000008</v>
      </c>
      <c r="K75" s="8">
        <f t="shared" si="7"/>
        <v>-32615.002710000008</v>
      </c>
      <c r="L75" s="8">
        <f t="shared" si="7"/>
        <v>-32615.002710000008</v>
      </c>
      <c r="M75" s="8">
        <f t="shared" si="7"/>
        <v>-32615.002710000008</v>
      </c>
      <c r="N75" s="8">
        <f t="shared" si="7"/>
        <v>-32615.002710000008</v>
      </c>
      <c r="O75" s="27">
        <f t="shared" si="8"/>
        <v>-32615.002710000012</v>
      </c>
    </row>
    <row r="76" spans="1:15" ht="12.75" hidden="1" customHeight="1">
      <c r="A76" t="s">
        <v>19</v>
      </c>
      <c r="B76" s="8">
        <f t="shared" si="7"/>
        <v>-1179177.9804244065</v>
      </c>
      <c r="C76" s="8">
        <f t="shared" si="7"/>
        <v>-1179177.9804244065</v>
      </c>
      <c r="D76" s="8">
        <f t="shared" si="7"/>
        <v>-1179177.9804244065</v>
      </c>
      <c r="E76" s="8">
        <f t="shared" si="7"/>
        <v>-1179177.9804244065</v>
      </c>
      <c r="F76" s="8">
        <f t="shared" si="7"/>
        <v>-1179177.9804244065</v>
      </c>
      <c r="G76" s="8">
        <f t="shared" si="7"/>
        <v>-1179177.9804244065</v>
      </c>
      <c r="H76" s="8">
        <f t="shared" si="7"/>
        <v>128722.98189892806</v>
      </c>
      <c r="I76" s="8">
        <f t="shared" si="7"/>
        <v>-713741.14646773785</v>
      </c>
      <c r="J76" s="8">
        <f t="shared" si="7"/>
        <v>-1517690.6613344047</v>
      </c>
      <c r="K76" s="8">
        <f t="shared" si="7"/>
        <v>-1517690.6613344047</v>
      </c>
      <c r="L76" s="8">
        <f t="shared" si="7"/>
        <v>-1517690.6613344047</v>
      </c>
      <c r="M76" s="8">
        <f t="shared" si="7"/>
        <v>-1517690.6613344047</v>
      </c>
      <c r="N76" s="8">
        <f t="shared" si="7"/>
        <v>-1517690.6613344047</v>
      </c>
      <c r="O76" s="27">
        <f t="shared" si="8"/>
        <v>-1158342.0860756554</v>
      </c>
    </row>
    <row r="77" spans="1:15" ht="13.5" hidden="1" customHeight="1" thickBot="1">
      <c r="A77" t="s">
        <v>7</v>
      </c>
      <c r="B77" s="5">
        <f>+B44-B11</f>
        <v>-3153233.3578744251</v>
      </c>
      <c r="C77" s="5">
        <f t="shared" ref="C77:N77" si="9">+C44-C11</f>
        <v>-3153233.3578744251</v>
      </c>
      <c r="D77" s="5">
        <f t="shared" si="9"/>
        <v>-3153233.3578744251</v>
      </c>
      <c r="E77" s="5">
        <f t="shared" si="9"/>
        <v>-3153233.3578744251</v>
      </c>
      <c r="F77" s="5">
        <f t="shared" si="9"/>
        <v>-3153233.3578744251</v>
      </c>
      <c r="G77" s="5">
        <f t="shared" si="9"/>
        <v>-3153233.3578744251</v>
      </c>
      <c r="H77" s="5">
        <f t="shared" si="9"/>
        <v>-1845332.3955510911</v>
      </c>
      <c r="I77" s="5">
        <f t="shared" si="9"/>
        <v>-2687796.5239177551</v>
      </c>
      <c r="J77" s="5">
        <f t="shared" si="9"/>
        <v>-3491746.0387844238</v>
      </c>
      <c r="K77" s="5">
        <f t="shared" si="9"/>
        <v>-3491746.0387844238</v>
      </c>
      <c r="L77" s="5">
        <f t="shared" si="9"/>
        <v>-3491746.0387844238</v>
      </c>
      <c r="M77" s="5">
        <f t="shared" si="9"/>
        <v>-3491746.0387844238</v>
      </c>
      <c r="N77" s="5">
        <f t="shared" si="9"/>
        <v>-3491746.0387844238</v>
      </c>
      <c r="O77" s="7">
        <f>SUM(O70:O76)</f>
        <v>-3132397.4635256729</v>
      </c>
    </row>
    <row r="78" spans="1:15" ht="12.75" hidden="1" customHeight="1"/>
    <row r="79" spans="1:15" ht="12.75" hidden="1" customHeight="1">
      <c r="A79" t="s">
        <v>17</v>
      </c>
      <c r="B79" s="8">
        <f>+B46-B13</f>
        <v>1337.2744712000499</v>
      </c>
      <c r="C79" s="8">
        <f t="shared" ref="C79:N79" si="10">+C46-C13</f>
        <v>1719.3528915429213</v>
      </c>
      <c r="D79" s="8">
        <f t="shared" si="10"/>
        <v>2101.4313118857926</v>
      </c>
      <c r="E79" s="8">
        <f t="shared" si="10"/>
        <v>2483.5097322286642</v>
      </c>
      <c r="F79" s="8">
        <f t="shared" si="10"/>
        <v>2865.5881525715358</v>
      </c>
      <c r="G79" s="8">
        <f t="shared" si="10"/>
        <v>3247.6665729144074</v>
      </c>
      <c r="H79" s="8">
        <f t="shared" si="10"/>
        <v>3629.744993257279</v>
      </c>
      <c r="I79" s="8">
        <f t="shared" si="10"/>
        <v>4011.8234136001506</v>
      </c>
      <c r="J79" s="8">
        <f t="shared" si="10"/>
        <v>4393.9018339430222</v>
      </c>
      <c r="K79" s="8">
        <f t="shared" si="10"/>
        <v>4775.9802542858934</v>
      </c>
      <c r="L79" s="8">
        <f t="shared" si="10"/>
        <v>5158.0586746287645</v>
      </c>
      <c r="M79" s="8">
        <f t="shared" si="10"/>
        <v>5540.1370949716356</v>
      </c>
      <c r="N79" s="8">
        <f t="shared" si="10"/>
        <v>5922.2155153145068</v>
      </c>
      <c r="O79" s="28">
        <f t="shared" ref="O79:O85" si="11">(((B79+N79)/2)+C79+D79+E79+F79+G79+H79+I79+J79+K79+L79+M79)/12</f>
        <v>3629.7449932572795</v>
      </c>
    </row>
    <row r="80" spans="1:15" ht="12.75" hidden="1" customHeight="1">
      <c r="A80" t="s">
        <v>13</v>
      </c>
      <c r="B80" s="8">
        <f t="shared" ref="B80:N85" si="12">+B47-B14</f>
        <v>-4201.3485317283175</v>
      </c>
      <c r="C80" s="8">
        <f t="shared" si="12"/>
        <v>-3507.2235413689596</v>
      </c>
      <c r="D80" s="8">
        <f t="shared" si="12"/>
        <v>-2813.0985510095998</v>
      </c>
      <c r="E80" s="8">
        <f t="shared" si="12"/>
        <v>-2118.97356065024</v>
      </c>
      <c r="F80" s="8">
        <f t="shared" si="12"/>
        <v>-1424.8485702908802</v>
      </c>
      <c r="G80" s="8">
        <f t="shared" si="12"/>
        <v>-730.72357993152036</v>
      </c>
      <c r="H80" s="8">
        <f t="shared" si="12"/>
        <v>-36.598589572160563</v>
      </c>
      <c r="I80" s="8">
        <f t="shared" si="12"/>
        <v>657.5264007871956</v>
      </c>
      <c r="J80" s="8">
        <f t="shared" si="12"/>
        <v>1351.6513911465518</v>
      </c>
      <c r="K80" s="8">
        <f t="shared" si="12"/>
        <v>2045.7763815059079</v>
      </c>
      <c r="L80" s="8">
        <f t="shared" si="12"/>
        <v>2739.9013718652641</v>
      </c>
      <c r="M80" s="8">
        <f t="shared" si="12"/>
        <v>3434.0263622246202</v>
      </c>
      <c r="N80" s="8">
        <f t="shared" si="12"/>
        <v>4128.1513525839764</v>
      </c>
      <c r="O80" s="28">
        <f t="shared" si="11"/>
        <v>-36.59858957216602</v>
      </c>
    </row>
    <row r="81" spans="1:15" ht="12.75" hidden="1" customHeight="1">
      <c r="A81" t="s">
        <v>141</v>
      </c>
      <c r="B81" s="8">
        <f t="shared" si="12"/>
        <v>-8943.4463459563412</v>
      </c>
      <c r="C81" s="8">
        <f t="shared" si="12"/>
        <v>-8745.720257704641</v>
      </c>
      <c r="D81" s="8">
        <f t="shared" si="12"/>
        <v>-8547.9941694529407</v>
      </c>
      <c r="E81" s="8">
        <f t="shared" si="12"/>
        <v>-8350.2680812012404</v>
      </c>
      <c r="F81" s="8">
        <f t="shared" si="12"/>
        <v>-8152.5419929495474</v>
      </c>
      <c r="G81" s="8">
        <f t="shared" si="12"/>
        <v>-7954.8159046978399</v>
      </c>
      <c r="H81" s="8">
        <f t="shared" si="12"/>
        <v>-7757.0898164461396</v>
      </c>
      <c r="I81" s="8">
        <f t="shared" si="12"/>
        <v>-7559.3637281944393</v>
      </c>
      <c r="J81" s="8">
        <f t="shared" si="12"/>
        <v>-7361.637639942739</v>
      </c>
      <c r="K81" s="8">
        <f t="shared" si="12"/>
        <v>-7163.9115516910388</v>
      </c>
      <c r="L81" s="8">
        <f t="shared" si="12"/>
        <v>-6966.1854634393385</v>
      </c>
      <c r="M81" s="8">
        <f t="shared" si="12"/>
        <v>-6768.4593751876382</v>
      </c>
      <c r="N81" s="8">
        <f t="shared" si="12"/>
        <v>-6570.7332869359379</v>
      </c>
      <c r="O81" s="28">
        <f t="shared" si="11"/>
        <v>-7757.0898164461405</v>
      </c>
    </row>
    <row r="82" spans="1:15" ht="12.75" hidden="1" customHeight="1">
      <c r="A82" t="s">
        <v>148</v>
      </c>
      <c r="B82" s="8">
        <f t="shared" si="12"/>
        <v>12600.274413089001</v>
      </c>
      <c r="C82" s="8">
        <f t="shared" si="12"/>
        <v>13926.619088151001</v>
      </c>
      <c r="D82" s="8">
        <f t="shared" si="12"/>
        <v>15252.963763213002</v>
      </c>
      <c r="E82" s="8">
        <f t="shared" si="12"/>
        <v>16579.308438275002</v>
      </c>
      <c r="F82" s="8">
        <f t="shared" si="12"/>
        <v>17905.653113337001</v>
      </c>
      <c r="G82" s="8">
        <f t="shared" si="12"/>
        <v>19231.997788399</v>
      </c>
      <c r="H82" s="8">
        <f t="shared" si="12"/>
        <v>20558.342463460998</v>
      </c>
      <c r="I82" s="8">
        <f t="shared" si="12"/>
        <v>21884.687138522997</v>
      </c>
      <c r="J82" s="8">
        <f t="shared" si="12"/>
        <v>23211.031813584996</v>
      </c>
      <c r="K82" s="8">
        <f t="shared" si="12"/>
        <v>24537.376488646994</v>
      </c>
      <c r="L82" s="8">
        <f t="shared" si="12"/>
        <v>25863.721163708993</v>
      </c>
      <c r="M82" s="8">
        <f t="shared" si="12"/>
        <v>27190.065838770992</v>
      </c>
      <c r="N82" s="8">
        <f t="shared" si="12"/>
        <v>28516.410513832991</v>
      </c>
      <c r="O82" s="28">
        <f t="shared" si="11"/>
        <v>20558.342463460998</v>
      </c>
    </row>
    <row r="83" spans="1:15" ht="12.75" hidden="1" customHeight="1">
      <c r="A83" t="s">
        <v>138</v>
      </c>
      <c r="B83" s="8">
        <f t="shared" si="12"/>
        <v>23123.029300983111</v>
      </c>
      <c r="C83" s="8">
        <f t="shared" si="12"/>
        <v>25633.974419298513</v>
      </c>
      <c r="D83" s="8">
        <f t="shared" si="12"/>
        <v>28144.919537613914</v>
      </c>
      <c r="E83" s="8">
        <f t="shared" si="12"/>
        <v>30655.864655929316</v>
      </c>
      <c r="F83" s="8">
        <f t="shared" si="12"/>
        <v>33166.809774244713</v>
      </c>
      <c r="G83" s="8">
        <f t="shared" si="12"/>
        <v>35677.754892560115</v>
      </c>
      <c r="H83" s="8">
        <f t="shared" si="12"/>
        <v>38188.700010875516</v>
      </c>
      <c r="I83" s="8">
        <f t="shared" si="12"/>
        <v>40699.645129190918</v>
      </c>
      <c r="J83" s="8">
        <f t="shared" si="12"/>
        <v>43210.590247506319</v>
      </c>
      <c r="K83" s="8">
        <f t="shared" si="12"/>
        <v>45721.535365821721</v>
      </c>
      <c r="L83" s="8">
        <f t="shared" si="12"/>
        <v>48232.480484137122</v>
      </c>
      <c r="M83" s="8">
        <f t="shared" si="12"/>
        <v>50743.425602452524</v>
      </c>
      <c r="N83" s="8">
        <f t="shared" si="12"/>
        <v>53254.370720767925</v>
      </c>
      <c r="O83" s="28">
        <f t="shared" si="11"/>
        <v>38188.700010875524</v>
      </c>
    </row>
    <row r="84" spans="1:15" ht="12.75" hidden="1" customHeight="1">
      <c r="A84" t="s">
        <v>150</v>
      </c>
      <c r="B84" s="8">
        <f t="shared" si="12"/>
        <v>14701.516384214996</v>
      </c>
      <c r="C84" s="8">
        <f t="shared" si="12"/>
        <v>15245.099762714995</v>
      </c>
      <c r="D84" s="8">
        <f t="shared" si="12"/>
        <v>15788.683141214995</v>
      </c>
      <c r="E84" s="8">
        <f t="shared" si="12"/>
        <v>16332.266519714995</v>
      </c>
      <c r="F84" s="8">
        <f t="shared" si="12"/>
        <v>16875.849898214994</v>
      </c>
      <c r="G84" s="8">
        <f t="shared" si="12"/>
        <v>17419.433276714994</v>
      </c>
      <c r="H84" s="8">
        <f t="shared" si="12"/>
        <v>17963.016655214993</v>
      </c>
      <c r="I84" s="8">
        <f t="shared" si="12"/>
        <v>18506.600033714993</v>
      </c>
      <c r="J84" s="8">
        <f t="shared" si="12"/>
        <v>19050.183412214992</v>
      </c>
      <c r="K84" s="8">
        <f t="shared" si="12"/>
        <v>19593.766790714992</v>
      </c>
      <c r="L84" s="8">
        <f t="shared" si="12"/>
        <v>20137.350169214991</v>
      </c>
      <c r="M84" s="8">
        <f t="shared" si="12"/>
        <v>20680.933547714991</v>
      </c>
      <c r="N84" s="8">
        <f t="shared" si="12"/>
        <v>21224.51692621499</v>
      </c>
      <c r="O84" s="28">
        <f t="shared" si="11"/>
        <v>17963.016655214993</v>
      </c>
    </row>
    <row r="85" spans="1:15" ht="12.75" hidden="1" customHeight="1">
      <c r="A85" t="s">
        <v>19</v>
      </c>
      <c r="B85" s="8">
        <f t="shared" si="12"/>
        <v>-130802.53079465393</v>
      </c>
      <c r="C85" s="8">
        <f t="shared" si="12"/>
        <v>-111149.56445424719</v>
      </c>
      <c r="D85" s="8">
        <f t="shared" si="12"/>
        <v>-91496.598113840446</v>
      </c>
      <c r="E85" s="8">
        <f t="shared" si="12"/>
        <v>-71843.631773433648</v>
      </c>
      <c r="F85" s="8">
        <f t="shared" si="12"/>
        <v>-52190.66543302685</v>
      </c>
      <c r="G85" s="8">
        <f t="shared" si="12"/>
        <v>-32537.699092620052</v>
      </c>
      <c r="H85" s="8">
        <f t="shared" si="12"/>
        <v>-23783.907438241062</v>
      </c>
      <c r="I85" s="8">
        <f t="shared" si="12"/>
        <v>-18908.756066834321</v>
      </c>
      <c r="J85" s="8">
        <f t="shared" si="12"/>
        <v>-313.49100181646645</v>
      </c>
      <c r="K85" s="8">
        <f t="shared" si="12"/>
        <v>24981.353353756946</v>
      </c>
      <c r="L85" s="8">
        <f t="shared" si="12"/>
        <v>50276.197709330358</v>
      </c>
      <c r="M85" s="8">
        <f t="shared" si="12"/>
        <v>75571.04206490377</v>
      </c>
      <c r="N85" s="8">
        <f t="shared" si="12"/>
        <v>100865.88642047718</v>
      </c>
      <c r="O85" s="28">
        <f t="shared" si="11"/>
        <v>-22197.003536096443</v>
      </c>
    </row>
    <row r="86" spans="1:15" ht="13.5" hidden="1" customHeight="1" thickBot="1">
      <c r="A86" t="s">
        <v>10</v>
      </c>
      <c r="B86" s="5">
        <f>+B53-B20</f>
        <v>-92185.231102851452</v>
      </c>
      <c r="C86" s="5">
        <f t="shared" ref="C86:N86" si="13">+C53-C20</f>
        <v>-66877.462091613444</v>
      </c>
      <c r="D86" s="5">
        <f t="shared" si="13"/>
        <v>-41569.69308037532</v>
      </c>
      <c r="E86" s="5">
        <f t="shared" si="13"/>
        <v>-16261.924069137196</v>
      </c>
      <c r="F86" s="5">
        <f t="shared" si="13"/>
        <v>9045.8449421009282</v>
      </c>
      <c r="G86" s="5">
        <f t="shared" si="13"/>
        <v>34353.613953339169</v>
      </c>
      <c r="H86" s="5">
        <f t="shared" si="13"/>
        <v>48762.208278549369</v>
      </c>
      <c r="I86" s="5">
        <f t="shared" si="13"/>
        <v>59292.16232078732</v>
      </c>
      <c r="J86" s="5">
        <f t="shared" si="13"/>
        <v>83542.230056636734</v>
      </c>
      <c r="K86" s="5">
        <f t="shared" si="13"/>
        <v>114491.87708304124</v>
      </c>
      <c r="L86" s="5">
        <f t="shared" si="13"/>
        <v>145441.52410944621</v>
      </c>
      <c r="M86" s="5">
        <f t="shared" si="13"/>
        <v>176391.17113585072</v>
      </c>
      <c r="N86" s="5">
        <f t="shared" si="13"/>
        <v>207340.81816225569</v>
      </c>
      <c r="O86" s="7">
        <f>SUM(O79:O85)</f>
        <v>50349.11218069405</v>
      </c>
    </row>
    <row r="87" spans="1:15" ht="12.75" hidden="1" customHeight="1"/>
    <row r="88" spans="1:15" ht="12.75" hidden="1" customHeight="1">
      <c r="A88" t="s">
        <v>11</v>
      </c>
      <c r="B88" s="8">
        <f t="shared" ref="B88:N88" si="14">+B55-B22</f>
        <v>-70218.758279912901</v>
      </c>
      <c r="C88" s="8">
        <f t="shared" si="14"/>
        <v>-77956.54184729408</v>
      </c>
      <c r="D88" s="8">
        <f t="shared" si="14"/>
        <v>-85694.325414675244</v>
      </c>
      <c r="E88" s="8">
        <f t="shared" si="14"/>
        <v>-93432.108982056452</v>
      </c>
      <c r="F88" s="8">
        <f t="shared" si="14"/>
        <v>-107403.8478908448</v>
      </c>
      <c r="G88" s="8">
        <f t="shared" si="14"/>
        <v>-121375.58679963317</v>
      </c>
      <c r="H88" s="8">
        <f t="shared" si="14"/>
        <v>-133058.49902435561</v>
      </c>
      <c r="I88" s="8">
        <f t="shared" si="14"/>
        <v>-143926.89678965395</v>
      </c>
      <c r="J88" s="8">
        <f t="shared" si="14"/>
        <v>-157676.51843061054</v>
      </c>
      <c r="K88" s="8">
        <f t="shared" si="14"/>
        <v>-172833.05172258391</v>
      </c>
      <c r="L88" s="8">
        <f t="shared" si="14"/>
        <v>-187989.58501455717</v>
      </c>
      <c r="M88" s="8">
        <f t="shared" si="14"/>
        <v>-203146.11830653052</v>
      </c>
      <c r="N88" s="8">
        <f t="shared" si="14"/>
        <v>-218302.65159850399</v>
      </c>
      <c r="O88" s="16">
        <f>(((B88+N88)/2)+C88+D88+E88+F88+G88+H88+I88+J88+K88+L88+M88)/12</f>
        <v>-135729.48209683364</v>
      </c>
    </row>
    <row r="89" spans="1:15" ht="12.75" hidden="1" customHeight="1"/>
    <row r="90" spans="1:15" ht="12.75" hidden="1" customHeight="1">
      <c r="A90" t="s">
        <v>17</v>
      </c>
      <c r="C90" s="8">
        <f>+C57-C24</f>
        <v>-382.07842034287142</v>
      </c>
      <c r="D90" s="8">
        <f t="shared" ref="D90:N90" si="15">+D57-D24</f>
        <v>-382.07842034287142</v>
      </c>
      <c r="E90" s="8">
        <f t="shared" si="15"/>
        <v>-382.07842034287142</v>
      </c>
      <c r="F90" s="8">
        <f t="shared" si="15"/>
        <v>-382.07842034287142</v>
      </c>
      <c r="G90" s="8">
        <f t="shared" si="15"/>
        <v>-382.07842034287142</v>
      </c>
      <c r="H90" s="8">
        <f t="shared" si="15"/>
        <v>-382.07842034287142</v>
      </c>
      <c r="I90" s="8">
        <f t="shared" si="15"/>
        <v>-382.07842034287142</v>
      </c>
      <c r="J90" s="8">
        <f t="shared" si="15"/>
        <v>-382.07842034287142</v>
      </c>
      <c r="K90" s="8">
        <f t="shared" si="15"/>
        <v>-382.07842034287142</v>
      </c>
      <c r="L90" s="8">
        <f t="shared" si="15"/>
        <v>-382.07842034287142</v>
      </c>
      <c r="M90" s="8">
        <f t="shared" si="15"/>
        <v>-382.07842034287142</v>
      </c>
      <c r="N90" s="8">
        <f t="shared" si="15"/>
        <v>-382.07842034287142</v>
      </c>
      <c r="O90" s="3">
        <f>SUM(C90:N90)</f>
        <v>-4584.9410441144573</v>
      </c>
    </row>
    <row r="91" spans="1:15" ht="12.75" hidden="1" customHeight="1">
      <c r="A91" t="s">
        <v>13</v>
      </c>
      <c r="C91" s="8">
        <f t="shared" ref="C91:N96" si="16">+C58-C25</f>
        <v>-694.12499035936048</v>
      </c>
      <c r="D91" s="8">
        <f t="shared" si="16"/>
        <v>-694.12499035936048</v>
      </c>
      <c r="E91" s="8">
        <f t="shared" si="16"/>
        <v>-694.12499035936048</v>
      </c>
      <c r="F91" s="8">
        <f t="shared" si="16"/>
        <v>-694.12499035936048</v>
      </c>
      <c r="G91" s="8">
        <f t="shared" si="16"/>
        <v>-694.12499035936048</v>
      </c>
      <c r="H91" s="8">
        <f t="shared" si="16"/>
        <v>-694.12499035936048</v>
      </c>
      <c r="I91" s="8">
        <f t="shared" si="16"/>
        <v>-694.12499035936048</v>
      </c>
      <c r="J91" s="8">
        <f t="shared" si="16"/>
        <v>-694.12499035936048</v>
      </c>
      <c r="K91" s="8">
        <f t="shared" si="16"/>
        <v>-694.12499035936048</v>
      </c>
      <c r="L91" s="8">
        <f t="shared" si="16"/>
        <v>-694.12499035936048</v>
      </c>
      <c r="M91" s="8">
        <f t="shared" si="16"/>
        <v>-694.12499035936048</v>
      </c>
      <c r="N91" s="8">
        <f t="shared" si="16"/>
        <v>-694.12499035936048</v>
      </c>
      <c r="O91" s="3">
        <f t="shared" ref="O91:O96" si="17">SUM(C91:N91)</f>
        <v>-8329.4998843123267</v>
      </c>
    </row>
    <row r="92" spans="1:15" ht="12.75" hidden="1" customHeight="1">
      <c r="A92" t="s">
        <v>141</v>
      </c>
      <c r="C92" s="8">
        <f t="shared" si="16"/>
        <v>-197.72608825170028</v>
      </c>
      <c r="D92" s="8">
        <f t="shared" si="16"/>
        <v>-197.72608825170028</v>
      </c>
      <c r="E92" s="8">
        <f t="shared" si="16"/>
        <v>-197.72608825170028</v>
      </c>
      <c r="F92" s="8">
        <f t="shared" si="16"/>
        <v>-197.72608825170028</v>
      </c>
      <c r="G92" s="8">
        <f t="shared" si="16"/>
        <v>-197.72608825170028</v>
      </c>
      <c r="H92" s="8">
        <f t="shared" si="16"/>
        <v>-197.72608825170028</v>
      </c>
      <c r="I92" s="8">
        <f t="shared" si="16"/>
        <v>-197.72608825170028</v>
      </c>
      <c r="J92" s="8">
        <f t="shared" si="16"/>
        <v>-197.72608825170028</v>
      </c>
      <c r="K92" s="8">
        <f t="shared" si="16"/>
        <v>-197.72608825170028</v>
      </c>
      <c r="L92" s="8">
        <f t="shared" si="16"/>
        <v>-197.72608825170028</v>
      </c>
      <c r="M92" s="8">
        <f t="shared" si="16"/>
        <v>-197.72608825170028</v>
      </c>
      <c r="N92" s="8">
        <f t="shared" si="16"/>
        <v>-197.72608825170028</v>
      </c>
      <c r="O92" s="3">
        <f t="shared" si="17"/>
        <v>-2372.7130590204033</v>
      </c>
    </row>
    <row r="93" spans="1:15" ht="12.75" hidden="1" customHeight="1">
      <c r="A93" t="s">
        <v>148</v>
      </c>
      <c r="C93" s="8">
        <f t="shared" si="16"/>
        <v>-1326.3446750619999</v>
      </c>
      <c r="D93" s="8">
        <f t="shared" si="16"/>
        <v>-1326.3446750619999</v>
      </c>
      <c r="E93" s="8">
        <f t="shared" si="16"/>
        <v>-1326.3446750619999</v>
      </c>
      <c r="F93" s="8">
        <f t="shared" si="16"/>
        <v>-1326.3446750619999</v>
      </c>
      <c r="G93" s="8">
        <f t="shared" si="16"/>
        <v>-1326.3446750619999</v>
      </c>
      <c r="H93" s="8">
        <f t="shared" si="16"/>
        <v>-1326.3446750619999</v>
      </c>
      <c r="I93" s="8">
        <f t="shared" si="16"/>
        <v>-1326.3446750619999</v>
      </c>
      <c r="J93" s="8">
        <f t="shared" si="16"/>
        <v>-1326.3446750619999</v>
      </c>
      <c r="K93" s="8">
        <f t="shared" si="16"/>
        <v>-1326.3446750619999</v>
      </c>
      <c r="L93" s="8">
        <f t="shared" si="16"/>
        <v>-1326.3446750619999</v>
      </c>
      <c r="M93" s="8">
        <f t="shared" si="16"/>
        <v>-1326.3446750619999</v>
      </c>
      <c r="N93" s="8">
        <f t="shared" si="16"/>
        <v>-1326.3446750619999</v>
      </c>
      <c r="O93" s="3">
        <f t="shared" si="17"/>
        <v>-15916.136100744001</v>
      </c>
    </row>
    <row r="94" spans="1:15" ht="12.75" hidden="1" customHeight="1">
      <c r="A94" t="s">
        <v>138</v>
      </c>
      <c r="C94" s="8">
        <f t="shared" si="16"/>
        <v>-2510.9451183154006</v>
      </c>
      <c r="D94" s="8">
        <f t="shared" si="16"/>
        <v>-2510.9451183154006</v>
      </c>
      <c r="E94" s="8">
        <f t="shared" si="16"/>
        <v>-2510.9451183154006</v>
      </c>
      <c r="F94" s="8">
        <f t="shared" si="16"/>
        <v>-2510.9451183154006</v>
      </c>
      <c r="G94" s="8">
        <f t="shared" si="16"/>
        <v>-2510.9451183154006</v>
      </c>
      <c r="H94" s="8">
        <f t="shared" si="16"/>
        <v>-2510.9451183154006</v>
      </c>
      <c r="I94" s="8">
        <f t="shared" si="16"/>
        <v>-2510.9451183154006</v>
      </c>
      <c r="J94" s="8">
        <f t="shared" si="16"/>
        <v>-2510.9451183154006</v>
      </c>
      <c r="K94" s="8">
        <f t="shared" si="16"/>
        <v>-2510.9451183154006</v>
      </c>
      <c r="L94" s="8">
        <f t="shared" si="16"/>
        <v>-2510.9451183154006</v>
      </c>
      <c r="M94" s="8">
        <f t="shared" si="16"/>
        <v>-2510.9451183154006</v>
      </c>
      <c r="N94" s="8">
        <f t="shared" si="16"/>
        <v>-2510.9451183154006</v>
      </c>
      <c r="O94" s="3">
        <f t="shared" si="17"/>
        <v>-30131.341419784814</v>
      </c>
    </row>
    <row r="95" spans="1:15" ht="12.75" hidden="1" customHeight="1">
      <c r="A95" t="s">
        <v>150</v>
      </c>
      <c r="C95" s="8">
        <f t="shared" si="16"/>
        <v>-543.58337850000009</v>
      </c>
      <c r="D95" s="8">
        <f t="shared" si="16"/>
        <v>-543.58337850000009</v>
      </c>
      <c r="E95" s="8">
        <f t="shared" si="16"/>
        <v>-543.58337850000009</v>
      </c>
      <c r="F95" s="8">
        <f t="shared" si="16"/>
        <v>-543.58337850000009</v>
      </c>
      <c r="G95" s="8">
        <f t="shared" si="16"/>
        <v>-543.58337850000009</v>
      </c>
      <c r="H95" s="8">
        <f t="shared" si="16"/>
        <v>-543.58337850000009</v>
      </c>
      <c r="I95" s="8">
        <f t="shared" si="16"/>
        <v>-543.58337850000009</v>
      </c>
      <c r="J95" s="8">
        <f t="shared" si="16"/>
        <v>-543.58337850000009</v>
      </c>
      <c r="K95" s="8">
        <f t="shared" si="16"/>
        <v>-543.58337850000009</v>
      </c>
      <c r="L95" s="8">
        <f t="shared" si="16"/>
        <v>-543.58337850000009</v>
      </c>
      <c r="M95" s="8">
        <f t="shared" si="16"/>
        <v>-543.58337850000009</v>
      </c>
      <c r="N95" s="8">
        <f t="shared" si="16"/>
        <v>-543.58337850000009</v>
      </c>
      <c r="O95" s="3">
        <f t="shared" si="17"/>
        <v>-6523.0005420000025</v>
      </c>
    </row>
    <row r="96" spans="1:15" ht="12.75" hidden="1" customHeight="1">
      <c r="A96" t="s">
        <v>19</v>
      </c>
      <c r="C96" s="8">
        <f t="shared" si="16"/>
        <v>-19652.966340406783</v>
      </c>
      <c r="D96" s="8">
        <f t="shared" si="16"/>
        <v>-19652.966340406783</v>
      </c>
      <c r="E96" s="8">
        <f t="shared" si="16"/>
        <v>-19652.966340406783</v>
      </c>
      <c r="F96" s="8">
        <f t="shared" si="16"/>
        <v>-19652.966340406783</v>
      </c>
      <c r="G96" s="8">
        <f t="shared" si="16"/>
        <v>-19652.966340406783</v>
      </c>
      <c r="H96" s="8">
        <f t="shared" si="16"/>
        <v>-8753.7916543789906</v>
      </c>
      <c r="I96" s="8">
        <f t="shared" si="16"/>
        <v>-4875.1513714067696</v>
      </c>
      <c r="J96" s="8">
        <f t="shared" si="16"/>
        <v>-18595.265065017826</v>
      </c>
      <c r="K96" s="8">
        <f t="shared" si="16"/>
        <v>-25294.844355573383</v>
      </c>
      <c r="L96" s="8">
        <f t="shared" si="16"/>
        <v>-25294.844355573383</v>
      </c>
      <c r="M96" s="8">
        <f t="shared" si="16"/>
        <v>-25294.844355573383</v>
      </c>
      <c r="N96" s="8">
        <f t="shared" si="16"/>
        <v>-25294.844355573383</v>
      </c>
      <c r="O96" s="3">
        <f t="shared" si="17"/>
        <v>-231668.41721513102</v>
      </c>
    </row>
    <row r="97" spans="1:17" ht="13.5" hidden="1" customHeight="1" thickBot="1">
      <c r="A97" t="s">
        <v>12</v>
      </c>
      <c r="C97" s="5">
        <f t="shared" ref="C97:N97" si="18">+C64-C31</f>
        <v>-25307.769011238124</v>
      </c>
      <c r="D97" s="5">
        <f t="shared" si="18"/>
        <v>-25307.769011238124</v>
      </c>
      <c r="E97" s="5">
        <f t="shared" si="18"/>
        <v>-25307.769011238124</v>
      </c>
      <c r="F97" s="5">
        <f t="shared" si="18"/>
        <v>-25307.769011238124</v>
      </c>
      <c r="G97" s="5">
        <f t="shared" si="18"/>
        <v>-25307.769011238124</v>
      </c>
      <c r="H97" s="5">
        <f t="shared" si="18"/>
        <v>-14408.594325210317</v>
      </c>
      <c r="I97" s="5">
        <f t="shared" si="18"/>
        <v>-10529.954042238096</v>
      </c>
      <c r="J97" s="5">
        <f t="shared" si="18"/>
        <v>-24250.067735849152</v>
      </c>
      <c r="K97" s="5">
        <f t="shared" si="18"/>
        <v>-30949.647026404709</v>
      </c>
      <c r="L97" s="5">
        <f t="shared" si="18"/>
        <v>-30949.647026404709</v>
      </c>
      <c r="M97" s="5">
        <f t="shared" si="18"/>
        <v>-30949.647026404709</v>
      </c>
      <c r="N97" s="5">
        <f t="shared" si="18"/>
        <v>-30949.647026404709</v>
      </c>
      <c r="O97" s="7">
        <f>SUM(O90:O96)</f>
        <v>-299526.04926510702</v>
      </c>
    </row>
    <row r="98" spans="1:17" ht="12.75" hidden="1" customHeight="1"/>
    <row r="103" spans="1:17" ht="12.75" customHeight="1">
      <c r="P103" s="152"/>
      <c r="Q103" s="152"/>
    </row>
    <row r="104" spans="1:17">
      <c r="O104" s="152"/>
      <c r="P104" s="152"/>
      <c r="Q104" s="152"/>
    </row>
    <row r="105" spans="1:17">
      <c r="O105" s="152"/>
      <c r="P105" s="152"/>
      <c r="Q105" s="152"/>
    </row>
    <row r="106" spans="1:17">
      <c r="O106" s="152"/>
      <c r="P106" s="152"/>
      <c r="Q106" s="152"/>
    </row>
    <row r="107" spans="1:17">
      <c r="O107" s="152"/>
      <c r="P107" s="152"/>
      <c r="Q107" s="152"/>
    </row>
    <row r="108" spans="1:17">
      <c r="O108" s="152"/>
      <c r="P108" s="152"/>
      <c r="Q108" s="152"/>
    </row>
    <row r="109" spans="1:17">
      <c r="O109" s="152"/>
      <c r="P109" s="152"/>
      <c r="Q109" s="152"/>
    </row>
    <row r="110" spans="1:17">
      <c r="O110" s="152"/>
      <c r="P110" s="152"/>
      <c r="Q110" s="152"/>
    </row>
    <row r="111" spans="1:17">
      <c r="O111" s="152"/>
      <c r="P111" s="152"/>
      <c r="Q111" s="152"/>
    </row>
    <row r="112" spans="1:17">
      <c r="O112" s="152"/>
      <c r="P112" s="152"/>
      <c r="Q112" s="152"/>
    </row>
    <row r="113" spans="15:17">
      <c r="O113" s="152"/>
      <c r="P113" s="152"/>
      <c r="Q113" s="152"/>
    </row>
    <row r="114" spans="15:17">
      <c r="O114" s="152"/>
      <c r="P114" s="152"/>
      <c r="Q114" s="152"/>
    </row>
    <row r="115" spans="15:17">
      <c r="O115" s="152"/>
      <c r="P115" s="152"/>
      <c r="Q115" s="152"/>
    </row>
    <row r="116" spans="15:17">
      <c r="O116" s="152"/>
      <c r="P116" s="152"/>
      <c r="Q116" s="152"/>
    </row>
    <row r="117" spans="15:17">
      <c r="O117" s="152"/>
      <c r="P117" s="152"/>
      <c r="Q117" s="152"/>
    </row>
    <row r="118" spans="15:17">
      <c r="O118" s="152"/>
      <c r="P118" s="152"/>
      <c r="Q118" s="152"/>
    </row>
    <row r="119" spans="15:17">
      <c r="O119" s="152"/>
      <c r="P119" s="152"/>
      <c r="Q119" s="152"/>
    </row>
    <row r="120" spans="15:17">
      <c r="O120" s="152"/>
      <c r="P120" s="152"/>
      <c r="Q120" s="152"/>
    </row>
    <row r="121" spans="15:17">
      <c r="O121" s="152"/>
      <c r="P121" s="152"/>
      <c r="Q121" s="152"/>
    </row>
    <row r="122" spans="15:17">
      <c r="O122" s="152"/>
      <c r="P122" s="152"/>
      <c r="Q122" s="152"/>
    </row>
    <row r="123" spans="15:17">
      <c r="O123" s="152"/>
      <c r="P123" s="152"/>
      <c r="Q123" s="152"/>
    </row>
    <row r="124" spans="15:17">
      <c r="O124" s="152"/>
      <c r="P124" s="152"/>
      <c r="Q124" s="152"/>
    </row>
    <row r="125" spans="15:17">
      <c r="O125" s="152"/>
      <c r="P125" s="152"/>
      <c r="Q125" s="152"/>
    </row>
    <row r="126" spans="15:17">
      <c r="O126" s="152"/>
      <c r="P126" s="152"/>
      <c r="Q126" s="152"/>
    </row>
    <row r="127" spans="15:17">
      <c r="O127" s="152"/>
      <c r="P127" s="152"/>
      <c r="Q127" s="152"/>
    </row>
    <row r="128" spans="15:17">
      <c r="O128" s="152"/>
      <c r="P128" s="152"/>
      <c r="Q128" s="152"/>
    </row>
    <row r="129" spans="15:17">
      <c r="O129" s="152"/>
      <c r="P129" s="152"/>
      <c r="Q129" s="152"/>
    </row>
    <row r="130" spans="15:17">
      <c r="O130" s="152"/>
      <c r="P130" s="152"/>
      <c r="Q130" s="152"/>
    </row>
    <row r="131" spans="15:17">
      <c r="O131" s="152"/>
      <c r="P131" s="152"/>
      <c r="Q131" s="152"/>
    </row>
    <row r="132" spans="15:17">
      <c r="O132" s="152"/>
      <c r="P132" s="152"/>
      <c r="Q132" s="152"/>
    </row>
    <row r="133" spans="15:17">
      <c r="O133" s="152"/>
      <c r="P133" s="152"/>
      <c r="Q133" s="152"/>
    </row>
    <row r="134" spans="15:17">
      <c r="O134" s="152"/>
      <c r="P134" s="152"/>
      <c r="Q134" s="152"/>
    </row>
    <row r="135" spans="15:17">
      <c r="O135" s="152"/>
      <c r="P135" s="152"/>
      <c r="Q135" s="152"/>
    </row>
    <row r="136" spans="15:17">
      <c r="O136" s="152"/>
      <c r="P136" s="152"/>
      <c r="Q136" s="152"/>
    </row>
    <row r="137" spans="15:17">
      <c r="O137" s="152"/>
      <c r="P137" s="152"/>
      <c r="Q137" s="152"/>
    </row>
    <row r="138" spans="15:17">
      <c r="O138" s="152"/>
      <c r="P138" s="152"/>
      <c r="Q138" s="152"/>
    </row>
    <row r="139" spans="15:17">
      <c r="O139" s="152"/>
      <c r="P139" s="152"/>
      <c r="Q139" s="152"/>
    </row>
    <row r="140" spans="15:17">
      <c r="O140" s="152"/>
      <c r="P140" s="152"/>
      <c r="Q140" s="152"/>
    </row>
    <row r="141" spans="15:17">
      <c r="O141" s="152"/>
      <c r="P141" s="152"/>
      <c r="Q141" s="152"/>
    </row>
    <row r="142" spans="15:17">
      <c r="O142" s="152"/>
      <c r="P142" s="152"/>
      <c r="Q142" s="152"/>
    </row>
    <row r="143" spans="15:17">
      <c r="O143" s="152"/>
      <c r="P143" s="152"/>
      <c r="Q143" s="152"/>
    </row>
    <row r="144" spans="15:17">
      <c r="O144" s="152"/>
      <c r="P144" s="152"/>
      <c r="Q144" s="152"/>
    </row>
    <row r="145" spans="15:17">
      <c r="O145" s="152"/>
      <c r="P145" s="152"/>
      <c r="Q145" s="152"/>
    </row>
    <row r="146" spans="15:17">
      <c r="O146" s="152"/>
      <c r="P146" s="152"/>
      <c r="Q146" s="152"/>
    </row>
    <row r="147" spans="15:17">
      <c r="O147" s="152"/>
      <c r="P147" s="152"/>
      <c r="Q147" s="152"/>
    </row>
    <row r="148" spans="15:17">
      <c r="O148" s="152"/>
      <c r="P148" s="152"/>
      <c r="Q148" s="152"/>
    </row>
    <row r="149" spans="15:17">
      <c r="O149" s="152"/>
      <c r="P149" s="152"/>
      <c r="Q149" s="152"/>
    </row>
    <row r="150" spans="15:17">
      <c r="O150" s="152"/>
      <c r="P150" s="152"/>
      <c r="Q150" s="152"/>
    </row>
    <row r="151" spans="15:17">
      <c r="O151" s="152"/>
      <c r="P151" s="152"/>
      <c r="Q151" s="152"/>
    </row>
    <row r="152" spans="15:17">
      <c r="O152" s="152"/>
      <c r="P152" s="152"/>
      <c r="Q152" s="152"/>
    </row>
    <row r="153" spans="15:17">
      <c r="O153" s="152"/>
      <c r="P153" s="152"/>
      <c r="Q153" s="152"/>
    </row>
    <row r="154" spans="15:17">
      <c r="O154" s="152"/>
      <c r="P154" s="152"/>
      <c r="Q154" s="152"/>
    </row>
    <row r="155" spans="15:17">
      <c r="O155" s="152"/>
      <c r="P155" s="152"/>
      <c r="Q155" s="152"/>
    </row>
    <row r="156" spans="15:17">
      <c r="O156" s="152"/>
      <c r="P156" s="152"/>
      <c r="Q156" s="152"/>
    </row>
    <row r="157" spans="15:17">
      <c r="O157" s="152"/>
      <c r="P157" s="152"/>
      <c r="Q157" s="152"/>
    </row>
    <row r="158" spans="15:17">
      <c r="O158" s="152"/>
      <c r="P158" s="152"/>
      <c r="Q158" s="152"/>
    </row>
    <row r="159" spans="15:17">
      <c r="O159" s="152"/>
      <c r="P159" s="152"/>
      <c r="Q159" s="152"/>
    </row>
    <row r="160" spans="15:17">
      <c r="O160" s="152"/>
      <c r="P160" s="152"/>
      <c r="Q160" s="152"/>
    </row>
    <row r="161" spans="15:17">
      <c r="O161" s="152"/>
      <c r="P161" s="152"/>
      <c r="Q161" s="152"/>
    </row>
    <row r="162" spans="15:17">
      <c r="O162" s="152"/>
      <c r="P162" s="152"/>
      <c r="Q162" s="152"/>
    </row>
    <row r="163" spans="15:17">
      <c r="O163" s="152"/>
      <c r="P163" s="152"/>
      <c r="Q163" s="152"/>
    </row>
    <row r="164" spans="15:17">
      <c r="O164" s="152"/>
      <c r="P164" s="152"/>
      <c r="Q164" s="152"/>
    </row>
    <row r="165" spans="15:17">
      <c r="O165" s="152"/>
      <c r="P165" s="152"/>
      <c r="Q165" s="152"/>
    </row>
    <row r="166" spans="15:17">
      <c r="O166" s="152"/>
      <c r="P166" s="152"/>
      <c r="Q166" s="152"/>
    </row>
    <row r="167" spans="15:17">
      <c r="O167" s="152"/>
      <c r="P167" s="152"/>
      <c r="Q167" s="152"/>
    </row>
    <row r="168" spans="15:17">
      <c r="O168" s="152"/>
      <c r="P168" s="152"/>
      <c r="Q168" s="152"/>
    </row>
    <row r="169" spans="15:17">
      <c r="O169" s="152"/>
      <c r="P169" s="152"/>
      <c r="Q169" s="152"/>
    </row>
    <row r="170" spans="15:17">
      <c r="O170" s="152"/>
      <c r="P170" s="152"/>
      <c r="Q170" s="152"/>
    </row>
  </sheetData>
  <mergeCells count="1">
    <mergeCell ref="O33:P33"/>
  </mergeCells>
  <pageMargins left="0.7" right="0.7" top="0.75" bottom="0.75" header="0.3" footer="0.3"/>
  <pageSetup scale="40" orientation="landscape" r:id="rId1"/>
  <headerFooter>
    <oddFooter>&amp;LAvista
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79998168889431442"/>
  </sheetPr>
  <dimension ref="A1:AM114"/>
  <sheetViews>
    <sheetView topLeftCell="K1" workbookViewId="0">
      <selection activeCell="AD4" sqref="AD4"/>
    </sheetView>
  </sheetViews>
  <sheetFormatPr defaultRowHeight="12.75"/>
  <cols>
    <col min="1" max="1" width="29.5703125" style="1" bestFit="1" customWidth="1"/>
    <col min="3" max="3" width="13.28515625" customWidth="1"/>
    <col min="5" max="13" width="11.7109375" customWidth="1"/>
    <col min="14" max="16" width="12.28515625" customWidth="1"/>
    <col min="17" max="18" width="13.5703125" customWidth="1"/>
    <col min="19" max="19" width="12.42578125" style="2" customWidth="1"/>
    <col min="20" max="20" width="12.42578125" customWidth="1"/>
    <col min="21" max="34" width="12.85546875" bestFit="1" customWidth="1"/>
    <col min="35" max="36" width="12.7109375" bestFit="1" customWidth="1"/>
    <col min="37" max="38" width="13.5703125" bestFit="1" customWidth="1"/>
    <col min="39" max="39" width="11.5703125" bestFit="1" customWidth="1"/>
  </cols>
  <sheetData>
    <row r="1" spans="1:39">
      <c r="E1" s="102" t="s">
        <v>43</v>
      </c>
      <c r="R1" s="103" t="s">
        <v>101</v>
      </c>
      <c r="X1" s="103" t="s">
        <v>156</v>
      </c>
    </row>
    <row r="3" spans="1:39" s="1" customFormat="1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>
        <v>2.4500000000000001E-2</v>
      </c>
      <c r="E4" s="3">
        <f>E15</f>
        <v>0</v>
      </c>
      <c r="F4" s="3">
        <f t="shared" ref="F4:P4" si="0">F15+E4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10">
        <f>P4</f>
        <v>0</v>
      </c>
      <c r="R4" s="3">
        <f t="shared" ref="R4:AL4" si="1">Q4+R15</f>
        <v>0</v>
      </c>
      <c r="S4" s="3">
        <f t="shared" si="1"/>
        <v>0</v>
      </c>
      <c r="T4" s="3">
        <f t="shared" si="1"/>
        <v>0</v>
      </c>
      <c r="U4" s="3">
        <f t="shared" si="1"/>
        <v>0</v>
      </c>
      <c r="V4" s="3">
        <f t="shared" si="1"/>
        <v>0</v>
      </c>
      <c r="W4" s="3">
        <f t="shared" si="1"/>
        <v>187140.45078018191</v>
      </c>
      <c r="X4" s="3">
        <f t="shared" si="1"/>
        <v>187140.45078018191</v>
      </c>
      <c r="Y4" s="3">
        <f t="shared" si="1"/>
        <v>187140.45078018191</v>
      </c>
      <c r="Z4" s="3">
        <f t="shared" si="1"/>
        <v>187140.45078018191</v>
      </c>
      <c r="AA4" s="3">
        <f t="shared" si="1"/>
        <v>187140.45078018191</v>
      </c>
      <c r="AB4" s="3">
        <f t="shared" si="1"/>
        <v>187140.45078018191</v>
      </c>
      <c r="AC4" s="3">
        <f t="shared" si="1"/>
        <v>187140.45078018191</v>
      </c>
      <c r="AD4" s="3">
        <f t="shared" si="1"/>
        <v>187140.45078018191</v>
      </c>
      <c r="AE4" s="3">
        <f t="shared" si="1"/>
        <v>187140.45078018191</v>
      </c>
      <c r="AF4" s="3">
        <f t="shared" si="1"/>
        <v>187140.45078018191</v>
      </c>
      <c r="AG4" s="3">
        <f t="shared" si="1"/>
        <v>187140.45078018191</v>
      </c>
      <c r="AH4" s="3">
        <f t="shared" si="1"/>
        <v>187140.45078018191</v>
      </c>
      <c r="AI4" s="3">
        <f t="shared" si="1"/>
        <v>187140.45078018191</v>
      </c>
      <c r="AJ4" s="3">
        <f t="shared" si="1"/>
        <v>187140.45078018191</v>
      </c>
      <c r="AK4" s="3">
        <f t="shared" si="1"/>
        <v>187140.45078018191</v>
      </c>
      <c r="AL4" s="3">
        <f t="shared" si="1"/>
        <v>187140.45078018191</v>
      </c>
    </row>
    <row r="5" spans="1:39">
      <c r="C5" t="s">
        <v>13</v>
      </c>
      <c r="D5">
        <v>2.06E-2</v>
      </c>
      <c r="E5" s="3">
        <f>E16</f>
        <v>0</v>
      </c>
      <c r="F5" s="3">
        <f t="shared" ref="F5:P5" si="2">F16+E5</f>
        <v>0</v>
      </c>
      <c r="G5" s="3">
        <f t="shared" si="2"/>
        <v>0</v>
      </c>
      <c r="H5" s="3">
        <f t="shared" si="2"/>
        <v>0</v>
      </c>
      <c r="I5" s="3">
        <f t="shared" si="2"/>
        <v>0</v>
      </c>
      <c r="J5" s="3">
        <f t="shared" si="2"/>
        <v>0</v>
      </c>
      <c r="K5" s="3">
        <f t="shared" si="2"/>
        <v>0</v>
      </c>
      <c r="L5" s="3">
        <f t="shared" si="2"/>
        <v>100165.123716</v>
      </c>
      <c r="M5" s="3">
        <f t="shared" si="2"/>
        <v>100165.123716</v>
      </c>
      <c r="N5" s="3">
        <f t="shared" si="2"/>
        <v>139222.37436000002</v>
      </c>
      <c r="O5" s="3">
        <f t="shared" si="2"/>
        <v>140111.58631200003</v>
      </c>
      <c r="P5" s="3">
        <f t="shared" si="2"/>
        <v>143875.83026400002</v>
      </c>
      <c r="Q5" s="10">
        <f>P5</f>
        <v>143875.83026400002</v>
      </c>
      <c r="R5" s="3">
        <f t="shared" ref="R5:AL5" si="3">Q5+R16</f>
        <v>260872.06895434676</v>
      </c>
      <c r="S5" s="3">
        <f t="shared" si="3"/>
        <v>377868.30764469353</v>
      </c>
      <c r="T5" s="3">
        <f t="shared" si="3"/>
        <v>494864.5463350403</v>
      </c>
      <c r="U5" s="3">
        <f t="shared" si="3"/>
        <v>718329.914902783</v>
      </c>
      <c r="V5" s="3">
        <f t="shared" si="3"/>
        <v>941795.28347052564</v>
      </c>
      <c r="W5" s="3">
        <f t="shared" si="3"/>
        <v>1502508.4696382682</v>
      </c>
      <c r="X5" s="3">
        <f t="shared" si="3"/>
        <v>1502508.4696382682</v>
      </c>
      <c r="Y5" s="3">
        <f t="shared" si="3"/>
        <v>1502508.4696382682</v>
      </c>
      <c r="Z5" s="3">
        <f t="shared" si="3"/>
        <v>1502508.4696382682</v>
      </c>
      <c r="AA5" s="3">
        <f t="shared" si="3"/>
        <v>1502508.4696382682</v>
      </c>
      <c r="AB5" s="3">
        <f t="shared" si="3"/>
        <v>1502508.4696382682</v>
      </c>
      <c r="AC5" s="3">
        <f t="shared" si="3"/>
        <v>1502508.4696382682</v>
      </c>
      <c r="AD5" s="3">
        <f t="shared" si="3"/>
        <v>1502508.4696382682</v>
      </c>
      <c r="AE5" s="3">
        <f t="shared" si="3"/>
        <v>1502508.4696382682</v>
      </c>
      <c r="AF5" s="3">
        <f t="shared" si="3"/>
        <v>1502508.4696382682</v>
      </c>
      <c r="AG5" s="3">
        <f t="shared" si="3"/>
        <v>1502508.4696382682</v>
      </c>
      <c r="AH5" s="3">
        <f t="shared" si="3"/>
        <v>1502508.4696382682</v>
      </c>
      <c r="AI5" s="3">
        <f t="shared" si="3"/>
        <v>1502508.4696382682</v>
      </c>
      <c r="AJ5" s="3">
        <f t="shared" si="3"/>
        <v>1502508.4696382682</v>
      </c>
      <c r="AK5" s="3">
        <f t="shared" si="3"/>
        <v>1502508.4696382682</v>
      </c>
      <c r="AL5" s="3">
        <f t="shared" si="3"/>
        <v>1502508.4696382682</v>
      </c>
    </row>
    <row r="6" spans="1:39">
      <c r="C6" t="s">
        <v>141</v>
      </c>
      <c r="D6">
        <v>2.1999999999999999E-2</v>
      </c>
      <c r="E6" s="3">
        <f t="shared" ref="E6:E7" si="4">E17</f>
        <v>0</v>
      </c>
      <c r="F6" s="3">
        <f t="shared" ref="F6:P6" si="5">F17+E6</f>
        <v>0</v>
      </c>
      <c r="G6" s="3">
        <f t="shared" si="5"/>
        <v>0</v>
      </c>
      <c r="H6" s="3">
        <f t="shared" si="5"/>
        <v>0</v>
      </c>
      <c r="I6" s="3">
        <f t="shared" si="5"/>
        <v>0</v>
      </c>
      <c r="J6" s="3">
        <f t="shared" si="5"/>
        <v>309000.98921999999</v>
      </c>
      <c r="K6" s="3">
        <f t="shared" si="5"/>
        <v>343589.442408</v>
      </c>
      <c r="L6" s="3">
        <f t="shared" si="5"/>
        <v>347291.93881199998</v>
      </c>
      <c r="M6" s="3">
        <f t="shared" si="5"/>
        <v>506280.02689199999</v>
      </c>
      <c r="N6" s="3">
        <f t="shared" si="5"/>
        <v>520043.41552799998</v>
      </c>
      <c r="O6" s="3">
        <f t="shared" si="5"/>
        <v>529472.22081600002</v>
      </c>
      <c r="P6" s="3">
        <f t="shared" si="5"/>
        <v>554889.59104800003</v>
      </c>
      <c r="Q6" s="10">
        <f t="shared" ref="Q6:Q8" si="6">P6</f>
        <v>554889.59104800003</v>
      </c>
      <c r="R6" s="3">
        <f>Q6+R17</f>
        <v>554889.59104800003</v>
      </c>
      <c r="S6" s="3">
        <f t="shared" ref="S6:AL6" si="7">R6+S17</f>
        <v>554889.59104800003</v>
      </c>
      <c r="T6" s="3">
        <f t="shared" si="7"/>
        <v>554889.59104800003</v>
      </c>
      <c r="U6" s="3">
        <f t="shared" si="7"/>
        <v>1224629.4945246966</v>
      </c>
      <c r="V6" s="3">
        <f t="shared" si="7"/>
        <v>2856568.6784751397</v>
      </c>
      <c r="W6" s="3">
        <f t="shared" si="7"/>
        <v>3189739.4819518365</v>
      </c>
      <c r="X6" s="3">
        <f t="shared" si="7"/>
        <v>3189739.4819518365</v>
      </c>
      <c r="Y6" s="3">
        <f t="shared" si="7"/>
        <v>3189739.4819518365</v>
      </c>
      <c r="Z6" s="3">
        <f t="shared" si="7"/>
        <v>3189739.4819518365</v>
      </c>
      <c r="AA6" s="3">
        <f t="shared" si="7"/>
        <v>3189739.4819518365</v>
      </c>
      <c r="AB6" s="3">
        <f t="shared" si="7"/>
        <v>3189739.4819518365</v>
      </c>
      <c r="AC6" s="3">
        <f t="shared" si="7"/>
        <v>3189739.4819518365</v>
      </c>
      <c r="AD6" s="3">
        <f t="shared" si="7"/>
        <v>3189739.4819518365</v>
      </c>
      <c r="AE6" s="3">
        <f t="shared" si="7"/>
        <v>3189739.4819518365</v>
      </c>
      <c r="AF6" s="3">
        <f t="shared" si="7"/>
        <v>3189739.4819518365</v>
      </c>
      <c r="AG6" s="3">
        <f t="shared" si="7"/>
        <v>3189739.4819518365</v>
      </c>
      <c r="AH6" s="3">
        <f t="shared" si="7"/>
        <v>3189739.4819518365</v>
      </c>
      <c r="AI6" s="3">
        <f t="shared" si="7"/>
        <v>3189739.4819518365</v>
      </c>
      <c r="AJ6" s="3">
        <f t="shared" si="7"/>
        <v>3189739.4819518365</v>
      </c>
      <c r="AK6" s="3">
        <f t="shared" si="7"/>
        <v>3189739.4819518365</v>
      </c>
      <c r="AL6" s="3">
        <f t="shared" si="7"/>
        <v>3189739.4819518365</v>
      </c>
    </row>
    <row r="7" spans="1:39">
      <c r="C7" t="s">
        <v>148</v>
      </c>
      <c r="D7">
        <v>3.56E-2</v>
      </c>
      <c r="E7" s="3">
        <f t="shared" si="4"/>
        <v>0</v>
      </c>
      <c r="F7" s="3">
        <f t="shared" ref="F7" si="8">F18+E7</f>
        <v>0</v>
      </c>
      <c r="G7" s="3">
        <f t="shared" ref="G7" si="9">G18+F7</f>
        <v>0</v>
      </c>
      <c r="H7" s="3">
        <f t="shared" ref="H7" si="10">H18+G7</f>
        <v>0</v>
      </c>
      <c r="I7" s="3">
        <f t="shared" ref="I7" si="11">I18+H7</f>
        <v>0</v>
      </c>
      <c r="J7" s="3">
        <f t="shared" ref="J7" si="12">J18+I7</f>
        <v>0</v>
      </c>
      <c r="K7" s="3">
        <f t="shared" ref="K7" si="13">K18+J7</f>
        <v>0</v>
      </c>
      <c r="L7" s="3">
        <f t="shared" ref="L7" si="14">L18+K7</f>
        <v>0</v>
      </c>
      <c r="M7" s="3">
        <f t="shared" ref="M7" si="15">M18+L7</f>
        <v>0</v>
      </c>
      <c r="N7" s="3">
        <f t="shared" ref="N7" si="16">N18+M7</f>
        <v>0</v>
      </c>
      <c r="O7" s="3">
        <f t="shared" ref="O7" si="17">O18+N7</f>
        <v>0</v>
      </c>
      <c r="P7" s="3">
        <f t="shared" ref="P7" si="18">P18+O7</f>
        <v>447082.47473999998</v>
      </c>
      <c r="Q7" s="10">
        <f t="shared" ref="Q7" si="19">P7</f>
        <v>447082.47473999998</v>
      </c>
      <c r="R7" s="3">
        <f>Q7+R18</f>
        <v>447082.47473999998</v>
      </c>
      <c r="S7" s="3">
        <f t="shared" ref="S7" si="20">R7+S18</f>
        <v>447082.47473999998</v>
      </c>
      <c r="T7" s="3">
        <f t="shared" ref="T7" si="21">S7+T18</f>
        <v>447082.47473999998</v>
      </c>
      <c r="U7" s="3">
        <f t="shared" ref="U7" si="22">T7+U18</f>
        <v>447082.47473999998</v>
      </c>
      <c r="V7" s="3">
        <f t="shared" ref="V7" si="23">U7+V18</f>
        <v>447082.47473999998</v>
      </c>
      <c r="W7" s="3">
        <f t="shared" ref="W7" si="24">V7+W18</f>
        <v>447082.47473999998</v>
      </c>
      <c r="X7" s="3">
        <f t="shared" ref="X7" si="25">W7+X18</f>
        <v>447082.47473999998</v>
      </c>
      <c r="Y7" s="3">
        <f t="shared" ref="Y7" si="26">X7+Y18</f>
        <v>447082.47473999998</v>
      </c>
      <c r="Z7" s="3">
        <f t="shared" ref="Z7" si="27">Y7+Z18</f>
        <v>447082.47473999998</v>
      </c>
      <c r="AA7" s="3">
        <f t="shared" ref="AA7" si="28">Z7+AA18</f>
        <v>447082.47473999998</v>
      </c>
      <c r="AB7" s="3">
        <f t="shared" ref="AB7" si="29">AA7+AB18</f>
        <v>447082.47473999998</v>
      </c>
      <c r="AC7" s="3">
        <f t="shared" ref="AC7" si="30">AB7+AC18</f>
        <v>447082.47473999998</v>
      </c>
      <c r="AD7" s="3">
        <f t="shared" ref="AD7" si="31">AC7+AD18</f>
        <v>447082.47473999998</v>
      </c>
      <c r="AE7" s="3">
        <f t="shared" ref="AE7" si="32">AD7+AE18</f>
        <v>447082.47473999998</v>
      </c>
      <c r="AF7" s="3">
        <f t="shared" ref="AF7" si="33">AE7+AF18</f>
        <v>447082.47473999998</v>
      </c>
      <c r="AG7" s="3">
        <f t="shared" ref="AG7" si="34">AF7+AG18</f>
        <v>447082.47473999998</v>
      </c>
      <c r="AH7" s="3">
        <f t="shared" ref="AH7" si="35">AG7+AH18</f>
        <v>447082.47473999998</v>
      </c>
      <c r="AI7" s="3">
        <f t="shared" ref="AI7" si="36">AH7+AI18</f>
        <v>447082.47473999998</v>
      </c>
      <c r="AJ7" s="3">
        <f t="shared" ref="AJ7" si="37">AI7+AJ18</f>
        <v>447082.47473999998</v>
      </c>
      <c r="AK7" s="3">
        <f t="shared" ref="AK7" si="38">AJ7+AK18</f>
        <v>447082.47473999998</v>
      </c>
      <c r="AL7" s="3">
        <f t="shared" ref="AL7" si="39">AK7+AL18</f>
        <v>447082.47473999998</v>
      </c>
    </row>
    <row r="8" spans="1:39">
      <c r="C8" t="s">
        <v>138</v>
      </c>
      <c r="D8" s="79">
        <v>3.7900000000000003E-2</v>
      </c>
      <c r="E8" s="3">
        <f>E19</f>
        <v>0</v>
      </c>
      <c r="F8" s="3">
        <f t="shared" ref="F8:P8" si="40">F19+E8</f>
        <v>0</v>
      </c>
      <c r="G8" s="3">
        <f t="shared" si="40"/>
        <v>0</v>
      </c>
      <c r="H8" s="3">
        <f t="shared" si="40"/>
        <v>0</v>
      </c>
      <c r="I8" s="3">
        <f t="shared" si="40"/>
        <v>0</v>
      </c>
      <c r="J8" s="3">
        <f t="shared" si="40"/>
        <v>0</v>
      </c>
      <c r="K8" s="3">
        <f t="shared" si="40"/>
        <v>27392.810719199999</v>
      </c>
      <c r="L8" s="3">
        <f t="shared" si="40"/>
        <v>160421.6015622</v>
      </c>
      <c r="M8" s="3">
        <f t="shared" si="40"/>
        <v>196978.85652025885</v>
      </c>
      <c r="N8" s="3">
        <f t="shared" si="40"/>
        <v>411584.72929532523</v>
      </c>
      <c r="O8" s="3">
        <f t="shared" si="40"/>
        <v>424541.33822176838</v>
      </c>
      <c r="P8" s="3">
        <f t="shared" si="40"/>
        <v>432330.60685642064</v>
      </c>
      <c r="Q8" s="10">
        <f t="shared" si="6"/>
        <v>432330.60685642064</v>
      </c>
      <c r="R8" s="3">
        <f>Q8+R19</f>
        <v>432330.60685642064</v>
      </c>
      <c r="S8" s="3">
        <f t="shared" ref="S8:AL8" si="41">R8+S19</f>
        <v>432330.60685642064</v>
      </c>
      <c r="T8" s="3">
        <f t="shared" si="41"/>
        <v>612882.35325474816</v>
      </c>
      <c r="U8" s="3">
        <f t="shared" si="41"/>
        <v>673595.63585307577</v>
      </c>
      <c r="V8" s="3">
        <f t="shared" si="41"/>
        <v>734308.91845140338</v>
      </c>
      <c r="W8" s="3">
        <f t="shared" si="41"/>
        <v>795022.201049731</v>
      </c>
      <c r="X8" s="3">
        <f t="shared" si="41"/>
        <v>795022.201049731</v>
      </c>
      <c r="Y8" s="3">
        <f t="shared" si="41"/>
        <v>795022.201049731</v>
      </c>
      <c r="Z8" s="3">
        <f t="shared" si="41"/>
        <v>795022.201049731</v>
      </c>
      <c r="AA8" s="3">
        <f t="shared" si="41"/>
        <v>795022.201049731</v>
      </c>
      <c r="AB8" s="3">
        <f t="shared" si="41"/>
        <v>795022.201049731</v>
      </c>
      <c r="AC8" s="3">
        <f t="shared" si="41"/>
        <v>795022.201049731</v>
      </c>
      <c r="AD8" s="3">
        <f t="shared" si="41"/>
        <v>795022.201049731</v>
      </c>
      <c r="AE8" s="3">
        <f t="shared" si="41"/>
        <v>795022.201049731</v>
      </c>
      <c r="AF8" s="3">
        <f t="shared" si="41"/>
        <v>795022.201049731</v>
      </c>
      <c r="AG8" s="3">
        <f t="shared" si="41"/>
        <v>795022.201049731</v>
      </c>
      <c r="AH8" s="3">
        <f t="shared" si="41"/>
        <v>795022.201049731</v>
      </c>
      <c r="AI8" s="3">
        <f t="shared" si="41"/>
        <v>795022.201049731</v>
      </c>
      <c r="AJ8" s="3">
        <f t="shared" si="41"/>
        <v>795022.201049731</v>
      </c>
      <c r="AK8" s="3">
        <f t="shared" si="41"/>
        <v>795022.201049731</v>
      </c>
      <c r="AL8" s="3">
        <f t="shared" si="41"/>
        <v>795022.201049731</v>
      </c>
    </row>
    <row r="9" spans="1:39">
      <c r="C9" t="s">
        <v>150</v>
      </c>
      <c r="D9" s="80">
        <v>0.2</v>
      </c>
      <c r="E9" s="3">
        <f>E20</f>
        <v>53862.245801100005</v>
      </c>
      <c r="F9" s="3">
        <f t="shared" ref="F9" si="42">F20+E9</f>
        <v>62021.344788300004</v>
      </c>
      <c r="G9" s="3">
        <f t="shared" ref="G9" si="43">G20+F9</f>
        <v>64391.946738600003</v>
      </c>
      <c r="H9" s="3">
        <f t="shared" ref="H9" si="44">H20+G9</f>
        <v>65287.238560800004</v>
      </c>
      <c r="I9" s="3">
        <f t="shared" ref="I9" si="45">I20+H9</f>
        <v>65287.238560800004</v>
      </c>
      <c r="J9" s="3">
        <f t="shared" ref="J9" si="46">J20+I9</f>
        <v>65287.238560800004</v>
      </c>
      <c r="K9" s="3">
        <f t="shared" ref="K9" si="47">K20+J9</f>
        <v>65651.193457500005</v>
      </c>
      <c r="L9" s="3">
        <f t="shared" ref="L9" si="48">L20+K9</f>
        <v>32615.002710000008</v>
      </c>
      <c r="M9" s="3">
        <f t="shared" ref="M9" si="49">M20+L9</f>
        <v>32615.002710000008</v>
      </c>
      <c r="N9" s="3">
        <f t="shared" ref="N9" si="50">N20+M9</f>
        <v>32615.002710000008</v>
      </c>
      <c r="O9" s="3">
        <f t="shared" ref="O9" si="51">O20+N9</f>
        <v>32615.002710000008</v>
      </c>
      <c r="P9" s="3">
        <f t="shared" ref="P9" si="52">P20+O9</f>
        <v>32615.002710000008</v>
      </c>
      <c r="Q9" s="10">
        <f t="shared" ref="Q9" si="53">P9</f>
        <v>32615.002710000008</v>
      </c>
      <c r="R9" s="3">
        <f>Q9+R20</f>
        <v>32615.002710000008</v>
      </c>
      <c r="S9" s="3">
        <f t="shared" ref="S9" si="54">R9+S20</f>
        <v>32615.002710000008</v>
      </c>
      <c r="T9" s="3">
        <f t="shared" ref="T9" si="55">S9+T20</f>
        <v>32615.002710000008</v>
      </c>
      <c r="U9" s="3">
        <f t="shared" ref="U9" si="56">T9+U20</f>
        <v>32615.002710000008</v>
      </c>
      <c r="V9" s="3">
        <f t="shared" ref="V9" si="57">U9+V20</f>
        <v>32615.002710000008</v>
      </c>
      <c r="W9" s="3">
        <f t="shared" ref="W9" si="58">V9+W20</f>
        <v>32615.002710000008</v>
      </c>
      <c r="X9" s="3">
        <f t="shared" ref="X9" si="59">W9+X20</f>
        <v>32615.002710000008</v>
      </c>
      <c r="Y9" s="3">
        <f t="shared" ref="Y9" si="60">X9+Y20</f>
        <v>32615.002710000008</v>
      </c>
      <c r="Z9" s="3">
        <f t="shared" ref="Z9" si="61">Y9+Z20</f>
        <v>32615.002710000008</v>
      </c>
      <c r="AA9" s="3">
        <f t="shared" ref="AA9" si="62">Z9+AA20</f>
        <v>32615.002710000008</v>
      </c>
      <c r="AB9" s="3">
        <f t="shared" ref="AB9" si="63">AA9+AB20</f>
        <v>32615.002710000008</v>
      </c>
      <c r="AC9" s="3">
        <f t="shared" ref="AC9" si="64">AB9+AC20</f>
        <v>32615.002710000008</v>
      </c>
      <c r="AD9" s="3">
        <f t="shared" ref="AD9" si="65">AC9+AD20</f>
        <v>32615.002710000008</v>
      </c>
      <c r="AE9" s="3">
        <f t="shared" ref="AE9" si="66">AD9+AE20</f>
        <v>32615.002710000008</v>
      </c>
      <c r="AF9" s="3">
        <f t="shared" ref="AF9" si="67">AE9+AF20</f>
        <v>32615.002710000008</v>
      </c>
      <c r="AG9" s="3">
        <f t="shared" ref="AG9" si="68">AF9+AG20</f>
        <v>32615.002710000008</v>
      </c>
      <c r="AH9" s="3">
        <f t="shared" ref="AH9" si="69">AG9+AH20</f>
        <v>32615.002710000008</v>
      </c>
      <c r="AI9" s="3">
        <f t="shared" ref="AI9" si="70">AH9+AI20</f>
        <v>32615.002710000008</v>
      </c>
      <c r="AJ9" s="3">
        <f t="shared" ref="AJ9" si="71">AI9+AJ20</f>
        <v>32615.002710000008</v>
      </c>
      <c r="AK9" s="3">
        <f t="shared" ref="AK9" si="72">AJ9+AK20</f>
        <v>32615.002710000008</v>
      </c>
      <c r="AL9" s="3">
        <f t="shared" ref="AL9" si="73">AK9+AL20</f>
        <v>32615.002710000008</v>
      </c>
    </row>
    <row r="10" spans="1:39">
      <c r="C10" t="s">
        <v>19</v>
      </c>
      <c r="D10" s="80">
        <v>0.2</v>
      </c>
      <c r="E10" s="3">
        <f>E21</f>
        <v>194862.86176500001</v>
      </c>
      <c r="F10" s="3">
        <f t="shared" ref="F10:P10" si="74">F21+E10</f>
        <v>224380.84721370001</v>
      </c>
      <c r="G10" s="3">
        <f t="shared" si="74"/>
        <v>232957.20430320001</v>
      </c>
      <c r="H10" s="3">
        <f t="shared" si="74"/>
        <v>241512.1017356427</v>
      </c>
      <c r="I10" s="3">
        <f t="shared" si="74"/>
        <v>241512.1017356427</v>
      </c>
      <c r="J10" s="3">
        <f t="shared" si="74"/>
        <v>241512.1017356427</v>
      </c>
      <c r="K10" s="3">
        <f t="shared" si="74"/>
        <v>242828.81683794269</v>
      </c>
      <c r="L10" s="3">
        <f t="shared" si="74"/>
        <v>143777.2840070427</v>
      </c>
      <c r="M10" s="3">
        <f t="shared" si="74"/>
        <v>143777.2840070427</v>
      </c>
      <c r="N10" s="3">
        <f t="shared" si="74"/>
        <v>143777.2840070427</v>
      </c>
      <c r="O10" s="3">
        <f t="shared" si="74"/>
        <v>143777.2840070427</v>
      </c>
      <c r="P10" s="3">
        <f t="shared" si="74"/>
        <v>143777.2840070427</v>
      </c>
      <c r="Q10" s="10">
        <f>P10</f>
        <v>143777.2840070427</v>
      </c>
      <c r="R10" s="3">
        <f>Q10+R21</f>
        <v>256779.7581187748</v>
      </c>
      <c r="S10" s="3">
        <f t="shared" ref="S10:AL10" si="75">R10+S21</f>
        <v>369782.2322305069</v>
      </c>
      <c r="T10" s="3">
        <f t="shared" si="75"/>
        <v>482784.70634223899</v>
      </c>
      <c r="U10" s="3">
        <f t="shared" si="75"/>
        <v>3427078.582414133</v>
      </c>
      <c r="V10" s="3">
        <f t="shared" si="75"/>
        <v>3540797.1928805998</v>
      </c>
      <c r="W10" s="3">
        <f t="shared" si="75"/>
        <v>3654515.8033470665</v>
      </c>
      <c r="X10" s="3">
        <f t="shared" si="75"/>
        <v>3654515.8033470665</v>
      </c>
      <c r="Y10" s="3">
        <f t="shared" si="75"/>
        <v>3654515.8033470665</v>
      </c>
      <c r="Z10" s="3">
        <f t="shared" si="75"/>
        <v>3654515.8033470665</v>
      </c>
      <c r="AA10" s="3">
        <f t="shared" si="75"/>
        <v>3654515.8033470665</v>
      </c>
      <c r="AB10" s="3">
        <f t="shared" si="75"/>
        <v>3654515.8033470665</v>
      </c>
      <c r="AC10" s="3">
        <f t="shared" si="75"/>
        <v>3654515.8033470665</v>
      </c>
      <c r="AD10" s="3">
        <f t="shared" si="75"/>
        <v>3654515.8033470665</v>
      </c>
      <c r="AE10" s="3">
        <f t="shared" si="75"/>
        <v>3654515.8033470665</v>
      </c>
      <c r="AF10" s="3">
        <f t="shared" si="75"/>
        <v>9952292.4658137318</v>
      </c>
      <c r="AG10" s="3">
        <f t="shared" si="75"/>
        <v>10794756.594180398</v>
      </c>
      <c r="AH10" s="3">
        <f t="shared" si="75"/>
        <v>11598706.109047065</v>
      </c>
      <c r="AI10" s="3">
        <f t="shared" si="75"/>
        <v>11598706.109047065</v>
      </c>
      <c r="AJ10" s="3">
        <f t="shared" si="75"/>
        <v>11598706.109047065</v>
      </c>
      <c r="AK10" s="3">
        <f t="shared" si="75"/>
        <v>11598706.109047065</v>
      </c>
      <c r="AL10" s="3">
        <f t="shared" si="75"/>
        <v>11598706.109047065</v>
      </c>
    </row>
    <row r="11" spans="1:39">
      <c r="C11" s="79"/>
      <c r="D11" s="80"/>
      <c r="E11" s="3">
        <f>E22</f>
        <v>0</v>
      </c>
      <c r="F11" s="3">
        <f t="shared" ref="F11:P11" si="76">F22+E11</f>
        <v>0</v>
      </c>
      <c r="G11" s="3">
        <f t="shared" si="76"/>
        <v>0</v>
      </c>
      <c r="H11" s="3">
        <f t="shared" si="76"/>
        <v>0</v>
      </c>
      <c r="I11" s="3">
        <f t="shared" si="76"/>
        <v>0</v>
      </c>
      <c r="J11" s="3">
        <f t="shared" si="76"/>
        <v>0</v>
      </c>
      <c r="K11" s="3">
        <f t="shared" si="76"/>
        <v>0</v>
      </c>
      <c r="L11" s="3">
        <f t="shared" si="76"/>
        <v>0</v>
      </c>
      <c r="M11" s="3">
        <f t="shared" si="76"/>
        <v>0</v>
      </c>
      <c r="N11" s="3">
        <f t="shared" si="76"/>
        <v>0</v>
      </c>
      <c r="O11" s="3">
        <f t="shared" si="76"/>
        <v>0</v>
      </c>
      <c r="P11" s="3">
        <f t="shared" si="76"/>
        <v>0</v>
      </c>
      <c r="Q11" s="10">
        <f>P11</f>
        <v>0</v>
      </c>
      <c r="R11" s="3">
        <f t="shared" ref="R11:AL11" si="77">Q11+R22</f>
        <v>0</v>
      </c>
      <c r="S11" s="3">
        <f t="shared" si="77"/>
        <v>0</v>
      </c>
      <c r="T11" s="3">
        <f t="shared" si="77"/>
        <v>0</v>
      </c>
      <c r="U11" s="3">
        <f t="shared" si="77"/>
        <v>0</v>
      </c>
      <c r="V11" s="3">
        <f t="shared" si="77"/>
        <v>0</v>
      </c>
      <c r="W11" s="3">
        <f t="shared" si="77"/>
        <v>0</v>
      </c>
      <c r="X11" s="3">
        <f t="shared" si="77"/>
        <v>0</v>
      </c>
      <c r="Y11" s="3">
        <f t="shared" si="77"/>
        <v>0</v>
      </c>
      <c r="Z11" s="3">
        <f t="shared" si="77"/>
        <v>0</v>
      </c>
      <c r="AA11" s="3">
        <f t="shared" si="77"/>
        <v>0</v>
      </c>
      <c r="AB11" s="3">
        <f t="shared" si="77"/>
        <v>0</v>
      </c>
      <c r="AC11" s="3">
        <f t="shared" si="77"/>
        <v>0</v>
      </c>
      <c r="AD11" s="3">
        <f t="shared" si="77"/>
        <v>0</v>
      </c>
      <c r="AE11" s="3">
        <f t="shared" si="77"/>
        <v>0</v>
      </c>
      <c r="AF11" s="3">
        <f t="shared" si="77"/>
        <v>0</v>
      </c>
      <c r="AG11" s="3">
        <f t="shared" si="77"/>
        <v>0</v>
      </c>
      <c r="AH11" s="3">
        <f t="shared" si="77"/>
        <v>0</v>
      </c>
      <c r="AI11" s="3">
        <f t="shared" si="77"/>
        <v>0</v>
      </c>
      <c r="AJ11" s="3">
        <f t="shared" si="77"/>
        <v>0</v>
      </c>
      <c r="AK11" s="3">
        <f t="shared" si="77"/>
        <v>0</v>
      </c>
      <c r="AL11" s="3">
        <f t="shared" si="77"/>
        <v>0</v>
      </c>
    </row>
    <row r="12" spans="1:39" ht="13.5" thickBot="1">
      <c r="B12" t="s">
        <v>2</v>
      </c>
      <c r="E12" s="5">
        <f t="shared" ref="E12:AL12" si="78">SUM(E4:E11)</f>
        <v>248725.10756610002</v>
      </c>
      <c r="F12" s="5">
        <f t="shared" si="78"/>
        <v>286402.192002</v>
      </c>
      <c r="G12" s="5">
        <f t="shared" si="78"/>
        <v>297349.15104180004</v>
      </c>
      <c r="H12" s="5">
        <f t="shared" si="78"/>
        <v>306799.34029644274</v>
      </c>
      <c r="I12" s="5">
        <f t="shared" si="78"/>
        <v>306799.34029644274</v>
      </c>
      <c r="J12" s="5">
        <f t="shared" si="78"/>
        <v>615800.32951644273</v>
      </c>
      <c r="K12" s="5">
        <f t="shared" si="78"/>
        <v>679462.26342264272</v>
      </c>
      <c r="L12" s="5">
        <f t="shared" si="78"/>
        <v>784270.95080724265</v>
      </c>
      <c r="M12" s="5">
        <f t="shared" si="78"/>
        <v>979816.29384530149</v>
      </c>
      <c r="N12" s="5">
        <f t="shared" si="78"/>
        <v>1247242.8059003677</v>
      </c>
      <c r="O12" s="5">
        <f t="shared" si="78"/>
        <v>1270517.432066811</v>
      </c>
      <c r="P12" s="5">
        <f t="shared" si="78"/>
        <v>1754570.7896254633</v>
      </c>
      <c r="Q12" s="11">
        <f t="shared" si="78"/>
        <v>1754570.7896254633</v>
      </c>
      <c r="R12" s="5">
        <f t="shared" si="78"/>
        <v>1984569.5024275421</v>
      </c>
      <c r="S12" s="5">
        <f t="shared" si="78"/>
        <v>2214568.2152296212</v>
      </c>
      <c r="T12" s="5">
        <f t="shared" si="78"/>
        <v>2625118.6744300276</v>
      </c>
      <c r="U12" s="5">
        <f t="shared" si="78"/>
        <v>6523331.1051446889</v>
      </c>
      <c r="V12" s="5">
        <f t="shared" si="78"/>
        <v>8553167.5507276673</v>
      </c>
      <c r="W12" s="5">
        <f t="shared" si="78"/>
        <v>9808623.8842170853</v>
      </c>
      <c r="X12" s="5">
        <f t="shared" si="78"/>
        <v>9808623.8842170853</v>
      </c>
      <c r="Y12" s="5">
        <f t="shared" si="78"/>
        <v>9808623.8842170853</v>
      </c>
      <c r="Z12" s="5">
        <f t="shared" si="78"/>
        <v>9808623.8842170853</v>
      </c>
      <c r="AA12" s="5">
        <f t="shared" si="78"/>
        <v>9808623.8842170853</v>
      </c>
      <c r="AB12" s="5">
        <f t="shared" si="78"/>
        <v>9808623.8842170853</v>
      </c>
      <c r="AC12" s="5">
        <f t="shared" si="78"/>
        <v>9808623.8842170853</v>
      </c>
      <c r="AD12" s="5">
        <f t="shared" si="78"/>
        <v>9808623.8842170853</v>
      </c>
      <c r="AE12" s="5">
        <f t="shared" si="78"/>
        <v>9808623.8842170853</v>
      </c>
      <c r="AF12" s="5">
        <f t="shared" si="78"/>
        <v>16106400.546683751</v>
      </c>
      <c r="AG12" s="5">
        <f t="shared" si="78"/>
        <v>16948864.675050415</v>
      </c>
      <c r="AH12" s="5">
        <f t="shared" si="78"/>
        <v>17752814.189917084</v>
      </c>
      <c r="AI12" s="5">
        <f t="shared" si="78"/>
        <v>17752814.189917084</v>
      </c>
      <c r="AJ12" s="5">
        <f t="shared" si="78"/>
        <v>17752814.189917084</v>
      </c>
      <c r="AK12" s="5">
        <f t="shared" si="78"/>
        <v>17752814.189917084</v>
      </c>
      <c r="AL12" s="5">
        <f t="shared" si="78"/>
        <v>17752814.189917084</v>
      </c>
      <c r="AM12" s="3"/>
    </row>
    <row r="13" spans="1:39">
      <c r="Q13" s="12"/>
      <c r="S13"/>
    </row>
    <row r="14" spans="1:39">
      <c r="Q14" s="12"/>
      <c r="S14"/>
    </row>
    <row r="15" spans="1:39">
      <c r="A15" s="1" t="s">
        <v>5</v>
      </c>
      <c r="B15" t="s">
        <v>1</v>
      </c>
      <c r="C15" t="s">
        <v>17</v>
      </c>
      <c r="E15" s="2">
        <f>SUMIF('EIM - 2020 WA E Detail - Actual'!$C$4:$C$15,"Elec Distribution 360-373",'EIM - 2020 WA E Detail - Actual'!U$4:U$15)</f>
        <v>0</v>
      </c>
      <c r="F15" s="2">
        <f>SUMIF('EIM - 2020 WA E Detail - Actual'!$C$4:$C$15,"Elec Distribution 360-373",'EIM - 2020 WA E Detail - Actual'!V$4:V$15)</f>
        <v>0</v>
      </c>
      <c r="G15" s="2">
        <f>SUMIF('EIM - 2020 WA E Detail - Actual'!$C$4:$C$15,"Elec Distribution 360-373",'EIM - 2020 WA E Detail - Actual'!W$4:W$15)</f>
        <v>0</v>
      </c>
      <c r="H15" s="2">
        <f>SUMIF('EIM - 2020 WA E Detail - Actual'!$C$4:$C$15,"Elec Distribution 360-373",'EIM - 2020 WA E Detail - Actual'!X$4:X$15)</f>
        <v>0</v>
      </c>
      <c r="I15" s="2">
        <f>SUMIF('EIM - 2020 WA E Detail - Actual'!$C$4:$C$15,"Elec Distribution 360-373",'EIM - 2020 WA E Detail - Actual'!Y$4:Y$15)</f>
        <v>0</v>
      </c>
      <c r="J15" s="2">
        <f>SUMIF('EIM - 2020 WA E Detail - Actual'!$C$4:$C$15,"Elec Distribution 360-373",'EIM - 2020 WA E Detail - Actual'!Z$4:Z$15)</f>
        <v>0</v>
      </c>
      <c r="K15" s="2">
        <f>SUMIF('EIM - 2020 WA E Detail - Actual'!$C$4:$C$15,"Elec Distribution 360-373",'EIM - 2020 WA E Detail - Actual'!AA$4:AA$15)</f>
        <v>0</v>
      </c>
      <c r="L15" s="2">
        <f>SUMIF('EIM - 2020 WA E Detail - Actual'!$C$4:$C$15,"Elec Distribution 360-373",'EIM - 2020 WA E Detail - Actual'!AB$4:AB$15)</f>
        <v>0</v>
      </c>
      <c r="M15" s="2">
        <f>SUMIF('EIM - 2020 WA E Detail - Actual'!$C$4:$C$15,"Elec Distribution 360-373",'EIM - 2020 WA E Detail - Actual'!AC$4:AC$15)</f>
        <v>0</v>
      </c>
      <c r="N15" s="2">
        <f>SUMIF('EIM - 2020 WA E Detail - Actual'!$C$4:$C$15,"Elec Distribution 360-373",'EIM - 2020 WA E Detail - Actual'!AD$4:AD$15)</f>
        <v>0</v>
      </c>
      <c r="O15" s="2">
        <f>SUMIF('EIM - 2020 WA E Detail - Actual'!$C$4:$C$15,"Elec Distribution 360-373",'EIM - 2020 WA E Detail - Actual'!AE$4:AE$15)</f>
        <v>0</v>
      </c>
      <c r="P15" s="2">
        <f>SUMIF('EIM - 2020 WA E Detail - Actual'!$C$4:$C$15,"Elec Distribution 360-373",'EIM - 2020 WA E Detail - Actual'!AF$4:AF$15)</f>
        <v>0</v>
      </c>
      <c r="Q15" s="10">
        <f t="shared" ref="Q15" si="79">SUM(E15:P15)</f>
        <v>0</v>
      </c>
      <c r="R15" s="2">
        <f>SUMIF('EIM - 2021 WA E Detail - FCst'!$C$4:$C$14,"Elec Distribution 360-373",'EIM - 2021 WA E Detail - FCst'!U$4:U$14)</f>
        <v>0</v>
      </c>
      <c r="S15" s="2">
        <f>SUMIF('EIM - 2021 WA E Detail - FCst'!$C$4:$C$14,"Elec Distribution 360-373",'EIM - 2021 WA E Detail - FCst'!V$4:V$14)</f>
        <v>0</v>
      </c>
      <c r="T15" s="2">
        <f>SUMIF('EIM - 2021 WA E Detail - FCst'!$C$4:$C$14,"Elec Distribution 360-373",'EIM - 2021 WA E Detail - FCst'!W$4:W$14)</f>
        <v>0</v>
      </c>
      <c r="U15" s="2">
        <f>SUMIF('EIM - 2021 WA E Detail - FCst'!$C$4:$C$14,"Elec Distribution 360-373",'EIM - 2021 WA E Detail - FCst'!X$4:X$14)</f>
        <v>0</v>
      </c>
      <c r="V15" s="2">
        <f>SUMIF('EIM - 2021 WA E Detail - FCst'!$C$4:$C$14,"Elec Distribution 360-373",'EIM - 2021 WA E Detail - FCst'!Y$4:Y$14)</f>
        <v>0</v>
      </c>
      <c r="W15" s="2">
        <f>SUMIF('EIM - 2021 WA E Detail - FCst'!$C$4:$C$14,"Elec Distribution 360-373",'EIM - 2021 WA E Detail - FCst'!Z$4:Z$14)</f>
        <v>187140.45078018191</v>
      </c>
      <c r="X15" s="2">
        <f>SUMIF('EIM - 2021 WA E Detail - FCst'!$C$4:$C$14,"Elec Distribution 360-373",'EIM - 2021 WA E Detail - FCst'!AA$4:AA$14)</f>
        <v>0</v>
      </c>
      <c r="Y15" s="2">
        <f>SUMIF('EIM - 2021 WA E Detail - FCst'!$C$4:$C$14,"Elec Distribution 360-373",'EIM - 2021 WA E Detail - FCst'!AB$4:AB$14)</f>
        <v>0</v>
      </c>
      <c r="Z15" s="2">
        <f>SUMIF('EIM - 2021 WA E Detail - FCst'!$C$4:$C$14,"Elec Distribution 360-373",'EIM - 2021 WA E Detail - FCst'!AC$4:AC$14)</f>
        <v>0</v>
      </c>
      <c r="AA15" s="2">
        <f>SUMIF('EIM - 2021 WA E Detail - FCst'!$C$4:$C$14,"Elec Distribution 360-373",'EIM - 2021 WA E Detail - FCst'!AD$4:AD$14)</f>
        <v>0</v>
      </c>
      <c r="AB15" s="2">
        <f>SUMIF('EIM - 2021 WA E Detail - FCst'!$C$4:$C$14,"Elec Distribution 360-373",'EIM - 2021 WA E Detail - FCst'!AE$4:AE$14)</f>
        <v>0</v>
      </c>
      <c r="AC15" s="2">
        <f>SUMIF('EIM - 2021 WA E Detail - FCst'!$C$4:$C$14,"Elec Distribution 360-373",'EIM - 2021 WA E Detail - FCst'!AF$4:AF$14)</f>
        <v>0</v>
      </c>
      <c r="AD15" s="2"/>
      <c r="AE15" s="2"/>
      <c r="AF15" s="2"/>
      <c r="AG15" s="2"/>
      <c r="AH15" s="2"/>
      <c r="AI15" s="2"/>
      <c r="AJ15" s="2"/>
      <c r="AK15" s="2"/>
      <c r="AL15" s="2"/>
    </row>
    <row r="16" spans="1:39">
      <c r="C16" t="s">
        <v>14</v>
      </c>
      <c r="E16" s="2">
        <f>SUMIF('EIM - 2020 WA E Detail - Actual'!$C$4:$C$15,"Elec Transmission 350-359",'EIM - 2020 WA E Detail - Actual'!U$4:U$15)</f>
        <v>0</v>
      </c>
      <c r="F16" s="2">
        <f>SUMIF('EIM - 2020 WA E Detail - Actual'!$C$4:$C$15,"Elec Transmission 350-359",'EIM - 2020 WA E Detail - Actual'!V$4:V$15)</f>
        <v>0</v>
      </c>
      <c r="G16" s="2">
        <f>SUMIF('EIM - 2020 WA E Detail - Actual'!$C$4:$C$15,"Elec Transmission 350-359",'EIM - 2020 WA E Detail - Actual'!W$4:W$15)</f>
        <v>0</v>
      </c>
      <c r="H16" s="2">
        <f>SUMIF('EIM - 2020 WA E Detail - Actual'!$C$4:$C$15,"Elec Transmission 350-359",'EIM - 2020 WA E Detail - Actual'!X$4:X$15)</f>
        <v>0</v>
      </c>
      <c r="I16" s="2">
        <f>SUMIF('EIM - 2020 WA E Detail - Actual'!$C$4:$C$15,"Elec Transmission 350-359",'EIM - 2020 WA E Detail - Actual'!Y$4:Y$15)</f>
        <v>0</v>
      </c>
      <c r="J16" s="2">
        <f>SUMIF('EIM - 2020 WA E Detail - Actual'!$C$4:$C$15,"Elec Transmission 350-359",'EIM - 2020 WA E Detail - Actual'!Z$4:Z$15)</f>
        <v>0</v>
      </c>
      <c r="K16" s="2">
        <f>SUMIF('EIM - 2020 WA E Detail - Actual'!$C$4:$C$15,"Elec Transmission 350-359",'EIM - 2020 WA E Detail - Actual'!AA$4:AA$15)</f>
        <v>0</v>
      </c>
      <c r="L16" s="2">
        <f>SUMIF('EIM - 2020 WA E Detail - Actual'!$C$4:$C$15,"Elec Transmission 350-359",'EIM - 2020 WA E Detail - Actual'!AB$4:AB$15)</f>
        <v>100165.123716</v>
      </c>
      <c r="M16" s="2">
        <f>SUMIF('EIM - 2020 WA E Detail - Actual'!$C$4:$C$15,"Elec Transmission 350-359",'EIM - 2020 WA E Detail - Actual'!AC$4:AC$15)</f>
        <v>0</v>
      </c>
      <c r="N16" s="2">
        <f>SUMIF('EIM - 2020 WA E Detail - Actual'!$C$4:$C$15,"Elec Transmission 350-359",'EIM - 2020 WA E Detail - Actual'!AD$4:AD$15)</f>
        <v>39057.250644</v>
      </c>
      <c r="O16" s="2">
        <f>SUMIF('EIM - 2020 WA E Detail - Actual'!$C$4:$C$15,"Elec Transmission 350-359",'EIM - 2020 WA E Detail - Actual'!AE$4:AE$15)</f>
        <v>889.211952</v>
      </c>
      <c r="P16" s="2">
        <f>SUMIF('EIM - 2020 WA E Detail - Actual'!$C$4:$C$15,"Elec Transmission 350-359",'EIM - 2020 WA E Detail - Actual'!AF$4:AF$15)</f>
        <v>3764.2439520000003</v>
      </c>
      <c r="Q16" s="10">
        <f t="shared" ref="Q16:Q21" si="80">SUM(E16:P16)</f>
        <v>143875.83026400002</v>
      </c>
      <c r="R16" s="2">
        <f>SUMIF('EIM - 2021 WA E Detail - FCst'!$C$4:$C$14,"Elec Transmission 350-359",'EIM - 2021 WA E Detail - FCst'!U$4:U$14)</f>
        <v>116996.23869034676</v>
      </c>
      <c r="S16" s="2">
        <f>SUMIF('EIM - 2021 WA E Detail - FCst'!$C$4:$C$14,"Elec Transmission 350-359",'EIM - 2021 WA E Detail - FCst'!V$4:V$14)</f>
        <v>116996.23869034676</v>
      </c>
      <c r="T16" s="2">
        <f>SUMIF('EIM - 2021 WA E Detail - FCst'!$C$4:$C$14,"Elec Transmission 350-359",'EIM - 2021 WA E Detail - FCst'!W$4:W$14)</f>
        <v>116996.23869034676</v>
      </c>
      <c r="U16" s="2">
        <f>SUMIF('EIM - 2021 WA E Detail - FCst'!$C$4:$C$14,"Elec Transmission 350-359",'EIM - 2021 WA E Detail - FCst'!X$4:X$14)</f>
        <v>223465.36856774264</v>
      </c>
      <c r="V16" s="2">
        <f>SUMIF('EIM - 2021 WA E Detail - FCst'!$C$4:$C$14,"Elec Transmission 350-359",'EIM - 2021 WA E Detail - FCst'!Y$4:Y$14)</f>
        <v>223465.36856774264</v>
      </c>
      <c r="W16" s="2">
        <f>SUMIF('EIM - 2021 WA E Detail - FCst'!$C$4:$C$14,"Elec Transmission 350-359",'EIM - 2021 WA E Detail - FCst'!Z$4:Z$14)</f>
        <v>560713.18616774259</v>
      </c>
      <c r="X16" s="2">
        <f>SUMIF('EIM - 2021 WA E Detail - FCst'!$C$4:$C$14,"Elec Transmission 350-359",'EIM - 2021 WA E Detail - FCst'!AA$4:AA$14)</f>
        <v>0</v>
      </c>
      <c r="Y16" s="2">
        <f>SUMIF('EIM - 2021 WA E Detail - FCst'!$C$4:$C$14,"Elec Transmission 350-359",'EIM - 2021 WA E Detail - FCst'!AB$4:AB$14)</f>
        <v>0</v>
      </c>
      <c r="Z16" s="2">
        <f>SUMIF('EIM - 2021 WA E Detail - FCst'!$C$4:$C$14,"Elec Transmission 350-359",'EIM - 2021 WA E Detail - FCst'!AC$4:AC$14)</f>
        <v>0</v>
      </c>
      <c r="AA16" s="2">
        <f>SUMIF('EIM - 2021 WA E Detail - FCst'!$C$4:$C$14,"Elec Transmission 350-359",'EIM - 2021 WA E Detail - FCst'!AD$4:AD$14)</f>
        <v>0</v>
      </c>
      <c r="AB16" s="2">
        <f>SUMIF('EIM - 2021 WA E Detail - FCst'!$C$4:$C$14,"Elec Transmission 350-359",'EIM - 2021 WA E Detail - FCst'!AE$4:AE$14)</f>
        <v>0</v>
      </c>
      <c r="AC16" s="2">
        <f>SUMIF('EIM - 2021 WA E Detail - FCst'!$C$4:$C$14,"Elec Transmission 350-359",'EIM - 2021 WA E Detail - FCst'!AF$4:AF$14)</f>
        <v>0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>
      <c r="C17" t="s">
        <v>141</v>
      </c>
      <c r="E17" s="2">
        <f>SUMIF('EIM - 2020 WA E Detail - Actual'!$C$4:$C$15,"Hydro 331-336",'EIM - 2020 WA E Detail - Actual'!U$4:U$15)</f>
        <v>0</v>
      </c>
      <c r="F17" s="2">
        <f>SUMIF('EIM - 2020 WA E Detail - Actual'!$C$4:$C$15,"Hydro 331-336",'EIM - 2020 WA E Detail - Actual'!V$4:V$15)</f>
        <v>0</v>
      </c>
      <c r="G17" s="2">
        <f>SUMIF('EIM - 2020 WA E Detail - Actual'!$C$4:$C$15,"Hydro 331-336",'EIM - 2020 WA E Detail - Actual'!W$4:W$15)</f>
        <v>0</v>
      </c>
      <c r="H17" s="2">
        <f>SUMIF('EIM - 2020 WA E Detail - Actual'!$C$4:$C$15,"Hydro 331-336",'EIM - 2020 WA E Detail - Actual'!X$4:X$15)</f>
        <v>0</v>
      </c>
      <c r="I17" s="2">
        <f>SUMIF('EIM - 2020 WA E Detail - Actual'!$C$4:$C$15,"Hydro 331-336",'EIM - 2020 WA E Detail - Actual'!Y$4:Y$15)</f>
        <v>0</v>
      </c>
      <c r="J17" s="2">
        <f>SUMIF('EIM - 2020 WA E Detail - Actual'!$C$4:$C$15,"Hydro 331-336",'EIM - 2020 WA E Detail - Actual'!Z$4:Z$15)</f>
        <v>309000.98921999999</v>
      </c>
      <c r="K17" s="2">
        <f>SUMIF('EIM - 2020 WA E Detail - Actual'!$C$4:$C$15,"Hydro 331-336",'EIM - 2020 WA E Detail - Actual'!AA$4:AA$15)</f>
        <v>34588.453187999999</v>
      </c>
      <c r="L17" s="2">
        <f>SUMIF('EIM - 2020 WA E Detail - Actual'!$C$4:$C$15,"Hydro 331-336",'EIM - 2020 WA E Detail - Actual'!AB$4:AB$15)</f>
        <v>3702.496404</v>
      </c>
      <c r="M17" s="2">
        <f>SUMIF('EIM - 2020 WA E Detail - Actual'!$C$4:$C$15,"Hydro 331-336",'EIM - 2020 WA E Detail - Actual'!AC$4:AC$15)</f>
        <v>158988.08808000002</v>
      </c>
      <c r="N17" s="2">
        <f>SUMIF('EIM - 2020 WA E Detail - Actual'!$C$4:$C$15,"Hydro 331-336",'EIM - 2020 WA E Detail - Actual'!AD$4:AD$15)</f>
        <v>13763.388636000003</v>
      </c>
      <c r="O17" s="2">
        <f>SUMIF('EIM - 2020 WA E Detail - Actual'!$C$4:$C$15,"Hydro 331-336",'EIM - 2020 WA E Detail - Actual'!AE$4:AE$15)</f>
        <v>9428.8052880000014</v>
      </c>
      <c r="P17" s="2">
        <f>SUMIF('EIM - 2020 WA E Detail - Actual'!$C$4:$C$15,"Hydro 331-336",'EIM - 2020 WA E Detail - Actual'!AF$4:AF$15)</f>
        <v>25417.370232000001</v>
      </c>
      <c r="Q17" s="10">
        <f t="shared" si="80"/>
        <v>554889.59104800003</v>
      </c>
      <c r="R17" s="2">
        <f>SUMIF('EIM - 2021 WA E Detail - FCst'!$C$4:$C$14,"Hydro 331-336",'EIM - 2021 WA E Detail - FCst'!U$4:U$14)</f>
        <v>0</v>
      </c>
      <c r="S17" s="2">
        <f>SUMIF('EIM - 2021 WA E Detail - FCst'!$C$4:$C$14,"Hydro 331-336",'EIM - 2021 WA E Detail - FCst'!V$4:V$14)</f>
        <v>0</v>
      </c>
      <c r="T17" s="2">
        <f>SUMIF('EIM - 2021 WA E Detail - FCst'!$C$4:$C$14,"Hydro 331-336",'EIM - 2021 WA E Detail - FCst'!W$4:W$14)</f>
        <v>0</v>
      </c>
      <c r="U17" s="2">
        <f>SUMIF('EIM - 2021 WA E Detail - FCst'!$C$4:$C$14,"Hydro 331-336",'EIM - 2021 WA E Detail - FCst'!X$4:X$14)</f>
        <v>669739.90347669658</v>
      </c>
      <c r="V17" s="2">
        <f>SUMIF('EIM - 2021 WA E Detail - FCst'!$C$4:$C$14,"Hydro 331-336",'EIM - 2021 WA E Detail - FCst'!Y$4:Y$14)</f>
        <v>1631939.1839504428</v>
      </c>
      <c r="W17" s="2">
        <f>SUMIF('EIM - 2021 WA E Detail - FCst'!$C$4:$C$14,"Hydro 331-336",'EIM - 2021 WA E Detail - FCst'!Z$4:Z$14)</f>
        <v>333170.8034766966</v>
      </c>
      <c r="X17" s="2">
        <f>SUMIF('EIM - 2021 WA E Detail - FCst'!$C$4:$C$14,"Hydro 331-336",'EIM - 2021 WA E Detail - FCst'!AA$4:AA$14)</f>
        <v>0</v>
      </c>
      <c r="Y17" s="2">
        <f>SUMIF('EIM - 2021 WA E Detail - FCst'!$C$4:$C$14,"Hydro 331-336",'EIM - 2021 WA E Detail - FCst'!AB$4:AB$14)</f>
        <v>0</v>
      </c>
      <c r="Z17" s="2">
        <f>SUMIF('EIM - 2021 WA E Detail - FCst'!$C$4:$C$14,"Hydro 331-336",'EIM - 2021 WA E Detail - FCst'!AC$4:AC$14)</f>
        <v>0</v>
      </c>
      <c r="AA17" s="2">
        <f>SUMIF('EIM - 2021 WA E Detail - FCst'!$C$4:$C$14,"Hydro 331-336",'EIM - 2021 WA E Detail - FCst'!AD$4:AD$14)</f>
        <v>0</v>
      </c>
      <c r="AB17" s="2">
        <f>SUMIF('EIM - 2021 WA E Detail - FCst'!$C$4:$C$14,"Hydro 331-336",'EIM - 2021 WA E Detail - FCst'!AE$4:AE$14)</f>
        <v>0</v>
      </c>
      <c r="AC17" s="2">
        <f>SUMIF('EIM - 2021 WA E Detail - FCst'!$C$4:$C$14,"Hydro 331-336",'EIM - 2021 WA E Detail - FCst'!AF$4:AF$14)</f>
        <v>0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>
      <c r="C18" t="s">
        <v>148</v>
      </c>
      <c r="E18" s="2">
        <f>SUMIF('EIM - 2020 WA E Detail - Actual'!$C$4:$C$15,"Other Elec Production / Turbines 340-346",'EIM - 2020 WA E Detail - Actual'!U$4:U$15)</f>
        <v>0</v>
      </c>
      <c r="F18" s="2">
        <f>SUMIF('EIM - 2020 WA E Detail - Actual'!$C$4:$C$15,"Other Elec Production / Turbines 340-346",'EIM - 2020 WA E Detail - Actual'!V$4:V$15)</f>
        <v>0</v>
      </c>
      <c r="G18" s="2">
        <f>SUMIF('EIM - 2020 WA E Detail - Actual'!$C$4:$C$15,"Other Elec Production / Turbines 340-346",'EIM - 2020 WA E Detail - Actual'!W$4:W$15)</f>
        <v>0</v>
      </c>
      <c r="H18" s="2">
        <f>SUMIF('EIM - 2020 WA E Detail - Actual'!$C$4:$C$15,"Other Elec Production / Turbines 340-346",'EIM - 2020 WA E Detail - Actual'!X$4:X$15)</f>
        <v>0</v>
      </c>
      <c r="I18" s="2">
        <f>SUMIF('EIM - 2020 WA E Detail - Actual'!$C$4:$C$15,"Other Elec Production / Turbines 340-346",'EIM - 2020 WA E Detail - Actual'!Y$4:Y$15)</f>
        <v>0</v>
      </c>
      <c r="J18" s="2">
        <f>SUMIF('EIM - 2020 WA E Detail - Actual'!$C$4:$C$15,"Other Elec Production / Turbines 340-346",'EIM - 2020 WA E Detail - Actual'!Z$4:Z$15)</f>
        <v>0</v>
      </c>
      <c r="K18" s="2">
        <f>SUMIF('EIM - 2020 WA E Detail - Actual'!$C$4:$C$15,"Other Elec Production / Turbines 340-346",'EIM - 2020 WA E Detail - Actual'!AA$4:AA$15)</f>
        <v>0</v>
      </c>
      <c r="L18" s="2">
        <f>SUMIF('EIM - 2020 WA E Detail - Actual'!$C$4:$C$15,"Other Elec Production / Turbines 340-346",'EIM - 2020 WA E Detail - Actual'!AB$4:AB$15)</f>
        <v>0</v>
      </c>
      <c r="M18" s="2">
        <f>SUMIF('EIM - 2020 WA E Detail - Actual'!$C$4:$C$15,"Other Elec Production / Turbines 340-346",'EIM - 2020 WA E Detail - Actual'!AC$4:AC$15)</f>
        <v>0</v>
      </c>
      <c r="N18" s="2">
        <f>SUMIF('EIM - 2020 WA E Detail - Actual'!$C$4:$C$15,"Other Elec Production / Turbines 340-346",'EIM - 2020 WA E Detail - Actual'!AD$4:AD$15)</f>
        <v>0</v>
      </c>
      <c r="O18" s="2">
        <f>SUMIF('EIM - 2020 WA E Detail - Actual'!$C$4:$C$15,"Other Elec Production / Turbines 340-346",'EIM - 2020 WA E Detail - Actual'!AE$4:AE$15)</f>
        <v>0</v>
      </c>
      <c r="P18" s="2">
        <f>SUMIF('EIM - 2020 WA E Detail - Actual'!$C$4:$C$15,"Other Elec Production / Turbines 340-346",'EIM - 2020 WA E Detail - Actual'!AF$4:AF$15)</f>
        <v>447082.47473999998</v>
      </c>
      <c r="Q18" s="10">
        <f t="shared" si="80"/>
        <v>447082.47473999998</v>
      </c>
      <c r="R18" s="2">
        <f>SUMIF('EIM - 2021 WA E Detail - FCst'!$C$4:$C$14,"Other Elec Production / Turbines 340-346",'EIM - 2021 WA E Detail - FCst'!U$4:U$14)</f>
        <v>0</v>
      </c>
      <c r="S18" s="2">
        <f>SUMIF('EIM - 2021 WA E Detail - FCst'!$C$4:$C$14,"Other Elec Production / Turbines 340-346",'EIM - 2021 WA E Detail - FCst'!V$4:V$14)</f>
        <v>0</v>
      </c>
      <c r="T18" s="2">
        <f>SUMIF('EIM - 2021 WA E Detail - FCst'!$C$4:$C$14,"Other Elec Production / Turbines 340-346",'EIM - 2021 WA E Detail - FCst'!W$4:W$14)</f>
        <v>0</v>
      </c>
      <c r="U18" s="2">
        <f>SUMIF('EIM - 2021 WA E Detail - FCst'!$C$4:$C$14,"Other Elec Production / Turbines 340-346",'EIM - 2021 WA E Detail - FCst'!X$4:X$14)</f>
        <v>0</v>
      </c>
      <c r="V18" s="2">
        <f>SUMIF('EIM - 2021 WA E Detail - FCst'!$C$4:$C$14,"Other Elec Production / Turbines 340-346",'EIM - 2021 WA E Detail - FCst'!Y$4:Y$14)</f>
        <v>0</v>
      </c>
      <c r="W18" s="2">
        <f>SUMIF('EIM - 2021 WA E Detail - FCst'!$C$4:$C$14,"Other Elec Production / Turbines 340-346",'EIM - 2021 WA E Detail - FCst'!Z$4:Z$14)</f>
        <v>0</v>
      </c>
      <c r="X18" s="2">
        <f>SUMIF('EIM - 2021 WA E Detail - FCst'!$C$4:$C$14,"Other Elec Production / Turbines 340-346",'EIM - 2021 WA E Detail - FCst'!AA$4:AA$14)</f>
        <v>0</v>
      </c>
      <c r="Y18" s="2">
        <f>SUMIF('EIM - 2021 WA E Detail - FCst'!$C$4:$C$14,"Other Elec Production / Turbines 340-346",'EIM - 2021 WA E Detail - FCst'!AB$4:AB$14)</f>
        <v>0</v>
      </c>
      <c r="Z18" s="2">
        <f>SUMIF('EIM - 2021 WA E Detail - FCst'!$C$4:$C$14,"Other Elec Production / Turbines 340-346",'EIM - 2021 WA E Detail - FCst'!AC$4:AC$14)</f>
        <v>0</v>
      </c>
      <c r="AA18" s="2">
        <f>SUMIF('EIM - 2021 WA E Detail - FCst'!$C$4:$C$14,"Other Elec Production / Turbines 340-346",'EIM - 2021 WA E Detail - FCst'!AD$4:AD$14)</f>
        <v>0</v>
      </c>
      <c r="AB18" s="2">
        <f>SUMIF('EIM - 2021 WA E Detail - FCst'!$C$4:$C$14,"Other Elec Production / Turbines 340-346",'EIM - 2021 WA E Detail - FCst'!AE$4:AE$14)</f>
        <v>0</v>
      </c>
      <c r="AC18" s="2">
        <f>SUMIF('EIM - 2021 WA E Detail - FCst'!$C$4:$C$14,"Other Elec Production / Turbines 340-346",'EIM - 2021 WA E Detail - FCst'!AF$4:AF$14)</f>
        <v>0</v>
      </c>
      <c r="AD18" s="2">
        <f>SUMIF('EIM - 2021 WA E Detail - FCst'!$C$4:$C$14,"Other Elec Production / Turbines 340-346",'EIM - 2021 WA E Detail - FCst'!AG$4:AG$14)</f>
        <v>0</v>
      </c>
      <c r="AE18" s="2">
        <f>SUMIF('EIM - 2021 WA E Detail - FCst'!$C$4:$C$14,"Other Elec Production / Turbines 340-346",'EIM - 2021 WA E Detail - FCst'!AH$4:AH$14)</f>
        <v>0</v>
      </c>
      <c r="AF18" s="2">
        <f>SUMIF('EIM - 2021 WA E Detail - FCst'!$C$4:$C$14,"Other Elec Production / Turbines 340-346",'EIM - 2021 WA E Detail - FCst'!AI$4:AI$14)</f>
        <v>0</v>
      </c>
      <c r="AG18" s="2">
        <f>SUMIF('EIM - 2021 WA E Detail - FCst'!$C$4:$C$14,"Other Elec Production / Turbines 340-346",'EIM - 2021 WA E Detail - FCst'!AJ$4:AJ$14)</f>
        <v>0</v>
      </c>
      <c r="AH18" s="2">
        <f>SUMIF('EIM - 2021 WA E Detail - FCst'!$C$4:$C$14,"Other Elec Production / Turbines 340-346",'EIM - 2021 WA E Detail - FCst'!AK$4:AK$14)</f>
        <v>0</v>
      </c>
      <c r="AI18" s="2">
        <f>SUMIF('EIM - 2021 WA E Detail - FCst'!$C$4:$C$14,"Other Elec Production / Turbines 340-346",'EIM - 2021 WA E Detail - FCst'!AL$4:AL$14)</f>
        <v>0</v>
      </c>
      <c r="AJ18" s="2">
        <f>SUMIF('EIM - 2021 WA E Detail - FCst'!$C$4:$C$14,"Other Elec Production / Turbines 340-346",'EIM - 2021 WA E Detail - FCst'!AM$4:AM$14)</f>
        <v>0</v>
      </c>
      <c r="AK18" s="2">
        <f>SUMIF('EIM - 2021 WA E Detail - FCst'!$C$4:$C$14,"Other Elec Production / Turbines 340-346",'EIM - 2021 WA E Detail - FCst'!AN$4:AN$14)</f>
        <v>0</v>
      </c>
      <c r="AL18" s="2">
        <f>SUMIF('EIM - 2021 WA E Detail - FCst'!$C$4:$C$14,"Other Elec Production / Turbines 340-346",'EIM - 2021 WA E Detail - FCst'!AO$4:AO$14)</f>
        <v>0</v>
      </c>
    </row>
    <row r="19" spans="1:38">
      <c r="C19" t="s">
        <v>138</v>
      </c>
      <c r="E19" s="2">
        <f>SUMIF('EIM - 2020 WA E Detail - Actual'!$C$4:$C$15,"General 389 / 393-395 / 397-398",'EIM - 2020 WA E Detail - Actual'!U$4:U$15)</f>
        <v>0</v>
      </c>
      <c r="F19" s="2">
        <f>SUMIF('EIM - 2020 WA E Detail - Actual'!$C$4:$C$15,"General 389 / 393-395 / 397-398",'EIM - 2020 WA E Detail - Actual'!V$4:V$15)</f>
        <v>0</v>
      </c>
      <c r="G19" s="2">
        <f>SUMIF('EIM - 2020 WA E Detail - Actual'!$C$4:$C$15,"General 389 / 393-395 / 397-398",'EIM - 2020 WA E Detail - Actual'!W$4:W$15)</f>
        <v>0</v>
      </c>
      <c r="H19" s="2">
        <f>SUMIF('EIM - 2020 WA E Detail - Actual'!$C$4:$C$15,"General 389 / 393-395 / 397-398",'EIM - 2020 WA E Detail - Actual'!X$4:X$15)</f>
        <v>0</v>
      </c>
      <c r="I19" s="2">
        <f>SUMIF('EIM - 2020 WA E Detail - Actual'!$C$4:$C$15,"General 389 / 393-395 / 397-398",'EIM - 2020 WA E Detail - Actual'!Y$4:Y$15)</f>
        <v>0</v>
      </c>
      <c r="J19" s="2">
        <f>SUMIF('EIM - 2020 WA E Detail - Actual'!$C$4:$C$15,"General 389 / 393-395 / 397-398",'EIM - 2020 WA E Detail - Actual'!Z$4:Z$15)</f>
        <v>0</v>
      </c>
      <c r="K19" s="2">
        <f>SUMIF('EIM - 2020 WA E Detail - Actual'!$C$4:$C$15,"General 389 / 393-395 / 397-398",'EIM - 2020 WA E Detail - Actual'!AA$4:AA$15)</f>
        <v>27392.810719199999</v>
      </c>
      <c r="L19" s="2">
        <f>SUMIF('EIM - 2020 WA E Detail - Actual'!$C$4:$C$15,"General 389 / 393-395 / 397-398",'EIM - 2020 WA E Detail - Actual'!AB$4:AB$15)</f>
        <v>133028.790843</v>
      </c>
      <c r="M19" s="2">
        <f>SUMIF('EIM - 2020 WA E Detail - Actual'!$C$4:$C$15,"General 389 / 393-395 / 397-398",'EIM - 2020 WA E Detail - Actual'!AC$4:AC$15)</f>
        <v>36557.254958058846</v>
      </c>
      <c r="N19" s="2">
        <f>SUMIF('EIM - 2020 WA E Detail - Actual'!$C$4:$C$15,"General 389 / 393-395 / 397-398",'EIM - 2020 WA E Detail - Actual'!AD$4:AD$15)</f>
        <v>214605.87277506635</v>
      </c>
      <c r="O19" s="2">
        <f>SUMIF('EIM - 2020 WA E Detail - Actual'!$C$4:$C$15,"General 389 / 393-395 / 397-398",'EIM - 2020 WA E Detail - Actual'!AE$4:AE$15)</f>
        <v>12956.608926443159</v>
      </c>
      <c r="P19" s="2">
        <f>SUMIF('EIM - 2020 WA E Detail - Actual'!$C$4:$C$15,"General 389 / 393-395 / 397-398",'EIM - 2020 WA E Detail - Actual'!AF$4:AF$15)</f>
        <v>7789.2686346522296</v>
      </c>
      <c r="Q19" s="10">
        <f t="shared" si="80"/>
        <v>432330.60685642064</v>
      </c>
      <c r="R19" s="2">
        <f>SUMIF('EIM - 2021 WA E Detail - FCst'!$C$4:$C$14,"Facilities 390-391",'EIM - 2021 WA E Detail - FCst'!U$4:U$14)</f>
        <v>0</v>
      </c>
      <c r="S19" s="2">
        <f>SUMIF('EIM - 2021 WA E Detail - FCst'!$C$4:$C$14,"Facilities 390-391",'EIM - 2021 WA E Detail - FCst'!V$4:V$14)</f>
        <v>0</v>
      </c>
      <c r="T19" s="2">
        <f>SUMIF('EIM - 2021 WA E Detail - FCst'!$C$4:$C$14,"Facilities 390-391",'EIM - 2021 WA E Detail - FCst'!W$4:W$14)</f>
        <v>180551.74639832755</v>
      </c>
      <c r="U19" s="2">
        <f>SUMIF('EIM - 2021 WA E Detail - FCst'!$C$4:$C$14,"Facilities 390-391",'EIM - 2021 WA E Detail - FCst'!X$4:X$14)</f>
        <v>60713.282598327562</v>
      </c>
      <c r="V19" s="2">
        <f>SUMIF('EIM - 2021 WA E Detail - FCst'!$C$4:$C$14,"Facilities 390-391",'EIM - 2021 WA E Detail - FCst'!Y$4:Y$14)</f>
        <v>60713.282598327562</v>
      </c>
      <c r="W19" s="2">
        <f>SUMIF('EIM - 2021 WA E Detail - FCst'!$C$4:$C$14,"Facilities 390-391",'EIM - 2021 WA E Detail - FCst'!Z$4:Z$14)</f>
        <v>60713.282598327562</v>
      </c>
      <c r="X19" s="2">
        <f>SUMIF('EIM - 2021 WA E Detail - FCst'!$C$4:$C$14,"Facilities 390-391",'EIM - 2021 WA E Detail - FCst'!AA$4:AA$14)</f>
        <v>0</v>
      </c>
      <c r="Y19" s="2">
        <f>SUMIF('EIM - 2021 WA E Detail - FCst'!$C$4:$C$14,"Facilities 390-391",'EIM - 2021 WA E Detail - FCst'!AB$4:AB$14)</f>
        <v>0</v>
      </c>
      <c r="Z19" s="2">
        <f>SUMIF('EIM - 2021 WA E Detail - FCst'!$C$4:$C$14,"Facilities 390-391",'EIM - 2021 WA E Detail - FCst'!AC$4:AC$14)</f>
        <v>0</v>
      </c>
      <c r="AA19" s="2">
        <f>SUMIF('EIM - 2021 WA E Detail - FCst'!$C$4:$C$14,"Facilities 390-391",'EIM - 2021 WA E Detail - FCst'!AD$4:AD$14)</f>
        <v>0</v>
      </c>
      <c r="AB19" s="2">
        <f>SUMIF('EIM - 2021 WA E Detail - FCst'!$C$4:$C$14,"Facilities 390-391",'EIM - 2021 WA E Detail - FCst'!AE$4:AE$14)</f>
        <v>0</v>
      </c>
      <c r="AC19" s="2">
        <f>SUMIF('EIM - 2021 WA E Detail - FCst'!$C$4:$C$14,"Facilities 390-391",'EIM - 2021 WA E Detail - FCst'!AF$4:AF$14)</f>
        <v>0</v>
      </c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C20" t="s">
        <v>150</v>
      </c>
      <c r="E20" s="2">
        <f>SUMIF('EIM - 2020 WA E Detail - Actual'!$C$4:$C$15,"General - Hardware",'EIM - 2020 WA E Detail - Actual'!U$4:U$15)</f>
        <v>53862.245801100005</v>
      </c>
      <c r="F20" s="2">
        <f>SUMIF('EIM - 2020 WA E Detail - Actual'!$C$4:$C$15,"General - Hardware",'EIM - 2020 WA E Detail - Actual'!V$4:V$15)</f>
        <v>8159.0989872</v>
      </c>
      <c r="G20" s="2">
        <f>SUMIF('EIM - 2020 WA E Detail - Actual'!$C$4:$C$15,"General - Hardware",'EIM - 2020 WA E Detail - Actual'!W$4:W$15)</f>
        <v>2370.6019503000002</v>
      </c>
      <c r="H20" s="2">
        <f>SUMIF('EIM - 2020 WA E Detail - Actual'!$C$4:$C$15,"General - Hardware",'EIM - 2020 WA E Detail - Actual'!X$4:X$15)</f>
        <v>895.29182220000007</v>
      </c>
      <c r="I20" s="2">
        <f>SUMIF('EIM - 2020 WA E Detail - Actual'!$C$4:$C$15,"General - Hardware",'EIM - 2020 WA E Detail - Actual'!Y$4:Y$15)</f>
        <v>0</v>
      </c>
      <c r="J20" s="2">
        <f>SUMIF('EIM - 2020 WA E Detail - Actual'!$C$4:$C$15,"General - Hardware",'EIM - 2020 WA E Detail - Actual'!Z$4:Z$15)</f>
        <v>0</v>
      </c>
      <c r="K20" s="2">
        <f>SUMIF('EIM - 2020 WA E Detail - Actual'!$C$4:$C$15,"General - Hardware",'EIM - 2020 WA E Detail - Actual'!AA$4:AA$15)</f>
        <v>363.95489670000001</v>
      </c>
      <c r="L20" s="2">
        <f>SUMIF('EIM - 2020 WA E Detail - Actual'!$C$4:$C$15,"General - Hardware",'EIM - 2020 WA E Detail - Actual'!AB$4:AB$15)</f>
        <v>-33036.190747499997</v>
      </c>
      <c r="M20" s="2">
        <f>SUMIF('EIM - 2020 WA E Detail - Actual'!$C$4:$C$15,"General - Hardware",'EIM - 2020 WA E Detail - Actual'!AC$4:AC$15)</f>
        <v>0</v>
      </c>
      <c r="N20" s="2">
        <f>SUMIF('EIM - 2020 WA E Detail - Actual'!$C$4:$C$15,"General - Hardware",'EIM - 2020 WA E Detail - Actual'!AD$4:AD$15)</f>
        <v>0</v>
      </c>
      <c r="O20" s="2">
        <f>SUMIF('EIM - 2020 WA E Detail - Actual'!$C$4:$C$15,"General - Hardware",'EIM - 2020 WA E Detail - Actual'!AE$4:AE$15)</f>
        <v>0</v>
      </c>
      <c r="P20" s="2">
        <f>SUMIF('EIM - 2020 WA E Detail - Actual'!$C$4:$C$15,"General - Hardware",'EIM - 2020 WA E Detail - Actual'!AF$4:AF$15)</f>
        <v>0</v>
      </c>
      <c r="Q20" s="10">
        <f t="shared" si="80"/>
        <v>32615.002710000008</v>
      </c>
      <c r="R20" s="2">
        <f>SUMIF('EIM - 2021 WA E Detail - FCst'!$C$4:$C$14,"General - Hardware",'EIM - 2021 WA E Detail - FCst'!U$4:U$14)</f>
        <v>0</v>
      </c>
      <c r="S20" s="2">
        <f>SUMIF('EIM - 2021 WA E Detail - FCst'!$C$4:$C$14,"General - Hardware",'EIM - 2021 WA E Detail - FCst'!V$4:V$14)</f>
        <v>0</v>
      </c>
      <c r="T20" s="2">
        <f>SUMIF('EIM - 2021 WA E Detail - FCst'!$C$4:$C$14,"General - Hardware",'EIM - 2021 WA E Detail - FCst'!W$4:W$14)</f>
        <v>0</v>
      </c>
      <c r="U20" s="2">
        <f>SUMIF('EIM - 2021 WA E Detail - FCst'!$C$4:$C$14,"General - Hardware",'EIM - 2021 WA E Detail - FCst'!X$4:X$14)</f>
        <v>0</v>
      </c>
      <c r="V20" s="2">
        <f>SUMIF('EIM - 2021 WA E Detail - FCst'!$C$4:$C$14,"General - Hardware",'EIM - 2021 WA E Detail - FCst'!Y$4:Y$14)</f>
        <v>0</v>
      </c>
      <c r="W20" s="2">
        <f>SUMIF('EIM - 2021 WA E Detail - FCst'!$C$4:$C$14,"General - Hardware",'EIM - 2021 WA E Detail - FCst'!Z$4:Z$14)</f>
        <v>0</v>
      </c>
      <c r="X20" s="2">
        <f>SUMIF('EIM - 2021 WA E Detail - FCst'!$C$4:$C$14,"General - Hardware",'EIM - 2021 WA E Detail - FCst'!AA$4:AA$14)</f>
        <v>0</v>
      </c>
      <c r="Y20" s="2">
        <f>SUMIF('EIM - 2021 WA E Detail - FCst'!$C$4:$C$14,"General - Hardware",'EIM - 2021 WA E Detail - FCst'!AB$4:AB$14)</f>
        <v>0</v>
      </c>
      <c r="Z20" s="2">
        <f>SUMIF('EIM - 2021 WA E Detail - FCst'!$C$4:$C$14,"General - Hardware",'EIM - 2021 WA E Detail - FCst'!AC$4:AC$14)</f>
        <v>0</v>
      </c>
      <c r="AA20" s="2">
        <f>SUMIF('EIM - 2021 WA E Detail - FCst'!$C$4:$C$14,"General - Hardware",'EIM - 2021 WA E Detail - FCst'!AD$4:AD$14)</f>
        <v>0</v>
      </c>
      <c r="AB20" s="2">
        <f>SUMIF('EIM - 2021 WA E Detail - FCst'!$C$4:$C$14,"General - Hardware",'EIM - 2021 WA E Detail - FCst'!AE$4:AE$14)</f>
        <v>0</v>
      </c>
      <c r="AC20" s="2">
        <f>SUMIF('EIM - 2021 WA E Detail - FCst'!$C$4:$C$14,"General - Hardware",'EIM - 2021 WA E Detail - FCst'!AF$4:AF$14)</f>
        <v>0</v>
      </c>
      <c r="AD20" s="2"/>
      <c r="AE20" s="2"/>
      <c r="AF20" s="2"/>
      <c r="AG20" s="2"/>
      <c r="AH20" s="2"/>
      <c r="AI20" s="2"/>
      <c r="AJ20" s="2"/>
      <c r="AK20" s="2"/>
      <c r="AL20" s="2"/>
    </row>
    <row r="21" spans="1:38">
      <c r="C21" t="s">
        <v>19</v>
      </c>
      <c r="E21" s="2">
        <f>SUMIF('EIM - 2020 WA E Detail - Actual'!$C$4:$C$15,"Software 303",'EIM - 2020 WA E Detail - Actual'!U$4:U$15)</f>
        <v>194862.86176500001</v>
      </c>
      <c r="F21" s="2">
        <f>SUMIF('EIM - 2020 WA E Detail - Actual'!$C$4:$C$15,"Software 303",'EIM - 2020 WA E Detail - Actual'!V$4:V$15)</f>
        <v>29517.985448700001</v>
      </c>
      <c r="G21" s="2">
        <f>SUMIF('EIM - 2020 WA E Detail - Actual'!$C$4:$C$15,"Software 303",'EIM - 2020 WA E Detail - Actual'!W$4:W$15)</f>
        <v>8576.3570894999993</v>
      </c>
      <c r="H21" s="2">
        <f>SUMIF('EIM - 2020 WA E Detail - Actual'!$C$4:$C$15,"Software 303",'EIM - 2020 WA E Detail - Actual'!X$4:X$15)</f>
        <v>8554.8974324426927</v>
      </c>
      <c r="I21" s="2">
        <f>SUMIF('EIM - 2020 WA E Detail - Actual'!$C$4:$C$15,"Software 303",'EIM - 2020 WA E Detail - Actual'!Y$4:Y$15)</f>
        <v>0</v>
      </c>
      <c r="J21" s="2">
        <f>SUMIF('EIM - 2020 WA E Detail - Actual'!$C$4:$C$15,"Software 303",'EIM - 2020 WA E Detail - Actual'!Z$4:Z$15)</f>
        <v>0</v>
      </c>
      <c r="K21" s="2">
        <f>SUMIF('EIM - 2020 WA E Detail - Actual'!$C$4:$C$15,"Software 303",'EIM - 2020 WA E Detail - Actual'!AA$4:AA$15)</f>
        <v>1316.7151022999999</v>
      </c>
      <c r="L21" s="2">
        <f>SUMIF('EIM - 2020 WA E Detail - Actual'!$C$4:$C$15,"Software 303",'EIM - 2020 WA E Detail - Actual'!AB$4:AB$15)</f>
        <v>-99051.532830900003</v>
      </c>
      <c r="M21" s="2">
        <f>SUMIF('EIM - 2020 WA E Detail - Actual'!$C$4:$C$15,"Software 303",'EIM - 2020 WA E Detail - Actual'!AC$4:AC$15)</f>
        <v>0</v>
      </c>
      <c r="N21" s="2">
        <f>SUMIF('EIM - 2020 WA E Detail - Actual'!$C$4:$C$15,"Software 303",'EIM - 2020 WA E Detail - Actual'!AD$4:AD$15)</f>
        <v>0</v>
      </c>
      <c r="O21" s="2">
        <f>SUMIF('EIM - 2020 WA E Detail - Actual'!$C$4:$C$15,"Software 303",'EIM - 2020 WA E Detail - Actual'!AE$4:AE$15)</f>
        <v>0</v>
      </c>
      <c r="P21" s="2">
        <f>SUMIF('EIM - 2020 WA E Detail - Actual'!$C$4:$C$15,"Software 303",'EIM - 2020 WA E Detail - Actual'!AF$4:AF$15)</f>
        <v>0</v>
      </c>
      <c r="Q21" s="10">
        <f t="shared" si="80"/>
        <v>143777.2840070427</v>
      </c>
      <c r="R21" s="2">
        <f>SUMIF('EIM - 2021 WA E Detail - FCst'!$C$4:$C$14,"Software 303",'EIM - 2021 WA E Detail - FCst'!U$4:U$14)</f>
        <v>113002.47411173211</v>
      </c>
      <c r="S21" s="2">
        <f>SUMIF('EIM - 2021 WA E Detail - FCst'!$C$4:$C$14,"Software 303",'EIM - 2021 WA E Detail - FCst'!V$4:V$14)</f>
        <v>113002.47411173211</v>
      </c>
      <c r="T21" s="2">
        <f>SUMIF('EIM - 2021 WA E Detail - FCst'!$C$4:$C$14,"Software 303",'EIM - 2021 WA E Detail - FCst'!W$4:W$14)</f>
        <v>113002.47411173211</v>
      </c>
      <c r="U21" s="2">
        <f>SUMIF('EIM - 2021 WA E Detail - FCst'!$C$4:$C$14,"Software 303",'EIM - 2021 WA E Detail - FCst'!X$4:X$14)</f>
        <v>2944293.8760718941</v>
      </c>
      <c r="V21" s="2">
        <f>SUMIF('EIM - 2021 WA E Detail - FCst'!$C$4:$C$14,"Software 303",'EIM - 2021 WA E Detail - FCst'!Y$4:Y$14)</f>
        <v>113718.61046646682</v>
      </c>
      <c r="W21" s="2">
        <f>SUMIF('EIM - 2021 WA E Detail - FCst'!$C$4:$C$14,"Software 303",'EIM - 2021 WA E Detail - FCst'!Z$4:Z$14)</f>
        <v>113718.61046646682</v>
      </c>
      <c r="X21" s="2">
        <f>SUMIF('EIM - 2021 WA E Detail - FCst'!$C$4:$C$14,"Software 303",'EIM - 2021 WA E Detail - FCst'!AA$4:AA$14)</f>
        <v>0</v>
      </c>
      <c r="Y21" s="2">
        <f>SUMIF('EIM - 2021 WA E Detail - FCst'!$C$4:$C$14,"Software 303",'EIM - 2021 WA E Detail - FCst'!AB$4:AB$14)</f>
        <v>0</v>
      </c>
      <c r="Z21" s="2">
        <f>SUMIF('EIM - 2021 WA E Detail - FCst'!$C$4:$C$14,"Software 303",'EIM - 2021 WA E Detail - FCst'!AC$4:AC$14)</f>
        <v>0</v>
      </c>
      <c r="AA21" s="2">
        <f>SUMIF('EIM - 2021 WA E Detail - FCst'!$C$4:$C$14,"Software 303",'EIM - 2021 WA E Detail - FCst'!AD$4:AD$14)</f>
        <v>0</v>
      </c>
      <c r="AB21" s="2">
        <f>SUMIF('EIM - 2021 WA E Detail - FCst'!$C$4:$C$14,"Software 303",'EIM - 2021 WA E Detail - FCst'!AE$4:AE$14)</f>
        <v>0</v>
      </c>
      <c r="AC21" s="2">
        <f>SUMIF('EIM - 2021 WA E Detail - FCst'!$C$4:$C$14,"Software 303",'EIM - 2021 WA E Detail - FCst'!AF$4:AF$14)</f>
        <v>0</v>
      </c>
      <c r="AD21" s="2">
        <f>+'EIM - 2022 WA E Detail - FCst'!U4</f>
        <v>0</v>
      </c>
      <c r="AE21" s="2">
        <f>+'EIM - 2022 WA E Detail - FCst'!V4</f>
        <v>0</v>
      </c>
      <c r="AF21" s="2">
        <f>+'EIM - 2022 WA E Detail - FCst'!W4</f>
        <v>6297776.6624666657</v>
      </c>
      <c r="AG21" s="2">
        <f>+'EIM - 2022 WA E Detail - FCst'!X4</f>
        <v>842464.1283666665</v>
      </c>
      <c r="AH21" s="2">
        <f>+'EIM - 2022 WA E Detail - FCst'!Y4</f>
        <v>803949.51486666652</v>
      </c>
      <c r="AI21" s="2">
        <f>+'EIM - 2022 WA E Detail - FCst'!Z4</f>
        <v>0</v>
      </c>
      <c r="AJ21" s="2">
        <f>+'EIM - 2022 WA E Detail - FCst'!AA4</f>
        <v>0</v>
      </c>
      <c r="AK21" s="2">
        <f>+'EIM - 2022 WA E Detail - FCst'!AB4</f>
        <v>0</v>
      </c>
      <c r="AL21" s="2">
        <f>+'EIM - 2022 WA E Detail - FCst'!AC4</f>
        <v>0</v>
      </c>
    </row>
    <row r="22" spans="1:38">
      <c r="C22" s="7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0"/>
      <c r="R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3.5" thickBot="1">
      <c r="B23" t="s">
        <v>2</v>
      </c>
      <c r="E23" s="5">
        <f t="shared" ref="E23:AL23" si="81">SUM(E15:E22)</f>
        <v>248725.10756610002</v>
      </c>
      <c r="F23" s="5">
        <f t="shared" si="81"/>
        <v>37677.084435900004</v>
      </c>
      <c r="G23" s="5">
        <f t="shared" si="81"/>
        <v>10946.9590398</v>
      </c>
      <c r="H23" s="5">
        <f t="shared" si="81"/>
        <v>9450.1892546426934</v>
      </c>
      <c r="I23" s="5">
        <f t="shared" si="81"/>
        <v>0</v>
      </c>
      <c r="J23" s="5">
        <f t="shared" si="81"/>
        <v>309000.98921999999</v>
      </c>
      <c r="K23" s="5">
        <f t="shared" si="81"/>
        <v>63661.9339062</v>
      </c>
      <c r="L23" s="5">
        <f t="shared" si="81"/>
        <v>104808.68738460001</v>
      </c>
      <c r="M23" s="5">
        <f t="shared" si="81"/>
        <v>195545.34303805887</v>
      </c>
      <c r="N23" s="5">
        <f t="shared" si="81"/>
        <v>267426.51205506636</v>
      </c>
      <c r="O23" s="5">
        <f t="shared" si="81"/>
        <v>23274.626166443159</v>
      </c>
      <c r="P23" s="5">
        <f t="shared" si="81"/>
        <v>484053.35755865223</v>
      </c>
      <c r="Q23" s="11">
        <f>SUM(Q15:Q22)</f>
        <v>1754570.7896254633</v>
      </c>
      <c r="R23" s="5">
        <f>SUM(R15:R22)</f>
        <v>229998.71280207887</v>
      </c>
      <c r="S23" s="5">
        <f t="shared" si="81"/>
        <v>229998.71280207887</v>
      </c>
      <c r="T23" s="5">
        <f t="shared" si="81"/>
        <v>410550.45920040639</v>
      </c>
      <c r="U23" s="5">
        <f t="shared" si="81"/>
        <v>3898212.4307146608</v>
      </c>
      <c r="V23" s="5">
        <f t="shared" si="81"/>
        <v>2029836.4455829798</v>
      </c>
      <c r="W23" s="5">
        <f t="shared" si="81"/>
        <v>1255456.3334894155</v>
      </c>
      <c r="X23" s="5">
        <f t="shared" si="81"/>
        <v>0</v>
      </c>
      <c r="Y23" s="5">
        <f t="shared" si="81"/>
        <v>0</v>
      </c>
      <c r="Z23" s="5">
        <f t="shared" si="81"/>
        <v>0</v>
      </c>
      <c r="AA23" s="5">
        <f t="shared" si="81"/>
        <v>0</v>
      </c>
      <c r="AB23" s="5">
        <f t="shared" si="81"/>
        <v>0</v>
      </c>
      <c r="AC23" s="5">
        <f t="shared" si="81"/>
        <v>0</v>
      </c>
      <c r="AD23" s="5">
        <f t="shared" si="81"/>
        <v>0</v>
      </c>
      <c r="AE23" s="5">
        <f t="shared" si="81"/>
        <v>0</v>
      </c>
      <c r="AF23" s="5">
        <f t="shared" si="81"/>
        <v>6297776.6624666657</v>
      </c>
      <c r="AG23" s="5">
        <f t="shared" si="81"/>
        <v>842464.1283666665</v>
      </c>
      <c r="AH23" s="5">
        <f t="shared" si="81"/>
        <v>803949.51486666652</v>
      </c>
      <c r="AI23" s="5">
        <f t="shared" si="81"/>
        <v>0</v>
      </c>
      <c r="AJ23" s="5">
        <f t="shared" si="81"/>
        <v>0</v>
      </c>
      <c r="AK23" s="5">
        <f t="shared" si="81"/>
        <v>0</v>
      </c>
      <c r="AL23" s="5">
        <f t="shared" si="81"/>
        <v>0</v>
      </c>
    </row>
    <row r="24" spans="1:38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>
      <c r="Q25" s="12"/>
    </row>
    <row r="26" spans="1:38">
      <c r="A26" s="1" t="s">
        <v>6</v>
      </c>
      <c r="B26" t="s">
        <v>1</v>
      </c>
      <c r="C26" t="s">
        <v>17</v>
      </c>
      <c r="E26" s="2">
        <f>(0+((E15)/2))*$D$4/12</f>
        <v>0</v>
      </c>
      <c r="F26" s="2">
        <f>(E4+((F15)/2))*$D$4/12</f>
        <v>0</v>
      </c>
      <c r="G26" s="2">
        <f t="shared" ref="G26:P26" si="82">(F4+((G15)/2))*$D$4/12</f>
        <v>0</v>
      </c>
      <c r="H26" s="2">
        <f t="shared" si="82"/>
        <v>0</v>
      </c>
      <c r="I26" s="2">
        <f t="shared" si="82"/>
        <v>0</v>
      </c>
      <c r="J26" s="2">
        <f t="shared" si="82"/>
        <v>0</v>
      </c>
      <c r="K26" s="2">
        <f t="shared" si="82"/>
        <v>0</v>
      </c>
      <c r="L26" s="2">
        <f t="shared" si="82"/>
        <v>0</v>
      </c>
      <c r="M26" s="2">
        <f t="shared" si="82"/>
        <v>0</v>
      </c>
      <c r="N26" s="2">
        <f t="shared" si="82"/>
        <v>0</v>
      </c>
      <c r="O26" s="2">
        <f t="shared" si="82"/>
        <v>0</v>
      </c>
      <c r="P26" s="2">
        <f t="shared" si="82"/>
        <v>0</v>
      </c>
      <c r="Q26" s="10">
        <f>SUM(E26:P26)</f>
        <v>0</v>
      </c>
      <c r="R26" s="2">
        <f>(P4+((R15)/2))*$D$4/12</f>
        <v>0</v>
      </c>
      <c r="S26" s="2">
        <f>(R4+((S15)/2))*$D$4/12</f>
        <v>0</v>
      </c>
      <c r="T26" s="2">
        <f t="shared" ref="T26:AC26" si="83">(S4+((T15)/2))*$D$4/12</f>
        <v>0</v>
      </c>
      <c r="U26" s="2">
        <f t="shared" si="83"/>
        <v>0</v>
      </c>
      <c r="V26" s="2">
        <f t="shared" si="83"/>
        <v>0</v>
      </c>
      <c r="W26" s="2">
        <f t="shared" si="83"/>
        <v>191.03921017143571</v>
      </c>
      <c r="X26" s="2">
        <f t="shared" si="83"/>
        <v>382.07842034287142</v>
      </c>
      <c r="Y26" s="2">
        <f t="shared" si="83"/>
        <v>382.07842034287142</v>
      </c>
      <c r="Z26" s="2">
        <f t="shared" si="83"/>
        <v>382.07842034287142</v>
      </c>
      <c r="AA26" s="2">
        <f t="shared" si="83"/>
        <v>382.07842034287142</v>
      </c>
      <c r="AB26" s="2">
        <f t="shared" si="83"/>
        <v>382.07842034287142</v>
      </c>
      <c r="AC26" s="2">
        <f t="shared" si="83"/>
        <v>382.07842034287142</v>
      </c>
      <c r="AD26" s="2">
        <f t="shared" ref="AD26:AL26" si="84">(AC4+((AD15)/2))*$D$4/12</f>
        <v>382.07842034287142</v>
      </c>
      <c r="AE26" s="2">
        <f t="shared" si="84"/>
        <v>382.07842034287142</v>
      </c>
      <c r="AF26" s="2">
        <f t="shared" si="84"/>
        <v>382.07842034287142</v>
      </c>
      <c r="AG26" s="2">
        <f t="shared" si="84"/>
        <v>382.07842034287142</v>
      </c>
      <c r="AH26" s="2">
        <f t="shared" si="84"/>
        <v>382.07842034287142</v>
      </c>
      <c r="AI26" s="2">
        <f t="shared" si="84"/>
        <v>382.07842034287142</v>
      </c>
      <c r="AJ26" s="2">
        <f t="shared" si="84"/>
        <v>382.07842034287142</v>
      </c>
      <c r="AK26" s="2">
        <f t="shared" si="84"/>
        <v>382.07842034287142</v>
      </c>
      <c r="AL26" s="2">
        <f t="shared" si="84"/>
        <v>382.07842034287142</v>
      </c>
    </row>
    <row r="27" spans="1:38">
      <c r="C27" t="s">
        <v>14</v>
      </c>
      <c r="E27" s="2">
        <f>(0+((E16)/2))*$D$5/12</f>
        <v>0</v>
      </c>
      <c r="F27" s="2">
        <f>(E5+((F16)/2))*$D$5/12</f>
        <v>0</v>
      </c>
      <c r="G27" s="2">
        <f t="shared" ref="G27:P27" si="85">(F5+((G16)/2))*$D$5/12</f>
        <v>0</v>
      </c>
      <c r="H27" s="2">
        <f t="shared" si="85"/>
        <v>0</v>
      </c>
      <c r="I27" s="2">
        <f t="shared" si="85"/>
        <v>0</v>
      </c>
      <c r="J27" s="2">
        <f t="shared" si="85"/>
        <v>0</v>
      </c>
      <c r="K27" s="2">
        <f t="shared" si="85"/>
        <v>0</v>
      </c>
      <c r="L27" s="2">
        <f t="shared" si="85"/>
        <v>85.975064522900013</v>
      </c>
      <c r="M27" s="2">
        <f t="shared" si="85"/>
        <v>171.95012904580003</v>
      </c>
      <c r="N27" s="2">
        <f t="shared" si="85"/>
        <v>205.47426918190001</v>
      </c>
      <c r="O27" s="2">
        <f t="shared" si="85"/>
        <v>239.76164957680001</v>
      </c>
      <c r="P27" s="2">
        <f t="shared" si="85"/>
        <v>243.75586589440005</v>
      </c>
      <c r="Q27" s="10">
        <f>SUM(E27:P27)</f>
        <v>946.91697822180004</v>
      </c>
      <c r="R27" s="2">
        <f>(P5+((R16)/2))*$D$5/12</f>
        <v>347.40861349574766</v>
      </c>
      <c r="S27" s="2">
        <f>(R5+((S16)/2))*$D$5/12</f>
        <v>548.25215658084289</v>
      </c>
      <c r="T27" s="2">
        <f t="shared" ref="T27:AC27" si="86">(S5+((T16)/2))*$D$5/12</f>
        <v>749.09569966593824</v>
      </c>
      <c r="U27" s="2">
        <f t="shared" si="86"/>
        <v>1041.3252458957982</v>
      </c>
      <c r="V27" s="2">
        <f t="shared" si="86"/>
        <v>1424.9407952704232</v>
      </c>
      <c r="W27" s="2">
        <f t="shared" si="86"/>
        <v>2098.0273880850482</v>
      </c>
      <c r="X27" s="2">
        <f t="shared" si="86"/>
        <v>2579.3062062123604</v>
      </c>
      <c r="Y27" s="2">
        <f t="shared" si="86"/>
        <v>2579.3062062123604</v>
      </c>
      <c r="Z27" s="2">
        <f t="shared" si="86"/>
        <v>2579.3062062123604</v>
      </c>
      <c r="AA27" s="2">
        <f t="shared" si="86"/>
        <v>2579.3062062123604</v>
      </c>
      <c r="AB27" s="2">
        <f t="shared" si="86"/>
        <v>2579.3062062123604</v>
      </c>
      <c r="AC27" s="2">
        <f t="shared" si="86"/>
        <v>2579.3062062123604</v>
      </c>
      <c r="AD27" s="2">
        <f t="shared" ref="AD27:AL27" si="87">(AC5+((AD16)/2))*$D$5/12</f>
        <v>2579.3062062123604</v>
      </c>
      <c r="AE27" s="2">
        <f t="shared" si="87"/>
        <v>2579.3062062123604</v>
      </c>
      <c r="AF27" s="2">
        <f t="shared" si="87"/>
        <v>2579.3062062123604</v>
      </c>
      <c r="AG27" s="2">
        <f t="shared" si="87"/>
        <v>2579.3062062123604</v>
      </c>
      <c r="AH27" s="2">
        <f t="shared" si="87"/>
        <v>2579.3062062123604</v>
      </c>
      <c r="AI27" s="2">
        <f t="shared" si="87"/>
        <v>2579.3062062123604</v>
      </c>
      <c r="AJ27" s="2">
        <f t="shared" si="87"/>
        <v>2579.3062062123604</v>
      </c>
      <c r="AK27" s="2">
        <f t="shared" si="87"/>
        <v>2579.3062062123604</v>
      </c>
      <c r="AL27" s="2">
        <f t="shared" si="87"/>
        <v>2579.3062062123604</v>
      </c>
    </row>
    <row r="28" spans="1:38">
      <c r="C28" t="s">
        <v>141</v>
      </c>
      <c r="E28" s="2">
        <f>(0+((E17)/2))*$D$6/12</f>
        <v>0</v>
      </c>
      <c r="F28" s="2">
        <f t="shared" ref="F28:P28" si="88">(E6+((F17)/2))*$D$6/12</f>
        <v>0</v>
      </c>
      <c r="G28" s="2">
        <f t="shared" si="88"/>
        <v>0</v>
      </c>
      <c r="H28" s="2">
        <f t="shared" si="88"/>
        <v>0</v>
      </c>
      <c r="I28" s="2">
        <f t="shared" si="88"/>
        <v>0</v>
      </c>
      <c r="J28" s="2">
        <f t="shared" si="88"/>
        <v>283.25090678499998</v>
      </c>
      <c r="K28" s="2">
        <f t="shared" si="88"/>
        <v>598.20789565899997</v>
      </c>
      <c r="L28" s="2">
        <f t="shared" si="88"/>
        <v>633.30793278499993</v>
      </c>
      <c r="M28" s="2">
        <f t="shared" si="88"/>
        <v>782.44096856199997</v>
      </c>
      <c r="N28" s="2">
        <f t="shared" si="88"/>
        <v>940.79648888500003</v>
      </c>
      <c r="O28" s="2">
        <f t="shared" si="88"/>
        <v>962.05599998199989</v>
      </c>
      <c r="P28" s="2">
        <f t="shared" si="88"/>
        <v>993.99832754199997</v>
      </c>
      <c r="Q28" s="10">
        <f t="shared" ref="Q28:Q32" si="89">SUM(E28:P28)</f>
        <v>5194.0585202000002</v>
      </c>
      <c r="R28" s="2">
        <f>(P6+((R17)/2))*$D$6/12</f>
        <v>1017.2975835880001</v>
      </c>
      <c r="S28" s="2">
        <f t="shared" ref="S28:AL28" si="90">(R6+((S17)/2))*$D$6/12</f>
        <v>1017.2975835880001</v>
      </c>
      <c r="T28" s="2">
        <f t="shared" si="90"/>
        <v>1017.2975835880001</v>
      </c>
      <c r="U28" s="2">
        <f t="shared" si="90"/>
        <v>1631.2258284416387</v>
      </c>
      <c r="V28" s="2">
        <f t="shared" si="90"/>
        <v>3741.0983252498495</v>
      </c>
      <c r="W28" s="2">
        <f t="shared" si="90"/>
        <v>5542.4491470580615</v>
      </c>
      <c r="X28" s="2">
        <f t="shared" si="90"/>
        <v>5847.8557169117003</v>
      </c>
      <c r="Y28" s="2">
        <f t="shared" si="90"/>
        <v>5847.8557169117003</v>
      </c>
      <c r="Z28" s="2">
        <f t="shared" si="90"/>
        <v>5847.8557169117003</v>
      </c>
      <c r="AA28" s="2">
        <f t="shared" si="90"/>
        <v>5847.8557169117003</v>
      </c>
      <c r="AB28" s="2">
        <f t="shared" si="90"/>
        <v>5847.8557169117003</v>
      </c>
      <c r="AC28" s="2">
        <f t="shared" si="90"/>
        <v>5847.8557169117003</v>
      </c>
      <c r="AD28" s="2">
        <f t="shared" si="90"/>
        <v>5847.8557169117003</v>
      </c>
      <c r="AE28" s="2">
        <f t="shared" si="90"/>
        <v>5847.8557169117003</v>
      </c>
      <c r="AF28" s="2">
        <f t="shared" si="90"/>
        <v>5847.8557169117003</v>
      </c>
      <c r="AG28" s="2">
        <f t="shared" si="90"/>
        <v>5847.8557169117003</v>
      </c>
      <c r="AH28" s="2">
        <f t="shared" si="90"/>
        <v>5847.8557169117003</v>
      </c>
      <c r="AI28" s="2">
        <f t="shared" si="90"/>
        <v>5847.8557169117003</v>
      </c>
      <c r="AJ28" s="2">
        <f t="shared" si="90"/>
        <v>5847.8557169117003</v>
      </c>
      <c r="AK28" s="2">
        <f t="shared" si="90"/>
        <v>5847.8557169117003</v>
      </c>
      <c r="AL28" s="2">
        <f t="shared" si="90"/>
        <v>5847.8557169117003</v>
      </c>
    </row>
    <row r="29" spans="1:38">
      <c r="C29" t="s">
        <v>148</v>
      </c>
      <c r="E29" s="2">
        <f>(0+((E18)/2))*$D$7/12</f>
        <v>0</v>
      </c>
      <c r="F29" s="2">
        <f t="shared" ref="F29:O29" si="91">(E7+((F18)/2))*$D$7/12</f>
        <v>0</v>
      </c>
      <c r="G29" s="2">
        <f t="shared" si="91"/>
        <v>0</v>
      </c>
      <c r="H29" s="2">
        <f t="shared" si="91"/>
        <v>0</v>
      </c>
      <c r="I29" s="2">
        <f t="shared" si="91"/>
        <v>0</v>
      </c>
      <c r="J29" s="2">
        <f t="shared" si="91"/>
        <v>0</v>
      </c>
      <c r="K29" s="2">
        <f t="shared" si="91"/>
        <v>0</v>
      </c>
      <c r="L29" s="2">
        <f t="shared" si="91"/>
        <v>0</v>
      </c>
      <c r="M29" s="2">
        <f t="shared" si="91"/>
        <v>0</v>
      </c>
      <c r="N29" s="2">
        <f t="shared" si="91"/>
        <v>0</v>
      </c>
      <c r="O29" s="2">
        <f t="shared" si="91"/>
        <v>0</v>
      </c>
      <c r="P29" s="2">
        <f>(O7+((P18)/2))*$D$7/12</f>
        <v>663.17233753099993</v>
      </c>
      <c r="Q29" s="10">
        <f t="shared" si="89"/>
        <v>663.17233753099993</v>
      </c>
      <c r="R29" s="2">
        <f>(P7+((R18)/2))*$D$7/12</f>
        <v>1326.3446750619999</v>
      </c>
      <c r="S29" s="2">
        <f>(R7+((S18)/2))*$D$7/12</f>
        <v>1326.3446750619999</v>
      </c>
      <c r="T29" s="2">
        <f t="shared" ref="T29:AL29" si="92">(S7+((T18)/2))*$D$7/12</f>
        <v>1326.3446750619999</v>
      </c>
      <c r="U29" s="2">
        <f t="shared" si="92"/>
        <v>1326.3446750619999</v>
      </c>
      <c r="V29" s="2">
        <f t="shared" si="92"/>
        <v>1326.3446750619999</v>
      </c>
      <c r="W29" s="2">
        <f t="shared" si="92"/>
        <v>1326.3446750619999</v>
      </c>
      <c r="X29" s="2">
        <f t="shared" si="92"/>
        <v>1326.3446750619999</v>
      </c>
      <c r="Y29" s="2">
        <f t="shared" si="92"/>
        <v>1326.3446750619999</v>
      </c>
      <c r="Z29" s="2">
        <f t="shared" si="92"/>
        <v>1326.3446750619999</v>
      </c>
      <c r="AA29" s="2">
        <f t="shared" si="92"/>
        <v>1326.3446750619999</v>
      </c>
      <c r="AB29" s="2">
        <f t="shared" si="92"/>
        <v>1326.3446750619999</v>
      </c>
      <c r="AC29" s="2">
        <f t="shared" si="92"/>
        <v>1326.3446750619999</v>
      </c>
      <c r="AD29" s="2">
        <f t="shared" si="92"/>
        <v>1326.3446750619999</v>
      </c>
      <c r="AE29" s="2">
        <f t="shared" si="92"/>
        <v>1326.3446750619999</v>
      </c>
      <c r="AF29" s="2">
        <f t="shared" si="92"/>
        <v>1326.3446750619999</v>
      </c>
      <c r="AG29" s="2">
        <f t="shared" si="92"/>
        <v>1326.3446750619999</v>
      </c>
      <c r="AH29" s="2">
        <f t="shared" si="92"/>
        <v>1326.3446750619999</v>
      </c>
      <c r="AI29" s="2">
        <f t="shared" si="92"/>
        <v>1326.3446750619999</v>
      </c>
      <c r="AJ29" s="2">
        <f t="shared" si="92"/>
        <v>1326.3446750619999</v>
      </c>
      <c r="AK29" s="2">
        <f t="shared" si="92"/>
        <v>1326.3446750619999</v>
      </c>
      <c r="AL29" s="2">
        <f t="shared" si="92"/>
        <v>1326.3446750619999</v>
      </c>
    </row>
    <row r="30" spans="1:38">
      <c r="C30" t="s">
        <v>138</v>
      </c>
      <c r="E30" s="2">
        <f>(0+((E19)/2))*$D$8/12</f>
        <v>0</v>
      </c>
      <c r="F30" s="2">
        <f t="shared" ref="F30:P30" si="93">(E8+((F19)/2))*$D$8/12</f>
        <v>0</v>
      </c>
      <c r="G30" s="2">
        <f t="shared" si="93"/>
        <v>0</v>
      </c>
      <c r="H30" s="2">
        <f t="shared" si="93"/>
        <v>0</v>
      </c>
      <c r="I30" s="2">
        <f t="shared" si="93"/>
        <v>0</v>
      </c>
      <c r="J30" s="2">
        <f t="shared" si="93"/>
        <v>0</v>
      </c>
      <c r="K30" s="2">
        <f t="shared" si="93"/>
        <v>43.257813594070001</v>
      </c>
      <c r="L30" s="2">
        <f t="shared" si="93"/>
        <v>296.59025939437754</v>
      </c>
      <c r="M30" s="2">
        <f t="shared" si="93"/>
        <v>564.39489005521625</v>
      </c>
      <c r="N30" s="2">
        <f t="shared" si="93"/>
        <v>961.02332926710994</v>
      </c>
      <c r="O30" s="2">
        <f t="shared" si="93"/>
        <v>1320.3824149540771</v>
      </c>
      <c r="P30" s="2">
        <f t="shared" si="93"/>
        <v>1353.1436132693068</v>
      </c>
      <c r="Q30" s="10">
        <f t="shared" si="89"/>
        <v>4538.7923205341576</v>
      </c>
      <c r="R30" s="2">
        <f>(P8+((R19)/2))*$D$8/12</f>
        <v>1365.4441666548619</v>
      </c>
      <c r="S30" s="2">
        <f t="shared" ref="S30:AL30" si="94">(R8+((S19)/2))*$D$8/12</f>
        <v>1365.4441666548619</v>
      </c>
      <c r="T30" s="2">
        <f t="shared" si="94"/>
        <v>1650.5654661755543</v>
      </c>
      <c r="U30" s="2">
        <f t="shared" si="94"/>
        <v>2031.5631577994388</v>
      </c>
      <c r="V30" s="2">
        <f t="shared" si="94"/>
        <v>2223.3159420058232</v>
      </c>
      <c r="W30" s="2">
        <f t="shared" si="94"/>
        <v>2415.0687262122083</v>
      </c>
      <c r="X30" s="2">
        <f t="shared" si="94"/>
        <v>2510.9451183154006</v>
      </c>
      <c r="Y30" s="2">
        <f t="shared" si="94"/>
        <v>2510.9451183154006</v>
      </c>
      <c r="Z30" s="2">
        <f t="shared" si="94"/>
        <v>2510.9451183154006</v>
      </c>
      <c r="AA30" s="2">
        <f t="shared" si="94"/>
        <v>2510.9451183154006</v>
      </c>
      <c r="AB30" s="2">
        <f t="shared" si="94"/>
        <v>2510.9451183154006</v>
      </c>
      <c r="AC30" s="2">
        <f t="shared" si="94"/>
        <v>2510.9451183154006</v>
      </c>
      <c r="AD30" s="2">
        <f t="shared" si="94"/>
        <v>2510.9451183154006</v>
      </c>
      <c r="AE30" s="2">
        <f t="shared" si="94"/>
        <v>2510.9451183154006</v>
      </c>
      <c r="AF30" s="2">
        <f t="shared" si="94"/>
        <v>2510.9451183154006</v>
      </c>
      <c r="AG30" s="2">
        <f t="shared" si="94"/>
        <v>2510.9451183154006</v>
      </c>
      <c r="AH30" s="2">
        <f t="shared" si="94"/>
        <v>2510.9451183154006</v>
      </c>
      <c r="AI30" s="2">
        <f t="shared" si="94"/>
        <v>2510.9451183154006</v>
      </c>
      <c r="AJ30" s="2">
        <f t="shared" si="94"/>
        <v>2510.9451183154006</v>
      </c>
      <c r="AK30" s="2">
        <f t="shared" si="94"/>
        <v>2510.9451183154006</v>
      </c>
      <c r="AL30" s="2">
        <f t="shared" si="94"/>
        <v>2510.9451183154006</v>
      </c>
    </row>
    <row r="31" spans="1:38">
      <c r="C31" t="s">
        <v>150</v>
      </c>
      <c r="E31" s="2">
        <f>(0+((E20)/2))*$D$9/12</f>
        <v>448.85204834250004</v>
      </c>
      <c r="F31" s="2">
        <f>(E9+((F20)/2))*$D$9/12</f>
        <v>965.69658824500027</v>
      </c>
      <c r="G31" s="2">
        <f t="shared" ref="G31:P31" si="95">(F9+((G20)/2))*$D$9/12</f>
        <v>1053.4440960575</v>
      </c>
      <c r="H31" s="2">
        <f t="shared" si="95"/>
        <v>1080.659877495</v>
      </c>
      <c r="I31" s="2">
        <f t="shared" si="95"/>
        <v>1088.1206426800002</v>
      </c>
      <c r="J31" s="2">
        <f t="shared" si="95"/>
        <v>1088.1206426800002</v>
      </c>
      <c r="K31" s="2">
        <f t="shared" si="95"/>
        <v>1091.1536001525001</v>
      </c>
      <c r="L31" s="2">
        <f t="shared" si="95"/>
        <v>818.88496806250021</v>
      </c>
      <c r="M31" s="2">
        <f t="shared" si="95"/>
        <v>543.58337850000009</v>
      </c>
      <c r="N31" s="2">
        <f t="shared" si="95"/>
        <v>543.58337850000009</v>
      </c>
      <c r="O31" s="2">
        <f t="shared" si="95"/>
        <v>543.58337850000009</v>
      </c>
      <c r="P31" s="2">
        <f t="shared" si="95"/>
        <v>543.58337850000009</v>
      </c>
      <c r="Q31" s="10">
        <f t="shared" ref="Q31" si="96">SUM(E31:P31)</f>
        <v>9809.2659777150002</v>
      </c>
      <c r="R31" s="2">
        <f>(P9+((R20)/2))*$D$9/12</f>
        <v>543.58337850000009</v>
      </c>
      <c r="S31" s="2">
        <f t="shared" ref="S31:AL31" si="97">(Q9+((S20)/2))*$D$9/12</f>
        <v>543.58337850000009</v>
      </c>
      <c r="T31" s="2">
        <f t="shared" si="97"/>
        <v>543.58337850000009</v>
      </c>
      <c r="U31" s="2">
        <f t="shared" si="97"/>
        <v>543.58337850000009</v>
      </c>
      <c r="V31" s="2">
        <f t="shared" si="97"/>
        <v>543.58337850000009</v>
      </c>
      <c r="W31" s="2">
        <f t="shared" si="97"/>
        <v>543.58337850000009</v>
      </c>
      <c r="X31" s="2">
        <f t="shared" si="97"/>
        <v>543.58337850000009</v>
      </c>
      <c r="Y31" s="2">
        <f t="shared" si="97"/>
        <v>543.58337850000009</v>
      </c>
      <c r="Z31" s="2">
        <f t="shared" si="97"/>
        <v>543.58337850000009</v>
      </c>
      <c r="AA31" s="2">
        <f t="shared" si="97"/>
        <v>543.58337850000009</v>
      </c>
      <c r="AB31" s="2">
        <f t="shared" si="97"/>
        <v>543.58337850000009</v>
      </c>
      <c r="AC31" s="2">
        <f t="shared" si="97"/>
        <v>543.58337850000009</v>
      </c>
      <c r="AD31" s="2">
        <f t="shared" si="97"/>
        <v>543.58337850000009</v>
      </c>
      <c r="AE31" s="2">
        <f t="shared" si="97"/>
        <v>543.58337850000009</v>
      </c>
      <c r="AF31" s="2">
        <f t="shared" si="97"/>
        <v>543.58337850000009</v>
      </c>
      <c r="AG31" s="2">
        <f t="shared" si="97"/>
        <v>543.58337850000009</v>
      </c>
      <c r="AH31" s="2">
        <f t="shared" si="97"/>
        <v>543.58337850000009</v>
      </c>
      <c r="AI31" s="2">
        <f t="shared" si="97"/>
        <v>543.58337850000009</v>
      </c>
      <c r="AJ31" s="2">
        <f t="shared" si="97"/>
        <v>543.58337850000009</v>
      </c>
      <c r="AK31" s="2">
        <f t="shared" si="97"/>
        <v>543.58337850000009</v>
      </c>
      <c r="AL31" s="2">
        <f t="shared" si="97"/>
        <v>543.58337850000009</v>
      </c>
    </row>
    <row r="32" spans="1:38">
      <c r="C32" t="s">
        <v>19</v>
      </c>
      <c r="E32" s="2">
        <f>(0+((E21)/2))*$D$10/12</f>
        <v>1623.8571813750002</v>
      </c>
      <c r="F32" s="2">
        <f t="shared" ref="F32:P32" si="98">(E10+((F21)/2))*$D$10/12</f>
        <v>3493.6975748225009</v>
      </c>
      <c r="G32" s="2">
        <f t="shared" si="98"/>
        <v>3811.1504293075</v>
      </c>
      <c r="H32" s="2">
        <f t="shared" si="98"/>
        <v>3953.9108836570231</v>
      </c>
      <c r="I32" s="2">
        <f t="shared" si="98"/>
        <v>4025.2016955940453</v>
      </c>
      <c r="J32" s="2">
        <f t="shared" si="98"/>
        <v>4025.2016955940453</v>
      </c>
      <c r="K32" s="2">
        <f t="shared" si="98"/>
        <v>4036.1743214465455</v>
      </c>
      <c r="L32" s="2">
        <f t="shared" si="98"/>
        <v>3221.7175070415451</v>
      </c>
      <c r="M32" s="2">
        <f t="shared" si="98"/>
        <v>2396.288066784045</v>
      </c>
      <c r="N32" s="2">
        <f t="shared" si="98"/>
        <v>2396.288066784045</v>
      </c>
      <c r="O32" s="2">
        <f t="shared" si="98"/>
        <v>2396.288066784045</v>
      </c>
      <c r="P32" s="2">
        <f t="shared" si="98"/>
        <v>2396.288066784045</v>
      </c>
      <c r="Q32" s="10">
        <f t="shared" si="89"/>
        <v>37776.063555974382</v>
      </c>
      <c r="R32" s="2">
        <f>(P10+((R21)/2))*$D$10/12</f>
        <v>3337.9753510484793</v>
      </c>
      <c r="S32" s="2">
        <f t="shared" ref="S32:AL32" si="99">(R10+((S21)/2))*$D$10/12</f>
        <v>5221.3499195773475</v>
      </c>
      <c r="T32" s="2">
        <f t="shared" si="99"/>
        <v>7104.724488106217</v>
      </c>
      <c r="U32" s="2">
        <f t="shared" si="99"/>
        <v>32582.194072969767</v>
      </c>
      <c r="V32" s="2">
        <f t="shared" si="99"/>
        <v>58065.631460789446</v>
      </c>
      <c r="W32" s="2">
        <f t="shared" si="99"/>
        <v>59960.941635230556</v>
      </c>
      <c r="X32" s="2">
        <f t="shared" si="99"/>
        <v>60908.596722451119</v>
      </c>
      <c r="Y32" s="2">
        <f t="shared" si="99"/>
        <v>60908.596722451119</v>
      </c>
      <c r="Z32" s="2">
        <f t="shared" si="99"/>
        <v>60908.596722451119</v>
      </c>
      <c r="AA32" s="2">
        <f t="shared" si="99"/>
        <v>60908.596722451119</v>
      </c>
      <c r="AB32" s="2">
        <f t="shared" si="99"/>
        <v>60908.596722451119</v>
      </c>
      <c r="AC32" s="2">
        <f t="shared" si="99"/>
        <v>60908.596722451119</v>
      </c>
      <c r="AD32" s="2">
        <f t="shared" si="99"/>
        <v>60908.596722451119</v>
      </c>
      <c r="AE32" s="2">
        <f t="shared" si="99"/>
        <v>60908.596722451119</v>
      </c>
      <c r="AF32" s="2">
        <f t="shared" si="99"/>
        <v>113390.06890967333</v>
      </c>
      <c r="AG32" s="2">
        <f t="shared" si="99"/>
        <v>172892.07549995111</v>
      </c>
      <c r="AH32" s="2">
        <f t="shared" si="99"/>
        <v>186612.18919356217</v>
      </c>
      <c r="AI32" s="2">
        <f t="shared" si="99"/>
        <v>193311.76848411773</v>
      </c>
      <c r="AJ32" s="2">
        <f t="shared" si="99"/>
        <v>193311.76848411773</v>
      </c>
      <c r="AK32" s="2">
        <f t="shared" si="99"/>
        <v>193311.76848411773</v>
      </c>
      <c r="AL32" s="2">
        <f t="shared" si="99"/>
        <v>193311.76848411773</v>
      </c>
    </row>
    <row r="33" spans="1:38">
      <c r="C33" s="7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0"/>
      <c r="R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>(AG11+((AH22)/2))*$D$11/12</f>
        <v>0</v>
      </c>
      <c r="AI33" s="2">
        <f>(AH11+((AI22)/2))*$D$11/12</f>
        <v>0</v>
      </c>
      <c r="AJ33" s="2">
        <f>(AI11+((AJ22)/2))*$D$11/12</f>
        <v>0</v>
      </c>
      <c r="AK33" s="2">
        <f>(AJ11+((AK22)/2))*$D$11/12</f>
        <v>0</v>
      </c>
      <c r="AL33" s="2">
        <f>(AK11+((AL22)/2))*$D$11/12</f>
        <v>0</v>
      </c>
    </row>
    <row r="34" spans="1:38" ht="13.5" thickBot="1">
      <c r="B34" t="s">
        <v>2</v>
      </c>
      <c r="E34" s="5">
        <f t="shared" ref="E34:AL34" si="100">SUM(E26:E33)</f>
        <v>2072.7092297175004</v>
      </c>
      <c r="F34" s="5">
        <f t="shared" si="100"/>
        <v>4459.3941630675008</v>
      </c>
      <c r="G34" s="5">
        <f t="shared" si="100"/>
        <v>4864.5945253649998</v>
      </c>
      <c r="H34" s="5">
        <f t="shared" si="100"/>
        <v>5034.5707611520229</v>
      </c>
      <c r="I34" s="5">
        <f t="shared" si="100"/>
        <v>5113.3223382740453</v>
      </c>
      <c r="J34" s="5">
        <f t="shared" si="100"/>
        <v>5396.5732450590458</v>
      </c>
      <c r="K34" s="5">
        <f t="shared" si="100"/>
        <v>5768.7936308521157</v>
      </c>
      <c r="L34" s="5">
        <f t="shared" si="100"/>
        <v>5056.475731806323</v>
      </c>
      <c r="M34" s="5">
        <f t="shared" si="100"/>
        <v>4458.6574329470614</v>
      </c>
      <c r="N34" s="5">
        <f t="shared" si="100"/>
        <v>5047.1655326180553</v>
      </c>
      <c r="O34" s="5">
        <f t="shared" si="100"/>
        <v>5462.0715097969223</v>
      </c>
      <c r="P34" s="5">
        <f t="shared" si="100"/>
        <v>6193.9415895207521</v>
      </c>
      <c r="Q34" s="11">
        <f t="shared" si="100"/>
        <v>58928.269690176341</v>
      </c>
      <c r="R34" s="5">
        <f t="shared" si="100"/>
        <v>7938.0537683490893</v>
      </c>
      <c r="S34" s="5">
        <f t="shared" si="100"/>
        <v>10022.271879963053</v>
      </c>
      <c r="T34" s="5">
        <f t="shared" si="100"/>
        <v>12391.61129109771</v>
      </c>
      <c r="U34" s="5">
        <f t="shared" si="100"/>
        <v>39156.236358668641</v>
      </c>
      <c r="V34" s="5">
        <f t="shared" si="100"/>
        <v>67324.914576877534</v>
      </c>
      <c r="W34" s="5">
        <f t="shared" si="100"/>
        <v>72077.454160319307</v>
      </c>
      <c r="X34" s="5">
        <f t="shared" si="100"/>
        <v>74098.710237795458</v>
      </c>
      <c r="Y34" s="5">
        <f t="shared" si="100"/>
        <v>74098.710237795458</v>
      </c>
      <c r="Z34" s="5">
        <f t="shared" si="100"/>
        <v>74098.710237795458</v>
      </c>
      <c r="AA34" s="5">
        <f t="shared" si="100"/>
        <v>74098.710237795458</v>
      </c>
      <c r="AB34" s="5">
        <f t="shared" si="100"/>
        <v>74098.710237795458</v>
      </c>
      <c r="AC34" s="5">
        <f t="shared" si="100"/>
        <v>74098.710237795458</v>
      </c>
      <c r="AD34" s="5">
        <f t="shared" si="100"/>
        <v>74098.710237795458</v>
      </c>
      <c r="AE34" s="5">
        <f t="shared" si="100"/>
        <v>74098.710237795458</v>
      </c>
      <c r="AF34" s="5">
        <f t="shared" si="100"/>
        <v>126580.18242501766</v>
      </c>
      <c r="AG34" s="5">
        <f t="shared" si="100"/>
        <v>186082.18901529544</v>
      </c>
      <c r="AH34" s="5">
        <f t="shared" si="100"/>
        <v>199802.3027089065</v>
      </c>
      <c r="AI34" s="5">
        <f t="shared" si="100"/>
        <v>206501.88199946206</v>
      </c>
      <c r="AJ34" s="5">
        <f t="shared" si="100"/>
        <v>206501.88199946206</v>
      </c>
      <c r="AK34" s="5">
        <f t="shared" si="100"/>
        <v>206501.88199946206</v>
      </c>
      <c r="AL34" s="5">
        <f t="shared" si="100"/>
        <v>206501.88199946206</v>
      </c>
    </row>
    <row r="35" spans="1:38">
      <c r="Q35" s="12"/>
    </row>
    <row r="36" spans="1:38" ht="9" customHeight="1">
      <c r="Q36" s="12"/>
    </row>
    <row r="37" spans="1:38">
      <c r="A37" s="1" t="s">
        <v>8</v>
      </c>
      <c r="B37" t="s">
        <v>1</v>
      </c>
      <c r="C37" t="s">
        <v>17</v>
      </c>
      <c r="E37" s="2">
        <f t="shared" ref="E37:E42" si="101">-E26</f>
        <v>0</v>
      </c>
      <c r="F37" s="2">
        <f t="shared" ref="F37:P37" si="102">E37-F26</f>
        <v>0</v>
      </c>
      <c r="G37" s="2">
        <f t="shared" si="102"/>
        <v>0</v>
      </c>
      <c r="H37" s="2">
        <f t="shared" si="102"/>
        <v>0</v>
      </c>
      <c r="I37" s="2">
        <f t="shared" si="102"/>
        <v>0</v>
      </c>
      <c r="J37" s="2">
        <f t="shared" si="102"/>
        <v>0</v>
      </c>
      <c r="K37" s="2">
        <f t="shared" si="102"/>
        <v>0</v>
      </c>
      <c r="L37" s="2">
        <f t="shared" si="102"/>
        <v>0</v>
      </c>
      <c r="M37" s="2">
        <f t="shared" si="102"/>
        <v>0</v>
      </c>
      <c r="N37" s="2">
        <f t="shared" si="102"/>
        <v>0</v>
      </c>
      <c r="O37" s="2">
        <f t="shared" si="102"/>
        <v>0</v>
      </c>
      <c r="P37" s="2">
        <f t="shared" si="102"/>
        <v>0</v>
      </c>
      <c r="Q37" s="13">
        <f>P37</f>
        <v>0</v>
      </c>
      <c r="R37" s="2">
        <f t="shared" ref="R37:AL37" si="103">Q37-R26</f>
        <v>0</v>
      </c>
      <c r="S37" s="2">
        <f t="shared" si="103"/>
        <v>0</v>
      </c>
      <c r="T37" s="2">
        <f t="shared" si="103"/>
        <v>0</v>
      </c>
      <c r="U37" s="2">
        <f t="shared" si="103"/>
        <v>0</v>
      </c>
      <c r="V37" s="2">
        <f t="shared" si="103"/>
        <v>0</v>
      </c>
      <c r="W37" s="2">
        <f t="shared" si="103"/>
        <v>-191.03921017143571</v>
      </c>
      <c r="X37" s="2">
        <f t="shared" si="103"/>
        <v>-573.11763051430717</v>
      </c>
      <c r="Y37" s="2">
        <f t="shared" si="103"/>
        <v>-955.19605085717853</v>
      </c>
      <c r="Z37" s="2">
        <f t="shared" si="103"/>
        <v>-1337.2744712000499</v>
      </c>
      <c r="AA37" s="2">
        <f t="shared" si="103"/>
        <v>-1719.3528915429213</v>
      </c>
      <c r="AB37" s="2">
        <f t="shared" si="103"/>
        <v>-2101.4313118857926</v>
      </c>
      <c r="AC37" s="2">
        <f t="shared" si="103"/>
        <v>-2483.5097322286642</v>
      </c>
      <c r="AD37" s="2">
        <f t="shared" si="103"/>
        <v>-2865.5881525715358</v>
      </c>
      <c r="AE37" s="2">
        <f t="shared" si="103"/>
        <v>-3247.6665729144074</v>
      </c>
      <c r="AF37" s="2">
        <f t="shared" si="103"/>
        <v>-3629.744993257279</v>
      </c>
      <c r="AG37" s="2">
        <f t="shared" si="103"/>
        <v>-4011.8234136001506</v>
      </c>
      <c r="AH37" s="2">
        <f t="shared" si="103"/>
        <v>-4393.9018339430222</v>
      </c>
      <c r="AI37" s="2">
        <f t="shared" si="103"/>
        <v>-4775.9802542858934</v>
      </c>
      <c r="AJ37" s="2">
        <f t="shared" si="103"/>
        <v>-5158.0586746287645</v>
      </c>
      <c r="AK37" s="2">
        <f t="shared" si="103"/>
        <v>-5540.1370949716356</v>
      </c>
      <c r="AL37" s="2">
        <f t="shared" si="103"/>
        <v>-5922.2155153145068</v>
      </c>
    </row>
    <row r="38" spans="1:38">
      <c r="C38" t="s">
        <v>14</v>
      </c>
      <c r="E38" s="2">
        <f t="shared" si="101"/>
        <v>0</v>
      </c>
      <c r="F38" s="2">
        <f t="shared" ref="F38:P38" si="104">E38-F27</f>
        <v>0</v>
      </c>
      <c r="G38" s="2">
        <f t="shared" si="104"/>
        <v>0</v>
      </c>
      <c r="H38" s="2">
        <f t="shared" si="104"/>
        <v>0</v>
      </c>
      <c r="I38" s="2">
        <f t="shared" si="104"/>
        <v>0</v>
      </c>
      <c r="J38" s="2">
        <f t="shared" si="104"/>
        <v>0</v>
      </c>
      <c r="K38" s="2">
        <f t="shared" si="104"/>
        <v>0</v>
      </c>
      <c r="L38" s="2">
        <f t="shared" si="104"/>
        <v>-85.975064522900013</v>
      </c>
      <c r="M38" s="2">
        <f t="shared" si="104"/>
        <v>-257.92519356870002</v>
      </c>
      <c r="N38" s="2">
        <f t="shared" si="104"/>
        <v>-463.39946275060004</v>
      </c>
      <c r="O38" s="2">
        <f t="shared" si="104"/>
        <v>-703.16111232740002</v>
      </c>
      <c r="P38" s="2">
        <f t="shared" si="104"/>
        <v>-946.91697822180004</v>
      </c>
      <c r="Q38" s="13">
        <f t="shared" ref="Q38:Q43" si="105">P38</f>
        <v>-946.91697822180004</v>
      </c>
      <c r="R38" s="2">
        <f t="shared" ref="R38:AL38" si="106">Q38-R27</f>
        <v>-1294.3255917175477</v>
      </c>
      <c r="S38" s="2">
        <f t="shared" si="106"/>
        <v>-1842.5777482983906</v>
      </c>
      <c r="T38" s="2">
        <f t="shared" si="106"/>
        <v>-2591.6734479643287</v>
      </c>
      <c r="U38" s="2">
        <f t="shared" si="106"/>
        <v>-3632.9986938601269</v>
      </c>
      <c r="V38" s="2">
        <f t="shared" si="106"/>
        <v>-5057.9394891305501</v>
      </c>
      <c r="W38" s="2">
        <f t="shared" si="106"/>
        <v>-7155.9668772155983</v>
      </c>
      <c r="X38" s="2">
        <f t="shared" si="106"/>
        <v>-9735.2730834279591</v>
      </c>
      <c r="Y38" s="2">
        <f t="shared" si="106"/>
        <v>-12314.57928964032</v>
      </c>
      <c r="Z38" s="2">
        <f t="shared" si="106"/>
        <v>-14893.885495852681</v>
      </c>
      <c r="AA38" s="2">
        <f t="shared" si="106"/>
        <v>-17473.19170206504</v>
      </c>
      <c r="AB38" s="2">
        <f t="shared" si="106"/>
        <v>-20052.497908277401</v>
      </c>
      <c r="AC38" s="2">
        <f t="shared" si="106"/>
        <v>-22631.804114489762</v>
      </c>
      <c r="AD38" s="2">
        <f t="shared" si="106"/>
        <v>-25211.110320702122</v>
      </c>
      <c r="AE38" s="2">
        <f t="shared" si="106"/>
        <v>-27790.416526914483</v>
      </c>
      <c r="AF38" s="2">
        <f t="shared" si="106"/>
        <v>-30369.722733126844</v>
      </c>
      <c r="AG38" s="2">
        <f t="shared" si="106"/>
        <v>-32949.028939339201</v>
      </c>
      <c r="AH38" s="2">
        <f t="shared" si="106"/>
        <v>-35528.335145551559</v>
      </c>
      <c r="AI38" s="2">
        <f t="shared" si="106"/>
        <v>-38107.641351763916</v>
      </c>
      <c r="AJ38" s="2">
        <f t="shared" si="106"/>
        <v>-40686.947557976273</v>
      </c>
      <c r="AK38" s="2">
        <f t="shared" si="106"/>
        <v>-43266.25376418863</v>
      </c>
      <c r="AL38" s="2">
        <f t="shared" si="106"/>
        <v>-45845.559970400987</v>
      </c>
    </row>
    <row r="39" spans="1:38">
      <c r="C39" t="s">
        <v>141</v>
      </c>
      <c r="E39" s="2">
        <f t="shared" si="101"/>
        <v>0</v>
      </c>
      <c r="F39" s="2">
        <f t="shared" ref="F39:P39" si="107">E39-F28</f>
        <v>0</v>
      </c>
      <c r="G39" s="2">
        <f t="shared" si="107"/>
        <v>0</v>
      </c>
      <c r="H39" s="2">
        <f t="shared" si="107"/>
        <v>0</v>
      </c>
      <c r="I39" s="2">
        <f t="shared" si="107"/>
        <v>0</v>
      </c>
      <c r="J39" s="2">
        <f t="shared" si="107"/>
        <v>-283.25090678499998</v>
      </c>
      <c r="K39" s="2">
        <f t="shared" si="107"/>
        <v>-881.45880244399996</v>
      </c>
      <c r="L39" s="2">
        <f t="shared" si="107"/>
        <v>-1514.766735229</v>
      </c>
      <c r="M39" s="2">
        <f t="shared" si="107"/>
        <v>-2297.2077037909999</v>
      </c>
      <c r="N39" s="2">
        <f t="shared" si="107"/>
        <v>-3238.004192676</v>
      </c>
      <c r="O39" s="2">
        <f t="shared" si="107"/>
        <v>-4200.0601926580002</v>
      </c>
      <c r="P39" s="2">
        <f t="shared" si="107"/>
        <v>-5194.0585202000002</v>
      </c>
      <c r="Q39" s="13">
        <f t="shared" si="105"/>
        <v>-5194.0585202000002</v>
      </c>
      <c r="R39" s="2">
        <f>Q39-R28</f>
        <v>-6211.3561037879999</v>
      </c>
      <c r="S39" s="2">
        <f t="shared" ref="S39:AG39" si="108">R39-S28</f>
        <v>-7228.6536873759997</v>
      </c>
      <c r="T39" s="2">
        <f t="shared" si="108"/>
        <v>-8245.9512709640003</v>
      </c>
      <c r="U39" s="2">
        <f t="shared" si="108"/>
        <v>-9877.1770994056387</v>
      </c>
      <c r="V39" s="2">
        <f t="shared" si="108"/>
        <v>-13618.275424655489</v>
      </c>
      <c r="W39" s="2">
        <f t="shared" si="108"/>
        <v>-19160.724571713552</v>
      </c>
      <c r="X39" s="2">
        <f t="shared" si="108"/>
        <v>-25008.580288625253</v>
      </c>
      <c r="Y39" s="2">
        <f t="shared" si="108"/>
        <v>-30856.436005536954</v>
      </c>
      <c r="Z39" s="2">
        <f t="shared" si="108"/>
        <v>-36704.291722448652</v>
      </c>
      <c r="AA39" s="2">
        <f t="shared" si="108"/>
        <v>-42552.147439360349</v>
      </c>
      <c r="AB39" s="2">
        <f t="shared" si="108"/>
        <v>-48400.003156272047</v>
      </c>
      <c r="AC39" s="2">
        <f t="shared" si="108"/>
        <v>-54247.858873183744</v>
      </c>
      <c r="AD39" s="2">
        <f t="shared" si="108"/>
        <v>-60095.714590095442</v>
      </c>
      <c r="AE39" s="2">
        <f t="shared" si="108"/>
        <v>-65943.570307007147</v>
      </c>
      <c r="AF39" s="2">
        <f t="shared" si="108"/>
        <v>-71791.426023918844</v>
      </c>
      <c r="AG39" s="2">
        <f t="shared" si="108"/>
        <v>-77639.281740830542</v>
      </c>
      <c r="AH39" s="2">
        <f t="shared" ref="AH39:AL42" si="109">AG39-AH28</f>
        <v>-83487.137457742239</v>
      </c>
      <c r="AI39" s="2">
        <f t="shared" si="109"/>
        <v>-89334.993174653937</v>
      </c>
      <c r="AJ39" s="2">
        <f t="shared" si="109"/>
        <v>-95182.848891565634</v>
      </c>
      <c r="AK39" s="2">
        <f t="shared" si="109"/>
        <v>-101030.70460847733</v>
      </c>
      <c r="AL39" s="2">
        <f t="shared" si="109"/>
        <v>-106878.56032538903</v>
      </c>
    </row>
    <row r="40" spans="1:38">
      <c r="C40" t="s">
        <v>148</v>
      </c>
      <c r="E40" s="2">
        <f t="shared" si="101"/>
        <v>0</v>
      </c>
      <c r="F40" s="2">
        <f t="shared" ref="F40:P40" si="110">E40-F29</f>
        <v>0</v>
      </c>
      <c r="G40" s="2">
        <f t="shared" si="110"/>
        <v>0</v>
      </c>
      <c r="H40" s="2">
        <f t="shared" si="110"/>
        <v>0</v>
      </c>
      <c r="I40" s="2">
        <f t="shared" si="110"/>
        <v>0</v>
      </c>
      <c r="J40" s="2">
        <f t="shared" si="110"/>
        <v>0</v>
      </c>
      <c r="K40" s="2">
        <f t="shared" si="110"/>
        <v>0</v>
      </c>
      <c r="L40" s="2">
        <f t="shared" si="110"/>
        <v>0</v>
      </c>
      <c r="M40" s="2">
        <f t="shared" si="110"/>
        <v>0</v>
      </c>
      <c r="N40" s="2">
        <f t="shared" si="110"/>
        <v>0</v>
      </c>
      <c r="O40" s="2">
        <f t="shared" si="110"/>
        <v>0</v>
      </c>
      <c r="P40" s="2">
        <f t="shared" si="110"/>
        <v>-663.17233753099993</v>
      </c>
      <c r="Q40" s="13">
        <f t="shared" ref="Q40" si="111">P40</f>
        <v>-663.17233753099993</v>
      </c>
      <c r="R40" s="2">
        <f>Q40-R29</f>
        <v>-1989.5170125929999</v>
      </c>
      <c r="S40" s="2">
        <f t="shared" ref="S40" si="112">R40-S29</f>
        <v>-3315.8616876549995</v>
      </c>
      <c r="T40" s="2">
        <f t="shared" ref="T40" si="113">S40-T29</f>
        <v>-4642.2063627169991</v>
      </c>
      <c r="U40" s="2">
        <f t="shared" ref="U40" si="114">T40-U29</f>
        <v>-5968.5510377789988</v>
      </c>
      <c r="V40" s="2">
        <f t="shared" ref="V40" si="115">U40-V29</f>
        <v>-7294.8957128409984</v>
      </c>
      <c r="W40" s="2">
        <f t="shared" ref="W40" si="116">V40-W29</f>
        <v>-8621.2403879029989</v>
      </c>
      <c r="X40" s="2">
        <f t="shared" ref="X40" si="117">W40-X29</f>
        <v>-9947.5850629649995</v>
      </c>
      <c r="Y40" s="2">
        <f t="shared" ref="Y40" si="118">X40-Y29</f>
        <v>-11273.929738027</v>
      </c>
      <c r="Z40" s="2">
        <f t="shared" ref="Z40" si="119">Y40-Z29</f>
        <v>-12600.274413089001</v>
      </c>
      <c r="AA40" s="2">
        <f t="shared" ref="AA40" si="120">Z40-AA29</f>
        <v>-13926.619088151001</v>
      </c>
      <c r="AB40" s="2">
        <f t="shared" ref="AB40" si="121">AA40-AB29</f>
        <v>-15252.963763213002</v>
      </c>
      <c r="AC40" s="2">
        <f t="shared" ref="AC40" si="122">AB40-AC29</f>
        <v>-16579.308438275002</v>
      </c>
      <c r="AD40" s="2">
        <f t="shared" ref="AD40" si="123">AC40-AD29</f>
        <v>-17905.653113337001</v>
      </c>
      <c r="AE40" s="2">
        <f t="shared" ref="AE40" si="124">AD40-AE29</f>
        <v>-19231.997788399</v>
      </c>
      <c r="AF40" s="2">
        <f t="shared" ref="AF40" si="125">AE40-AF29</f>
        <v>-20558.342463460998</v>
      </c>
      <c r="AG40" s="2">
        <f t="shared" ref="AG40" si="126">AF40-AG29</f>
        <v>-21884.687138522997</v>
      </c>
      <c r="AH40" s="2">
        <f t="shared" si="109"/>
        <v>-23211.031813584996</v>
      </c>
      <c r="AI40" s="2">
        <f t="shared" si="109"/>
        <v>-24537.376488646994</v>
      </c>
      <c r="AJ40" s="2">
        <f t="shared" si="109"/>
        <v>-25863.721163708993</v>
      </c>
      <c r="AK40" s="2">
        <f t="shared" si="109"/>
        <v>-27190.065838770992</v>
      </c>
      <c r="AL40" s="2">
        <f t="shared" si="109"/>
        <v>-28516.410513832991</v>
      </c>
    </row>
    <row r="41" spans="1:38">
      <c r="C41" t="s">
        <v>138</v>
      </c>
      <c r="E41" s="2">
        <f t="shared" si="101"/>
        <v>0</v>
      </c>
      <c r="F41" s="2">
        <f t="shared" ref="F41:P41" si="127">E41-F30</f>
        <v>0</v>
      </c>
      <c r="G41" s="2">
        <f t="shared" si="127"/>
        <v>0</v>
      </c>
      <c r="H41" s="2">
        <f t="shared" si="127"/>
        <v>0</v>
      </c>
      <c r="I41" s="2">
        <f t="shared" si="127"/>
        <v>0</v>
      </c>
      <c r="J41" s="2">
        <f t="shared" si="127"/>
        <v>0</v>
      </c>
      <c r="K41" s="2">
        <f t="shared" si="127"/>
        <v>-43.257813594070001</v>
      </c>
      <c r="L41" s="2">
        <f t="shared" si="127"/>
        <v>-339.84807298844754</v>
      </c>
      <c r="M41" s="2">
        <f t="shared" si="127"/>
        <v>-904.24296304366385</v>
      </c>
      <c r="N41" s="2">
        <f t="shared" si="127"/>
        <v>-1865.2662923107737</v>
      </c>
      <c r="O41" s="2">
        <f t="shared" si="127"/>
        <v>-3185.6487072648506</v>
      </c>
      <c r="P41" s="2">
        <f t="shared" si="127"/>
        <v>-4538.7923205341576</v>
      </c>
      <c r="Q41" s="13">
        <f t="shared" si="105"/>
        <v>-4538.7923205341576</v>
      </c>
      <c r="R41" s="2">
        <f>Q41-R30</f>
        <v>-5904.2364871890195</v>
      </c>
      <c r="S41" s="2">
        <f t="shared" ref="S41:AG41" si="128">R41-S30</f>
        <v>-7269.6806538438814</v>
      </c>
      <c r="T41" s="2">
        <f t="shared" si="128"/>
        <v>-8920.2461200194357</v>
      </c>
      <c r="U41" s="2">
        <f t="shared" si="128"/>
        <v>-10951.809277818875</v>
      </c>
      <c r="V41" s="2">
        <f t="shared" si="128"/>
        <v>-13175.125219824698</v>
      </c>
      <c r="W41" s="2">
        <f t="shared" si="128"/>
        <v>-15590.193946036907</v>
      </c>
      <c r="X41" s="2">
        <f t="shared" si="128"/>
        <v>-18101.139064352308</v>
      </c>
      <c r="Y41" s="2">
        <f t="shared" si="128"/>
        <v>-20612.08418266771</v>
      </c>
      <c r="Z41" s="2">
        <f t="shared" si="128"/>
        <v>-23123.029300983111</v>
      </c>
      <c r="AA41" s="2">
        <f t="shared" si="128"/>
        <v>-25633.974419298513</v>
      </c>
      <c r="AB41" s="2">
        <f t="shared" si="128"/>
        <v>-28144.919537613914</v>
      </c>
      <c r="AC41" s="2">
        <f t="shared" si="128"/>
        <v>-30655.864655929316</v>
      </c>
      <c r="AD41" s="2">
        <f t="shared" si="128"/>
        <v>-33166.809774244713</v>
      </c>
      <c r="AE41" s="2">
        <f t="shared" si="128"/>
        <v>-35677.754892560115</v>
      </c>
      <c r="AF41" s="2">
        <f t="shared" si="128"/>
        <v>-38188.700010875516</v>
      </c>
      <c r="AG41" s="2">
        <f t="shared" si="128"/>
        <v>-40699.645129190918</v>
      </c>
      <c r="AH41" s="2">
        <f t="shared" si="109"/>
        <v>-43210.590247506319</v>
      </c>
      <c r="AI41" s="2">
        <f t="shared" si="109"/>
        <v>-45721.535365821721</v>
      </c>
      <c r="AJ41" s="2">
        <f t="shared" si="109"/>
        <v>-48232.480484137122</v>
      </c>
      <c r="AK41" s="2">
        <f t="shared" si="109"/>
        <v>-50743.425602452524</v>
      </c>
      <c r="AL41" s="2">
        <f t="shared" si="109"/>
        <v>-53254.370720767925</v>
      </c>
    </row>
    <row r="42" spans="1:38">
      <c r="C42" t="s">
        <v>150</v>
      </c>
      <c r="E42" s="2">
        <f t="shared" si="101"/>
        <v>-448.85204834250004</v>
      </c>
      <c r="F42" s="2">
        <f t="shared" ref="F42:P42" si="129">E42-F31</f>
        <v>-1414.5486365875004</v>
      </c>
      <c r="G42" s="2">
        <f t="shared" si="129"/>
        <v>-2467.9927326450006</v>
      </c>
      <c r="H42" s="2">
        <f t="shared" si="129"/>
        <v>-3548.6526101400004</v>
      </c>
      <c r="I42" s="2">
        <f t="shared" si="129"/>
        <v>-4636.7732528200004</v>
      </c>
      <c r="J42" s="2">
        <f t="shared" si="129"/>
        <v>-5724.8938955000003</v>
      </c>
      <c r="K42" s="2">
        <f t="shared" si="129"/>
        <v>-6816.0474956525004</v>
      </c>
      <c r="L42" s="2">
        <f t="shared" si="129"/>
        <v>-7634.9324637150003</v>
      </c>
      <c r="M42" s="2">
        <f t="shared" si="129"/>
        <v>-8178.5158422150007</v>
      </c>
      <c r="N42" s="2">
        <f t="shared" si="129"/>
        <v>-8722.0992207150011</v>
      </c>
      <c r="O42" s="2">
        <f t="shared" si="129"/>
        <v>-9265.6825992150007</v>
      </c>
      <c r="P42" s="2">
        <f t="shared" si="129"/>
        <v>-9809.2659777150002</v>
      </c>
      <c r="Q42" s="13">
        <f t="shared" ref="Q42" si="130">P42</f>
        <v>-9809.2659777150002</v>
      </c>
      <c r="R42" s="2">
        <f>Q42-R31</f>
        <v>-10352.849356215</v>
      </c>
      <c r="S42" s="2">
        <f t="shared" ref="S42:AG42" si="131">R42-S31</f>
        <v>-10896.432734714999</v>
      </c>
      <c r="T42" s="2">
        <f t="shared" si="131"/>
        <v>-11440.016113214999</v>
      </c>
      <c r="U42" s="2">
        <f t="shared" si="131"/>
        <v>-11983.599491714998</v>
      </c>
      <c r="V42" s="2">
        <f t="shared" si="131"/>
        <v>-12527.182870214998</v>
      </c>
      <c r="W42" s="2">
        <f t="shared" si="131"/>
        <v>-13070.766248714997</v>
      </c>
      <c r="X42" s="2">
        <f t="shared" si="131"/>
        <v>-13614.349627214997</v>
      </c>
      <c r="Y42" s="2">
        <f t="shared" si="131"/>
        <v>-14157.933005714996</v>
      </c>
      <c r="Z42" s="2">
        <f t="shared" si="131"/>
        <v>-14701.516384214996</v>
      </c>
      <c r="AA42" s="2">
        <f t="shared" si="131"/>
        <v>-15245.099762714995</v>
      </c>
      <c r="AB42" s="2">
        <f t="shared" si="131"/>
        <v>-15788.683141214995</v>
      </c>
      <c r="AC42" s="2">
        <f t="shared" si="131"/>
        <v>-16332.266519714995</v>
      </c>
      <c r="AD42" s="2">
        <f t="shared" si="131"/>
        <v>-16875.849898214994</v>
      </c>
      <c r="AE42" s="2">
        <f t="shared" si="131"/>
        <v>-17419.433276714994</v>
      </c>
      <c r="AF42" s="2">
        <f t="shared" si="131"/>
        <v>-17963.016655214993</v>
      </c>
      <c r="AG42" s="2">
        <f t="shared" si="131"/>
        <v>-18506.600033714993</v>
      </c>
      <c r="AH42" s="2">
        <f t="shared" si="109"/>
        <v>-19050.183412214992</v>
      </c>
      <c r="AI42" s="2">
        <f t="shared" si="109"/>
        <v>-19593.766790714992</v>
      </c>
      <c r="AJ42" s="2">
        <f t="shared" si="109"/>
        <v>-20137.350169214991</v>
      </c>
      <c r="AK42" s="2">
        <f t="shared" si="109"/>
        <v>-20680.933547714991</v>
      </c>
      <c r="AL42" s="2">
        <f t="shared" si="109"/>
        <v>-21224.51692621499</v>
      </c>
    </row>
    <row r="43" spans="1:38">
      <c r="C43" t="s">
        <v>19</v>
      </c>
      <c r="E43" s="2">
        <f t="shared" ref="E43" si="132">-E32</f>
        <v>-1623.8571813750002</v>
      </c>
      <c r="F43" s="2">
        <f t="shared" ref="F43:P43" si="133">E43-F32</f>
        <v>-5117.5547561975009</v>
      </c>
      <c r="G43" s="2">
        <f t="shared" si="133"/>
        <v>-8928.7051855050013</v>
      </c>
      <c r="H43" s="2">
        <f t="shared" si="133"/>
        <v>-12882.616069162024</v>
      </c>
      <c r="I43" s="2">
        <f t="shared" si="133"/>
        <v>-16907.81776475607</v>
      </c>
      <c r="J43" s="2">
        <f t="shared" si="133"/>
        <v>-20933.019460350115</v>
      </c>
      <c r="K43" s="2">
        <f t="shared" si="133"/>
        <v>-24969.193781796661</v>
      </c>
      <c r="L43" s="2">
        <f t="shared" si="133"/>
        <v>-28190.911288838208</v>
      </c>
      <c r="M43" s="2">
        <f t="shared" si="133"/>
        <v>-30587.199355622251</v>
      </c>
      <c r="N43" s="2">
        <f t="shared" si="133"/>
        <v>-32983.487422406295</v>
      </c>
      <c r="O43" s="2">
        <f t="shared" si="133"/>
        <v>-35379.775489190339</v>
      </c>
      <c r="P43" s="2">
        <f t="shared" si="133"/>
        <v>-37776.063555974382</v>
      </c>
      <c r="Q43" s="13">
        <f t="shared" si="105"/>
        <v>-37776.063555974382</v>
      </c>
      <c r="R43" s="2">
        <f>Q43-R32</f>
        <v>-41114.038907022863</v>
      </c>
      <c r="S43" s="2">
        <f t="shared" ref="S43:AL43" si="134">R43-S32</f>
        <v>-46335.38882660021</v>
      </c>
      <c r="T43" s="2">
        <f t="shared" si="134"/>
        <v>-53440.113314706425</v>
      </c>
      <c r="U43" s="2">
        <f t="shared" si="134"/>
        <v>-86022.307387676192</v>
      </c>
      <c r="V43" s="2">
        <f t="shared" si="134"/>
        <v>-144087.93884846562</v>
      </c>
      <c r="W43" s="2">
        <f t="shared" si="134"/>
        <v>-204048.88048369618</v>
      </c>
      <c r="X43" s="2">
        <f t="shared" si="134"/>
        <v>-264957.47720614728</v>
      </c>
      <c r="Y43" s="2">
        <f t="shared" si="134"/>
        <v>-325866.07392859837</v>
      </c>
      <c r="Z43" s="2">
        <f t="shared" si="134"/>
        <v>-386774.67065104947</v>
      </c>
      <c r="AA43" s="2">
        <f t="shared" si="134"/>
        <v>-447683.26737350057</v>
      </c>
      <c r="AB43" s="2">
        <f t="shared" si="134"/>
        <v>-508591.86409595166</v>
      </c>
      <c r="AC43" s="2">
        <f t="shared" si="134"/>
        <v>-569500.46081840282</v>
      </c>
      <c r="AD43" s="2">
        <f t="shared" si="134"/>
        <v>-630409.05754085397</v>
      </c>
      <c r="AE43" s="2">
        <f t="shared" si="134"/>
        <v>-691317.65426330513</v>
      </c>
      <c r="AF43" s="2">
        <f t="shared" si="134"/>
        <v>-804707.7231729785</v>
      </c>
      <c r="AG43" s="2">
        <f t="shared" si="134"/>
        <v>-977599.79867292964</v>
      </c>
      <c r="AH43" s="2">
        <f t="shared" si="134"/>
        <v>-1164211.9878664918</v>
      </c>
      <c r="AI43" s="2">
        <f t="shared" si="134"/>
        <v>-1357523.7563506095</v>
      </c>
      <c r="AJ43" s="2">
        <f t="shared" si="134"/>
        <v>-1550835.5248347272</v>
      </c>
      <c r="AK43" s="2">
        <f t="shared" si="134"/>
        <v>-1744147.2933188449</v>
      </c>
      <c r="AL43" s="2">
        <f t="shared" si="134"/>
        <v>-1937459.0618029626</v>
      </c>
    </row>
    <row r="44" spans="1:38">
      <c r="C44" s="7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3"/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3.5" thickBot="1">
      <c r="B45" t="s">
        <v>2</v>
      </c>
      <c r="E45" s="5">
        <f>SUM(E37:E44)</f>
        <v>-2072.7092297175004</v>
      </c>
      <c r="F45" s="5">
        <f t="shared" ref="F45:AK45" si="135">SUM(F37:F44)</f>
        <v>-6532.1033927850012</v>
      </c>
      <c r="G45" s="5">
        <f t="shared" si="135"/>
        <v>-11396.697918150003</v>
      </c>
      <c r="H45" s="5">
        <f t="shared" si="135"/>
        <v>-16431.268679302026</v>
      </c>
      <c r="I45" s="5">
        <f t="shared" si="135"/>
        <v>-21544.591017576069</v>
      </c>
      <c r="J45" s="5">
        <f t="shared" si="135"/>
        <v>-26941.164262635117</v>
      </c>
      <c r="K45" s="5">
        <f t="shared" si="135"/>
        <v>-32709.957893487233</v>
      </c>
      <c r="L45" s="5">
        <f t="shared" si="135"/>
        <v>-37766.433625293554</v>
      </c>
      <c r="M45" s="5">
        <f t="shared" si="135"/>
        <v>-42225.091058240614</v>
      </c>
      <c r="N45" s="5">
        <f t="shared" si="135"/>
        <v>-47272.256590858669</v>
      </c>
      <c r="O45" s="5">
        <f t="shared" si="135"/>
        <v>-52734.328100655592</v>
      </c>
      <c r="P45" s="5">
        <f t="shared" si="135"/>
        <v>-58928.269690176341</v>
      </c>
      <c r="Q45" s="11">
        <f>SUM(Q37:Q44)</f>
        <v>-58928.269690176341</v>
      </c>
      <c r="R45" s="5">
        <f>SUM(R37:R44)</f>
        <v>-66866.323458525425</v>
      </c>
      <c r="S45" s="5">
        <f>SUM(S37:S44)</f>
        <v>-76888.595338488478</v>
      </c>
      <c r="T45" s="5">
        <f t="shared" si="135"/>
        <v>-89280.206629586188</v>
      </c>
      <c r="U45" s="5">
        <f t="shared" si="135"/>
        <v>-128436.44298825483</v>
      </c>
      <c r="V45" s="5">
        <f t="shared" si="135"/>
        <v>-195761.35756513235</v>
      </c>
      <c r="W45" s="5">
        <f t="shared" si="135"/>
        <v>-267838.81172545167</v>
      </c>
      <c r="X45" s="5">
        <f t="shared" si="135"/>
        <v>-341937.5219632471</v>
      </c>
      <c r="Y45" s="5">
        <f t="shared" si="135"/>
        <v>-416036.23220104253</v>
      </c>
      <c r="Z45" s="5">
        <f t="shared" si="135"/>
        <v>-490134.94243883796</v>
      </c>
      <c r="AA45" s="5">
        <f t="shared" si="135"/>
        <v>-564233.65267663333</v>
      </c>
      <c r="AB45" s="5">
        <f t="shared" si="135"/>
        <v>-638332.36291442881</v>
      </c>
      <c r="AC45" s="5">
        <f t="shared" si="135"/>
        <v>-712431.0731522243</v>
      </c>
      <c r="AD45" s="5">
        <f t="shared" si="135"/>
        <v>-786529.78339001979</v>
      </c>
      <c r="AE45" s="5">
        <f t="shared" si="135"/>
        <v>-860628.49362781527</v>
      </c>
      <c r="AF45" s="5">
        <f t="shared" si="135"/>
        <v>-987208.67605283298</v>
      </c>
      <c r="AG45" s="5">
        <f t="shared" si="135"/>
        <v>-1173290.8650681283</v>
      </c>
      <c r="AH45" s="5">
        <f t="shared" si="135"/>
        <v>-1373093.1677770349</v>
      </c>
      <c r="AI45" s="5">
        <f t="shared" si="135"/>
        <v>-1579595.0497764968</v>
      </c>
      <c r="AJ45" s="5">
        <f t="shared" si="135"/>
        <v>-1786096.931775959</v>
      </c>
      <c r="AK45" s="5">
        <f t="shared" si="135"/>
        <v>-1992598.8137754209</v>
      </c>
      <c r="AL45" s="5">
        <f>SUM(AL37:AL44)</f>
        <v>-2199100.695774883</v>
      </c>
    </row>
    <row r="48" spans="1:38">
      <c r="A48" s="1" t="s">
        <v>18</v>
      </c>
      <c r="B48" t="s">
        <v>1</v>
      </c>
      <c r="C48" t="s">
        <v>17</v>
      </c>
      <c r="D48" s="15">
        <v>3.7499999999999999E-2</v>
      </c>
      <c r="E48" s="2">
        <f t="shared" ref="E48:P48" si="136">$P$4*$D$48/12</f>
        <v>0</v>
      </c>
      <c r="F48" s="2">
        <f t="shared" si="136"/>
        <v>0</v>
      </c>
      <c r="G48" s="2">
        <f t="shared" si="136"/>
        <v>0</v>
      </c>
      <c r="H48" s="2">
        <f t="shared" si="136"/>
        <v>0</v>
      </c>
      <c r="I48" s="2">
        <f t="shared" si="136"/>
        <v>0</v>
      </c>
      <c r="J48" s="2">
        <f t="shared" si="136"/>
        <v>0</v>
      </c>
      <c r="K48" s="2">
        <f t="shared" si="136"/>
        <v>0</v>
      </c>
      <c r="L48" s="2">
        <f t="shared" si="136"/>
        <v>0</v>
      </c>
      <c r="M48" s="2">
        <f t="shared" si="136"/>
        <v>0</v>
      </c>
      <c r="N48" s="2">
        <f t="shared" si="136"/>
        <v>0</v>
      </c>
      <c r="O48" s="2">
        <f t="shared" si="136"/>
        <v>0</v>
      </c>
      <c r="P48" s="2">
        <f t="shared" si="136"/>
        <v>0</v>
      </c>
      <c r="Q48" s="10">
        <f t="shared" ref="Q48:Q53" si="137">SUM(E48:P48)</f>
        <v>0</v>
      </c>
      <c r="R48" s="2">
        <f t="shared" ref="R48:AC48" si="138">($AC$4-$P$4)*$D$48/12</f>
        <v>584.81390868806841</v>
      </c>
      <c r="S48" s="2">
        <f t="shared" si="138"/>
        <v>584.81390868806841</v>
      </c>
      <c r="T48" s="2">
        <f t="shared" si="138"/>
        <v>584.81390868806841</v>
      </c>
      <c r="U48" s="2">
        <f t="shared" si="138"/>
        <v>584.81390868806841</v>
      </c>
      <c r="V48" s="2">
        <f t="shared" si="138"/>
        <v>584.81390868806841</v>
      </c>
      <c r="W48" s="2">
        <f t="shared" si="138"/>
        <v>584.81390868806841</v>
      </c>
      <c r="X48" s="2">
        <f t="shared" si="138"/>
        <v>584.81390868806841</v>
      </c>
      <c r="Y48" s="2">
        <f t="shared" si="138"/>
        <v>584.81390868806841</v>
      </c>
      <c r="Z48" s="2">
        <f t="shared" si="138"/>
        <v>584.81390868806841</v>
      </c>
      <c r="AA48" s="2">
        <f t="shared" si="138"/>
        <v>584.81390868806841</v>
      </c>
      <c r="AB48" s="2">
        <f t="shared" si="138"/>
        <v>584.81390868806841</v>
      </c>
      <c r="AC48" s="2">
        <f t="shared" si="138"/>
        <v>584.81390868806841</v>
      </c>
      <c r="AD48" s="2">
        <f>($AL$4-$AC$4)*$D$48/12</f>
        <v>0</v>
      </c>
      <c r="AE48" s="2">
        <f t="shared" ref="AE48:AL48" si="139">($AL$4-$AC$4)*$D$48/12</f>
        <v>0</v>
      </c>
      <c r="AF48" s="2">
        <f t="shared" si="139"/>
        <v>0</v>
      </c>
      <c r="AG48" s="2">
        <f t="shared" si="139"/>
        <v>0</v>
      </c>
      <c r="AH48" s="2">
        <f t="shared" si="139"/>
        <v>0</v>
      </c>
      <c r="AI48" s="2">
        <f t="shared" si="139"/>
        <v>0</v>
      </c>
      <c r="AJ48" s="2">
        <f t="shared" si="139"/>
        <v>0</v>
      </c>
      <c r="AK48" s="2">
        <f t="shared" si="139"/>
        <v>0</v>
      </c>
      <c r="AL48" s="2">
        <f t="shared" si="139"/>
        <v>0</v>
      </c>
    </row>
    <row r="49" spans="1:38">
      <c r="C49" t="s">
        <v>14</v>
      </c>
      <c r="D49" s="15">
        <v>3.7499999999999999E-2</v>
      </c>
      <c r="E49" s="2">
        <f t="shared" ref="E49:P49" si="140">$P$5*$D$49/12</f>
        <v>449.61196957500005</v>
      </c>
      <c r="F49" s="2">
        <f t="shared" si="140"/>
        <v>449.61196957500005</v>
      </c>
      <c r="G49" s="2">
        <f t="shared" si="140"/>
        <v>449.61196957500005</v>
      </c>
      <c r="H49" s="2">
        <f t="shared" si="140"/>
        <v>449.61196957500005</v>
      </c>
      <c r="I49" s="2">
        <f t="shared" si="140"/>
        <v>449.61196957500005</v>
      </c>
      <c r="J49" s="2">
        <f t="shared" si="140"/>
        <v>449.61196957500005</v>
      </c>
      <c r="K49" s="2">
        <f t="shared" si="140"/>
        <v>449.61196957500005</v>
      </c>
      <c r="L49" s="2">
        <f t="shared" si="140"/>
        <v>449.61196957500005</v>
      </c>
      <c r="M49" s="2">
        <f t="shared" si="140"/>
        <v>449.61196957500005</v>
      </c>
      <c r="N49" s="2">
        <f t="shared" si="140"/>
        <v>449.61196957500005</v>
      </c>
      <c r="O49" s="2">
        <f t="shared" si="140"/>
        <v>449.61196957500005</v>
      </c>
      <c r="P49" s="2">
        <f t="shared" si="140"/>
        <v>449.61196957500005</v>
      </c>
      <c r="Q49" s="10">
        <f t="shared" si="137"/>
        <v>5395.3436349000003</v>
      </c>
      <c r="R49" s="2">
        <f t="shared" ref="R49:AC49" si="141">($AC$5-$P$5)*$D$49/12</f>
        <v>4245.7269980445881</v>
      </c>
      <c r="S49" s="2">
        <f t="shared" si="141"/>
        <v>4245.7269980445881</v>
      </c>
      <c r="T49" s="2">
        <f t="shared" si="141"/>
        <v>4245.7269980445881</v>
      </c>
      <c r="U49" s="2">
        <f t="shared" si="141"/>
        <v>4245.7269980445881</v>
      </c>
      <c r="V49" s="2">
        <f t="shared" si="141"/>
        <v>4245.7269980445881</v>
      </c>
      <c r="W49" s="2">
        <f t="shared" si="141"/>
        <v>4245.7269980445881</v>
      </c>
      <c r="X49" s="2">
        <f t="shared" si="141"/>
        <v>4245.7269980445881</v>
      </c>
      <c r="Y49" s="2">
        <f t="shared" si="141"/>
        <v>4245.7269980445881</v>
      </c>
      <c r="Z49" s="2">
        <f t="shared" si="141"/>
        <v>4245.7269980445881</v>
      </c>
      <c r="AA49" s="2">
        <f t="shared" si="141"/>
        <v>4245.7269980445881</v>
      </c>
      <c r="AB49" s="2">
        <f t="shared" si="141"/>
        <v>4245.7269980445881</v>
      </c>
      <c r="AC49" s="2">
        <f t="shared" si="141"/>
        <v>4245.7269980445881</v>
      </c>
      <c r="AD49" s="2">
        <f>($AL$5-$AC$5)*$D$49/12</f>
        <v>0</v>
      </c>
      <c r="AE49" s="2">
        <f t="shared" ref="AE49:AL49" si="142">($AL$5-$AC$5)*$D$49/12</f>
        <v>0</v>
      </c>
      <c r="AF49" s="2">
        <f t="shared" si="142"/>
        <v>0</v>
      </c>
      <c r="AG49" s="2">
        <f t="shared" si="142"/>
        <v>0</v>
      </c>
      <c r="AH49" s="2">
        <f t="shared" si="142"/>
        <v>0</v>
      </c>
      <c r="AI49" s="2">
        <f t="shared" si="142"/>
        <v>0</v>
      </c>
      <c r="AJ49" s="2">
        <f t="shared" si="142"/>
        <v>0</v>
      </c>
      <c r="AK49" s="2">
        <f t="shared" si="142"/>
        <v>0</v>
      </c>
      <c r="AL49" s="2">
        <f t="shared" si="142"/>
        <v>0</v>
      </c>
    </row>
    <row r="50" spans="1:38">
      <c r="C50" t="s">
        <v>141</v>
      </c>
      <c r="D50" s="93">
        <v>3.7499999999999999E-2</v>
      </c>
      <c r="E50" s="2">
        <f t="shared" ref="E50:P50" si="143">$P$6*$D$50/12</f>
        <v>1734.0299720250002</v>
      </c>
      <c r="F50" s="2">
        <f t="shared" si="143"/>
        <v>1734.0299720250002</v>
      </c>
      <c r="G50" s="2">
        <f t="shared" si="143"/>
        <v>1734.0299720250002</v>
      </c>
      <c r="H50" s="2">
        <f t="shared" si="143"/>
        <v>1734.0299720250002</v>
      </c>
      <c r="I50" s="2">
        <f t="shared" si="143"/>
        <v>1734.0299720250002</v>
      </c>
      <c r="J50" s="2">
        <f t="shared" si="143"/>
        <v>1734.0299720250002</v>
      </c>
      <c r="K50" s="2">
        <f t="shared" si="143"/>
        <v>1734.0299720250002</v>
      </c>
      <c r="L50" s="2">
        <f t="shared" si="143"/>
        <v>1734.0299720250002</v>
      </c>
      <c r="M50" s="2">
        <f t="shared" si="143"/>
        <v>1734.0299720250002</v>
      </c>
      <c r="N50" s="2">
        <f t="shared" si="143"/>
        <v>1734.0299720250002</v>
      </c>
      <c r="O50" s="2">
        <f t="shared" si="143"/>
        <v>1734.0299720250002</v>
      </c>
      <c r="P50" s="2">
        <f t="shared" si="143"/>
        <v>1734.0299720250002</v>
      </c>
      <c r="Q50" s="10">
        <f t="shared" si="137"/>
        <v>20808.359664300002</v>
      </c>
      <c r="R50" s="2">
        <f t="shared" ref="R50:AC50" si="144">($AC$6-$P$6)*$D$50/12</f>
        <v>8233.9059090744886</v>
      </c>
      <c r="S50" s="2">
        <f t="shared" si="144"/>
        <v>8233.9059090744886</v>
      </c>
      <c r="T50" s="2">
        <f t="shared" si="144"/>
        <v>8233.9059090744886</v>
      </c>
      <c r="U50" s="2">
        <f t="shared" si="144"/>
        <v>8233.9059090744886</v>
      </c>
      <c r="V50" s="2">
        <f t="shared" si="144"/>
        <v>8233.9059090744886</v>
      </c>
      <c r="W50" s="2">
        <f t="shared" si="144"/>
        <v>8233.9059090744886</v>
      </c>
      <c r="X50" s="2">
        <f t="shared" si="144"/>
        <v>8233.9059090744886</v>
      </c>
      <c r="Y50" s="2">
        <f t="shared" si="144"/>
        <v>8233.9059090744886</v>
      </c>
      <c r="Z50" s="2">
        <f t="shared" si="144"/>
        <v>8233.9059090744886</v>
      </c>
      <c r="AA50" s="2">
        <f t="shared" si="144"/>
        <v>8233.9059090744886</v>
      </c>
      <c r="AB50" s="2">
        <f t="shared" si="144"/>
        <v>8233.9059090744886</v>
      </c>
      <c r="AC50" s="2">
        <f t="shared" si="144"/>
        <v>8233.9059090744886</v>
      </c>
      <c r="AD50" s="2">
        <f>($AL$6-$AC$6)*$D$50/12</f>
        <v>0</v>
      </c>
      <c r="AE50" s="2">
        <f t="shared" ref="AE50:AL50" si="145">($AL$6-$AC$6)*$D$50/12</f>
        <v>0</v>
      </c>
      <c r="AF50" s="2">
        <f t="shared" si="145"/>
        <v>0</v>
      </c>
      <c r="AG50" s="2">
        <f t="shared" si="145"/>
        <v>0</v>
      </c>
      <c r="AH50" s="2">
        <f t="shared" si="145"/>
        <v>0</v>
      </c>
      <c r="AI50" s="2">
        <f t="shared" si="145"/>
        <v>0</v>
      </c>
      <c r="AJ50" s="2">
        <f t="shared" si="145"/>
        <v>0</v>
      </c>
      <c r="AK50" s="2">
        <f t="shared" si="145"/>
        <v>0</v>
      </c>
      <c r="AL50" s="2">
        <f t="shared" si="145"/>
        <v>0</v>
      </c>
    </row>
    <row r="51" spans="1:38">
      <c r="C51" t="s">
        <v>148</v>
      </c>
      <c r="D51" s="93">
        <v>3.7499999999999999E-2</v>
      </c>
      <c r="E51" s="2">
        <f>$P$7*$D$51/12</f>
        <v>1397.1327335624999</v>
      </c>
      <c r="F51" s="2">
        <f>$P$7*$D$51/12</f>
        <v>1397.1327335624999</v>
      </c>
      <c r="G51" s="2">
        <f t="shared" ref="G51:P51" si="146">$P$7*$D$51/12</f>
        <v>1397.1327335624999</v>
      </c>
      <c r="H51" s="2">
        <f t="shared" si="146"/>
        <v>1397.1327335624999</v>
      </c>
      <c r="I51" s="2">
        <f t="shared" si="146"/>
        <v>1397.1327335624999</v>
      </c>
      <c r="J51" s="2">
        <f t="shared" si="146"/>
        <v>1397.1327335624999</v>
      </c>
      <c r="K51" s="2">
        <f t="shared" si="146"/>
        <v>1397.1327335624999</v>
      </c>
      <c r="L51" s="2">
        <f t="shared" si="146"/>
        <v>1397.1327335624999</v>
      </c>
      <c r="M51" s="2">
        <f t="shared" si="146"/>
        <v>1397.1327335624999</v>
      </c>
      <c r="N51" s="2">
        <f t="shared" si="146"/>
        <v>1397.1327335624999</v>
      </c>
      <c r="O51" s="2">
        <f t="shared" si="146"/>
        <v>1397.1327335624999</v>
      </c>
      <c r="P51" s="2">
        <f t="shared" si="146"/>
        <v>1397.1327335624999</v>
      </c>
      <c r="Q51" s="10">
        <f t="shared" si="137"/>
        <v>16765.592802749994</v>
      </c>
      <c r="R51" s="2">
        <f>($AC$7-$P$7)*$D$51/12</f>
        <v>0</v>
      </c>
      <c r="S51" s="2">
        <f t="shared" ref="S51:AC51" si="147">($AC$7-$P$7)*$D$51/12</f>
        <v>0</v>
      </c>
      <c r="T51" s="2">
        <f t="shared" si="147"/>
        <v>0</v>
      </c>
      <c r="U51" s="2">
        <f t="shared" si="147"/>
        <v>0</v>
      </c>
      <c r="V51" s="2">
        <f t="shared" si="147"/>
        <v>0</v>
      </c>
      <c r="W51" s="2">
        <f t="shared" si="147"/>
        <v>0</v>
      </c>
      <c r="X51" s="2">
        <f t="shared" si="147"/>
        <v>0</v>
      </c>
      <c r="Y51" s="2">
        <f t="shared" si="147"/>
        <v>0</v>
      </c>
      <c r="Z51" s="2">
        <f t="shared" si="147"/>
        <v>0</v>
      </c>
      <c r="AA51" s="2">
        <f t="shared" si="147"/>
        <v>0</v>
      </c>
      <c r="AB51" s="2">
        <f t="shared" si="147"/>
        <v>0</v>
      </c>
      <c r="AC51" s="2">
        <f t="shared" si="147"/>
        <v>0</v>
      </c>
      <c r="AD51" s="2">
        <f>($AL$7-$AC$7)*$D$51/12</f>
        <v>0</v>
      </c>
      <c r="AE51" s="2">
        <f t="shared" ref="AE51:AL51" si="148">($AL$7-$AC$7)*$D$51/12</f>
        <v>0</v>
      </c>
      <c r="AF51" s="2">
        <f t="shared" si="148"/>
        <v>0</v>
      </c>
      <c r="AG51" s="2">
        <f t="shared" si="148"/>
        <v>0</v>
      </c>
      <c r="AH51" s="2">
        <f t="shared" si="148"/>
        <v>0</v>
      </c>
      <c r="AI51" s="2">
        <f t="shared" si="148"/>
        <v>0</v>
      </c>
      <c r="AJ51" s="2">
        <f t="shared" si="148"/>
        <v>0</v>
      </c>
      <c r="AK51" s="2">
        <f t="shared" si="148"/>
        <v>0</v>
      </c>
      <c r="AL51" s="2">
        <f t="shared" si="148"/>
        <v>0</v>
      </c>
    </row>
    <row r="52" spans="1:38">
      <c r="C52" t="s">
        <v>138</v>
      </c>
      <c r="D52" s="94">
        <v>0.1429</v>
      </c>
      <c r="E52" s="2">
        <f t="shared" ref="E52:P52" si="149">$P$8*$D$52/12</f>
        <v>5148.3369766485421</v>
      </c>
      <c r="F52" s="2">
        <f t="shared" si="149"/>
        <v>5148.3369766485421</v>
      </c>
      <c r="G52" s="2">
        <f t="shared" si="149"/>
        <v>5148.3369766485421</v>
      </c>
      <c r="H52" s="2">
        <f t="shared" si="149"/>
        <v>5148.3369766485421</v>
      </c>
      <c r="I52" s="2">
        <f t="shared" si="149"/>
        <v>5148.3369766485421</v>
      </c>
      <c r="J52" s="2">
        <f t="shared" si="149"/>
        <v>5148.3369766485421</v>
      </c>
      <c r="K52" s="2">
        <f t="shared" si="149"/>
        <v>5148.3369766485421</v>
      </c>
      <c r="L52" s="2">
        <f t="shared" si="149"/>
        <v>5148.3369766485421</v>
      </c>
      <c r="M52" s="2">
        <f t="shared" si="149"/>
        <v>5148.3369766485421</v>
      </c>
      <c r="N52" s="2">
        <f t="shared" si="149"/>
        <v>5148.3369766485421</v>
      </c>
      <c r="O52" s="2">
        <f t="shared" si="149"/>
        <v>5148.3369766485421</v>
      </c>
      <c r="P52" s="2">
        <f t="shared" si="149"/>
        <v>5148.3369766485421</v>
      </c>
      <c r="Q52" s="10">
        <f t="shared" si="137"/>
        <v>61780.043719782501</v>
      </c>
      <c r="R52" s="2">
        <f t="shared" ref="R52:AC52" si="150">($AC$8-$P$8)*$D$52/12</f>
        <v>4319.0524008520042</v>
      </c>
      <c r="S52" s="2">
        <f t="shared" si="150"/>
        <v>4319.0524008520042</v>
      </c>
      <c r="T52" s="2">
        <f t="shared" si="150"/>
        <v>4319.0524008520042</v>
      </c>
      <c r="U52" s="2">
        <f t="shared" si="150"/>
        <v>4319.0524008520042</v>
      </c>
      <c r="V52" s="2">
        <f t="shared" si="150"/>
        <v>4319.0524008520042</v>
      </c>
      <c r="W52" s="2">
        <f t="shared" si="150"/>
        <v>4319.0524008520042</v>
      </c>
      <c r="X52" s="2">
        <f t="shared" si="150"/>
        <v>4319.0524008520042</v>
      </c>
      <c r="Y52" s="2">
        <f t="shared" si="150"/>
        <v>4319.0524008520042</v>
      </c>
      <c r="Z52" s="2">
        <f t="shared" si="150"/>
        <v>4319.0524008520042</v>
      </c>
      <c r="AA52" s="2">
        <f t="shared" si="150"/>
        <v>4319.0524008520042</v>
      </c>
      <c r="AB52" s="2">
        <f t="shared" si="150"/>
        <v>4319.0524008520042</v>
      </c>
      <c r="AC52" s="2">
        <f t="shared" si="150"/>
        <v>4319.0524008520042</v>
      </c>
      <c r="AD52" s="2">
        <f>($AL$8-$AC$8)*$D$52/12</f>
        <v>0</v>
      </c>
      <c r="AE52" s="2">
        <f t="shared" ref="AE52:AL52" si="151">($AL$8-$AC$8)*$D$52/12</f>
        <v>0</v>
      </c>
      <c r="AF52" s="2">
        <f t="shared" si="151"/>
        <v>0</v>
      </c>
      <c r="AG52" s="2">
        <f t="shared" si="151"/>
        <v>0</v>
      </c>
      <c r="AH52" s="2">
        <f t="shared" si="151"/>
        <v>0</v>
      </c>
      <c r="AI52" s="2">
        <f t="shared" si="151"/>
        <v>0</v>
      </c>
      <c r="AJ52" s="2">
        <f t="shared" si="151"/>
        <v>0</v>
      </c>
      <c r="AK52" s="2">
        <f t="shared" si="151"/>
        <v>0</v>
      </c>
      <c r="AL52" s="2">
        <f t="shared" si="151"/>
        <v>0</v>
      </c>
    </row>
    <row r="53" spans="1:38">
      <c r="C53" t="s">
        <v>150</v>
      </c>
      <c r="D53" s="94">
        <v>0.2</v>
      </c>
      <c r="E53" s="2">
        <f>$P$9*$D$53/12</f>
        <v>543.58337850000009</v>
      </c>
      <c r="F53" s="2">
        <f>$P$9*$D$53/12</f>
        <v>543.58337850000009</v>
      </c>
      <c r="G53" s="2">
        <f t="shared" ref="G53:P53" si="152">$P$9*$D$53/12</f>
        <v>543.58337850000009</v>
      </c>
      <c r="H53" s="2">
        <f t="shared" si="152"/>
        <v>543.58337850000009</v>
      </c>
      <c r="I53" s="2">
        <f t="shared" si="152"/>
        <v>543.58337850000009</v>
      </c>
      <c r="J53" s="2">
        <f t="shared" si="152"/>
        <v>543.58337850000009</v>
      </c>
      <c r="K53" s="2">
        <f t="shared" si="152"/>
        <v>543.58337850000009</v>
      </c>
      <c r="L53" s="2">
        <f t="shared" si="152"/>
        <v>543.58337850000009</v>
      </c>
      <c r="M53" s="2">
        <f t="shared" si="152"/>
        <v>543.58337850000009</v>
      </c>
      <c r="N53" s="2">
        <f t="shared" si="152"/>
        <v>543.58337850000009</v>
      </c>
      <c r="O53" s="2">
        <f t="shared" si="152"/>
        <v>543.58337850000009</v>
      </c>
      <c r="P53" s="2">
        <f t="shared" si="152"/>
        <v>543.58337850000009</v>
      </c>
      <c r="Q53" s="10">
        <f t="shared" si="137"/>
        <v>6523.0005420000025</v>
      </c>
      <c r="R53" s="2">
        <f>($AC$9-$P$9)*$D$53/12</f>
        <v>0</v>
      </c>
      <c r="S53" s="2">
        <f t="shared" ref="S53:AC53" si="153">($AC$9-$P$9)*$D$53/12</f>
        <v>0</v>
      </c>
      <c r="T53" s="2">
        <f t="shared" si="153"/>
        <v>0</v>
      </c>
      <c r="U53" s="2">
        <f t="shared" si="153"/>
        <v>0</v>
      </c>
      <c r="V53" s="2">
        <f t="shared" si="153"/>
        <v>0</v>
      </c>
      <c r="W53" s="2">
        <f t="shared" si="153"/>
        <v>0</v>
      </c>
      <c r="X53" s="2">
        <f t="shared" si="153"/>
        <v>0</v>
      </c>
      <c r="Y53" s="2">
        <f t="shared" si="153"/>
        <v>0</v>
      </c>
      <c r="Z53" s="2">
        <f t="shared" si="153"/>
        <v>0</v>
      </c>
      <c r="AA53" s="2">
        <f t="shared" si="153"/>
        <v>0</v>
      </c>
      <c r="AB53" s="2">
        <f t="shared" si="153"/>
        <v>0</v>
      </c>
      <c r="AC53" s="2">
        <f t="shared" si="153"/>
        <v>0</v>
      </c>
      <c r="AD53" s="2">
        <f>($AL$9-$AC$9)*$D$53/12</f>
        <v>0</v>
      </c>
      <c r="AE53" s="2">
        <f t="shared" ref="AE53:AL53" si="154">($AL$9-$AC$9)*$D$53/12</f>
        <v>0</v>
      </c>
      <c r="AF53" s="2">
        <f t="shared" si="154"/>
        <v>0</v>
      </c>
      <c r="AG53" s="2">
        <f t="shared" si="154"/>
        <v>0</v>
      </c>
      <c r="AH53" s="2">
        <f t="shared" si="154"/>
        <v>0</v>
      </c>
      <c r="AI53" s="2">
        <f t="shared" si="154"/>
        <v>0</v>
      </c>
      <c r="AJ53" s="2">
        <f t="shared" si="154"/>
        <v>0</v>
      </c>
      <c r="AK53" s="2">
        <f t="shared" si="154"/>
        <v>0</v>
      </c>
      <c r="AL53" s="2">
        <f t="shared" si="154"/>
        <v>0</v>
      </c>
    </row>
    <row r="54" spans="1:38">
      <c r="C54" t="s">
        <v>19</v>
      </c>
      <c r="D54" s="15">
        <v>0.16669999999999999</v>
      </c>
      <c r="E54" s="2">
        <f t="shared" ref="E54:P54" si="155">$P$10*$D$54/12</f>
        <v>1997.3061036645013</v>
      </c>
      <c r="F54" s="2">
        <f t="shared" si="155"/>
        <v>1997.3061036645013</v>
      </c>
      <c r="G54" s="2">
        <f t="shared" si="155"/>
        <v>1997.3061036645013</v>
      </c>
      <c r="H54" s="2">
        <f t="shared" si="155"/>
        <v>1997.3061036645013</v>
      </c>
      <c r="I54" s="2">
        <f t="shared" si="155"/>
        <v>1997.3061036645013</v>
      </c>
      <c r="J54" s="2">
        <f t="shared" si="155"/>
        <v>1997.3061036645013</v>
      </c>
      <c r="K54" s="2">
        <f t="shared" si="155"/>
        <v>1997.3061036645013</v>
      </c>
      <c r="L54" s="2">
        <f t="shared" si="155"/>
        <v>1997.3061036645013</v>
      </c>
      <c r="M54" s="2">
        <f t="shared" si="155"/>
        <v>1997.3061036645013</v>
      </c>
      <c r="N54" s="2">
        <f t="shared" si="155"/>
        <v>1997.3061036645013</v>
      </c>
      <c r="O54" s="2">
        <f t="shared" si="155"/>
        <v>1997.3061036645013</v>
      </c>
      <c r="P54" s="2">
        <f t="shared" si="155"/>
        <v>1997.3061036645013</v>
      </c>
      <c r="Q54" s="10">
        <f t="shared" ref="Q54" si="156">SUM(E54:P54)</f>
        <v>23967.673243974015</v>
      </c>
      <c r="R54" s="2">
        <f t="shared" ref="R54:AC54" si="157">($AC$10-$P$10)*$D$54/12</f>
        <v>48770.009264498491</v>
      </c>
      <c r="S54" s="2">
        <f t="shared" si="157"/>
        <v>48770.009264498491</v>
      </c>
      <c r="T54" s="2">
        <f t="shared" si="157"/>
        <v>48770.009264498491</v>
      </c>
      <c r="U54" s="2">
        <f t="shared" si="157"/>
        <v>48770.009264498491</v>
      </c>
      <c r="V54" s="2">
        <f t="shared" si="157"/>
        <v>48770.009264498491</v>
      </c>
      <c r="W54" s="2">
        <f t="shared" si="157"/>
        <v>48770.009264498491</v>
      </c>
      <c r="X54" s="2">
        <f t="shared" si="157"/>
        <v>48770.009264498491</v>
      </c>
      <c r="Y54" s="2">
        <f t="shared" si="157"/>
        <v>48770.009264498491</v>
      </c>
      <c r="Z54" s="2">
        <f t="shared" si="157"/>
        <v>48770.009264498491</v>
      </c>
      <c r="AA54" s="2">
        <f t="shared" si="157"/>
        <v>48770.009264498491</v>
      </c>
      <c r="AB54" s="2">
        <f t="shared" si="157"/>
        <v>48770.009264498491</v>
      </c>
      <c r="AC54" s="2">
        <f t="shared" si="157"/>
        <v>48770.009264498491</v>
      </c>
      <c r="AD54" s="2">
        <f>($AL$10-$AC$10)*$D$54/12</f>
        <v>110358.04366334913</v>
      </c>
      <c r="AE54" s="2">
        <f t="shared" ref="AE54:AL54" si="158">($AL$10-$AC$10)*$D$54/12</f>
        <v>110358.04366334913</v>
      </c>
      <c r="AF54" s="2">
        <f t="shared" si="158"/>
        <v>110358.04366334913</v>
      </c>
      <c r="AG54" s="2">
        <f t="shared" si="158"/>
        <v>110358.04366334913</v>
      </c>
      <c r="AH54" s="2">
        <f t="shared" si="158"/>
        <v>110358.04366334913</v>
      </c>
      <c r="AI54" s="2">
        <f t="shared" si="158"/>
        <v>110358.04366334913</v>
      </c>
      <c r="AJ54" s="2">
        <f t="shared" si="158"/>
        <v>110358.04366334913</v>
      </c>
      <c r="AK54" s="2">
        <f t="shared" si="158"/>
        <v>110358.04366334913</v>
      </c>
      <c r="AL54" s="2">
        <f t="shared" si="158"/>
        <v>110358.04366334913</v>
      </c>
    </row>
    <row r="55" spans="1:38">
      <c r="C55" s="7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0"/>
      <c r="R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3.5" thickBot="1">
      <c r="B56" t="s">
        <v>2</v>
      </c>
      <c r="E56" s="5">
        <f>SUM(E48:E55)</f>
        <v>11270.001133975544</v>
      </c>
      <c r="F56" s="5">
        <f t="shared" ref="F56:P56" si="159">SUM(F48:F55)</f>
        <v>11270.001133975544</v>
      </c>
      <c r="G56" s="5">
        <f t="shared" si="159"/>
        <v>11270.001133975544</v>
      </c>
      <c r="H56" s="5">
        <f t="shared" si="159"/>
        <v>11270.001133975544</v>
      </c>
      <c r="I56" s="5">
        <f t="shared" si="159"/>
        <v>11270.001133975544</v>
      </c>
      <c r="J56" s="5">
        <f t="shared" si="159"/>
        <v>11270.001133975544</v>
      </c>
      <c r="K56" s="5">
        <f t="shared" si="159"/>
        <v>11270.001133975544</v>
      </c>
      <c r="L56" s="5">
        <f t="shared" si="159"/>
        <v>11270.001133975544</v>
      </c>
      <c r="M56" s="5">
        <f t="shared" si="159"/>
        <v>11270.001133975544</v>
      </c>
      <c r="N56" s="5">
        <f t="shared" si="159"/>
        <v>11270.001133975544</v>
      </c>
      <c r="O56" s="5">
        <f t="shared" si="159"/>
        <v>11270.001133975544</v>
      </c>
      <c r="P56" s="5">
        <f t="shared" si="159"/>
        <v>11270.001133975544</v>
      </c>
      <c r="Q56" s="11">
        <f>SUM(Q48:Q55)</f>
        <v>135240.01360770653</v>
      </c>
      <c r="R56" s="5">
        <f>SUM(R48:R55)</f>
        <v>66153.508481157638</v>
      </c>
      <c r="S56" s="5">
        <f t="shared" ref="S56:AL56" si="160">SUM(S48:S55)</f>
        <v>66153.508481157638</v>
      </c>
      <c r="T56" s="5">
        <f t="shared" si="160"/>
        <v>66153.508481157638</v>
      </c>
      <c r="U56" s="5">
        <f t="shared" si="160"/>
        <v>66153.508481157638</v>
      </c>
      <c r="V56" s="5">
        <f t="shared" si="160"/>
        <v>66153.508481157638</v>
      </c>
      <c r="W56" s="5">
        <f t="shared" si="160"/>
        <v>66153.508481157638</v>
      </c>
      <c r="X56" s="5">
        <f t="shared" si="160"/>
        <v>66153.508481157638</v>
      </c>
      <c r="Y56" s="5">
        <f t="shared" si="160"/>
        <v>66153.508481157638</v>
      </c>
      <c r="Z56" s="5">
        <f t="shared" si="160"/>
        <v>66153.508481157638</v>
      </c>
      <c r="AA56" s="5">
        <f t="shared" si="160"/>
        <v>66153.508481157638</v>
      </c>
      <c r="AB56" s="5">
        <f t="shared" si="160"/>
        <v>66153.508481157638</v>
      </c>
      <c r="AC56" s="5">
        <f t="shared" si="160"/>
        <v>66153.508481157638</v>
      </c>
      <c r="AD56" s="5">
        <f>SUM(AD48:AD55)</f>
        <v>110358.04366334913</v>
      </c>
      <c r="AE56" s="5">
        <f t="shared" si="160"/>
        <v>110358.04366334913</v>
      </c>
      <c r="AF56" s="5">
        <f t="shared" si="160"/>
        <v>110358.04366334913</v>
      </c>
      <c r="AG56" s="5">
        <f t="shared" si="160"/>
        <v>110358.04366334913</v>
      </c>
      <c r="AH56" s="5">
        <f t="shared" si="160"/>
        <v>110358.04366334913</v>
      </c>
      <c r="AI56" s="5">
        <f t="shared" si="160"/>
        <v>110358.04366334913</v>
      </c>
      <c r="AJ56" s="5">
        <f t="shared" si="160"/>
        <v>110358.04366334913</v>
      </c>
      <c r="AK56" s="5">
        <f t="shared" si="160"/>
        <v>110358.04366334913</v>
      </c>
      <c r="AL56" s="5">
        <f t="shared" si="160"/>
        <v>110358.04366334913</v>
      </c>
    </row>
    <row r="58" spans="1:38">
      <c r="A58" s="1" t="s">
        <v>20</v>
      </c>
      <c r="B58" t="s">
        <v>1</v>
      </c>
      <c r="C58" t="s">
        <v>17</v>
      </c>
      <c r="D58" s="15">
        <v>7.2190000000000004E-2</v>
      </c>
      <c r="E58" s="2"/>
      <c r="Q58" s="10">
        <f>SUM(E58:P58)</f>
        <v>0</v>
      </c>
      <c r="R58" s="2">
        <f>$P$4*$D$58/12</f>
        <v>0</v>
      </c>
      <c r="S58" s="2">
        <f t="shared" ref="S58:AC58" si="161">$P$4*$D$58/12</f>
        <v>0</v>
      </c>
      <c r="T58" s="2">
        <f t="shared" si="161"/>
        <v>0</v>
      </c>
      <c r="U58" s="2">
        <f t="shared" si="161"/>
        <v>0</v>
      </c>
      <c r="V58" s="2">
        <f t="shared" si="161"/>
        <v>0</v>
      </c>
      <c r="W58" s="2">
        <f t="shared" si="161"/>
        <v>0</v>
      </c>
      <c r="X58" s="2">
        <f t="shared" si="161"/>
        <v>0</v>
      </c>
      <c r="Y58" s="2">
        <f t="shared" si="161"/>
        <v>0</v>
      </c>
      <c r="Z58" s="2">
        <f t="shared" si="161"/>
        <v>0</v>
      </c>
      <c r="AA58" s="2">
        <f t="shared" si="161"/>
        <v>0</v>
      </c>
      <c r="AB58" s="2">
        <f t="shared" si="161"/>
        <v>0</v>
      </c>
      <c r="AC58" s="2">
        <f t="shared" si="161"/>
        <v>0</v>
      </c>
      <c r="AD58" s="2">
        <f>($AC$4-$P$4)*$D$58/12</f>
        <v>1125.8057618184444</v>
      </c>
      <c r="AE58" s="2">
        <f t="shared" ref="AE58:AL58" si="162">($AC$4-$P$4)*$D$58/12</f>
        <v>1125.8057618184444</v>
      </c>
      <c r="AF58" s="2">
        <f t="shared" si="162"/>
        <v>1125.8057618184444</v>
      </c>
      <c r="AG58" s="2">
        <f t="shared" si="162"/>
        <v>1125.8057618184444</v>
      </c>
      <c r="AH58" s="2">
        <f t="shared" si="162"/>
        <v>1125.8057618184444</v>
      </c>
      <c r="AI58" s="2">
        <f t="shared" si="162"/>
        <v>1125.8057618184444</v>
      </c>
      <c r="AJ58" s="2">
        <f t="shared" si="162"/>
        <v>1125.8057618184444</v>
      </c>
      <c r="AK58" s="2">
        <f t="shared" si="162"/>
        <v>1125.8057618184444</v>
      </c>
      <c r="AL58" s="2">
        <f t="shared" si="162"/>
        <v>1125.8057618184444</v>
      </c>
    </row>
    <row r="59" spans="1:38">
      <c r="C59" t="s">
        <v>14</v>
      </c>
      <c r="D59" s="15">
        <v>7.2190000000000004E-2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0">
        <f t="shared" ref="Q59:Q64" si="163">SUM(E59:P59)</f>
        <v>0</v>
      </c>
      <c r="R59" s="2">
        <f>$P$5*$D$59/12</f>
        <v>865.53301556318013</v>
      </c>
      <c r="S59" s="2">
        <f t="shared" ref="S59:AC59" si="164">$P$5*$D$59/12</f>
        <v>865.53301556318013</v>
      </c>
      <c r="T59" s="2">
        <f t="shared" si="164"/>
        <v>865.53301556318013</v>
      </c>
      <c r="U59" s="2">
        <f t="shared" si="164"/>
        <v>865.53301556318013</v>
      </c>
      <c r="V59" s="2">
        <f t="shared" si="164"/>
        <v>865.53301556318013</v>
      </c>
      <c r="W59" s="2">
        <f t="shared" si="164"/>
        <v>865.53301556318013</v>
      </c>
      <c r="X59" s="2">
        <f t="shared" si="164"/>
        <v>865.53301556318013</v>
      </c>
      <c r="Y59" s="2">
        <f t="shared" si="164"/>
        <v>865.53301556318013</v>
      </c>
      <c r="Z59" s="2">
        <f t="shared" si="164"/>
        <v>865.53301556318013</v>
      </c>
      <c r="AA59" s="2">
        <f t="shared" si="164"/>
        <v>865.53301556318013</v>
      </c>
      <c r="AB59" s="2">
        <f t="shared" si="164"/>
        <v>865.53301556318013</v>
      </c>
      <c r="AC59" s="2">
        <f t="shared" si="164"/>
        <v>865.53301556318013</v>
      </c>
      <c r="AD59" s="2">
        <f>($AC$5-$P$5)*$D$59/12</f>
        <v>8173.3075197023691</v>
      </c>
      <c r="AE59" s="2">
        <f t="shared" ref="AE59:AL59" si="165">($AC$5-$P$5)*$D$59/12</f>
        <v>8173.3075197023691</v>
      </c>
      <c r="AF59" s="2">
        <f t="shared" si="165"/>
        <v>8173.3075197023691</v>
      </c>
      <c r="AG59" s="2">
        <f t="shared" si="165"/>
        <v>8173.3075197023691</v>
      </c>
      <c r="AH59" s="2">
        <f t="shared" si="165"/>
        <v>8173.3075197023691</v>
      </c>
      <c r="AI59" s="2">
        <f t="shared" si="165"/>
        <v>8173.3075197023691</v>
      </c>
      <c r="AJ59" s="2">
        <f t="shared" si="165"/>
        <v>8173.3075197023691</v>
      </c>
      <c r="AK59" s="2">
        <f t="shared" si="165"/>
        <v>8173.3075197023691</v>
      </c>
      <c r="AL59" s="2">
        <f t="shared" si="165"/>
        <v>8173.3075197023691</v>
      </c>
    </row>
    <row r="60" spans="1:38">
      <c r="C60" t="s">
        <v>141</v>
      </c>
      <c r="D60" s="15">
        <v>7.2190000000000004E-2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0">
        <f t="shared" si="163"/>
        <v>0</v>
      </c>
      <c r="R60" s="2">
        <f>$P$6*$D$60/12</f>
        <v>3338.1232981462604</v>
      </c>
      <c r="S60" s="2">
        <f t="shared" ref="S60:AC60" si="166">$P$6*$D$60/12</f>
        <v>3338.1232981462604</v>
      </c>
      <c r="T60" s="2">
        <f t="shared" si="166"/>
        <v>3338.1232981462604</v>
      </c>
      <c r="U60" s="2">
        <f t="shared" si="166"/>
        <v>3338.1232981462604</v>
      </c>
      <c r="V60" s="2">
        <f t="shared" si="166"/>
        <v>3338.1232981462604</v>
      </c>
      <c r="W60" s="2">
        <f t="shared" si="166"/>
        <v>3338.1232981462604</v>
      </c>
      <c r="X60" s="2">
        <f t="shared" si="166"/>
        <v>3338.1232981462604</v>
      </c>
      <c r="Y60" s="2">
        <f t="shared" si="166"/>
        <v>3338.1232981462604</v>
      </c>
      <c r="Z60" s="2">
        <f t="shared" si="166"/>
        <v>3338.1232981462604</v>
      </c>
      <c r="AA60" s="2">
        <f t="shared" si="166"/>
        <v>3338.1232981462604</v>
      </c>
      <c r="AB60" s="2">
        <f t="shared" si="166"/>
        <v>3338.1232981462604</v>
      </c>
      <c r="AC60" s="2">
        <f t="shared" si="166"/>
        <v>3338.1232981462604</v>
      </c>
      <c r="AD60" s="2">
        <f>($AC$6-$P$6)*$D$60/12</f>
        <v>15850.817802028998</v>
      </c>
      <c r="AE60" s="2">
        <f t="shared" ref="AE60:AL60" si="167">($AC$6-$P$6)*$D$60/12</f>
        <v>15850.817802028998</v>
      </c>
      <c r="AF60" s="2">
        <f t="shared" si="167"/>
        <v>15850.817802028998</v>
      </c>
      <c r="AG60" s="2">
        <f t="shared" si="167"/>
        <v>15850.817802028998</v>
      </c>
      <c r="AH60" s="2">
        <f t="shared" si="167"/>
        <v>15850.817802028998</v>
      </c>
      <c r="AI60" s="2">
        <f t="shared" si="167"/>
        <v>15850.817802028998</v>
      </c>
      <c r="AJ60" s="2">
        <f t="shared" si="167"/>
        <v>15850.817802028998</v>
      </c>
      <c r="AK60" s="2">
        <f t="shared" si="167"/>
        <v>15850.817802028998</v>
      </c>
      <c r="AL60" s="2">
        <f t="shared" si="167"/>
        <v>15850.817802028998</v>
      </c>
    </row>
    <row r="61" spans="1:38">
      <c r="C61" t="s">
        <v>148</v>
      </c>
      <c r="D61" s="15">
        <v>7.2190000000000004E-2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0">
        <f t="shared" si="163"/>
        <v>0</v>
      </c>
      <c r="R61" s="2">
        <f>$P$7*$D$61/12</f>
        <v>2689.5736542900499</v>
      </c>
      <c r="S61" s="2">
        <f t="shared" ref="S61:AC61" si="168">$P$7*$D$61/12</f>
        <v>2689.5736542900499</v>
      </c>
      <c r="T61" s="2">
        <f t="shared" si="168"/>
        <v>2689.5736542900499</v>
      </c>
      <c r="U61" s="2">
        <f t="shared" si="168"/>
        <v>2689.5736542900499</v>
      </c>
      <c r="V61" s="2">
        <f t="shared" si="168"/>
        <v>2689.5736542900499</v>
      </c>
      <c r="W61" s="2">
        <f t="shared" si="168"/>
        <v>2689.5736542900499</v>
      </c>
      <c r="X61" s="2">
        <f t="shared" si="168"/>
        <v>2689.5736542900499</v>
      </c>
      <c r="Y61" s="2">
        <f t="shared" si="168"/>
        <v>2689.5736542900499</v>
      </c>
      <c r="Z61" s="2">
        <f t="shared" si="168"/>
        <v>2689.5736542900499</v>
      </c>
      <c r="AA61" s="2">
        <f t="shared" si="168"/>
        <v>2689.5736542900499</v>
      </c>
      <c r="AB61" s="2">
        <f t="shared" si="168"/>
        <v>2689.5736542900499</v>
      </c>
      <c r="AC61" s="2">
        <f t="shared" si="168"/>
        <v>2689.5736542900499</v>
      </c>
      <c r="AD61" s="2">
        <f>($AC$7-$P$7)*$D$61/12</f>
        <v>0</v>
      </c>
      <c r="AE61" s="2">
        <f t="shared" ref="AE61:AL61" si="169">($AC$7-$P$7)*$D$61/12</f>
        <v>0</v>
      </c>
      <c r="AF61" s="2">
        <f t="shared" si="169"/>
        <v>0</v>
      </c>
      <c r="AG61" s="2">
        <f t="shared" si="169"/>
        <v>0</v>
      </c>
      <c r="AH61" s="2">
        <f t="shared" si="169"/>
        <v>0</v>
      </c>
      <c r="AI61" s="2">
        <f t="shared" si="169"/>
        <v>0</v>
      </c>
      <c r="AJ61" s="2">
        <f t="shared" si="169"/>
        <v>0</v>
      </c>
      <c r="AK61" s="2">
        <f t="shared" si="169"/>
        <v>0</v>
      </c>
      <c r="AL61" s="2">
        <f t="shared" si="169"/>
        <v>0</v>
      </c>
    </row>
    <row r="62" spans="1:38">
      <c r="C62" t="s">
        <v>138</v>
      </c>
      <c r="D62" s="93">
        <v>0.24490000000000001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0">
        <f t="shared" si="163"/>
        <v>0</v>
      </c>
      <c r="R62" s="2">
        <f>$P$8*$D$62/12</f>
        <v>8823.1471349281182</v>
      </c>
      <c r="S62" s="2">
        <f t="shared" ref="S62:AC62" si="170">$P$8*$D$62/12</f>
        <v>8823.1471349281182</v>
      </c>
      <c r="T62" s="2">
        <f t="shared" si="170"/>
        <v>8823.1471349281182</v>
      </c>
      <c r="U62" s="2">
        <f t="shared" si="170"/>
        <v>8823.1471349281182</v>
      </c>
      <c r="V62" s="2">
        <f t="shared" si="170"/>
        <v>8823.1471349281182</v>
      </c>
      <c r="W62" s="2">
        <f t="shared" si="170"/>
        <v>8823.1471349281182</v>
      </c>
      <c r="X62" s="2">
        <f t="shared" si="170"/>
        <v>8823.1471349281182</v>
      </c>
      <c r="Y62" s="2">
        <f t="shared" si="170"/>
        <v>8823.1471349281182</v>
      </c>
      <c r="Z62" s="2">
        <f t="shared" si="170"/>
        <v>8823.1471349281182</v>
      </c>
      <c r="AA62" s="2">
        <f t="shared" si="170"/>
        <v>8823.1471349281182</v>
      </c>
      <c r="AB62" s="2">
        <f t="shared" si="170"/>
        <v>8823.1471349281182</v>
      </c>
      <c r="AC62" s="2">
        <f t="shared" si="170"/>
        <v>8823.1471349281182</v>
      </c>
      <c r="AD62" s="2">
        <f>($AC$8-$P$8)*$D$62/12</f>
        <v>7401.9309514951419</v>
      </c>
      <c r="AE62" s="2">
        <f t="shared" ref="AE62:AL62" si="171">($AC$8-$P$8)*$D$62/12</f>
        <v>7401.9309514951419</v>
      </c>
      <c r="AF62" s="2">
        <f t="shared" si="171"/>
        <v>7401.9309514951419</v>
      </c>
      <c r="AG62" s="2">
        <f t="shared" si="171"/>
        <v>7401.9309514951419</v>
      </c>
      <c r="AH62" s="2">
        <f t="shared" si="171"/>
        <v>7401.9309514951419</v>
      </c>
      <c r="AI62" s="2">
        <f t="shared" si="171"/>
        <v>7401.9309514951419</v>
      </c>
      <c r="AJ62" s="2">
        <f t="shared" si="171"/>
        <v>7401.9309514951419</v>
      </c>
      <c r="AK62" s="2">
        <f t="shared" si="171"/>
        <v>7401.9309514951419</v>
      </c>
      <c r="AL62" s="2">
        <f t="shared" si="171"/>
        <v>7401.9309514951419</v>
      </c>
    </row>
    <row r="63" spans="1:38">
      <c r="C63" t="s">
        <v>150</v>
      </c>
      <c r="D63" s="93">
        <v>0.32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0">
        <f t="shared" si="163"/>
        <v>0</v>
      </c>
      <c r="R63" s="2">
        <f>$P$9*$D$63/12</f>
        <v>869.73340560000031</v>
      </c>
      <c r="S63" s="2">
        <f t="shared" ref="S63:AC63" si="172">$P$9*$D$63/12</f>
        <v>869.73340560000031</v>
      </c>
      <c r="T63" s="2">
        <f t="shared" si="172"/>
        <v>869.73340560000031</v>
      </c>
      <c r="U63" s="2">
        <f t="shared" si="172"/>
        <v>869.73340560000031</v>
      </c>
      <c r="V63" s="2">
        <f t="shared" si="172"/>
        <v>869.73340560000031</v>
      </c>
      <c r="W63" s="2">
        <f t="shared" si="172"/>
        <v>869.73340560000031</v>
      </c>
      <c r="X63" s="2">
        <f t="shared" si="172"/>
        <v>869.73340560000031</v>
      </c>
      <c r="Y63" s="2">
        <f t="shared" si="172"/>
        <v>869.73340560000031</v>
      </c>
      <c r="Z63" s="2">
        <f t="shared" si="172"/>
        <v>869.73340560000031</v>
      </c>
      <c r="AA63" s="2">
        <f t="shared" si="172"/>
        <v>869.73340560000031</v>
      </c>
      <c r="AB63" s="2">
        <f t="shared" si="172"/>
        <v>869.73340560000031</v>
      </c>
      <c r="AC63" s="2">
        <f t="shared" si="172"/>
        <v>869.73340560000031</v>
      </c>
      <c r="AD63" s="2">
        <f>($AC$9-$P$9)*$D$63/12</f>
        <v>0</v>
      </c>
      <c r="AE63" s="2">
        <f t="shared" ref="AE63:AL63" si="173">($AC$9-$P$9)*$D$63/12</f>
        <v>0</v>
      </c>
      <c r="AF63" s="2">
        <f t="shared" si="173"/>
        <v>0</v>
      </c>
      <c r="AG63" s="2">
        <f t="shared" si="173"/>
        <v>0</v>
      </c>
      <c r="AH63" s="2">
        <f t="shared" si="173"/>
        <v>0</v>
      </c>
      <c r="AI63" s="2">
        <f t="shared" si="173"/>
        <v>0</v>
      </c>
      <c r="AJ63" s="2">
        <f t="shared" si="173"/>
        <v>0</v>
      </c>
      <c r="AK63" s="2">
        <f t="shared" si="173"/>
        <v>0</v>
      </c>
      <c r="AL63" s="2">
        <f t="shared" si="173"/>
        <v>0</v>
      </c>
    </row>
    <row r="64" spans="1:38">
      <c r="C64" t="s">
        <v>19</v>
      </c>
      <c r="D64" s="15">
        <v>0.33329999999999999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0">
        <f t="shared" si="163"/>
        <v>0</v>
      </c>
      <c r="R64" s="2">
        <f>$P$10*$D$64/12</f>
        <v>3993.414063295611</v>
      </c>
      <c r="S64" s="2">
        <f t="shared" ref="S64:AC64" si="174">$P$10*$D$64/12</f>
        <v>3993.414063295611</v>
      </c>
      <c r="T64" s="2">
        <f t="shared" si="174"/>
        <v>3993.414063295611</v>
      </c>
      <c r="U64" s="2">
        <f t="shared" si="174"/>
        <v>3993.414063295611</v>
      </c>
      <c r="V64" s="2">
        <f t="shared" si="174"/>
        <v>3993.414063295611</v>
      </c>
      <c r="W64" s="2">
        <f t="shared" si="174"/>
        <v>3993.414063295611</v>
      </c>
      <c r="X64" s="2">
        <f t="shared" si="174"/>
        <v>3993.414063295611</v>
      </c>
      <c r="Y64" s="2">
        <f t="shared" si="174"/>
        <v>3993.414063295611</v>
      </c>
      <c r="Z64" s="2">
        <f t="shared" si="174"/>
        <v>3993.414063295611</v>
      </c>
      <c r="AA64" s="2">
        <f t="shared" si="174"/>
        <v>3993.414063295611</v>
      </c>
      <c r="AB64" s="2">
        <f t="shared" si="174"/>
        <v>3993.414063295611</v>
      </c>
      <c r="AC64" s="2">
        <f t="shared" si="174"/>
        <v>3993.414063295611</v>
      </c>
      <c r="AD64" s="2">
        <f>($AC$10-$P$10)*$D$64/12</f>
        <v>97510.762374669153</v>
      </c>
      <c r="AE64" s="2">
        <f t="shared" ref="AE64:AL64" si="175">($AC$10-$P$10)*$D$64/12</f>
        <v>97510.762374669153</v>
      </c>
      <c r="AF64" s="2">
        <f t="shared" si="175"/>
        <v>97510.762374669153</v>
      </c>
      <c r="AG64" s="2">
        <f t="shared" si="175"/>
        <v>97510.762374669153</v>
      </c>
      <c r="AH64" s="2">
        <f t="shared" si="175"/>
        <v>97510.762374669153</v>
      </c>
      <c r="AI64" s="2">
        <f t="shared" si="175"/>
        <v>97510.762374669153</v>
      </c>
      <c r="AJ64" s="2">
        <f t="shared" si="175"/>
        <v>97510.762374669153</v>
      </c>
      <c r="AK64" s="2">
        <f t="shared" si="175"/>
        <v>97510.762374669153</v>
      </c>
      <c r="AL64" s="2">
        <f t="shared" si="175"/>
        <v>97510.762374669153</v>
      </c>
    </row>
    <row r="65" spans="1:38">
      <c r="C65" s="7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0"/>
      <c r="R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3.5" thickBot="1">
      <c r="B66" t="s">
        <v>2</v>
      </c>
      <c r="E66" s="5">
        <f>SUM(E58:E65)</f>
        <v>0</v>
      </c>
      <c r="F66" s="5">
        <f t="shared" ref="F66:P66" si="176">SUM(F58:F65)</f>
        <v>0</v>
      </c>
      <c r="G66" s="5">
        <f t="shared" si="176"/>
        <v>0</v>
      </c>
      <c r="H66" s="5">
        <f t="shared" si="176"/>
        <v>0</v>
      </c>
      <c r="I66" s="5">
        <f t="shared" si="176"/>
        <v>0</v>
      </c>
      <c r="J66" s="5">
        <f t="shared" si="176"/>
        <v>0</v>
      </c>
      <c r="K66" s="5">
        <f t="shared" si="176"/>
        <v>0</v>
      </c>
      <c r="L66" s="5">
        <f t="shared" si="176"/>
        <v>0</v>
      </c>
      <c r="M66" s="5">
        <f t="shared" si="176"/>
        <v>0</v>
      </c>
      <c r="N66" s="5">
        <f t="shared" si="176"/>
        <v>0</v>
      </c>
      <c r="O66" s="5">
        <f t="shared" si="176"/>
        <v>0</v>
      </c>
      <c r="P66" s="5">
        <f t="shared" si="176"/>
        <v>0</v>
      </c>
      <c r="Q66" s="11">
        <f>SUM(Q58:Q65)</f>
        <v>0</v>
      </c>
      <c r="R66" s="5">
        <f>SUM(R58:R65)</f>
        <v>20579.524571823222</v>
      </c>
      <c r="S66" s="5">
        <f t="shared" ref="S66:AL66" si="177">SUM(S58:S65)</f>
        <v>20579.524571823222</v>
      </c>
      <c r="T66" s="5">
        <f t="shared" si="177"/>
        <v>20579.524571823222</v>
      </c>
      <c r="U66" s="5">
        <f t="shared" si="177"/>
        <v>20579.524571823222</v>
      </c>
      <c r="V66" s="5">
        <f t="shared" si="177"/>
        <v>20579.524571823222</v>
      </c>
      <c r="W66" s="5">
        <f t="shared" si="177"/>
        <v>20579.524571823222</v>
      </c>
      <c r="X66" s="5">
        <f t="shared" si="177"/>
        <v>20579.524571823222</v>
      </c>
      <c r="Y66" s="5">
        <f t="shared" si="177"/>
        <v>20579.524571823222</v>
      </c>
      <c r="Z66" s="5">
        <f t="shared" si="177"/>
        <v>20579.524571823222</v>
      </c>
      <c r="AA66" s="5">
        <f t="shared" si="177"/>
        <v>20579.524571823222</v>
      </c>
      <c r="AB66" s="5">
        <f t="shared" si="177"/>
        <v>20579.524571823222</v>
      </c>
      <c r="AC66" s="5">
        <f t="shared" si="177"/>
        <v>20579.524571823222</v>
      </c>
      <c r="AD66" s="5">
        <f t="shared" si="177"/>
        <v>130062.6244097141</v>
      </c>
      <c r="AE66" s="5">
        <f t="shared" si="177"/>
        <v>130062.6244097141</v>
      </c>
      <c r="AF66" s="5">
        <f t="shared" si="177"/>
        <v>130062.6244097141</v>
      </c>
      <c r="AG66" s="5">
        <f t="shared" si="177"/>
        <v>130062.6244097141</v>
      </c>
      <c r="AH66" s="5">
        <f t="shared" si="177"/>
        <v>130062.6244097141</v>
      </c>
      <c r="AI66" s="5">
        <f t="shared" si="177"/>
        <v>130062.6244097141</v>
      </c>
      <c r="AJ66" s="5">
        <f t="shared" si="177"/>
        <v>130062.6244097141</v>
      </c>
      <c r="AK66" s="5">
        <f t="shared" si="177"/>
        <v>130062.6244097141</v>
      </c>
      <c r="AL66" s="5">
        <f t="shared" si="177"/>
        <v>130062.6244097141</v>
      </c>
    </row>
    <row r="68" spans="1:38">
      <c r="A68" s="1" t="s">
        <v>21</v>
      </c>
      <c r="B68" t="s">
        <v>1</v>
      </c>
      <c r="C68" t="s">
        <v>17</v>
      </c>
      <c r="D68" s="15">
        <v>6.6769999999999996E-2</v>
      </c>
      <c r="Q68" s="10">
        <f>SUM(E68:P68)</f>
        <v>0</v>
      </c>
      <c r="AD68" s="2">
        <f>$P$4*$D$68/12</f>
        <v>0</v>
      </c>
      <c r="AE68" s="2">
        <f t="shared" ref="AE68:AL68" si="178">$P$4*$D$68/12</f>
        <v>0</v>
      </c>
      <c r="AF68" s="2">
        <f t="shared" si="178"/>
        <v>0</v>
      </c>
      <c r="AG68" s="2">
        <f t="shared" si="178"/>
        <v>0</v>
      </c>
      <c r="AH68" s="2">
        <f t="shared" si="178"/>
        <v>0</v>
      </c>
      <c r="AI68" s="2">
        <f t="shared" si="178"/>
        <v>0</v>
      </c>
      <c r="AJ68" s="2">
        <f t="shared" si="178"/>
        <v>0</v>
      </c>
      <c r="AK68" s="2">
        <f t="shared" si="178"/>
        <v>0</v>
      </c>
      <c r="AL68" s="2">
        <f t="shared" si="178"/>
        <v>0</v>
      </c>
    </row>
    <row r="69" spans="1:38">
      <c r="C69" t="s">
        <v>14</v>
      </c>
      <c r="D69" s="15">
        <v>6.6769999999999996E-2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0">
        <f>SUM(E69:P69)</f>
        <v>0</v>
      </c>
      <c r="R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f>$P$5*$D$69/12</f>
        <v>800.54909889394003</v>
      </c>
      <c r="AE69" s="2">
        <f t="shared" ref="AE69:AL69" si="179">$P$5*$D$69/12</f>
        <v>800.54909889394003</v>
      </c>
      <c r="AF69" s="2">
        <f t="shared" si="179"/>
        <v>800.54909889394003</v>
      </c>
      <c r="AG69" s="2">
        <f t="shared" si="179"/>
        <v>800.54909889394003</v>
      </c>
      <c r="AH69" s="2">
        <f t="shared" si="179"/>
        <v>800.54909889394003</v>
      </c>
      <c r="AI69" s="2">
        <f t="shared" si="179"/>
        <v>800.54909889394003</v>
      </c>
      <c r="AJ69" s="2">
        <f t="shared" si="179"/>
        <v>800.54909889394003</v>
      </c>
      <c r="AK69" s="2">
        <f t="shared" si="179"/>
        <v>800.54909889394003</v>
      </c>
      <c r="AL69" s="2">
        <f t="shared" si="179"/>
        <v>800.54909889394003</v>
      </c>
    </row>
    <row r="70" spans="1:38">
      <c r="C70" t="s">
        <v>141</v>
      </c>
      <c r="D70" s="15">
        <v>6.6769999999999996E-2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0">
        <f>SUM(E70:P70)</f>
        <v>0</v>
      </c>
      <c r="R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f>$P$6*$D$70/12</f>
        <v>3087.4981661895799</v>
      </c>
      <c r="AE70" s="2">
        <f t="shared" ref="AE70:AL70" si="180">$P$6*$D$70/12</f>
        <v>3087.4981661895799</v>
      </c>
      <c r="AF70" s="2">
        <f t="shared" si="180"/>
        <v>3087.4981661895799</v>
      </c>
      <c r="AG70" s="2">
        <f t="shared" si="180"/>
        <v>3087.4981661895799</v>
      </c>
      <c r="AH70" s="2">
        <f t="shared" si="180"/>
        <v>3087.4981661895799</v>
      </c>
      <c r="AI70" s="2">
        <f t="shared" si="180"/>
        <v>3087.4981661895799</v>
      </c>
      <c r="AJ70" s="2">
        <f t="shared" si="180"/>
        <v>3087.4981661895799</v>
      </c>
      <c r="AK70" s="2">
        <f t="shared" si="180"/>
        <v>3087.4981661895799</v>
      </c>
      <c r="AL70" s="2">
        <f t="shared" si="180"/>
        <v>3087.4981661895799</v>
      </c>
    </row>
    <row r="71" spans="1:38">
      <c r="C71" t="s">
        <v>148</v>
      </c>
      <c r="D71" s="15">
        <v>6.6769999999999996E-2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0"/>
      <c r="R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f>$P$7*$D$71/12</f>
        <v>2487.6414031991499</v>
      </c>
      <c r="AE71" s="2">
        <f t="shared" ref="AE71:AL71" si="181">$P$7*$D$71/12</f>
        <v>2487.6414031991499</v>
      </c>
      <c r="AF71" s="2">
        <f t="shared" si="181"/>
        <v>2487.6414031991499</v>
      </c>
      <c r="AG71" s="2">
        <f t="shared" si="181"/>
        <v>2487.6414031991499</v>
      </c>
      <c r="AH71" s="2">
        <f t="shared" si="181"/>
        <v>2487.6414031991499</v>
      </c>
      <c r="AI71" s="2">
        <f t="shared" si="181"/>
        <v>2487.6414031991499</v>
      </c>
      <c r="AJ71" s="2">
        <f t="shared" si="181"/>
        <v>2487.6414031991499</v>
      </c>
      <c r="AK71" s="2">
        <f t="shared" si="181"/>
        <v>2487.6414031991499</v>
      </c>
      <c r="AL71" s="2">
        <f t="shared" si="181"/>
        <v>2487.6414031991499</v>
      </c>
    </row>
    <row r="72" spans="1:38">
      <c r="C72" t="s">
        <v>138</v>
      </c>
      <c r="D72" s="93">
        <v>0.1749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0"/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>$P$8*$D$72/12</f>
        <v>6301.2185949323311</v>
      </c>
      <c r="AE72" s="2">
        <f t="shared" ref="AE72:AL72" si="182">$P$8*$D$72/12</f>
        <v>6301.2185949323311</v>
      </c>
      <c r="AF72" s="2">
        <f t="shared" si="182"/>
        <v>6301.2185949323311</v>
      </c>
      <c r="AG72" s="2">
        <f t="shared" si="182"/>
        <v>6301.2185949323311</v>
      </c>
      <c r="AH72" s="2">
        <f t="shared" si="182"/>
        <v>6301.2185949323311</v>
      </c>
      <c r="AI72" s="2">
        <f t="shared" si="182"/>
        <v>6301.2185949323311</v>
      </c>
      <c r="AJ72" s="2">
        <f t="shared" si="182"/>
        <v>6301.2185949323311</v>
      </c>
      <c r="AK72" s="2">
        <f t="shared" si="182"/>
        <v>6301.2185949323311</v>
      </c>
      <c r="AL72" s="2">
        <f t="shared" si="182"/>
        <v>6301.2185949323311</v>
      </c>
    </row>
    <row r="73" spans="1:38">
      <c r="C73" t="s">
        <v>150</v>
      </c>
      <c r="D73" s="93">
        <v>0.192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0"/>
      <c r="R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f>$P$9*$D$73/12</f>
        <v>521.8400433600001</v>
      </c>
      <c r="AE73" s="2">
        <f t="shared" ref="AE73:AL73" si="183">$P$9*$D$73/12</f>
        <v>521.8400433600001</v>
      </c>
      <c r="AF73" s="2">
        <f t="shared" si="183"/>
        <v>521.8400433600001</v>
      </c>
      <c r="AG73" s="2">
        <f t="shared" si="183"/>
        <v>521.8400433600001</v>
      </c>
      <c r="AH73" s="2">
        <f t="shared" si="183"/>
        <v>521.8400433600001</v>
      </c>
      <c r="AI73" s="2">
        <f t="shared" si="183"/>
        <v>521.8400433600001</v>
      </c>
      <c r="AJ73" s="2">
        <f t="shared" si="183"/>
        <v>521.8400433600001</v>
      </c>
      <c r="AK73" s="2">
        <f t="shared" si="183"/>
        <v>521.8400433600001</v>
      </c>
      <c r="AL73" s="2">
        <f t="shared" si="183"/>
        <v>521.8400433600001</v>
      </c>
    </row>
    <row r="74" spans="1:38">
      <c r="C74" t="s">
        <v>19</v>
      </c>
      <c r="D74" s="15">
        <v>0.33329999999999999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0">
        <f t="shared" ref="Q74" si="184">SUM(E74:P74)</f>
        <v>0</v>
      </c>
      <c r="R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f>$P$10*$D$74/12</f>
        <v>3993.414063295611</v>
      </c>
      <c r="AE74" s="2">
        <f t="shared" ref="AE74:AL74" si="185">$P$10*$D$74/12</f>
        <v>3993.414063295611</v>
      </c>
      <c r="AF74" s="2">
        <f t="shared" si="185"/>
        <v>3993.414063295611</v>
      </c>
      <c r="AG74" s="2">
        <f t="shared" si="185"/>
        <v>3993.414063295611</v>
      </c>
      <c r="AH74" s="2">
        <f t="shared" si="185"/>
        <v>3993.414063295611</v>
      </c>
      <c r="AI74" s="2">
        <f t="shared" si="185"/>
        <v>3993.414063295611</v>
      </c>
      <c r="AJ74" s="2">
        <f t="shared" si="185"/>
        <v>3993.414063295611</v>
      </c>
      <c r="AK74" s="2">
        <f t="shared" si="185"/>
        <v>3993.414063295611</v>
      </c>
      <c r="AL74" s="2">
        <f t="shared" si="185"/>
        <v>3993.414063295611</v>
      </c>
    </row>
    <row r="75" spans="1:38">
      <c r="C75" s="7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0"/>
      <c r="R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3.5" thickBot="1">
      <c r="B76" t="s">
        <v>2</v>
      </c>
      <c r="E76" s="5">
        <f t="shared" ref="E76:AL76" si="186">SUM(E68:E75)</f>
        <v>0</v>
      </c>
      <c r="F76" s="5">
        <f t="shared" si="186"/>
        <v>0</v>
      </c>
      <c r="G76" s="5">
        <f t="shared" si="186"/>
        <v>0</v>
      </c>
      <c r="H76" s="5">
        <f t="shared" si="186"/>
        <v>0</v>
      </c>
      <c r="I76" s="5">
        <f t="shared" si="186"/>
        <v>0</v>
      </c>
      <c r="J76" s="5">
        <f t="shared" si="186"/>
        <v>0</v>
      </c>
      <c r="K76" s="5">
        <f t="shared" si="186"/>
        <v>0</v>
      </c>
      <c r="L76" s="5">
        <f t="shared" si="186"/>
        <v>0</v>
      </c>
      <c r="M76" s="5">
        <f t="shared" si="186"/>
        <v>0</v>
      </c>
      <c r="N76" s="5">
        <f t="shared" si="186"/>
        <v>0</v>
      </c>
      <c r="O76" s="5">
        <f t="shared" si="186"/>
        <v>0</v>
      </c>
      <c r="P76" s="5">
        <f t="shared" si="186"/>
        <v>0</v>
      </c>
      <c r="Q76" s="11">
        <f t="shared" si="186"/>
        <v>0</v>
      </c>
      <c r="R76" s="5">
        <f t="shared" si="186"/>
        <v>0</v>
      </c>
      <c r="S76" s="5">
        <f t="shared" si="186"/>
        <v>0</v>
      </c>
      <c r="T76" s="5">
        <f t="shared" si="186"/>
        <v>0</v>
      </c>
      <c r="U76" s="5">
        <f t="shared" si="186"/>
        <v>0</v>
      </c>
      <c r="V76" s="5">
        <f t="shared" si="186"/>
        <v>0</v>
      </c>
      <c r="W76" s="5">
        <f t="shared" si="186"/>
        <v>0</v>
      </c>
      <c r="X76" s="5">
        <f t="shared" si="186"/>
        <v>0</v>
      </c>
      <c r="Y76" s="5">
        <f t="shared" si="186"/>
        <v>0</v>
      </c>
      <c r="Z76" s="5">
        <f t="shared" si="186"/>
        <v>0</v>
      </c>
      <c r="AA76" s="5">
        <f t="shared" si="186"/>
        <v>0</v>
      </c>
      <c r="AB76" s="5">
        <f t="shared" si="186"/>
        <v>0</v>
      </c>
      <c r="AC76" s="5">
        <f t="shared" si="186"/>
        <v>0</v>
      </c>
      <c r="AD76" s="5">
        <f t="shared" si="186"/>
        <v>17192.161369870613</v>
      </c>
      <c r="AE76" s="5">
        <f t="shared" si="186"/>
        <v>17192.161369870613</v>
      </c>
      <c r="AF76" s="5">
        <f t="shared" si="186"/>
        <v>17192.161369870613</v>
      </c>
      <c r="AG76" s="5">
        <f t="shared" si="186"/>
        <v>17192.161369870613</v>
      </c>
      <c r="AH76" s="5">
        <f t="shared" si="186"/>
        <v>17192.161369870613</v>
      </c>
      <c r="AI76" s="5">
        <f t="shared" si="186"/>
        <v>17192.161369870613</v>
      </c>
      <c r="AJ76" s="5">
        <f t="shared" si="186"/>
        <v>17192.161369870613</v>
      </c>
      <c r="AK76" s="5">
        <f t="shared" si="186"/>
        <v>17192.161369870613</v>
      </c>
      <c r="AL76" s="5">
        <f t="shared" si="186"/>
        <v>17192.161369870613</v>
      </c>
    </row>
    <row r="78" spans="1:38">
      <c r="A78" s="1" t="s">
        <v>22</v>
      </c>
      <c r="B78" t="s">
        <v>1</v>
      </c>
      <c r="C78" t="s">
        <v>17</v>
      </c>
      <c r="E78" s="2">
        <f t="shared" ref="E78:P78" si="187">SUM(E48,E58,E68)</f>
        <v>0</v>
      </c>
      <c r="F78" s="2">
        <f t="shared" si="187"/>
        <v>0</v>
      </c>
      <c r="G78" s="2">
        <f t="shared" si="187"/>
        <v>0</v>
      </c>
      <c r="H78" s="2">
        <f t="shared" si="187"/>
        <v>0</v>
      </c>
      <c r="I78" s="2">
        <f t="shared" si="187"/>
        <v>0</v>
      </c>
      <c r="J78" s="2">
        <f t="shared" si="187"/>
        <v>0</v>
      </c>
      <c r="K78" s="2">
        <f t="shared" si="187"/>
        <v>0</v>
      </c>
      <c r="L78" s="2">
        <f t="shared" si="187"/>
        <v>0</v>
      </c>
      <c r="M78" s="2">
        <f t="shared" si="187"/>
        <v>0</v>
      </c>
      <c r="N78" s="2">
        <f t="shared" si="187"/>
        <v>0</v>
      </c>
      <c r="O78" s="2">
        <f t="shared" si="187"/>
        <v>0</v>
      </c>
      <c r="P78" s="2">
        <f t="shared" si="187"/>
        <v>0</v>
      </c>
      <c r="Q78" s="10">
        <f>SUM(E78:P78)</f>
        <v>0</v>
      </c>
      <c r="R78" s="2">
        <f t="shared" ref="R78:AL78" si="188">SUM(R48,R58,R68)</f>
        <v>584.81390868806841</v>
      </c>
      <c r="S78" s="2">
        <f t="shared" si="188"/>
        <v>584.81390868806841</v>
      </c>
      <c r="T78" s="2">
        <f t="shared" si="188"/>
        <v>584.81390868806841</v>
      </c>
      <c r="U78" s="2">
        <f t="shared" si="188"/>
        <v>584.81390868806841</v>
      </c>
      <c r="V78" s="2">
        <f t="shared" si="188"/>
        <v>584.81390868806841</v>
      </c>
      <c r="W78" s="2">
        <f t="shared" si="188"/>
        <v>584.81390868806841</v>
      </c>
      <c r="X78" s="2">
        <f t="shared" si="188"/>
        <v>584.81390868806841</v>
      </c>
      <c r="Y78" s="2">
        <f t="shared" si="188"/>
        <v>584.81390868806841</v>
      </c>
      <c r="Z78" s="2">
        <f t="shared" si="188"/>
        <v>584.81390868806841</v>
      </c>
      <c r="AA78" s="2">
        <f t="shared" si="188"/>
        <v>584.81390868806841</v>
      </c>
      <c r="AB78" s="2">
        <f t="shared" si="188"/>
        <v>584.81390868806841</v>
      </c>
      <c r="AC78" s="2">
        <f t="shared" si="188"/>
        <v>584.81390868806841</v>
      </c>
      <c r="AD78" s="2">
        <f t="shared" si="188"/>
        <v>1125.8057618184444</v>
      </c>
      <c r="AE78" s="2">
        <f t="shared" si="188"/>
        <v>1125.8057618184444</v>
      </c>
      <c r="AF78" s="2">
        <f t="shared" si="188"/>
        <v>1125.8057618184444</v>
      </c>
      <c r="AG78" s="2">
        <f t="shared" si="188"/>
        <v>1125.8057618184444</v>
      </c>
      <c r="AH78" s="2">
        <f t="shared" si="188"/>
        <v>1125.8057618184444</v>
      </c>
      <c r="AI78" s="2">
        <f t="shared" si="188"/>
        <v>1125.8057618184444</v>
      </c>
      <c r="AJ78" s="2">
        <f t="shared" si="188"/>
        <v>1125.8057618184444</v>
      </c>
      <c r="AK78" s="2">
        <f t="shared" si="188"/>
        <v>1125.8057618184444</v>
      </c>
      <c r="AL78" s="2">
        <f t="shared" si="188"/>
        <v>1125.8057618184444</v>
      </c>
    </row>
    <row r="79" spans="1:38">
      <c r="C79" t="s">
        <v>14</v>
      </c>
      <c r="D79" s="15"/>
      <c r="E79" s="2">
        <f t="shared" ref="E79:P79" si="189">SUM(E49,E59,E69)</f>
        <v>449.61196957500005</v>
      </c>
      <c r="F79" s="2">
        <f t="shared" si="189"/>
        <v>449.61196957500005</v>
      </c>
      <c r="G79" s="2">
        <f t="shared" si="189"/>
        <v>449.61196957500005</v>
      </c>
      <c r="H79" s="2">
        <f t="shared" si="189"/>
        <v>449.61196957500005</v>
      </c>
      <c r="I79" s="2">
        <f t="shared" si="189"/>
        <v>449.61196957500005</v>
      </c>
      <c r="J79" s="2">
        <f t="shared" si="189"/>
        <v>449.61196957500005</v>
      </c>
      <c r="K79" s="2">
        <f t="shared" si="189"/>
        <v>449.61196957500005</v>
      </c>
      <c r="L79" s="2">
        <f t="shared" si="189"/>
        <v>449.61196957500005</v>
      </c>
      <c r="M79" s="2">
        <f t="shared" si="189"/>
        <v>449.61196957500005</v>
      </c>
      <c r="N79" s="2">
        <f t="shared" si="189"/>
        <v>449.61196957500005</v>
      </c>
      <c r="O79" s="2">
        <f t="shared" si="189"/>
        <v>449.61196957500005</v>
      </c>
      <c r="P79" s="2">
        <f t="shared" si="189"/>
        <v>449.61196957500005</v>
      </c>
      <c r="Q79" s="10">
        <f t="shared" ref="Q79:Q84" si="190">SUM(E79:P79)</f>
        <v>5395.3436349000003</v>
      </c>
      <c r="R79" s="2">
        <f t="shared" ref="R79:AL79" si="191">SUM(R49,R59,R69)</f>
        <v>5111.2600136077681</v>
      </c>
      <c r="S79" s="2">
        <f t="shared" si="191"/>
        <v>5111.2600136077681</v>
      </c>
      <c r="T79" s="2">
        <f t="shared" si="191"/>
        <v>5111.2600136077681</v>
      </c>
      <c r="U79" s="2">
        <f t="shared" si="191"/>
        <v>5111.2600136077681</v>
      </c>
      <c r="V79" s="2">
        <f t="shared" si="191"/>
        <v>5111.2600136077681</v>
      </c>
      <c r="W79" s="2">
        <f t="shared" si="191"/>
        <v>5111.2600136077681</v>
      </c>
      <c r="X79" s="2">
        <f t="shared" si="191"/>
        <v>5111.2600136077681</v>
      </c>
      <c r="Y79" s="2">
        <f t="shared" si="191"/>
        <v>5111.2600136077681</v>
      </c>
      <c r="Z79" s="2">
        <f t="shared" si="191"/>
        <v>5111.2600136077681</v>
      </c>
      <c r="AA79" s="2">
        <f t="shared" si="191"/>
        <v>5111.2600136077681</v>
      </c>
      <c r="AB79" s="2">
        <f t="shared" si="191"/>
        <v>5111.2600136077681</v>
      </c>
      <c r="AC79" s="2">
        <f t="shared" si="191"/>
        <v>5111.2600136077681</v>
      </c>
      <c r="AD79" s="2">
        <f t="shared" si="191"/>
        <v>8973.85661859631</v>
      </c>
      <c r="AE79" s="2">
        <f t="shared" si="191"/>
        <v>8973.85661859631</v>
      </c>
      <c r="AF79" s="2">
        <f t="shared" si="191"/>
        <v>8973.85661859631</v>
      </c>
      <c r="AG79" s="2">
        <f t="shared" si="191"/>
        <v>8973.85661859631</v>
      </c>
      <c r="AH79" s="2">
        <f t="shared" si="191"/>
        <v>8973.85661859631</v>
      </c>
      <c r="AI79" s="2">
        <f t="shared" si="191"/>
        <v>8973.85661859631</v>
      </c>
      <c r="AJ79" s="2">
        <f t="shared" si="191"/>
        <v>8973.85661859631</v>
      </c>
      <c r="AK79" s="2">
        <f t="shared" si="191"/>
        <v>8973.85661859631</v>
      </c>
      <c r="AL79" s="2">
        <f t="shared" si="191"/>
        <v>8973.85661859631</v>
      </c>
    </row>
    <row r="80" spans="1:38">
      <c r="C80" t="s">
        <v>141</v>
      </c>
      <c r="D80" s="15"/>
      <c r="E80" s="2">
        <f t="shared" ref="E80:P80" si="192">SUM(E50,E60,E70)</f>
        <v>1734.0299720250002</v>
      </c>
      <c r="F80" s="2">
        <f t="shared" si="192"/>
        <v>1734.0299720250002</v>
      </c>
      <c r="G80" s="2">
        <f t="shared" si="192"/>
        <v>1734.0299720250002</v>
      </c>
      <c r="H80" s="2">
        <f t="shared" si="192"/>
        <v>1734.0299720250002</v>
      </c>
      <c r="I80" s="2">
        <f t="shared" si="192"/>
        <v>1734.0299720250002</v>
      </c>
      <c r="J80" s="2">
        <f t="shared" si="192"/>
        <v>1734.0299720250002</v>
      </c>
      <c r="K80" s="2">
        <f t="shared" si="192"/>
        <v>1734.0299720250002</v>
      </c>
      <c r="L80" s="2">
        <f t="shared" si="192"/>
        <v>1734.0299720250002</v>
      </c>
      <c r="M80" s="2">
        <f t="shared" si="192"/>
        <v>1734.0299720250002</v>
      </c>
      <c r="N80" s="2">
        <f t="shared" si="192"/>
        <v>1734.0299720250002</v>
      </c>
      <c r="O80" s="2">
        <f t="shared" si="192"/>
        <v>1734.0299720250002</v>
      </c>
      <c r="P80" s="2">
        <f t="shared" si="192"/>
        <v>1734.0299720250002</v>
      </c>
      <c r="Q80" s="10">
        <f t="shared" si="190"/>
        <v>20808.359664300002</v>
      </c>
      <c r="R80" s="2">
        <f t="shared" ref="R80:AL80" si="193">SUM(R50,R60,R70)</f>
        <v>11572.029207220749</v>
      </c>
      <c r="S80" s="2">
        <f t="shared" si="193"/>
        <v>11572.029207220749</v>
      </c>
      <c r="T80" s="2">
        <f t="shared" si="193"/>
        <v>11572.029207220749</v>
      </c>
      <c r="U80" s="2">
        <f t="shared" si="193"/>
        <v>11572.029207220749</v>
      </c>
      <c r="V80" s="2">
        <f t="shared" si="193"/>
        <v>11572.029207220749</v>
      </c>
      <c r="W80" s="2">
        <f t="shared" si="193"/>
        <v>11572.029207220749</v>
      </c>
      <c r="X80" s="2">
        <f t="shared" si="193"/>
        <v>11572.029207220749</v>
      </c>
      <c r="Y80" s="2">
        <f t="shared" si="193"/>
        <v>11572.029207220749</v>
      </c>
      <c r="Z80" s="2">
        <f t="shared" si="193"/>
        <v>11572.029207220749</v>
      </c>
      <c r="AA80" s="2">
        <f t="shared" si="193"/>
        <v>11572.029207220749</v>
      </c>
      <c r="AB80" s="2">
        <f t="shared" si="193"/>
        <v>11572.029207220749</v>
      </c>
      <c r="AC80" s="2">
        <f t="shared" si="193"/>
        <v>11572.029207220749</v>
      </c>
      <c r="AD80" s="2">
        <f t="shared" si="193"/>
        <v>18938.31596821858</v>
      </c>
      <c r="AE80" s="2">
        <f t="shared" si="193"/>
        <v>18938.31596821858</v>
      </c>
      <c r="AF80" s="2">
        <f t="shared" si="193"/>
        <v>18938.31596821858</v>
      </c>
      <c r="AG80" s="2">
        <f t="shared" si="193"/>
        <v>18938.31596821858</v>
      </c>
      <c r="AH80" s="2">
        <f t="shared" si="193"/>
        <v>18938.31596821858</v>
      </c>
      <c r="AI80" s="2">
        <f t="shared" si="193"/>
        <v>18938.31596821858</v>
      </c>
      <c r="AJ80" s="2">
        <f t="shared" si="193"/>
        <v>18938.31596821858</v>
      </c>
      <c r="AK80" s="2">
        <f t="shared" si="193"/>
        <v>18938.31596821858</v>
      </c>
      <c r="AL80" s="2">
        <f t="shared" si="193"/>
        <v>18938.31596821858</v>
      </c>
    </row>
    <row r="81" spans="1:38">
      <c r="C81" t="s">
        <v>148</v>
      </c>
      <c r="D81" s="15"/>
      <c r="E81" s="2">
        <f t="shared" ref="E81:P81" si="194">SUM(E51,E61,E71)</f>
        <v>1397.1327335624999</v>
      </c>
      <c r="F81" s="2">
        <f t="shared" si="194"/>
        <v>1397.1327335624999</v>
      </c>
      <c r="G81" s="2">
        <f t="shared" si="194"/>
        <v>1397.1327335624999</v>
      </c>
      <c r="H81" s="2">
        <f t="shared" si="194"/>
        <v>1397.1327335624999</v>
      </c>
      <c r="I81" s="2">
        <f t="shared" si="194"/>
        <v>1397.1327335624999</v>
      </c>
      <c r="J81" s="2">
        <f t="shared" si="194"/>
        <v>1397.1327335624999</v>
      </c>
      <c r="K81" s="2">
        <f t="shared" si="194"/>
        <v>1397.1327335624999</v>
      </c>
      <c r="L81" s="2">
        <f t="shared" si="194"/>
        <v>1397.1327335624999</v>
      </c>
      <c r="M81" s="2">
        <f t="shared" si="194"/>
        <v>1397.1327335624999</v>
      </c>
      <c r="N81" s="2">
        <f t="shared" si="194"/>
        <v>1397.1327335624999</v>
      </c>
      <c r="O81" s="2">
        <f t="shared" si="194"/>
        <v>1397.1327335624999</v>
      </c>
      <c r="P81" s="2">
        <f t="shared" si="194"/>
        <v>1397.1327335624999</v>
      </c>
      <c r="Q81" s="10">
        <f t="shared" si="190"/>
        <v>16765.592802749994</v>
      </c>
      <c r="R81" s="2">
        <f t="shared" ref="R81:AL81" si="195">SUM(R51,R61,R71)</f>
        <v>2689.5736542900499</v>
      </c>
      <c r="S81" s="2">
        <f t="shared" si="195"/>
        <v>2689.5736542900499</v>
      </c>
      <c r="T81" s="2">
        <f t="shared" si="195"/>
        <v>2689.5736542900499</v>
      </c>
      <c r="U81" s="2">
        <f t="shared" si="195"/>
        <v>2689.5736542900499</v>
      </c>
      <c r="V81" s="2">
        <f t="shared" si="195"/>
        <v>2689.5736542900499</v>
      </c>
      <c r="W81" s="2">
        <f t="shared" si="195"/>
        <v>2689.5736542900499</v>
      </c>
      <c r="X81" s="2">
        <f t="shared" si="195"/>
        <v>2689.5736542900499</v>
      </c>
      <c r="Y81" s="2">
        <f t="shared" si="195"/>
        <v>2689.5736542900499</v>
      </c>
      <c r="Z81" s="2">
        <f t="shared" si="195"/>
        <v>2689.5736542900499</v>
      </c>
      <c r="AA81" s="2">
        <f t="shared" si="195"/>
        <v>2689.5736542900499</v>
      </c>
      <c r="AB81" s="2">
        <f t="shared" si="195"/>
        <v>2689.5736542900499</v>
      </c>
      <c r="AC81" s="2">
        <f t="shared" si="195"/>
        <v>2689.5736542900499</v>
      </c>
      <c r="AD81" s="2">
        <f t="shared" si="195"/>
        <v>2487.6414031991499</v>
      </c>
      <c r="AE81" s="2">
        <f t="shared" si="195"/>
        <v>2487.6414031991499</v>
      </c>
      <c r="AF81" s="2">
        <f t="shared" si="195"/>
        <v>2487.6414031991499</v>
      </c>
      <c r="AG81" s="2">
        <f t="shared" si="195"/>
        <v>2487.6414031991499</v>
      </c>
      <c r="AH81" s="2">
        <f t="shared" si="195"/>
        <v>2487.6414031991499</v>
      </c>
      <c r="AI81" s="2">
        <f t="shared" si="195"/>
        <v>2487.6414031991499</v>
      </c>
      <c r="AJ81" s="2">
        <f t="shared" si="195"/>
        <v>2487.6414031991499</v>
      </c>
      <c r="AK81" s="2">
        <f t="shared" si="195"/>
        <v>2487.6414031991499</v>
      </c>
      <c r="AL81" s="2">
        <f t="shared" si="195"/>
        <v>2487.6414031991499</v>
      </c>
    </row>
    <row r="82" spans="1:38">
      <c r="C82" t="s">
        <v>138</v>
      </c>
      <c r="D82" s="15"/>
      <c r="E82" s="2">
        <f t="shared" ref="E82:P82" si="196">SUM(E52,E62,E72)</f>
        <v>5148.3369766485421</v>
      </c>
      <c r="F82" s="2">
        <f t="shared" si="196"/>
        <v>5148.3369766485421</v>
      </c>
      <c r="G82" s="2">
        <f t="shared" si="196"/>
        <v>5148.3369766485421</v>
      </c>
      <c r="H82" s="2">
        <f t="shared" si="196"/>
        <v>5148.3369766485421</v>
      </c>
      <c r="I82" s="2">
        <f t="shared" si="196"/>
        <v>5148.3369766485421</v>
      </c>
      <c r="J82" s="2">
        <f t="shared" si="196"/>
        <v>5148.3369766485421</v>
      </c>
      <c r="K82" s="2">
        <f t="shared" si="196"/>
        <v>5148.3369766485421</v>
      </c>
      <c r="L82" s="2">
        <f t="shared" si="196"/>
        <v>5148.3369766485421</v>
      </c>
      <c r="M82" s="2">
        <f t="shared" si="196"/>
        <v>5148.3369766485421</v>
      </c>
      <c r="N82" s="2">
        <f t="shared" si="196"/>
        <v>5148.3369766485421</v>
      </c>
      <c r="O82" s="2">
        <f t="shared" si="196"/>
        <v>5148.3369766485421</v>
      </c>
      <c r="P82" s="2">
        <f t="shared" si="196"/>
        <v>5148.3369766485421</v>
      </c>
      <c r="Q82" s="10">
        <f t="shared" si="190"/>
        <v>61780.043719782501</v>
      </c>
      <c r="R82" s="2">
        <f t="shared" ref="R82:AL82" si="197">SUM(R52,R62,R72)</f>
        <v>13142.199535780122</v>
      </c>
      <c r="S82" s="2">
        <f t="shared" si="197"/>
        <v>13142.199535780122</v>
      </c>
      <c r="T82" s="2">
        <f t="shared" si="197"/>
        <v>13142.199535780122</v>
      </c>
      <c r="U82" s="2">
        <f t="shared" si="197"/>
        <v>13142.199535780122</v>
      </c>
      <c r="V82" s="2">
        <f t="shared" si="197"/>
        <v>13142.199535780122</v>
      </c>
      <c r="W82" s="2">
        <f t="shared" si="197"/>
        <v>13142.199535780122</v>
      </c>
      <c r="X82" s="2">
        <f t="shared" si="197"/>
        <v>13142.199535780122</v>
      </c>
      <c r="Y82" s="2">
        <f t="shared" si="197"/>
        <v>13142.199535780122</v>
      </c>
      <c r="Z82" s="2">
        <f t="shared" si="197"/>
        <v>13142.199535780122</v>
      </c>
      <c r="AA82" s="2">
        <f t="shared" si="197"/>
        <v>13142.199535780122</v>
      </c>
      <c r="AB82" s="2">
        <f t="shared" si="197"/>
        <v>13142.199535780122</v>
      </c>
      <c r="AC82" s="2">
        <f t="shared" si="197"/>
        <v>13142.199535780122</v>
      </c>
      <c r="AD82" s="2">
        <f t="shared" si="197"/>
        <v>13703.149546427474</v>
      </c>
      <c r="AE82" s="2">
        <f t="shared" si="197"/>
        <v>13703.149546427474</v>
      </c>
      <c r="AF82" s="2">
        <f t="shared" si="197"/>
        <v>13703.149546427474</v>
      </c>
      <c r="AG82" s="2">
        <f t="shared" si="197"/>
        <v>13703.149546427474</v>
      </c>
      <c r="AH82" s="2">
        <f t="shared" si="197"/>
        <v>13703.149546427474</v>
      </c>
      <c r="AI82" s="2">
        <f t="shared" si="197"/>
        <v>13703.149546427474</v>
      </c>
      <c r="AJ82" s="2">
        <f t="shared" si="197"/>
        <v>13703.149546427474</v>
      </c>
      <c r="AK82" s="2">
        <f t="shared" si="197"/>
        <v>13703.149546427474</v>
      </c>
      <c r="AL82" s="2">
        <f t="shared" si="197"/>
        <v>13703.149546427474</v>
      </c>
    </row>
    <row r="83" spans="1:38">
      <c r="C83" t="s">
        <v>150</v>
      </c>
      <c r="D83" s="15"/>
      <c r="E83" s="2">
        <f t="shared" ref="E83:P83" si="198">SUM(E53,E63,E73)</f>
        <v>543.58337850000009</v>
      </c>
      <c r="F83" s="2">
        <f t="shared" si="198"/>
        <v>543.58337850000009</v>
      </c>
      <c r="G83" s="2">
        <f t="shared" si="198"/>
        <v>543.58337850000009</v>
      </c>
      <c r="H83" s="2">
        <f t="shared" si="198"/>
        <v>543.58337850000009</v>
      </c>
      <c r="I83" s="2">
        <f t="shared" si="198"/>
        <v>543.58337850000009</v>
      </c>
      <c r="J83" s="2">
        <f t="shared" si="198"/>
        <v>543.58337850000009</v>
      </c>
      <c r="K83" s="2">
        <f t="shared" si="198"/>
        <v>543.58337850000009</v>
      </c>
      <c r="L83" s="2">
        <f t="shared" si="198"/>
        <v>543.58337850000009</v>
      </c>
      <c r="M83" s="2">
        <f t="shared" si="198"/>
        <v>543.58337850000009</v>
      </c>
      <c r="N83" s="2">
        <f t="shared" si="198"/>
        <v>543.58337850000009</v>
      </c>
      <c r="O83" s="2">
        <f t="shared" si="198"/>
        <v>543.58337850000009</v>
      </c>
      <c r="P83" s="2">
        <f t="shared" si="198"/>
        <v>543.58337850000009</v>
      </c>
      <c r="Q83" s="10">
        <f t="shared" si="190"/>
        <v>6523.0005420000025</v>
      </c>
      <c r="R83" s="2">
        <f t="shared" ref="R83:AL83" si="199">SUM(R53,R63,R73)</f>
        <v>869.73340560000031</v>
      </c>
      <c r="S83" s="2">
        <f t="shared" si="199"/>
        <v>869.73340560000031</v>
      </c>
      <c r="T83" s="2">
        <f t="shared" si="199"/>
        <v>869.73340560000031</v>
      </c>
      <c r="U83" s="2">
        <f t="shared" si="199"/>
        <v>869.73340560000031</v>
      </c>
      <c r="V83" s="2">
        <f t="shared" si="199"/>
        <v>869.73340560000031</v>
      </c>
      <c r="W83" s="2">
        <f t="shared" si="199"/>
        <v>869.73340560000031</v>
      </c>
      <c r="X83" s="2">
        <f t="shared" si="199"/>
        <v>869.73340560000031</v>
      </c>
      <c r="Y83" s="2">
        <f t="shared" si="199"/>
        <v>869.73340560000031</v>
      </c>
      <c r="Z83" s="2">
        <f t="shared" si="199"/>
        <v>869.73340560000031</v>
      </c>
      <c r="AA83" s="2">
        <f t="shared" si="199"/>
        <v>869.73340560000031</v>
      </c>
      <c r="AB83" s="2">
        <f t="shared" si="199"/>
        <v>869.73340560000031</v>
      </c>
      <c r="AC83" s="2">
        <f t="shared" si="199"/>
        <v>869.73340560000031</v>
      </c>
      <c r="AD83" s="2">
        <f t="shared" si="199"/>
        <v>521.8400433600001</v>
      </c>
      <c r="AE83" s="2">
        <f t="shared" si="199"/>
        <v>521.8400433600001</v>
      </c>
      <c r="AF83" s="2">
        <f t="shared" si="199"/>
        <v>521.8400433600001</v>
      </c>
      <c r="AG83" s="2">
        <f t="shared" si="199"/>
        <v>521.8400433600001</v>
      </c>
      <c r="AH83" s="2">
        <f t="shared" si="199"/>
        <v>521.8400433600001</v>
      </c>
      <c r="AI83" s="2">
        <f t="shared" si="199"/>
        <v>521.8400433600001</v>
      </c>
      <c r="AJ83" s="2">
        <f t="shared" si="199"/>
        <v>521.8400433600001</v>
      </c>
      <c r="AK83" s="2">
        <f t="shared" si="199"/>
        <v>521.8400433600001</v>
      </c>
      <c r="AL83" s="2">
        <f t="shared" si="199"/>
        <v>521.8400433600001</v>
      </c>
    </row>
    <row r="84" spans="1:38">
      <c r="C84" t="s">
        <v>19</v>
      </c>
      <c r="D84" s="15"/>
      <c r="E84" s="2">
        <f t="shared" ref="E84:P84" si="200">SUM(E54,E64,E74)</f>
        <v>1997.3061036645013</v>
      </c>
      <c r="F84" s="2">
        <f t="shared" si="200"/>
        <v>1997.3061036645013</v>
      </c>
      <c r="G84" s="2">
        <f t="shared" si="200"/>
        <v>1997.3061036645013</v>
      </c>
      <c r="H84" s="2">
        <f t="shared" si="200"/>
        <v>1997.3061036645013</v>
      </c>
      <c r="I84" s="2">
        <f t="shared" si="200"/>
        <v>1997.3061036645013</v>
      </c>
      <c r="J84" s="2">
        <f t="shared" si="200"/>
        <v>1997.3061036645013</v>
      </c>
      <c r="K84" s="2">
        <f t="shared" si="200"/>
        <v>1997.3061036645013</v>
      </c>
      <c r="L84" s="2">
        <f t="shared" si="200"/>
        <v>1997.3061036645013</v>
      </c>
      <c r="M84" s="2">
        <f t="shared" si="200"/>
        <v>1997.3061036645013</v>
      </c>
      <c r="N84" s="2">
        <f t="shared" si="200"/>
        <v>1997.3061036645013</v>
      </c>
      <c r="O84" s="2">
        <f t="shared" si="200"/>
        <v>1997.3061036645013</v>
      </c>
      <c r="P84" s="2">
        <f t="shared" si="200"/>
        <v>1997.3061036645013</v>
      </c>
      <c r="Q84" s="10">
        <f t="shared" si="190"/>
        <v>23967.673243974015</v>
      </c>
      <c r="R84" s="2">
        <f t="shared" ref="R84:AL84" si="201">SUM(R54,R64,R74)</f>
        <v>52763.423327794102</v>
      </c>
      <c r="S84" s="2">
        <f t="shared" si="201"/>
        <v>52763.423327794102</v>
      </c>
      <c r="T84" s="2">
        <f t="shared" si="201"/>
        <v>52763.423327794102</v>
      </c>
      <c r="U84" s="2">
        <f t="shared" si="201"/>
        <v>52763.423327794102</v>
      </c>
      <c r="V84" s="2">
        <f t="shared" si="201"/>
        <v>52763.423327794102</v>
      </c>
      <c r="W84" s="2">
        <f t="shared" si="201"/>
        <v>52763.423327794102</v>
      </c>
      <c r="X84" s="2">
        <f t="shared" si="201"/>
        <v>52763.423327794102</v>
      </c>
      <c r="Y84" s="2">
        <f t="shared" si="201"/>
        <v>52763.423327794102</v>
      </c>
      <c r="Z84" s="2">
        <f t="shared" si="201"/>
        <v>52763.423327794102</v>
      </c>
      <c r="AA84" s="2">
        <f t="shared" si="201"/>
        <v>52763.423327794102</v>
      </c>
      <c r="AB84" s="2">
        <f t="shared" si="201"/>
        <v>52763.423327794102</v>
      </c>
      <c r="AC84" s="2">
        <f t="shared" si="201"/>
        <v>52763.423327794102</v>
      </c>
      <c r="AD84" s="2">
        <f t="shared" si="201"/>
        <v>211862.2201013139</v>
      </c>
      <c r="AE84" s="2">
        <f t="shared" si="201"/>
        <v>211862.2201013139</v>
      </c>
      <c r="AF84" s="2">
        <f t="shared" si="201"/>
        <v>211862.2201013139</v>
      </c>
      <c r="AG84" s="2">
        <f t="shared" si="201"/>
        <v>211862.2201013139</v>
      </c>
      <c r="AH84" s="2">
        <f t="shared" si="201"/>
        <v>211862.2201013139</v>
      </c>
      <c r="AI84" s="2">
        <f t="shared" si="201"/>
        <v>211862.2201013139</v>
      </c>
      <c r="AJ84" s="2">
        <f t="shared" si="201"/>
        <v>211862.2201013139</v>
      </c>
      <c r="AK84" s="2">
        <f t="shared" si="201"/>
        <v>211862.2201013139</v>
      </c>
      <c r="AL84" s="2">
        <f t="shared" si="201"/>
        <v>211862.2201013139</v>
      </c>
    </row>
    <row r="85" spans="1:38" ht="13.5" thickBot="1">
      <c r="B85" t="s">
        <v>2</v>
      </c>
      <c r="E85" s="5">
        <f t="shared" ref="E85:O85" si="202">SUM(E78:E84)</f>
        <v>11270.001133975544</v>
      </c>
      <c r="F85" s="5">
        <f t="shared" si="202"/>
        <v>11270.001133975544</v>
      </c>
      <c r="G85" s="5">
        <f t="shared" si="202"/>
        <v>11270.001133975544</v>
      </c>
      <c r="H85" s="5">
        <f t="shared" si="202"/>
        <v>11270.001133975544</v>
      </c>
      <c r="I85" s="5">
        <f t="shared" si="202"/>
        <v>11270.001133975544</v>
      </c>
      <c r="J85" s="5">
        <f t="shared" si="202"/>
        <v>11270.001133975544</v>
      </c>
      <c r="K85" s="5">
        <f t="shared" si="202"/>
        <v>11270.001133975544</v>
      </c>
      <c r="L85" s="5">
        <f t="shared" si="202"/>
        <v>11270.001133975544</v>
      </c>
      <c r="M85" s="5">
        <f t="shared" si="202"/>
        <v>11270.001133975544</v>
      </c>
      <c r="N85" s="5">
        <f t="shared" si="202"/>
        <v>11270.001133975544</v>
      </c>
      <c r="O85" s="5">
        <f t="shared" si="202"/>
        <v>11270.001133975544</v>
      </c>
      <c r="P85" s="5">
        <f>SUM(P78:P84)</f>
        <v>11270.001133975544</v>
      </c>
      <c r="Q85" s="11">
        <f>SUM(Q78:Q84)</f>
        <v>135240.01360770653</v>
      </c>
      <c r="R85" s="5">
        <f>SUM(R78:R84)</f>
        <v>86733.033052980871</v>
      </c>
      <c r="S85" s="5">
        <f t="shared" ref="S85:AL85" si="203">SUM(S78:S84)</f>
        <v>86733.033052980871</v>
      </c>
      <c r="T85" s="5">
        <f t="shared" si="203"/>
        <v>86733.033052980871</v>
      </c>
      <c r="U85" s="5">
        <f t="shared" si="203"/>
        <v>86733.033052980871</v>
      </c>
      <c r="V85" s="5">
        <f t="shared" si="203"/>
        <v>86733.033052980871</v>
      </c>
      <c r="W85" s="5">
        <f t="shared" si="203"/>
        <v>86733.033052980871</v>
      </c>
      <c r="X85" s="5">
        <f t="shared" si="203"/>
        <v>86733.033052980871</v>
      </c>
      <c r="Y85" s="5">
        <f t="shared" si="203"/>
        <v>86733.033052980871</v>
      </c>
      <c r="Z85" s="5">
        <f t="shared" si="203"/>
        <v>86733.033052980871</v>
      </c>
      <c r="AA85" s="5">
        <f t="shared" si="203"/>
        <v>86733.033052980871</v>
      </c>
      <c r="AB85" s="5">
        <f t="shared" si="203"/>
        <v>86733.033052980871</v>
      </c>
      <c r="AC85" s="5">
        <f t="shared" si="203"/>
        <v>86733.033052980871</v>
      </c>
      <c r="AD85" s="5">
        <f t="shared" si="203"/>
        <v>257612.82944293384</v>
      </c>
      <c r="AE85" s="5">
        <f t="shared" si="203"/>
        <v>257612.82944293384</v>
      </c>
      <c r="AF85" s="5">
        <f t="shared" si="203"/>
        <v>257612.82944293384</v>
      </c>
      <c r="AG85" s="5">
        <f t="shared" si="203"/>
        <v>257612.82944293384</v>
      </c>
      <c r="AH85" s="5">
        <f t="shared" si="203"/>
        <v>257612.82944293384</v>
      </c>
      <c r="AI85" s="5">
        <f t="shared" si="203"/>
        <v>257612.82944293384</v>
      </c>
      <c r="AJ85" s="5">
        <f t="shared" si="203"/>
        <v>257612.82944293384</v>
      </c>
      <c r="AK85" s="5">
        <f t="shared" si="203"/>
        <v>257612.82944293384</v>
      </c>
      <c r="AL85" s="5">
        <f t="shared" si="203"/>
        <v>257612.82944293384</v>
      </c>
    </row>
    <row r="88" spans="1:38">
      <c r="A88" s="1" t="s">
        <v>23</v>
      </c>
      <c r="B88" t="s">
        <v>1</v>
      </c>
      <c r="C88" t="s">
        <v>17</v>
      </c>
      <c r="E88" s="2">
        <f>-E78</f>
        <v>0</v>
      </c>
      <c r="F88" s="2">
        <f t="shared" ref="F88" si="204">E88-F78</f>
        <v>0</v>
      </c>
      <c r="G88" s="2">
        <f t="shared" ref="G88:P88" si="205">F88-G78</f>
        <v>0</v>
      </c>
      <c r="H88" s="2">
        <f t="shared" si="205"/>
        <v>0</v>
      </c>
      <c r="I88" s="2">
        <f t="shared" si="205"/>
        <v>0</v>
      </c>
      <c r="J88" s="2">
        <f t="shared" si="205"/>
        <v>0</v>
      </c>
      <c r="K88" s="2">
        <f t="shared" si="205"/>
        <v>0</v>
      </c>
      <c r="L88" s="2">
        <f t="shared" si="205"/>
        <v>0</v>
      </c>
      <c r="M88" s="2">
        <f t="shared" si="205"/>
        <v>0</v>
      </c>
      <c r="N88" s="2">
        <f t="shared" si="205"/>
        <v>0</v>
      </c>
      <c r="O88" s="2">
        <f t="shared" si="205"/>
        <v>0</v>
      </c>
      <c r="P88" s="2">
        <f t="shared" si="205"/>
        <v>0</v>
      </c>
      <c r="Q88" s="10">
        <f>SUM(E88:P88)</f>
        <v>0</v>
      </c>
      <c r="R88" s="2">
        <f>P88-R78</f>
        <v>-584.81390868806841</v>
      </c>
      <c r="S88" s="2">
        <f t="shared" ref="S88" si="206">R88-S78</f>
        <v>-1169.6278173761368</v>
      </c>
      <c r="T88" s="2">
        <f t="shared" ref="T88:AL88" si="207">S88-T78</f>
        <v>-1754.4417260642053</v>
      </c>
      <c r="U88" s="2">
        <f t="shared" si="207"/>
        <v>-2339.2556347522736</v>
      </c>
      <c r="V88" s="2">
        <f t="shared" si="207"/>
        <v>-2924.0695434403419</v>
      </c>
      <c r="W88" s="2">
        <f t="shared" si="207"/>
        <v>-3508.8834521284102</v>
      </c>
      <c r="X88" s="2">
        <f t="shared" si="207"/>
        <v>-4093.6973608164785</v>
      </c>
      <c r="Y88" s="2">
        <f t="shared" si="207"/>
        <v>-4678.5112695045473</v>
      </c>
      <c r="Z88" s="2">
        <f t="shared" si="207"/>
        <v>-5263.3251781926156</v>
      </c>
      <c r="AA88" s="2">
        <f t="shared" si="207"/>
        <v>-5848.1390868806839</v>
      </c>
      <c r="AB88" s="2">
        <f t="shared" si="207"/>
        <v>-6432.9529955687522</v>
      </c>
      <c r="AC88" s="2">
        <f t="shared" si="207"/>
        <v>-7017.7669042568205</v>
      </c>
      <c r="AD88" s="2">
        <f t="shared" si="207"/>
        <v>-8143.5726660752644</v>
      </c>
      <c r="AE88" s="2">
        <f t="shared" si="207"/>
        <v>-9269.3784278937092</v>
      </c>
      <c r="AF88" s="2">
        <f t="shared" si="207"/>
        <v>-10395.184189712154</v>
      </c>
      <c r="AG88" s="2">
        <f t="shared" si="207"/>
        <v>-11520.989951530599</v>
      </c>
      <c r="AH88" s="2">
        <f t="shared" si="207"/>
        <v>-12646.795713349044</v>
      </c>
      <c r="AI88" s="2">
        <f t="shared" si="207"/>
        <v>-13772.601475167488</v>
      </c>
      <c r="AJ88" s="2">
        <f t="shared" si="207"/>
        <v>-14898.407236985933</v>
      </c>
      <c r="AK88" s="2">
        <f t="shared" si="207"/>
        <v>-16024.212998804378</v>
      </c>
      <c r="AL88" s="2">
        <f t="shared" si="207"/>
        <v>-17150.018760622821</v>
      </c>
    </row>
    <row r="89" spans="1:38">
      <c r="C89" t="s">
        <v>14</v>
      </c>
      <c r="D89" s="15"/>
      <c r="E89" s="2">
        <f t="shared" ref="E89:E94" si="208">-E79</f>
        <v>-449.61196957500005</v>
      </c>
      <c r="F89" s="2">
        <f t="shared" ref="F89:P89" si="209">E89-F79</f>
        <v>-899.22393915000009</v>
      </c>
      <c r="G89" s="2">
        <f t="shared" si="209"/>
        <v>-1348.8359087250001</v>
      </c>
      <c r="H89" s="2">
        <f t="shared" si="209"/>
        <v>-1798.4478783000002</v>
      </c>
      <c r="I89" s="2">
        <f t="shared" si="209"/>
        <v>-2248.0598478750003</v>
      </c>
      <c r="J89" s="2">
        <f t="shared" si="209"/>
        <v>-2697.6718174500002</v>
      </c>
      <c r="K89" s="2">
        <f t="shared" si="209"/>
        <v>-3147.283787025</v>
      </c>
      <c r="L89" s="2">
        <f t="shared" si="209"/>
        <v>-3596.8957565999999</v>
      </c>
      <c r="M89" s="2">
        <f t="shared" si="209"/>
        <v>-4046.5077261749998</v>
      </c>
      <c r="N89" s="2">
        <f t="shared" si="209"/>
        <v>-4496.1196957499997</v>
      </c>
      <c r="O89" s="2">
        <f t="shared" si="209"/>
        <v>-4945.731665325</v>
      </c>
      <c r="P89" s="2">
        <f t="shared" si="209"/>
        <v>-5395.3436349000003</v>
      </c>
      <c r="Q89" s="10">
        <f t="shared" ref="Q89:Q94" si="210">SUM(E89:P89)</f>
        <v>-35069.733626850008</v>
      </c>
      <c r="R89" s="2">
        <f t="shared" ref="R89:R94" si="211">P89-R79</f>
        <v>-10506.603648507768</v>
      </c>
      <c r="S89" s="2">
        <f t="shared" ref="S89:AL89" si="212">R89-S79</f>
        <v>-15617.863662115535</v>
      </c>
      <c r="T89" s="2">
        <f t="shared" si="212"/>
        <v>-20729.123675723302</v>
      </c>
      <c r="U89" s="2">
        <f t="shared" si="212"/>
        <v>-25840.383689331069</v>
      </c>
      <c r="V89" s="2">
        <f t="shared" si="212"/>
        <v>-30951.643702938836</v>
      </c>
      <c r="W89" s="2">
        <f t="shared" si="212"/>
        <v>-36062.903716546607</v>
      </c>
      <c r="X89" s="2">
        <f t="shared" si="212"/>
        <v>-41174.163730154374</v>
      </c>
      <c r="Y89" s="2">
        <f t="shared" si="212"/>
        <v>-46285.423743762141</v>
      </c>
      <c r="Z89" s="2">
        <f t="shared" si="212"/>
        <v>-51396.683757369909</v>
      </c>
      <c r="AA89" s="2">
        <f t="shared" si="212"/>
        <v>-56507.943770977676</v>
      </c>
      <c r="AB89" s="2">
        <f t="shared" si="212"/>
        <v>-61619.203784585443</v>
      </c>
      <c r="AC89" s="2">
        <f t="shared" si="212"/>
        <v>-66730.463798193217</v>
      </c>
      <c r="AD89" s="2">
        <f t="shared" si="212"/>
        <v>-75704.320416789531</v>
      </c>
      <c r="AE89" s="2">
        <f t="shared" si="212"/>
        <v>-84678.177035385845</v>
      </c>
      <c r="AF89" s="2">
        <f t="shared" si="212"/>
        <v>-93652.033653982158</v>
      </c>
      <c r="AG89" s="2">
        <f t="shared" si="212"/>
        <v>-102625.89027257847</v>
      </c>
      <c r="AH89" s="2">
        <f t="shared" si="212"/>
        <v>-111599.74689117479</v>
      </c>
      <c r="AI89" s="2">
        <f t="shared" si="212"/>
        <v>-120573.6035097711</v>
      </c>
      <c r="AJ89" s="2">
        <f t="shared" si="212"/>
        <v>-129547.46012836741</v>
      </c>
      <c r="AK89" s="2">
        <f t="shared" si="212"/>
        <v>-138521.31674696371</v>
      </c>
      <c r="AL89" s="2">
        <f t="shared" si="212"/>
        <v>-147495.17336556001</v>
      </c>
    </row>
    <row r="90" spans="1:38">
      <c r="C90" t="s">
        <v>141</v>
      </c>
      <c r="D90" s="15"/>
      <c r="E90" s="2">
        <f t="shared" si="208"/>
        <v>-1734.0299720250002</v>
      </c>
      <c r="F90" s="2">
        <f t="shared" ref="F90:P90" si="213">E90-F80</f>
        <v>-3468.0599440500005</v>
      </c>
      <c r="G90" s="2">
        <f t="shared" si="213"/>
        <v>-5202.0899160750005</v>
      </c>
      <c r="H90" s="2">
        <f t="shared" si="213"/>
        <v>-6936.1198881000009</v>
      </c>
      <c r="I90" s="2">
        <f t="shared" si="213"/>
        <v>-8670.1498601250005</v>
      </c>
      <c r="J90" s="2">
        <f t="shared" si="213"/>
        <v>-10404.179832150001</v>
      </c>
      <c r="K90" s="2">
        <f t="shared" si="213"/>
        <v>-12138.209804175001</v>
      </c>
      <c r="L90" s="2">
        <f t="shared" si="213"/>
        <v>-13872.239776200002</v>
      </c>
      <c r="M90" s="2">
        <f t="shared" si="213"/>
        <v>-15606.269748225002</v>
      </c>
      <c r="N90" s="2">
        <f t="shared" si="213"/>
        <v>-17340.299720250001</v>
      </c>
      <c r="O90" s="2">
        <f t="shared" si="213"/>
        <v>-19074.329692275001</v>
      </c>
      <c r="P90" s="2">
        <f t="shared" si="213"/>
        <v>-20808.359664300002</v>
      </c>
      <c r="Q90" s="10">
        <f t="shared" si="210"/>
        <v>-135254.33781795</v>
      </c>
      <c r="R90" s="2">
        <f t="shared" si="211"/>
        <v>-32380.38887152075</v>
      </c>
      <c r="S90" s="2">
        <f t="shared" ref="S90:AL90" si="214">R90-S80</f>
        <v>-43952.418078741495</v>
      </c>
      <c r="T90" s="2">
        <f t="shared" si="214"/>
        <v>-55524.447285962247</v>
      </c>
      <c r="U90" s="2">
        <f t="shared" si="214"/>
        <v>-67096.476493183</v>
      </c>
      <c r="V90" s="2">
        <f t="shared" si="214"/>
        <v>-78668.505700403752</v>
      </c>
      <c r="W90" s="2">
        <f t="shared" si="214"/>
        <v>-90240.534907624504</v>
      </c>
      <c r="X90" s="2">
        <f t="shared" si="214"/>
        <v>-101812.56411484526</v>
      </c>
      <c r="Y90" s="2">
        <f t="shared" si="214"/>
        <v>-113384.59332206601</v>
      </c>
      <c r="Z90" s="2">
        <f t="shared" si="214"/>
        <v>-124956.62252928676</v>
      </c>
      <c r="AA90" s="2">
        <f t="shared" si="214"/>
        <v>-136528.65173650751</v>
      </c>
      <c r="AB90" s="2">
        <f t="shared" si="214"/>
        <v>-148100.68094372825</v>
      </c>
      <c r="AC90" s="2">
        <f t="shared" si="214"/>
        <v>-159672.71015094899</v>
      </c>
      <c r="AD90" s="2">
        <f t="shared" si="214"/>
        <v>-178611.02611916757</v>
      </c>
      <c r="AE90" s="2">
        <f t="shared" si="214"/>
        <v>-197549.34208738615</v>
      </c>
      <c r="AF90" s="2">
        <f t="shared" si="214"/>
        <v>-216487.65805560473</v>
      </c>
      <c r="AG90" s="2">
        <f t="shared" si="214"/>
        <v>-235425.97402382331</v>
      </c>
      <c r="AH90" s="2">
        <f t="shared" si="214"/>
        <v>-254364.28999204189</v>
      </c>
      <c r="AI90" s="2">
        <f t="shared" si="214"/>
        <v>-273302.60596026049</v>
      </c>
      <c r="AJ90" s="2">
        <f t="shared" si="214"/>
        <v>-292240.9219284791</v>
      </c>
      <c r="AK90" s="2">
        <f t="shared" si="214"/>
        <v>-311179.23789669771</v>
      </c>
      <c r="AL90" s="2">
        <f t="shared" si="214"/>
        <v>-330117.55386491632</v>
      </c>
    </row>
    <row r="91" spans="1:38">
      <c r="C91" t="s">
        <v>148</v>
      </c>
      <c r="D91" s="15"/>
      <c r="E91" s="2">
        <f t="shared" si="208"/>
        <v>-1397.1327335624999</v>
      </c>
      <c r="F91" s="2">
        <f t="shared" ref="F91:P91" si="215">E91-F81</f>
        <v>-2794.2654671249998</v>
      </c>
      <c r="G91" s="2">
        <f t="shared" si="215"/>
        <v>-4191.3982006874994</v>
      </c>
      <c r="H91" s="2">
        <f t="shared" si="215"/>
        <v>-5588.5309342499995</v>
      </c>
      <c r="I91" s="2">
        <f t="shared" si="215"/>
        <v>-6985.6636678124996</v>
      </c>
      <c r="J91" s="2">
        <f t="shared" si="215"/>
        <v>-8382.7964013749988</v>
      </c>
      <c r="K91" s="2">
        <f t="shared" si="215"/>
        <v>-9779.929134937498</v>
      </c>
      <c r="L91" s="2">
        <f t="shared" si="215"/>
        <v>-11177.061868499997</v>
      </c>
      <c r="M91" s="2">
        <f t="shared" si="215"/>
        <v>-12574.194602062496</v>
      </c>
      <c r="N91" s="2">
        <f t="shared" si="215"/>
        <v>-13971.327335624996</v>
      </c>
      <c r="O91" s="2">
        <f t="shared" si="215"/>
        <v>-15368.460069187495</v>
      </c>
      <c r="P91" s="2">
        <f t="shared" si="215"/>
        <v>-16765.592802749994</v>
      </c>
      <c r="Q91" s="10">
        <f t="shared" si="210"/>
        <v>-108976.35321787496</v>
      </c>
      <c r="R91" s="2">
        <f t="shared" si="211"/>
        <v>-19455.166457040043</v>
      </c>
      <c r="S91" s="2">
        <f t="shared" ref="S91:AL91" si="216">R91-S81</f>
        <v>-22144.740111330091</v>
      </c>
      <c r="T91" s="2">
        <f t="shared" si="216"/>
        <v>-24834.31376562014</v>
      </c>
      <c r="U91" s="2">
        <f t="shared" si="216"/>
        <v>-27523.887419910188</v>
      </c>
      <c r="V91" s="2">
        <f t="shared" si="216"/>
        <v>-30213.461074200237</v>
      </c>
      <c r="W91" s="2">
        <f t="shared" si="216"/>
        <v>-32903.034728490289</v>
      </c>
      <c r="X91" s="2">
        <f t="shared" si="216"/>
        <v>-35592.608382780338</v>
      </c>
      <c r="Y91" s="2">
        <f t="shared" si="216"/>
        <v>-38282.182037070386</v>
      </c>
      <c r="Z91" s="2">
        <f t="shared" si="216"/>
        <v>-40971.755691360435</v>
      </c>
      <c r="AA91" s="2">
        <f t="shared" si="216"/>
        <v>-43661.329345650483</v>
      </c>
      <c r="AB91" s="2">
        <f t="shared" si="216"/>
        <v>-46350.902999940532</v>
      </c>
      <c r="AC91" s="2">
        <f t="shared" si="216"/>
        <v>-49040.476654230581</v>
      </c>
      <c r="AD91" s="2">
        <f t="shared" si="216"/>
        <v>-51528.118057429732</v>
      </c>
      <c r="AE91" s="2">
        <f t="shared" si="216"/>
        <v>-54015.759460628884</v>
      </c>
      <c r="AF91" s="2">
        <f t="shared" si="216"/>
        <v>-56503.400863828036</v>
      </c>
      <c r="AG91" s="2">
        <f t="shared" si="216"/>
        <v>-58991.042267027187</v>
      </c>
      <c r="AH91" s="2">
        <f t="shared" si="216"/>
        <v>-61478.683670226339</v>
      </c>
      <c r="AI91" s="2">
        <f t="shared" si="216"/>
        <v>-63966.325073425491</v>
      </c>
      <c r="AJ91" s="2">
        <f t="shared" si="216"/>
        <v>-66453.966476624642</v>
      </c>
      <c r="AK91" s="2">
        <f t="shared" si="216"/>
        <v>-68941.607879823787</v>
      </c>
      <c r="AL91" s="2">
        <f t="shared" si="216"/>
        <v>-71429.249283022931</v>
      </c>
    </row>
    <row r="92" spans="1:38">
      <c r="C92" t="s">
        <v>138</v>
      </c>
      <c r="D92" s="15"/>
      <c r="E92" s="2">
        <f t="shared" si="208"/>
        <v>-5148.3369766485421</v>
      </c>
      <c r="F92" s="2">
        <f t="shared" ref="F92:P92" si="217">E92-F82</f>
        <v>-10296.673953297084</v>
      </c>
      <c r="G92" s="2">
        <f t="shared" si="217"/>
        <v>-15445.010929945627</v>
      </c>
      <c r="H92" s="2">
        <f t="shared" si="217"/>
        <v>-20593.347906594168</v>
      </c>
      <c r="I92" s="2">
        <f t="shared" si="217"/>
        <v>-25741.684883242709</v>
      </c>
      <c r="J92" s="2">
        <f t="shared" si="217"/>
        <v>-30890.021859891251</v>
      </c>
      <c r="K92" s="2">
        <f t="shared" si="217"/>
        <v>-36038.358836539795</v>
      </c>
      <c r="L92" s="2">
        <f t="shared" si="217"/>
        <v>-41186.695813188337</v>
      </c>
      <c r="M92" s="2">
        <f t="shared" si="217"/>
        <v>-46335.032789836878</v>
      </c>
      <c r="N92" s="2">
        <f t="shared" si="217"/>
        <v>-51483.369766485419</v>
      </c>
      <c r="O92" s="2">
        <f t="shared" si="217"/>
        <v>-56631.70674313396</v>
      </c>
      <c r="P92" s="2">
        <f t="shared" si="217"/>
        <v>-61780.043719782501</v>
      </c>
      <c r="Q92" s="10">
        <f t="shared" si="210"/>
        <v>-401570.28417858627</v>
      </c>
      <c r="R92" s="2">
        <f t="shared" si="211"/>
        <v>-74922.243255562629</v>
      </c>
      <c r="S92" s="2">
        <f t="shared" ref="S92:AL92" si="218">R92-S82</f>
        <v>-88064.44279134275</v>
      </c>
      <c r="T92" s="2">
        <f t="shared" si="218"/>
        <v>-101206.64232712287</v>
      </c>
      <c r="U92" s="2">
        <f t="shared" si="218"/>
        <v>-114348.84186290299</v>
      </c>
      <c r="V92" s="2">
        <f t="shared" si="218"/>
        <v>-127491.04139868311</v>
      </c>
      <c r="W92" s="2">
        <f t="shared" si="218"/>
        <v>-140633.24093446325</v>
      </c>
      <c r="X92" s="2">
        <f t="shared" si="218"/>
        <v>-153775.44047024337</v>
      </c>
      <c r="Y92" s="2">
        <f t="shared" si="218"/>
        <v>-166917.64000602349</v>
      </c>
      <c r="Z92" s="2">
        <f t="shared" si="218"/>
        <v>-180059.83954180361</v>
      </c>
      <c r="AA92" s="2">
        <f t="shared" si="218"/>
        <v>-193202.03907758373</v>
      </c>
      <c r="AB92" s="2">
        <f t="shared" si="218"/>
        <v>-206344.23861336385</v>
      </c>
      <c r="AC92" s="2">
        <f t="shared" si="218"/>
        <v>-219486.43814914397</v>
      </c>
      <c r="AD92" s="2">
        <f t="shared" si="218"/>
        <v>-233189.58769557145</v>
      </c>
      <c r="AE92" s="2">
        <f t="shared" si="218"/>
        <v>-246892.73724199893</v>
      </c>
      <c r="AF92" s="2">
        <f t="shared" si="218"/>
        <v>-260595.8867884264</v>
      </c>
      <c r="AG92" s="2">
        <f t="shared" si="218"/>
        <v>-274299.03633485385</v>
      </c>
      <c r="AH92" s="2">
        <f t="shared" si="218"/>
        <v>-288002.18588128133</v>
      </c>
      <c r="AI92" s="2">
        <f t="shared" si="218"/>
        <v>-301705.33542770881</v>
      </c>
      <c r="AJ92" s="2">
        <f t="shared" si="218"/>
        <v>-315408.48497413629</v>
      </c>
      <c r="AK92" s="2">
        <f t="shared" si="218"/>
        <v>-329111.63452056376</v>
      </c>
      <c r="AL92" s="2">
        <f t="shared" si="218"/>
        <v>-342814.78406699124</v>
      </c>
    </row>
    <row r="93" spans="1:38">
      <c r="C93" t="s">
        <v>150</v>
      </c>
      <c r="D93" s="15"/>
      <c r="E93" s="2">
        <f t="shared" si="208"/>
        <v>-543.58337850000009</v>
      </c>
      <c r="F93" s="2">
        <f t="shared" ref="F93:P93" si="219">E93-F83</f>
        <v>-1087.1667570000002</v>
      </c>
      <c r="G93" s="2">
        <f t="shared" si="219"/>
        <v>-1630.7501355000004</v>
      </c>
      <c r="H93" s="2">
        <f t="shared" si="219"/>
        <v>-2174.3335140000004</v>
      </c>
      <c r="I93" s="2">
        <f t="shared" si="219"/>
        <v>-2717.9168925000004</v>
      </c>
      <c r="J93" s="2">
        <f t="shared" si="219"/>
        <v>-3261.5002710000003</v>
      </c>
      <c r="K93" s="2">
        <f t="shared" si="219"/>
        <v>-3805.0836495000003</v>
      </c>
      <c r="L93" s="2">
        <f t="shared" si="219"/>
        <v>-4348.6670280000008</v>
      </c>
      <c r="M93" s="2">
        <f t="shared" si="219"/>
        <v>-4892.2504065000012</v>
      </c>
      <c r="N93" s="2">
        <f t="shared" si="219"/>
        <v>-5435.8337850000016</v>
      </c>
      <c r="O93" s="2">
        <f t="shared" si="219"/>
        <v>-5979.4171635000021</v>
      </c>
      <c r="P93" s="2">
        <f t="shared" si="219"/>
        <v>-6523.0005420000025</v>
      </c>
      <c r="Q93" s="10">
        <f t="shared" si="210"/>
        <v>-42399.503523000007</v>
      </c>
      <c r="R93" s="2">
        <f t="shared" si="211"/>
        <v>-7392.7339476000025</v>
      </c>
      <c r="S93" s="2">
        <f t="shared" ref="S93:AL93" si="220">R93-S83</f>
        <v>-8262.4673532000033</v>
      </c>
      <c r="T93" s="2">
        <f t="shared" si="220"/>
        <v>-9132.2007588000033</v>
      </c>
      <c r="U93" s="2">
        <f t="shared" si="220"/>
        <v>-10001.934164400003</v>
      </c>
      <c r="V93" s="2">
        <f t="shared" si="220"/>
        <v>-10871.667570000003</v>
      </c>
      <c r="W93" s="2">
        <f t="shared" si="220"/>
        <v>-11741.400975600003</v>
      </c>
      <c r="X93" s="2">
        <f t="shared" si="220"/>
        <v>-12611.134381200003</v>
      </c>
      <c r="Y93" s="2">
        <f t="shared" si="220"/>
        <v>-13480.867786800003</v>
      </c>
      <c r="Z93" s="2">
        <f t="shared" si="220"/>
        <v>-14350.601192400003</v>
      </c>
      <c r="AA93" s="2">
        <f t="shared" si="220"/>
        <v>-15220.334598000003</v>
      </c>
      <c r="AB93" s="2">
        <f t="shared" si="220"/>
        <v>-16090.068003600003</v>
      </c>
      <c r="AC93" s="2">
        <f t="shared" si="220"/>
        <v>-16959.801409200005</v>
      </c>
      <c r="AD93" s="2">
        <f t="shared" si="220"/>
        <v>-17481.641452560005</v>
      </c>
      <c r="AE93" s="2">
        <f t="shared" si="220"/>
        <v>-18003.481495920005</v>
      </c>
      <c r="AF93" s="2">
        <f t="shared" si="220"/>
        <v>-18525.321539280005</v>
      </c>
      <c r="AG93" s="2">
        <f t="shared" si="220"/>
        <v>-19047.161582640005</v>
      </c>
      <c r="AH93" s="2">
        <f t="shared" si="220"/>
        <v>-19569.001626000005</v>
      </c>
      <c r="AI93" s="2">
        <f t="shared" si="220"/>
        <v>-20090.841669360005</v>
      </c>
      <c r="AJ93" s="2">
        <f t="shared" si="220"/>
        <v>-20612.681712720005</v>
      </c>
      <c r="AK93" s="2">
        <f t="shared" si="220"/>
        <v>-21134.521756080005</v>
      </c>
      <c r="AL93" s="2">
        <f t="shared" si="220"/>
        <v>-21656.361799440005</v>
      </c>
    </row>
    <row r="94" spans="1:38">
      <c r="C94" t="s">
        <v>19</v>
      </c>
      <c r="D94" s="15"/>
      <c r="E94" s="2">
        <f t="shared" si="208"/>
        <v>-1997.3061036645013</v>
      </c>
      <c r="F94" s="2">
        <f t="shared" ref="F94:P94" si="221">E94-F84</f>
        <v>-3994.6122073290026</v>
      </c>
      <c r="G94" s="2">
        <f t="shared" si="221"/>
        <v>-5991.9183109935038</v>
      </c>
      <c r="H94" s="2">
        <f t="shared" si="221"/>
        <v>-7989.2244146580051</v>
      </c>
      <c r="I94" s="2">
        <f t="shared" si="221"/>
        <v>-9986.5305183225064</v>
      </c>
      <c r="J94" s="2">
        <f t="shared" si="221"/>
        <v>-11983.836621987008</v>
      </c>
      <c r="K94" s="2">
        <f t="shared" si="221"/>
        <v>-13981.142725651509</v>
      </c>
      <c r="L94" s="2">
        <f t="shared" si="221"/>
        <v>-15978.44882931601</v>
      </c>
      <c r="M94" s="2">
        <f t="shared" si="221"/>
        <v>-17975.754932980512</v>
      </c>
      <c r="N94" s="2">
        <f t="shared" si="221"/>
        <v>-19973.061036645013</v>
      </c>
      <c r="O94" s="2">
        <f t="shared" si="221"/>
        <v>-21970.367140309514</v>
      </c>
      <c r="P94" s="2">
        <f t="shared" si="221"/>
        <v>-23967.673243974015</v>
      </c>
      <c r="Q94" s="10">
        <f t="shared" si="210"/>
        <v>-155789.87608583111</v>
      </c>
      <c r="R94" s="2">
        <f t="shared" si="211"/>
        <v>-76731.09657176811</v>
      </c>
      <c r="S94" s="2">
        <f t="shared" ref="S94:AL94" si="222">R94-S84</f>
        <v>-129494.5198995622</v>
      </c>
      <c r="T94" s="2">
        <f t="shared" si="222"/>
        <v>-182257.9432273563</v>
      </c>
      <c r="U94" s="2">
        <f t="shared" si="222"/>
        <v>-235021.36655515039</v>
      </c>
      <c r="V94" s="2">
        <f t="shared" si="222"/>
        <v>-287784.78988294449</v>
      </c>
      <c r="W94" s="2">
        <f t="shared" si="222"/>
        <v>-340548.21321073861</v>
      </c>
      <c r="X94" s="2">
        <f t="shared" si="222"/>
        <v>-393311.63653853274</v>
      </c>
      <c r="Y94" s="2">
        <f t="shared" si="222"/>
        <v>-446075.05986632686</v>
      </c>
      <c r="Z94" s="2">
        <f t="shared" si="222"/>
        <v>-498838.48319412098</v>
      </c>
      <c r="AA94" s="2">
        <f t="shared" si="222"/>
        <v>-551601.90652191511</v>
      </c>
      <c r="AB94" s="2">
        <f t="shared" si="222"/>
        <v>-604365.32984970917</v>
      </c>
      <c r="AC94" s="2">
        <f t="shared" si="222"/>
        <v>-657128.75317750324</v>
      </c>
      <c r="AD94" s="2">
        <f t="shared" si="222"/>
        <v>-868990.97327881714</v>
      </c>
      <c r="AE94" s="2">
        <f t="shared" si="222"/>
        <v>-1080853.1933801309</v>
      </c>
      <c r="AF94" s="2">
        <f t="shared" si="222"/>
        <v>-1292715.4134814448</v>
      </c>
      <c r="AG94" s="2">
        <f t="shared" si="222"/>
        <v>-1504577.6335827587</v>
      </c>
      <c r="AH94" s="2">
        <f t="shared" si="222"/>
        <v>-1716439.8536840726</v>
      </c>
      <c r="AI94" s="2">
        <f t="shared" si="222"/>
        <v>-1928302.0737853865</v>
      </c>
      <c r="AJ94" s="2">
        <f t="shared" si="222"/>
        <v>-2140164.2938867006</v>
      </c>
      <c r="AK94" s="2">
        <f t="shared" si="222"/>
        <v>-2352026.5139880143</v>
      </c>
      <c r="AL94" s="2">
        <f t="shared" si="222"/>
        <v>-2563888.734089328</v>
      </c>
    </row>
    <row r="95" spans="1:38" ht="13.5" thickBot="1">
      <c r="B95" t="s">
        <v>2</v>
      </c>
      <c r="E95" s="5">
        <f t="shared" ref="E95:O95" si="223">SUM(E88:E94)</f>
        <v>-11270.001133975544</v>
      </c>
      <c r="F95" s="5">
        <f t="shared" si="223"/>
        <v>-22540.002267951088</v>
      </c>
      <c r="G95" s="5">
        <f t="shared" si="223"/>
        <v>-33810.003401926631</v>
      </c>
      <c r="H95" s="5">
        <f t="shared" si="223"/>
        <v>-45080.004535902175</v>
      </c>
      <c r="I95" s="5">
        <f t="shared" si="223"/>
        <v>-56350.005669877712</v>
      </c>
      <c r="J95" s="5">
        <f t="shared" si="223"/>
        <v>-67620.006803853263</v>
      </c>
      <c r="K95" s="5">
        <f t="shared" si="223"/>
        <v>-78890.007937828806</v>
      </c>
      <c r="L95" s="5">
        <f t="shared" si="223"/>
        <v>-90160.00907180435</v>
      </c>
      <c r="M95" s="5">
        <f t="shared" si="223"/>
        <v>-101430.01020577989</v>
      </c>
      <c r="N95" s="5">
        <f t="shared" si="223"/>
        <v>-112700.01133975542</v>
      </c>
      <c r="O95" s="5">
        <f t="shared" si="223"/>
        <v>-123970.01247373098</v>
      </c>
      <c r="P95" s="5">
        <f>SUM(P88:P94)</f>
        <v>-135240.01360770653</v>
      </c>
      <c r="Q95" s="11">
        <f>SUM(Q88:Q94)</f>
        <v>-879060.08845009236</v>
      </c>
      <c r="R95" s="5">
        <f>SUM(R88:R94)</f>
        <v>-221973.04666068737</v>
      </c>
      <c r="S95" s="5">
        <f t="shared" ref="S95:AL95" si="224">SUM(S88:S94)</f>
        <v>-308706.07971366821</v>
      </c>
      <c r="T95" s="5">
        <f t="shared" si="224"/>
        <v>-395439.11276664911</v>
      </c>
      <c r="U95" s="5">
        <f t="shared" si="224"/>
        <v>-482172.14581962989</v>
      </c>
      <c r="V95" s="5">
        <f t="shared" si="224"/>
        <v>-568905.17887261068</v>
      </c>
      <c r="W95" s="5">
        <f t="shared" si="224"/>
        <v>-655638.21192559169</v>
      </c>
      <c r="X95" s="5">
        <f t="shared" si="224"/>
        <v>-742371.24497857259</v>
      </c>
      <c r="Y95" s="5">
        <f t="shared" si="224"/>
        <v>-829104.27803155349</v>
      </c>
      <c r="Z95" s="5">
        <f t="shared" si="224"/>
        <v>-915837.31108453427</v>
      </c>
      <c r="AA95" s="5">
        <f t="shared" si="224"/>
        <v>-1002570.3441375152</v>
      </c>
      <c r="AB95" s="5">
        <f t="shared" si="224"/>
        <v>-1089303.3771904958</v>
      </c>
      <c r="AC95" s="5">
        <f t="shared" si="224"/>
        <v>-1176036.4102434767</v>
      </c>
      <c r="AD95" s="5">
        <f t="shared" si="224"/>
        <v>-1433649.2396864106</v>
      </c>
      <c r="AE95" s="5">
        <f t="shared" si="224"/>
        <v>-1691262.0691293445</v>
      </c>
      <c r="AF95" s="5">
        <f t="shared" si="224"/>
        <v>-1948874.8985722782</v>
      </c>
      <c r="AG95" s="5">
        <f t="shared" si="224"/>
        <v>-2206487.7280152123</v>
      </c>
      <c r="AH95" s="5">
        <f t="shared" si="224"/>
        <v>-2464100.557458146</v>
      </c>
      <c r="AI95" s="5">
        <f t="shared" si="224"/>
        <v>-2721713.3869010801</v>
      </c>
      <c r="AJ95" s="5">
        <f t="shared" si="224"/>
        <v>-2979326.2163440138</v>
      </c>
      <c r="AK95" s="5">
        <f t="shared" si="224"/>
        <v>-3236939.0457869475</v>
      </c>
      <c r="AL95" s="5">
        <f t="shared" si="224"/>
        <v>-3494551.8752298811</v>
      </c>
    </row>
    <row r="98" spans="1:38">
      <c r="A98" s="1" t="s">
        <v>24</v>
      </c>
      <c r="B98" t="s">
        <v>1</v>
      </c>
      <c r="C98" t="s">
        <v>17</v>
      </c>
      <c r="D98" s="15"/>
      <c r="E98" s="2">
        <f>E88-E37</f>
        <v>0</v>
      </c>
      <c r="F98" s="2">
        <f t="shared" ref="F98:P98" si="225">F88-F37</f>
        <v>0</v>
      </c>
      <c r="G98" s="2">
        <f t="shared" si="225"/>
        <v>0</v>
      </c>
      <c r="H98" s="2">
        <f t="shared" si="225"/>
        <v>0</v>
      </c>
      <c r="I98" s="2">
        <f t="shared" si="225"/>
        <v>0</v>
      </c>
      <c r="J98" s="2">
        <f t="shared" si="225"/>
        <v>0</v>
      </c>
      <c r="K98" s="2">
        <f t="shared" si="225"/>
        <v>0</v>
      </c>
      <c r="L98" s="2">
        <f t="shared" si="225"/>
        <v>0</v>
      </c>
      <c r="M98" s="2">
        <f t="shared" si="225"/>
        <v>0</v>
      </c>
      <c r="N98" s="2">
        <f t="shared" si="225"/>
        <v>0</v>
      </c>
      <c r="O98" s="2">
        <f t="shared" si="225"/>
        <v>0</v>
      </c>
      <c r="P98" s="2">
        <f t="shared" si="225"/>
        <v>0</v>
      </c>
      <c r="Q98" s="10">
        <f>SUM(E98:P98)</f>
        <v>0</v>
      </c>
      <c r="R98" s="2">
        <f>R88-R37</f>
        <v>-584.81390868806841</v>
      </c>
      <c r="S98" s="2">
        <f t="shared" ref="S98:AL104" si="226">S88-S37</f>
        <v>-1169.6278173761368</v>
      </c>
      <c r="T98" s="2">
        <f t="shared" si="226"/>
        <v>-1754.4417260642053</v>
      </c>
      <c r="U98" s="2">
        <f t="shared" si="226"/>
        <v>-2339.2556347522736</v>
      </c>
      <c r="V98" s="2">
        <f t="shared" si="226"/>
        <v>-2924.0695434403419</v>
      </c>
      <c r="W98" s="2">
        <f t="shared" si="226"/>
        <v>-3317.8442419569747</v>
      </c>
      <c r="X98" s="2">
        <f t="shared" si="226"/>
        <v>-3520.5797303021714</v>
      </c>
      <c r="Y98" s="2">
        <f t="shared" si="226"/>
        <v>-3723.315218647369</v>
      </c>
      <c r="Z98" s="2">
        <f t="shared" si="226"/>
        <v>-3926.0507069925657</v>
      </c>
      <c r="AA98" s="2">
        <f t="shared" si="226"/>
        <v>-4128.7861953377624</v>
      </c>
      <c r="AB98" s="2">
        <f t="shared" si="226"/>
        <v>-4331.5216836829595</v>
      </c>
      <c r="AC98" s="2">
        <f t="shared" si="226"/>
        <v>-4534.2571720281558</v>
      </c>
      <c r="AD98" s="2">
        <f t="shared" si="226"/>
        <v>-5277.9845135037285</v>
      </c>
      <c r="AE98" s="2">
        <f t="shared" si="226"/>
        <v>-6021.7118549793013</v>
      </c>
      <c r="AF98" s="2">
        <f t="shared" si="226"/>
        <v>-6765.4391964548749</v>
      </c>
      <c r="AG98" s="2">
        <f t="shared" si="226"/>
        <v>-7509.1665379304486</v>
      </c>
      <c r="AH98" s="2">
        <f t="shared" si="226"/>
        <v>-8252.8938794060214</v>
      </c>
      <c r="AI98" s="2">
        <f t="shared" si="226"/>
        <v>-8996.6212208815959</v>
      </c>
      <c r="AJ98" s="2">
        <f t="shared" si="226"/>
        <v>-9740.3485623571687</v>
      </c>
      <c r="AK98" s="2">
        <f t="shared" si="226"/>
        <v>-10484.075903832741</v>
      </c>
      <c r="AL98" s="2">
        <f t="shared" si="226"/>
        <v>-11227.803245308314</v>
      </c>
    </row>
    <row r="99" spans="1:38">
      <c r="C99" t="s">
        <v>14</v>
      </c>
      <c r="D99" s="15"/>
      <c r="E99" s="2">
        <f t="shared" ref="E99:P104" si="227">E89-E38</f>
        <v>-449.61196957500005</v>
      </c>
      <c r="F99" s="2">
        <f t="shared" si="227"/>
        <v>-899.22393915000009</v>
      </c>
      <c r="G99" s="2">
        <f t="shared" si="227"/>
        <v>-1348.8359087250001</v>
      </c>
      <c r="H99" s="2">
        <f t="shared" si="227"/>
        <v>-1798.4478783000002</v>
      </c>
      <c r="I99" s="2">
        <f t="shared" si="227"/>
        <v>-2248.0598478750003</v>
      </c>
      <c r="J99" s="2">
        <f t="shared" si="227"/>
        <v>-2697.6718174500002</v>
      </c>
      <c r="K99" s="2">
        <f t="shared" si="227"/>
        <v>-3147.283787025</v>
      </c>
      <c r="L99" s="2">
        <f t="shared" si="227"/>
        <v>-3510.9206920770998</v>
      </c>
      <c r="M99" s="2">
        <f t="shared" si="227"/>
        <v>-3788.5825326062995</v>
      </c>
      <c r="N99" s="2">
        <f t="shared" si="227"/>
        <v>-4032.7202329993997</v>
      </c>
      <c r="O99" s="2">
        <f t="shared" si="227"/>
        <v>-4242.5705529976003</v>
      </c>
      <c r="P99" s="2">
        <f t="shared" si="227"/>
        <v>-4448.4266566782007</v>
      </c>
      <c r="Q99" s="10">
        <f t="shared" ref="Q99:Q104" si="228">SUM(E99:P99)</f>
        <v>-32612.355815458599</v>
      </c>
      <c r="R99" s="2">
        <f t="shared" ref="R99:AG104" si="229">R89-R38</f>
        <v>-9212.2780567902191</v>
      </c>
      <c r="S99" s="2">
        <f t="shared" si="229"/>
        <v>-13775.285913817144</v>
      </c>
      <c r="T99" s="2">
        <f t="shared" si="229"/>
        <v>-18137.450227758975</v>
      </c>
      <c r="U99" s="2">
        <f t="shared" si="229"/>
        <v>-22207.384995470944</v>
      </c>
      <c r="V99" s="2">
        <f t="shared" si="229"/>
        <v>-25893.704213808287</v>
      </c>
      <c r="W99" s="2">
        <f t="shared" si="229"/>
        <v>-28906.936839331007</v>
      </c>
      <c r="X99" s="2">
        <f t="shared" si="229"/>
        <v>-31438.890646726417</v>
      </c>
      <c r="Y99" s="2">
        <f t="shared" si="229"/>
        <v>-33970.84445412182</v>
      </c>
      <c r="Z99" s="2">
        <f t="shared" si="229"/>
        <v>-36502.79826151723</v>
      </c>
      <c r="AA99" s="2">
        <f t="shared" si="229"/>
        <v>-39034.75206891264</v>
      </c>
      <c r="AB99" s="2">
        <f t="shared" si="229"/>
        <v>-41566.705876308042</v>
      </c>
      <c r="AC99" s="2">
        <f t="shared" si="229"/>
        <v>-44098.659683703459</v>
      </c>
      <c r="AD99" s="2">
        <f t="shared" si="229"/>
        <v>-50493.210096087409</v>
      </c>
      <c r="AE99" s="2">
        <f t="shared" si="229"/>
        <v>-56887.760508471358</v>
      </c>
      <c r="AF99" s="2">
        <f t="shared" si="229"/>
        <v>-63282.310920855314</v>
      </c>
      <c r="AG99" s="2">
        <f t="shared" si="229"/>
        <v>-69676.861333239271</v>
      </c>
      <c r="AH99" s="2">
        <f t="shared" si="226"/>
        <v>-76071.41174562322</v>
      </c>
      <c r="AI99" s="2">
        <f t="shared" si="226"/>
        <v>-82465.962158007183</v>
      </c>
      <c r="AJ99" s="2">
        <f t="shared" si="226"/>
        <v>-88860.512570391147</v>
      </c>
      <c r="AK99" s="2">
        <f t="shared" si="226"/>
        <v>-95255.062982775082</v>
      </c>
      <c r="AL99" s="2">
        <f t="shared" si="226"/>
        <v>-101649.61339515902</v>
      </c>
    </row>
    <row r="100" spans="1:38">
      <c r="C100" t="s">
        <v>141</v>
      </c>
      <c r="D100" s="15"/>
      <c r="E100" s="2">
        <f t="shared" si="227"/>
        <v>-1734.0299720250002</v>
      </c>
      <c r="F100" s="2">
        <f t="shared" si="227"/>
        <v>-3468.0599440500005</v>
      </c>
      <c r="G100" s="2">
        <f t="shared" si="227"/>
        <v>-5202.0899160750005</v>
      </c>
      <c r="H100" s="2">
        <f t="shared" si="227"/>
        <v>-6936.1198881000009</v>
      </c>
      <c r="I100" s="2">
        <f t="shared" si="227"/>
        <v>-8670.1498601250005</v>
      </c>
      <c r="J100" s="2">
        <f t="shared" si="227"/>
        <v>-10120.928925365</v>
      </c>
      <c r="K100" s="2">
        <f t="shared" si="227"/>
        <v>-11256.751001731001</v>
      </c>
      <c r="L100" s="2">
        <f t="shared" si="227"/>
        <v>-12357.473040971003</v>
      </c>
      <c r="M100" s="2">
        <f t="shared" si="227"/>
        <v>-13309.062044434002</v>
      </c>
      <c r="N100" s="2">
        <f t="shared" si="227"/>
        <v>-14102.295527574001</v>
      </c>
      <c r="O100" s="2">
        <f t="shared" si="227"/>
        <v>-14874.269499617001</v>
      </c>
      <c r="P100" s="2">
        <f t="shared" si="227"/>
        <v>-15614.301144100002</v>
      </c>
      <c r="Q100" s="10">
        <f t="shared" si="228"/>
        <v>-117645.53076416701</v>
      </c>
      <c r="R100" s="2">
        <f t="shared" si="229"/>
        <v>-26169.032767732751</v>
      </c>
      <c r="S100" s="2">
        <f t="shared" si="226"/>
        <v>-36723.764391365497</v>
      </c>
      <c r="T100" s="2">
        <f t="shared" si="226"/>
        <v>-47278.496014998251</v>
      </c>
      <c r="U100" s="2">
        <f t="shared" si="226"/>
        <v>-57219.299393777357</v>
      </c>
      <c r="V100" s="2">
        <f t="shared" si="226"/>
        <v>-65050.230275748261</v>
      </c>
      <c r="W100" s="2">
        <f t="shared" si="226"/>
        <v>-71079.810335910952</v>
      </c>
      <c r="X100" s="2">
        <f t="shared" si="226"/>
        <v>-76803.983826220006</v>
      </c>
      <c r="Y100" s="2">
        <f t="shared" si="226"/>
        <v>-82528.157316529047</v>
      </c>
      <c r="Z100" s="2">
        <f t="shared" si="226"/>
        <v>-88252.330806838116</v>
      </c>
      <c r="AA100" s="2">
        <f t="shared" si="226"/>
        <v>-93976.504297147156</v>
      </c>
      <c r="AB100" s="2">
        <f t="shared" si="226"/>
        <v>-99700.677787456196</v>
      </c>
      <c r="AC100" s="2">
        <f t="shared" si="226"/>
        <v>-105424.85127776524</v>
      </c>
      <c r="AD100" s="2">
        <f t="shared" si="226"/>
        <v>-118515.31152907212</v>
      </c>
      <c r="AE100" s="2">
        <f t="shared" si="226"/>
        <v>-131605.771780379</v>
      </c>
      <c r="AF100" s="2">
        <f t="shared" si="226"/>
        <v>-144696.23203168588</v>
      </c>
      <c r="AG100" s="2">
        <f t="shared" si="226"/>
        <v>-157786.69228299276</v>
      </c>
      <c r="AH100" s="2">
        <f t="shared" si="226"/>
        <v>-170877.15253429965</v>
      </c>
      <c r="AI100" s="2">
        <f t="shared" si="226"/>
        <v>-183967.61278560656</v>
      </c>
      <c r="AJ100" s="2">
        <f t="shared" si="226"/>
        <v>-197058.07303691347</v>
      </c>
      <c r="AK100" s="2">
        <f t="shared" si="226"/>
        <v>-210148.53328822038</v>
      </c>
      <c r="AL100" s="2">
        <f t="shared" si="226"/>
        <v>-223238.99353952729</v>
      </c>
    </row>
    <row r="101" spans="1:38">
      <c r="C101" t="s">
        <v>148</v>
      </c>
      <c r="D101" s="15"/>
      <c r="E101" s="2">
        <f t="shared" si="227"/>
        <v>-1397.1327335624999</v>
      </c>
      <c r="F101" s="2">
        <f t="shared" si="227"/>
        <v>-2794.2654671249998</v>
      </c>
      <c r="G101" s="2">
        <f t="shared" si="227"/>
        <v>-4191.3982006874994</v>
      </c>
      <c r="H101" s="2">
        <f t="shared" si="227"/>
        <v>-5588.5309342499995</v>
      </c>
      <c r="I101" s="2">
        <f t="shared" si="227"/>
        <v>-6985.6636678124996</v>
      </c>
      <c r="J101" s="2">
        <f t="shared" si="227"/>
        <v>-8382.7964013749988</v>
      </c>
      <c r="K101" s="2">
        <f t="shared" si="227"/>
        <v>-9779.929134937498</v>
      </c>
      <c r="L101" s="2">
        <f t="shared" si="227"/>
        <v>-11177.061868499997</v>
      </c>
      <c r="M101" s="2">
        <f t="shared" si="227"/>
        <v>-12574.194602062496</v>
      </c>
      <c r="N101" s="2">
        <f t="shared" si="227"/>
        <v>-13971.327335624996</v>
      </c>
      <c r="O101" s="2">
        <f t="shared" si="227"/>
        <v>-15368.460069187495</v>
      </c>
      <c r="P101" s="2">
        <f t="shared" si="227"/>
        <v>-16102.420465218995</v>
      </c>
      <c r="Q101" s="10">
        <f t="shared" si="228"/>
        <v>-108313.18088034396</v>
      </c>
      <c r="R101" s="2">
        <f t="shared" si="229"/>
        <v>-17465.649444447045</v>
      </c>
      <c r="S101" s="2">
        <f t="shared" si="226"/>
        <v>-18828.878423675091</v>
      </c>
      <c r="T101" s="2">
        <f t="shared" si="226"/>
        <v>-20192.107402903141</v>
      </c>
      <c r="U101" s="2">
        <f t="shared" si="226"/>
        <v>-21555.33638213119</v>
      </c>
      <c r="V101" s="2">
        <f t="shared" si="226"/>
        <v>-22918.565361359237</v>
      </c>
      <c r="W101" s="2">
        <f t="shared" si="226"/>
        <v>-24281.79434058729</v>
      </c>
      <c r="X101" s="2">
        <f t="shared" si="226"/>
        <v>-25645.023319815336</v>
      </c>
      <c r="Y101" s="2">
        <f t="shared" si="226"/>
        <v>-27008.252299043386</v>
      </c>
      <c r="Z101" s="2">
        <f t="shared" si="226"/>
        <v>-28371.481278271436</v>
      </c>
      <c r="AA101" s="2">
        <f t="shared" si="226"/>
        <v>-29734.710257499482</v>
      </c>
      <c r="AB101" s="2">
        <f t="shared" si="226"/>
        <v>-31097.939236727529</v>
      </c>
      <c r="AC101" s="2">
        <f t="shared" si="226"/>
        <v>-32461.168215955578</v>
      </c>
      <c r="AD101" s="2">
        <f t="shared" si="226"/>
        <v>-33622.464944092731</v>
      </c>
      <c r="AE101" s="2">
        <f t="shared" si="226"/>
        <v>-34783.761672229884</v>
      </c>
      <c r="AF101" s="2">
        <f t="shared" si="226"/>
        <v>-35945.058400367037</v>
      </c>
      <c r="AG101" s="2">
        <f t="shared" si="226"/>
        <v>-37106.35512850419</v>
      </c>
      <c r="AH101" s="2">
        <f t="shared" si="226"/>
        <v>-38267.651856641343</v>
      </c>
      <c r="AI101" s="2">
        <f t="shared" si="226"/>
        <v>-39428.948584778496</v>
      </c>
      <c r="AJ101" s="2">
        <f t="shared" si="226"/>
        <v>-40590.245312915649</v>
      </c>
      <c r="AK101" s="2">
        <f t="shared" si="226"/>
        <v>-41751.542041052795</v>
      </c>
      <c r="AL101" s="2">
        <f t="shared" si="226"/>
        <v>-42912.838769189941</v>
      </c>
    </row>
    <row r="102" spans="1:38">
      <c r="C102" t="s">
        <v>138</v>
      </c>
      <c r="D102" s="15"/>
      <c r="E102" s="2">
        <f t="shared" si="227"/>
        <v>-5148.3369766485421</v>
      </c>
      <c r="F102" s="2">
        <f t="shared" si="227"/>
        <v>-10296.673953297084</v>
      </c>
      <c r="G102" s="2">
        <f t="shared" si="227"/>
        <v>-15445.010929945627</v>
      </c>
      <c r="H102" s="2">
        <f t="shared" si="227"/>
        <v>-20593.347906594168</v>
      </c>
      <c r="I102" s="2">
        <f t="shared" si="227"/>
        <v>-25741.684883242709</v>
      </c>
      <c r="J102" s="2">
        <f t="shared" si="227"/>
        <v>-30890.021859891251</v>
      </c>
      <c r="K102" s="2">
        <f t="shared" si="227"/>
        <v>-35995.101022945724</v>
      </c>
      <c r="L102" s="2">
        <f t="shared" si="227"/>
        <v>-40846.84774019989</v>
      </c>
      <c r="M102" s="2">
        <f t="shared" si="227"/>
        <v>-45430.789826793211</v>
      </c>
      <c r="N102" s="2">
        <f t="shared" si="227"/>
        <v>-49618.103474174648</v>
      </c>
      <c r="O102" s="2">
        <f t="shared" si="227"/>
        <v>-53446.058035869108</v>
      </c>
      <c r="P102" s="2">
        <f t="shared" si="227"/>
        <v>-57241.251399248344</v>
      </c>
      <c r="Q102" s="10">
        <f t="shared" si="228"/>
        <v>-390693.22800885024</v>
      </c>
      <c r="R102" s="2">
        <f t="shared" si="229"/>
        <v>-69018.006768373612</v>
      </c>
      <c r="S102" s="2">
        <f t="shared" si="226"/>
        <v>-80794.762137498867</v>
      </c>
      <c r="T102" s="2">
        <f t="shared" si="226"/>
        <v>-92286.396207103433</v>
      </c>
      <c r="U102" s="2">
        <f t="shared" si="226"/>
        <v>-103397.03258508412</v>
      </c>
      <c r="V102" s="2">
        <f t="shared" si="226"/>
        <v>-114315.91617885842</v>
      </c>
      <c r="W102" s="2">
        <f t="shared" si="226"/>
        <v>-125043.04698842634</v>
      </c>
      <c r="X102" s="2">
        <f t="shared" si="226"/>
        <v>-135674.30140589105</v>
      </c>
      <c r="Y102" s="2">
        <f t="shared" si="226"/>
        <v>-146305.55582335577</v>
      </c>
      <c r="Z102" s="2">
        <f t="shared" si="226"/>
        <v>-156936.81024082049</v>
      </c>
      <c r="AA102" s="2">
        <f t="shared" si="226"/>
        <v>-167568.06465828521</v>
      </c>
      <c r="AB102" s="2">
        <f t="shared" si="226"/>
        <v>-178199.31907574993</v>
      </c>
      <c r="AC102" s="2">
        <f t="shared" si="226"/>
        <v>-188830.57349321464</v>
      </c>
      <c r="AD102" s="2">
        <f t="shared" si="226"/>
        <v>-200022.77792132675</v>
      </c>
      <c r="AE102" s="2">
        <f t="shared" si="226"/>
        <v>-211214.98234943883</v>
      </c>
      <c r="AF102" s="2">
        <f t="shared" si="226"/>
        <v>-222407.1867775509</v>
      </c>
      <c r="AG102" s="2">
        <f t="shared" si="226"/>
        <v>-233599.39120566292</v>
      </c>
      <c r="AH102" s="2">
        <f t="shared" si="226"/>
        <v>-244791.595633775</v>
      </c>
      <c r="AI102" s="2">
        <f t="shared" si="226"/>
        <v>-255983.80006188707</v>
      </c>
      <c r="AJ102" s="2">
        <f t="shared" si="226"/>
        <v>-267176.00448999915</v>
      </c>
      <c r="AK102" s="2">
        <f t="shared" si="226"/>
        <v>-278368.20891811122</v>
      </c>
      <c r="AL102" s="2">
        <f t="shared" si="226"/>
        <v>-289560.4133462233</v>
      </c>
    </row>
    <row r="103" spans="1:38">
      <c r="C103" t="s">
        <v>150</v>
      </c>
      <c r="D103" s="15"/>
      <c r="E103" s="2">
        <f t="shared" si="227"/>
        <v>-94.731330157500054</v>
      </c>
      <c r="F103" s="2">
        <f t="shared" si="227"/>
        <v>327.38187958750018</v>
      </c>
      <c r="G103" s="2">
        <f t="shared" si="227"/>
        <v>837.24259714500022</v>
      </c>
      <c r="H103" s="2">
        <f t="shared" si="227"/>
        <v>1374.3190961400001</v>
      </c>
      <c r="I103" s="2">
        <f t="shared" si="227"/>
        <v>1918.85636032</v>
      </c>
      <c r="J103" s="2">
        <f t="shared" si="227"/>
        <v>2463.3936245</v>
      </c>
      <c r="K103" s="2">
        <f t="shared" si="227"/>
        <v>3010.9638461525001</v>
      </c>
      <c r="L103" s="2">
        <f t="shared" si="227"/>
        <v>3286.2654357149995</v>
      </c>
      <c r="M103" s="2">
        <f t="shared" si="227"/>
        <v>3286.2654357149995</v>
      </c>
      <c r="N103" s="2">
        <f t="shared" si="227"/>
        <v>3286.2654357149995</v>
      </c>
      <c r="O103" s="2">
        <f t="shared" si="227"/>
        <v>3286.2654357149986</v>
      </c>
      <c r="P103" s="2">
        <f t="shared" si="227"/>
        <v>3286.2654357149977</v>
      </c>
      <c r="Q103" s="10">
        <f t="shared" si="228"/>
        <v>26268.753252262493</v>
      </c>
      <c r="R103" s="2">
        <f t="shared" si="229"/>
        <v>2960.1154086149972</v>
      </c>
      <c r="S103" s="2">
        <f t="shared" si="226"/>
        <v>2633.9653815149959</v>
      </c>
      <c r="T103" s="2">
        <f t="shared" si="226"/>
        <v>2307.8153544149955</v>
      </c>
      <c r="U103" s="2">
        <f t="shared" si="226"/>
        <v>1981.665327314995</v>
      </c>
      <c r="V103" s="2">
        <f t="shared" si="226"/>
        <v>1655.5153002149946</v>
      </c>
      <c r="W103" s="2">
        <f t="shared" si="226"/>
        <v>1329.3652731149941</v>
      </c>
      <c r="X103" s="2">
        <f t="shared" si="226"/>
        <v>1003.2152460149937</v>
      </c>
      <c r="Y103" s="2">
        <f t="shared" si="226"/>
        <v>677.06521891499324</v>
      </c>
      <c r="Z103" s="2">
        <f t="shared" si="226"/>
        <v>350.9151918149928</v>
      </c>
      <c r="AA103" s="2">
        <f t="shared" si="226"/>
        <v>24.765164714992352</v>
      </c>
      <c r="AB103" s="2">
        <f t="shared" si="226"/>
        <v>-301.38486238500809</v>
      </c>
      <c r="AC103" s="2">
        <f t="shared" si="226"/>
        <v>-627.53488948501035</v>
      </c>
      <c r="AD103" s="2">
        <f t="shared" si="226"/>
        <v>-605.79155434501081</v>
      </c>
      <c r="AE103" s="2">
        <f t="shared" si="226"/>
        <v>-584.04821920501126</v>
      </c>
      <c r="AF103" s="2">
        <f t="shared" si="226"/>
        <v>-562.30488406501172</v>
      </c>
      <c r="AG103" s="2">
        <f t="shared" si="226"/>
        <v>-540.56154892501218</v>
      </c>
      <c r="AH103" s="2">
        <f t="shared" si="226"/>
        <v>-518.81821378501263</v>
      </c>
      <c r="AI103" s="2">
        <f t="shared" si="226"/>
        <v>-497.07487864501309</v>
      </c>
      <c r="AJ103" s="2">
        <f t="shared" si="226"/>
        <v>-475.33154350501354</v>
      </c>
      <c r="AK103" s="2">
        <f t="shared" si="226"/>
        <v>-453.588208365014</v>
      </c>
      <c r="AL103" s="2">
        <f t="shared" si="226"/>
        <v>-431.84487322501445</v>
      </c>
    </row>
    <row r="104" spans="1:38">
      <c r="C104" t="s">
        <v>19</v>
      </c>
      <c r="D104" s="15"/>
      <c r="E104" s="2">
        <f t="shared" si="227"/>
        <v>-373.44892228950107</v>
      </c>
      <c r="F104" s="2">
        <f t="shared" si="227"/>
        <v>1122.9425488684983</v>
      </c>
      <c r="G104" s="2">
        <f t="shared" si="227"/>
        <v>2936.7868745114974</v>
      </c>
      <c r="H104" s="2">
        <f t="shared" si="227"/>
        <v>4893.3916545040192</v>
      </c>
      <c r="I104" s="2">
        <f t="shared" si="227"/>
        <v>6921.2872464335633</v>
      </c>
      <c r="J104" s="2">
        <f t="shared" si="227"/>
        <v>8949.1828383631073</v>
      </c>
      <c r="K104" s="2">
        <f t="shared" si="227"/>
        <v>10988.051056145152</v>
      </c>
      <c r="L104" s="2">
        <f t="shared" si="227"/>
        <v>12212.462459522198</v>
      </c>
      <c r="M104" s="2">
        <f t="shared" si="227"/>
        <v>12611.44442264174</v>
      </c>
      <c r="N104" s="2">
        <f t="shared" si="227"/>
        <v>13010.426385761282</v>
      </c>
      <c r="O104" s="2">
        <f t="shared" si="227"/>
        <v>13409.408348880825</v>
      </c>
      <c r="P104" s="2">
        <f t="shared" si="227"/>
        <v>13808.390312000367</v>
      </c>
      <c r="Q104" s="10">
        <f t="shared" si="228"/>
        <v>100490.32522534275</v>
      </c>
      <c r="R104" s="2">
        <f t="shared" si="229"/>
        <v>-35617.057664745247</v>
      </c>
      <c r="S104" s="2">
        <f t="shared" si="226"/>
        <v>-83159.131072961987</v>
      </c>
      <c r="T104" s="2">
        <f t="shared" si="226"/>
        <v>-128817.82991264988</v>
      </c>
      <c r="U104" s="2">
        <f t="shared" si="226"/>
        <v>-148999.05916747422</v>
      </c>
      <c r="V104" s="2">
        <f t="shared" si="226"/>
        <v>-143696.85103447887</v>
      </c>
      <c r="W104" s="2">
        <f t="shared" si="226"/>
        <v>-136499.33272704243</v>
      </c>
      <c r="X104" s="2">
        <f t="shared" si="226"/>
        <v>-128354.15933238546</v>
      </c>
      <c r="Y104" s="2">
        <f t="shared" si="226"/>
        <v>-120208.98593772849</v>
      </c>
      <c r="Z104" s="2">
        <f t="shared" si="226"/>
        <v>-112063.81254307152</v>
      </c>
      <c r="AA104" s="2">
        <f t="shared" si="226"/>
        <v>-103918.63914841454</v>
      </c>
      <c r="AB104" s="2">
        <f t="shared" si="226"/>
        <v>-95773.465753757511</v>
      </c>
      <c r="AC104" s="2">
        <f t="shared" si="226"/>
        <v>-87628.292359100422</v>
      </c>
      <c r="AD104" s="2">
        <f t="shared" si="226"/>
        <v>-238581.91573796317</v>
      </c>
      <c r="AE104" s="2">
        <f t="shared" si="226"/>
        <v>-389535.53911682579</v>
      </c>
      <c r="AF104" s="2">
        <f t="shared" si="226"/>
        <v>-488007.69030846632</v>
      </c>
      <c r="AG104" s="2">
        <f t="shared" si="226"/>
        <v>-526977.83490982908</v>
      </c>
      <c r="AH104" s="2">
        <f t="shared" si="226"/>
        <v>-552227.86581758084</v>
      </c>
      <c r="AI104" s="2">
        <f t="shared" si="226"/>
        <v>-570778.31743477704</v>
      </c>
      <c r="AJ104" s="2">
        <f t="shared" si="226"/>
        <v>-589328.76905197348</v>
      </c>
      <c r="AK104" s="2">
        <f t="shared" si="226"/>
        <v>-607879.22066916944</v>
      </c>
      <c r="AL104" s="2">
        <f t="shared" si="226"/>
        <v>-626429.67228636541</v>
      </c>
    </row>
    <row r="105" spans="1:38" ht="13.5" thickBot="1">
      <c r="B105" t="s">
        <v>2</v>
      </c>
      <c r="E105" s="5">
        <f t="shared" ref="E105:O105" si="230">SUM(E98:E104)</f>
        <v>-9197.2919042580434</v>
      </c>
      <c r="F105" s="5">
        <f t="shared" si="230"/>
        <v>-16007.898875166087</v>
      </c>
      <c r="G105" s="5">
        <f t="shared" si="230"/>
        <v>-22413.305483776632</v>
      </c>
      <c r="H105" s="5">
        <f t="shared" si="230"/>
        <v>-28648.735856600149</v>
      </c>
      <c r="I105" s="5">
        <f t="shared" si="230"/>
        <v>-34805.414652301639</v>
      </c>
      <c r="J105" s="5">
        <f t="shared" si="230"/>
        <v>-40678.842541218146</v>
      </c>
      <c r="K105" s="5">
        <f t="shared" si="230"/>
        <v>-46180.050044341566</v>
      </c>
      <c r="L105" s="5">
        <f t="shared" si="230"/>
        <v>-52393.575446510789</v>
      </c>
      <c r="M105" s="5">
        <f t="shared" si="230"/>
        <v>-59204.919147539273</v>
      </c>
      <c r="N105" s="5">
        <f t="shared" si="230"/>
        <v>-65427.754748896754</v>
      </c>
      <c r="O105" s="5">
        <f t="shared" si="230"/>
        <v>-71235.684373075375</v>
      </c>
      <c r="P105" s="5">
        <f>SUM(P98:P104)</f>
        <v>-76311.74391753017</v>
      </c>
      <c r="Q105" s="11">
        <f>SUM(Q98:Q104)</f>
        <v>-522505.21699121455</v>
      </c>
      <c r="R105" s="5">
        <f>SUM(R98:R104)</f>
        <v>-155106.72320216196</v>
      </c>
      <c r="S105" s="5">
        <f t="shared" ref="S105:AL105" si="231">SUM(S98:S104)</f>
        <v>-231817.48437517972</v>
      </c>
      <c r="T105" s="5">
        <f t="shared" si="231"/>
        <v>-306158.90613706288</v>
      </c>
      <c r="U105" s="5">
        <f t="shared" si="231"/>
        <v>-353735.70283137512</v>
      </c>
      <c r="V105" s="5">
        <f t="shared" si="231"/>
        <v>-373143.82130747841</v>
      </c>
      <c r="W105" s="5">
        <f t="shared" si="231"/>
        <v>-387799.40020014002</v>
      </c>
      <c r="X105" s="5">
        <f t="shared" si="231"/>
        <v>-400433.72301532543</v>
      </c>
      <c r="Y105" s="5">
        <f t="shared" si="231"/>
        <v>-413068.04583051085</v>
      </c>
      <c r="Z105" s="5">
        <f t="shared" si="231"/>
        <v>-425702.36864569638</v>
      </c>
      <c r="AA105" s="5">
        <f t="shared" si="231"/>
        <v>-438336.69146088179</v>
      </c>
      <c r="AB105" s="5">
        <f t="shared" si="231"/>
        <v>-450971.01427606714</v>
      </c>
      <c r="AC105" s="5">
        <f t="shared" si="231"/>
        <v>-463605.3370912525</v>
      </c>
      <c r="AD105" s="5">
        <f t="shared" si="231"/>
        <v>-647119.45629639085</v>
      </c>
      <c r="AE105" s="5">
        <f t="shared" si="231"/>
        <v>-830633.57550152915</v>
      </c>
      <c r="AF105" s="5">
        <f t="shared" si="231"/>
        <v>-961666.22251944535</v>
      </c>
      <c r="AG105" s="5">
        <f t="shared" si="231"/>
        <v>-1033196.8629470838</v>
      </c>
      <c r="AH105" s="5">
        <f t="shared" si="231"/>
        <v>-1091007.3896811111</v>
      </c>
      <c r="AI105" s="5">
        <f t="shared" si="231"/>
        <v>-1142118.3371245828</v>
      </c>
      <c r="AJ105" s="5">
        <f t="shared" si="231"/>
        <v>-1193229.2845680551</v>
      </c>
      <c r="AK105" s="5">
        <f t="shared" si="231"/>
        <v>-1244340.2320115266</v>
      </c>
      <c r="AL105" s="5">
        <f t="shared" si="231"/>
        <v>-1295451.1794549981</v>
      </c>
    </row>
    <row r="107" spans="1:38">
      <c r="A107" s="1" t="s">
        <v>11</v>
      </c>
      <c r="B107" t="s">
        <v>1</v>
      </c>
      <c r="C107" t="s">
        <v>17</v>
      </c>
      <c r="D107" s="15"/>
      <c r="E107" s="2">
        <f>E98*0.21</f>
        <v>0</v>
      </c>
      <c r="F107" s="2">
        <f t="shared" ref="F107:P107" si="232">F98*0.21</f>
        <v>0</v>
      </c>
      <c r="G107" s="2">
        <f t="shared" si="232"/>
        <v>0</v>
      </c>
      <c r="H107" s="2">
        <f t="shared" si="232"/>
        <v>0</v>
      </c>
      <c r="I107" s="2">
        <f t="shared" si="232"/>
        <v>0</v>
      </c>
      <c r="J107" s="2">
        <f t="shared" si="232"/>
        <v>0</v>
      </c>
      <c r="K107" s="2">
        <f t="shared" si="232"/>
        <v>0</v>
      </c>
      <c r="L107" s="2">
        <f t="shared" si="232"/>
        <v>0</v>
      </c>
      <c r="M107" s="2">
        <f t="shared" si="232"/>
        <v>0</v>
      </c>
      <c r="N107" s="2">
        <f t="shared" si="232"/>
        <v>0</v>
      </c>
      <c r="O107" s="2">
        <f t="shared" si="232"/>
        <v>0</v>
      </c>
      <c r="P107" s="2">
        <f t="shared" si="232"/>
        <v>0</v>
      </c>
      <c r="Q107" s="10">
        <f>SUM(E107:P107)</f>
        <v>0</v>
      </c>
      <c r="R107" s="2">
        <f t="shared" ref="R107:AL107" si="233">R98*0.21</f>
        <v>-122.81092082449436</v>
      </c>
      <c r="S107" s="2">
        <f t="shared" si="233"/>
        <v>-245.62184164898872</v>
      </c>
      <c r="T107" s="2">
        <f t="shared" si="233"/>
        <v>-368.43276247348308</v>
      </c>
      <c r="U107" s="2">
        <f t="shared" si="233"/>
        <v>-491.24368329797744</v>
      </c>
      <c r="V107" s="2">
        <f t="shared" si="233"/>
        <v>-614.0546041224718</v>
      </c>
      <c r="W107" s="2">
        <f t="shared" si="233"/>
        <v>-696.74729081096461</v>
      </c>
      <c r="X107" s="2">
        <f t="shared" si="233"/>
        <v>-739.32174336345599</v>
      </c>
      <c r="Y107" s="2">
        <f t="shared" si="233"/>
        <v>-781.89619591594749</v>
      </c>
      <c r="Z107" s="2">
        <f t="shared" si="233"/>
        <v>-824.47064846843875</v>
      </c>
      <c r="AA107" s="2">
        <f t="shared" si="233"/>
        <v>-867.04510102093002</v>
      </c>
      <c r="AB107" s="2">
        <f t="shared" si="233"/>
        <v>-909.61955357342151</v>
      </c>
      <c r="AC107" s="2">
        <f t="shared" si="233"/>
        <v>-952.19400612591267</v>
      </c>
      <c r="AD107" s="2">
        <f t="shared" si="233"/>
        <v>-1108.3767478357829</v>
      </c>
      <c r="AE107" s="2">
        <f t="shared" si="233"/>
        <v>-1264.5594895456532</v>
      </c>
      <c r="AF107" s="2">
        <f t="shared" si="233"/>
        <v>-1420.7422312555236</v>
      </c>
      <c r="AG107" s="2">
        <f t="shared" si="233"/>
        <v>-1576.9249729653941</v>
      </c>
      <c r="AH107" s="2">
        <f t="shared" si="233"/>
        <v>-1733.1077146752643</v>
      </c>
      <c r="AI107" s="2">
        <f t="shared" si="233"/>
        <v>-1889.290456385135</v>
      </c>
      <c r="AJ107" s="2">
        <f t="shared" si="233"/>
        <v>-2045.4731980950053</v>
      </c>
      <c r="AK107" s="2">
        <f t="shared" si="233"/>
        <v>-2201.6559398048757</v>
      </c>
      <c r="AL107" s="2">
        <f t="shared" si="233"/>
        <v>-2357.838681514746</v>
      </c>
    </row>
    <row r="108" spans="1:38">
      <c r="C108" t="s">
        <v>14</v>
      </c>
      <c r="D108" s="15"/>
      <c r="E108" s="2">
        <f t="shared" ref="E108:P108" si="234">E99*0.21</f>
        <v>-94.418513610750011</v>
      </c>
      <c r="F108" s="2">
        <f t="shared" si="234"/>
        <v>-188.83702722150002</v>
      </c>
      <c r="G108" s="2">
        <f t="shared" si="234"/>
        <v>-283.25554083225001</v>
      </c>
      <c r="H108" s="2">
        <f t="shared" si="234"/>
        <v>-377.67405444300005</v>
      </c>
      <c r="I108" s="2">
        <f t="shared" si="234"/>
        <v>-472.09256805375003</v>
      </c>
      <c r="J108" s="2">
        <f t="shared" si="234"/>
        <v>-566.51108166450001</v>
      </c>
      <c r="K108" s="2">
        <f t="shared" si="234"/>
        <v>-660.92959527524999</v>
      </c>
      <c r="L108" s="2">
        <f t="shared" si="234"/>
        <v>-737.2933453361909</v>
      </c>
      <c r="M108" s="2">
        <f t="shared" si="234"/>
        <v>-795.60233184732283</v>
      </c>
      <c r="N108" s="2">
        <f t="shared" si="234"/>
        <v>-846.8712489298739</v>
      </c>
      <c r="O108" s="2">
        <f t="shared" si="234"/>
        <v>-890.93981612949608</v>
      </c>
      <c r="P108" s="2">
        <f t="shared" si="234"/>
        <v>-934.16959790242208</v>
      </c>
      <c r="Q108" s="10">
        <f t="shared" ref="Q108:Q113" si="235">SUM(E108:P108)</f>
        <v>-6848.5947212463052</v>
      </c>
      <c r="R108" s="2">
        <f t="shared" ref="R108:AL108" si="236">R99*0.21</f>
        <v>-1934.5783919259459</v>
      </c>
      <c r="S108" s="2">
        <f t="shared" si="236"/>
        <v>-2892.8100419016</v>
      </c>
      <c r="T108" s="2">
        <f t="shared" si="236"/>
        <v>-3808.8645478293847</v>
      </c>
      <c r="U108" s="2">
        <f t="shared" si="236"/>
        <v>-4663.5508490488983</v>
      </c>
      <c r="V108" s="2">
        <f t="shared" si="236"/>
        <v>-5437.6778848997401</v>
      </c>
      <c r="W108" s="2">
        <f t="shared" si="236"/>
        <v>-6070.4567362595117</v>
      </c>
      <c r="X108" s="2">
        <f t="shared" si="236"/>
        <v>-6602.1670358125475</v>
      </c>
      <c r="Y108" s="2">
        <f t="shared" si="236"/>
        <v>-7133.8773353655815</v>
      </c>
      <c r="Z108" s="2">
        <f t="shared" si="236"/>
        <v>-7665.5876349186183</v>
      </c>
      <c r="AA108" s="2">
        <f t="shared" si="236"/>
        <v>-8197.2979344716532</v>
      </c>
      <c r="AB108" s="2">
        <f t="shared" si="236"/>
        <v>-8729.0082340246881</v>
      </c>
      <c r="AC108" s="2">
        <f t="shared" si="236"/>
        <v>-9260.7185335777267</v>
      </c>
      <c r="AD108" s="2">
        <f t="shared" si="236"/>
        <v>-10603.574120178355</v>
      </c>
      <c r="AE108" s="2">
        <f t="shared" si="236"/>
        <v>-11946.429706778985</v>
      </c>
      <c r="AF108" s="2">
        <f t="shared" si="236"/>
        <v>-13289.285293379615</v>
      </c>
      <c r="AG108" s="2">
        <f t="shared" si="236"/>
        <v>-14632.140879980247</v>
      </c>
      <c r="AH108" s="2">
        <f t="shared" si="236"/>
        <v>-15974.996466580875</v>
      </c>
      <c r="AI108" s="2">
        <f t="shared" si="236"/>
        <v>-17317.852053181508</v>
      </c>
      <c r="AJ108" s="2">
        <f t="shared" si="236"/>
        <v>-18660.70763978214</v>
      </c>
      <c r="AK108" s="2">
        <f t="shared" si="236"/>
        <v>-20003.563226382765</v>
      </c>
      <c r="AL108" s="2">
        <f t="shared" si="236"/>
        <v>-21346.418812983393</v>
      </c>
    </row>
    <row r="109" spans="1:38">
      <c r="C109" t="s">
        <v>141</v>
      </c>
      <c r="D109" s="15"/>
      <c r="E109" s="2">
        <f t="shared" ref="E109:P109" si="237">E100*0.21</f>
        <v>-364.14629412525005</v>
      </c>
      <c r="F109" s="2">
        <f t="shared" si="237"/>
        <v>-728.2925882505001</v>
      </c>
      <c r="G109" s="2">
        <f t="shared" si="237"/>
        <v>-1092.4388823757502</v>
      </c>
      <c r="H109" s="2">
        <f t="shared" si="237"/>
        <v>-1456.5851765010002</v>
      </c>
      <c r="I109" s="2">
        <f t="shared" si="237"/>
        <v>-1820.73147062625</v>
      </c>
      <c r="J109" s="2">
        <f t="shared" si="237"/>
        <v>-2125.39507432665</v>
      </c>
      <c r="K109" s="2">
        <f t="shared" si="237"/>
        <v>-2363.9177103635102</v>
      </c>
      <c r="L109" s="2">
        <f t="shared" si="237"/>
        <v>-2595.0693386039106</v>
      </c>
      <c r="M109" s="2">
        <f t="shared" si="237"/>
        <v>-2794.9030293311403</v>
      </c>
      <c r="N109" s="2">
        <f t="shared" si="237"/>
        <v>-2961.4820607905399</v>
      </c>
      <c r="O109" s="2">
        <f t="shared" si="237"/>
        <v>-3123.5965949195702</v>
      </c>
      <c r="P109" s="2">
        <f t="shared" si="237"/>
        <v>-3279.0032402610004</v>
      </c>
      <c r="Q109" s="10">
        <f t="shared" si="235"/>
        <v>-24705.561460475074</v>
      </c>
      <c r="R109" s="2">
        <f t="shared" ref="R109:AL109" si="238">R100*0.21</f>
        <v>-5495.4968812238776</v>
      </c>
      <c r="S109" s="2">
        <f t="shared" si="238"/>
        <v>-7711.9905221867539</v>
      </c>
      <c r="T109" s="2">
        <f t="shared" si="238"/>
        <v>-9928.4841631496329</v>
      </c>
      <c r="U109" s="2">
        <f t="shared" si="238"/>
        <v>-12016.052872693244</v>
      </c>
      <c r="V109" s="2">
        <f t="shared" si="238"/>
        <v>-13660.548357907135</v>
      </c>
      <c r="W109" s="2">
        <f t="shared" si="238"/>
        <v>-14926.7601705413</v>
      </c>
      <c r="X109" s="2">
        <f t="shared" si="238"/>
        <v>-16128.836603506201</v>
      </c>
      <c r="Y109" s="2">
        <f t="shared" si="238"/>
        <v>-17330.913036471098</v>
      </c>
      <c r="Z109" s="2">
        <f t="shared" si="238"/>
        <v>-18532.989469436005</v>
      </c>
      <c r="AA109" s="2">
        <f t="shared" si="238"/>
        <v>-19735.065902400904</v>
      </c>
      <c r="AB109" s="2">
        <f t="shared" si="238"/>
        <v>-20937.142335365799</v>
      </c>
      <c r="AC109" s="2">
        <f t="shared" si="238"/>
        <v>-22139.218768330698</v>
      </c>
      <c r="AD109" s="2">
        <f t="shared" si="238"/>
        <v>-24888.215421105146</v>
      </c>
      <c r="AE109" s="2">
        <f t="shared" si="238"/>
        <v>-27637.212073879589</v>
      </c>
      <c r="AF109" s="2">
        <f t="shared" si="238"/>
        <v>-30386.208726654033</v>
      </c>
      <c r="AG109" s="2">
        <f t="shared" si="238"/>
        <v>-33135.20537942848</v>
      </c>
      <c r="AH109" s="2">
        <f t="shared" si="238"/>
        <v>-35884.202032202928</v>
      </c>
      <c r="AI109" s="2">
        <f t="shared" si="238"/>
        <v>-38633.198684977375</v>
      </c>
      <c r="AJ109" s="2">
        <f t="shared" si="238"/>
        <v>-41382.195337751829</v>
      </c>
      <c r="AK109" s="2">
        <f t="shared" si="238"/>
        <v>-44131.191990526277</v>
      </c>
      <c r="AL109" s="2">
        <f t="shared" si="238"/>
        <v>-46880.188643300731</v>
      </c>
    </row>
    <row r="110" spans="1:38">
      <c r="C110" t="s">
        <v>148</v>
      </c>
      <c r="D110" s="15"/>
      <c r="E110" s="2">
        <f t="shared" ref="E110:P110" si="239">E101*0.21</f>
        <v>-293.39787404812495</v>
      </c>
      <c r="F110" s="2">
        <f t="shared" si="239"/>
        <v>-586.79574809624989</v>
      </c>
      <c r="G110" s="2">
        <f t="shared" si="239"/>
        <v>-880.1936221443749</v>
      </c>
      <c r="H110" s="2">
        <f t="shared" si="239"/>
        <v>-1173.5914961924998</v>
      </c>
      <c r="I110" s="2">
        <f t="shared" si="239"/>
        <v>-1466.9893702406248</v>
      </c>
      <c r="J110" s="2">
        <f t="shared" si="239"/>
        <v>-1760.3872442887498</v>
      </c>
      <c r="K110" s="2">
        <f t="shared" si="239"/>
        <v>-2053.7851183368743</v>
      </c>
      <c r="L110" s="2">
        <f t="shared" si="239"/>
        <v>-2347.1829923849991</v>
      </c>
      <c r="M110" s="2">
        <f t="shared" si="239"/>
        <v>-2640.5808664331244</v>
      </c>
      <c r="N110" s="2">
        <f t="shared" si="239"/>
        <v>-2933.9787404812491</v>
      </c>
      <c r="O110" s="2">
        <f t="shared" si="239"/>
        <v>-3227.3766145293739</v>
      </c>
      <c r="P110" s="2">
        <f t="shared" si="239"/>
        <v>-3381.5082976959889</v>
      </c>
      <c r="Q110" s="10">
        <f t="shared" si="235"/>
        <v>-22745.767984872233</v>
      </c>
      <c r="R110" s="2">
        <f t="shared" ref="R110:AL110" si="240">R101*0.21</f>
        <v>-3667.7863833338793</v>
      </c>
      <c r="S110" s="2">
        <f t="shared" si="240"/>
        <v>-3954.0644689717687</v>
      </c>
      <c r="T110" s="2">
        <f t="shared" si="240"/>
        <v>-4240.3425546096596</v>
      </c>
      <c r="U110" s="2">
        <f t="shared" si="240"/>
        <v>-4526.62064024755</v>
      </c>
      <c r="V110" s="2">
        <f t="shared" si="240"/>
        <v>-4812.8987258854395</v>
      </c>
      <c r="W110" s="2">
        <f t="shared" si="240"/>
        <v>-5099.1768115233308</v>
      </c>
      <c r="X110" s="2">
        <f t="shared" si="240"/>
        <v>-5385.4548971612203</v>
      </c>
      <c r="Y110" s="2">
        <f t="shared" si="240"/>
        <v>-5671.7329827991107</v>
      </c>
      <c r="Z110" s="2">
        <f t="shared" si="240"/>
        <v>-5958.0110684370011</v>
      </c>
      <c r="AA110" s="2">
        <f t="shared" si="240"/>
        <v>-6244.2891540748915</v>
      </c>
      <c r="AB110" s="2">
        <f t="shared" si="240"/>
        <v>-6530.567239712781</v>
      </c>
      <c r="AC110" s="2">
        <f t="shared" si="240"/>
        <v>-6816.8453253506714</v>
      </c>
      <c r="AD110" s="2">
        <f t="shared" si="240"/>
        <v>-7060.7176382594735</v>
      </c>
      <c r="AE110" s="2">
        <f t="shared" si="240"/>
        <v>-7304.5899511682755</v>
      </c>
      <c r="AF110" s="2">
        <f t="shared" si="240"/>
        <v>-7548.4622640770776</v>
      </c>
      <c r="AG110" s="2">
        <f t="shared" si="240"/>
        <v>-7792.3345769858797</v>
      </c>
      <c r="AH110" s="2">
        <f t="shared" si="240"/>
        <v>-8036.2068898946818</v>
      </c>
      <c r="AI110" s="2">
        <f t="shared" si="240"/>
        <v>-8280.0792028034848</v>
      </c>
      <c r="AJ110" s="2">
        <f t="shared" si="240"/>
        <v>-8523.951515712286</v>
      </c>
      <c r="AK110" s="2">
        <f t="shared" si="240"/>
        <v>-8767.8238286210872</v>
      </c>
      <c r="AL110" s="2">
        <f t="shared" si="240"/>
        <v>-9011.6961415298865</v>
      </c>
    </row>
    <row r="111" spans="1:38">
      <c r="C111" t="s">
        <v>138</v>
      </c>
      <c r="D111" s="15"/>
      <c r="E111" s="2">
        <f t="shared" ref="E111:P111" si="241">E102*0.21</f>
        <v>-1081.1507650961937</v>
      </c>
      <c r="F111" s="2">
        <f t="shared" si="241"/>
        <v>-2162.3015301923874</v>
      </c>
      <c r="G111" s="2">
        <f t="shared" si="241"/>
        <v>-3243.4522952885814</v>
      </c>
      <c r="H111" s="2">
        <f t="shared" si="241"/>
        <v>-4324.6030603847748</v>
      </c>
      <c r="I111" s="2">
        <f t="shared" si="241"/>
        <v>-5405.7538254809688</v>
      </c>
      <c r="J111" s="2">
        <f t="shared" si="241"/>
        <v>-6486.9045905771627</v>
      </c>
      <c r="K111" s="2">
        <f t="shared" si="241"/>
        <v>-7558.9712148186018</v>
      </c>
      <c r="L111" s="2">
        <f t="shared" si="241"/>
        <v>-8577.8380254419772</v>
      </c>
      <c r="M111" s="2">
        <f t="shared" si="241"/>
        <v>-9540.465863626574</v>
      </c>
      <c r="N111" s="2">
        <f t="shared" si="241"/>
        <v>-10419.801729576675</v>
      </c>
      <c r="O111" s="2">
        <f t="shared" si="241"/>
        <v>-11223.672187532513</v>
      </c>
      <c r="P111" s="2">
        <f t="shared" si="241"/>
        <v>-12020.662793842152</v>
      </c>
      <c r="Q111" s="10">
        <f t="shared" si="235"/>
        <v>-82045.577881858568</v>
      </c>
      <c r="R111" s="2">
        <f t="shared" ref="R111:AL111" si="242">R102*0.21</f>
        <v>-14493.781421358459</v>
      </c>
      <c r="S111" s="2">
        <f t="shared" si="242"/>
        <v>-16966.900048874762</v>
      </c>
      <c r="T111" s="2">
        <f t="shared" si="242"/>
        <v>-19380.14320349172</v>
      </c>
      <c r="U111" s="2">
        <f t="shared" si="242"/>
        <v>-21713.376842867663</v>
      </c>
      <c r="V111" s="2">
        <f t="shared" si="242"/>
        <v>-24006.342397560267</v>
      </c>
      <c r="W111" s="2">
        <f t="shared" si="242"/>
        <v>-26259.039867569532</v>
      </c>
      <c r="X111" s="2">
        <f t="shared" si="242"/>
        <v>-28491.603295237121</v>
      </c>
      <c r="Y111" s="2">
        <f t="shared" si="242"/>
        <v>-30724.166722904709</v>
      </c>
      <c r="Z111" s="2">
        <f t="shared" si="242"/>
        <v>-32956.730150572301</v>
      </c>
      <c r="AA111" s="2">
        <f t="shared" si="242"/>
        <v>-35189.293578239893</v>
      </c>
      <c r="AB111" s="2">
        <f t="shared" si="242"/>
        <v>-37421.857005907485</v>
      </c>
      <c r="AC111" s="2">
        <f t="shared" si="242"/>
        <v>-39654.420433575076</v>
      </c>
      <c r="AD111" s="2">
        <f t="shared" si="242"/>
        <v>-42004.783363478615</v>
      </c>
      <c r="AE111" s="2">
        <f t="shared" si="242"/>
        <v>-44355.146293382153</v>
      </c>
      <c r="AF111" s="2">
        <f t="shared" si="242"/>
        <v>-46705.509223285684</v>
      </c>
      <c r="AG111" s="2">
        <f t="shared" si="242"/>
        <v>-49055.872153189208</v>
      </c>
      <c r="AH111" s="2">
        <f t="shared" si="242"/>
        <v>-51406.235083092746</v>
      </c>
      <c r="AI111" s="2">
        <f t="shared" si="242"/>
        <v>-53756.598012996285</v>
      </c>
      <c r="AJ111" s="2">
        <f t="shared" si="242"/>
        <v>-56106.960942899816</v>
      </c>
      <c r="AK111" s="2">
        <f t="shared" si="242"/>
        <v>-58457.323872803354</v>
      </c>
      <c r="AL111" s="2">
        <f t="shared" si="242"/>
        <v>-60807.686802706892</v>
      </c>
    </row>
    <row r="112" spans="1:38">
      <c r="C112" t="s">
        <v>150</v>
      </c>
      <c r="D112" s="15"/>
      <c r="E112" s="2">
        <f t="shared" ref="E112:P112" si="243">E103*0.21</f>
        <v>-19.89357933307501</v>
      </c>
      <c r="F112" s="2">
        <f t="shared" si="243"/>
        <v>68.750194713375038</v>
      </c>
      <c r="G112" s="2">
        <f t="shared" si="243"/>
        <v>175.82094540045003</v>
      </c>
      <c r="H112" s="2">
        <f t="shared" si="243"/>
        <v>288.6070101894</v>
      </c>
      <c r="I112" s="2">
        <f t="shared" si="243"/>
        <v>402.95983566719997</v>
      </c>
      <c r="J112" s="2">
        <f t="shared" si="243"/>
        <v>517.31266114499999</v>
      </c>
      <c r="K112" s="2">
        <f t="shared" si="243"/>
        <v>632.30240769202499</v>
      </c>
      <c r="L112" s="2">
        <f t="shared" si="243"/>
        <v>690.11574150014985</v>
      </c>
      <c r="M112" s="2">
        <f t="shared" si="243"/>
        <v>690.11574150014985</v>
      </c>
      <c r="N112" s="2">
        <f t="shared" si="243"/>
        <v>690.11574150014985</v>
      </c>
      <c r="O112" s="2">
        <f t="shared" si="243"/>
        <v>690.11574150014962</v>
      </c>
      <c r="P112" s="2">
        <f t="shared" si="243"/>
        <v>690.11574150014951</v>
      </c>
      <c r="Q112" s="10">
        <f t="shared" si="235"/>
        <v>5516.4381829751237</v>
      </c>
      <c r="R112" s="2">
        <f t="shared" ref="R112:AL112" si="244">R103*0.21</f>
        <v>621.62423580914935</v>
      </c>
      <c r="S112" s="2">
        <f t="shared" si="244"/>
        <v>553.13273011814908</v>
      </c>
      <c r="T112" s="2">
        <f t="shared" si="244"/>
        <v>484.64122442714904</v>
      </c>
      <c r="U112" s="2">
        <f t="shared" si="244"/>
        <v>416.14971873614894</v>
      </c>
      <c r="V112" s="2">
        <f t="shared" si="244"/>
        <v>347.65821304514884</v>
      </c>
      <c r="W112" s="2">
        <f t="shared" si="244"/>
        <v>279.16670735414874</v>
      </c>
      <c r="X112" s="2">
        <f t="shared" si="244"/>
        <v>210.67520166314867</v>
      </c>
      <c r="Y112" s="2">
        <f t="shared" si="244"/>
        <v>142.18369597214857</v>
      </c>
      <c r="Z112" s="2">
        <f t="shared" si="244"/>
        <v>73.692190281148484</v>
      </c>
      <c r="AA112" s="2">
        <f t="shared" si="244"/>
        <v>5.200684590148394</v>
      </c>
      <c r="AB112" s="2">
        <f t="shared" si="244"/>
        <v>-63.290821100851694</v>
      </c>
      <c r="AC112" s="2">
        <f t="shared" si="244"/>
        <v>-131.78232679185217</v>
      </c>
      <c r="AD112" s="2">
        <f t="shared" si="244"/>
        <v>-127.21622641245227</v>
      </c>
      <c r="AE112" s="2">
        <f t="shared" si="244"/>
        <v>-122.65012603305236</v>
      </c>
      <c r="AF112" s="2">
        <f t="shared" si="244"/>
        <v>-118.08402565365246</v>
      </c>
      <c r="AG112" s="2">
        <f t="shared" si="244"/>
        <v>-113.51792527425255</v>
      </c>
      <c r="AH112" s="2">
        <f t="shared" si="244"/>
        <v>-108.95182489485265</v>
      </c>
      <c r="AI112" s="2">
        <f t="shared" si="244"/>
        <v>-104.38572451545275</v>
      </c>
      <c r="AJ112" s="2">
        <f t="shared" si="244"/>
        <v>-99.819624136052838</v>
      </c>
      <c r="AK112" s="2">
        <f t="shared" si="244"/>
        <v>-95.253523756652939</v>
      </c>
      <c r="AL112" s="2">
        <f t="shared" si="244"/>
        <v>-90.687423377253026</v>
      </c>
    </row>
    <row r="113" spans="2:38">
      <c r="C113" t="s">
        <v>19</v>
      </c>
      <c r="D113" s="15"/>
      <c r="E113" s="2">
        <f t="shared" ref="E113:P113" si="245">E104*0.21</f>
        <v>-78.424273680795224</v>
      </c>
      <c r="F113" s="2">
        <f t="shared" si="245"/>
        <v>235.81793526238462</v>
      </c>
      <c r="G113" s="2">
        <f t="shared" si="245"/>
        <v>616.72524364741446</v>
      </c>
      <c r="H113" s="2">
        <f t="shared" si="245"/>
        <v>1027.6122474458441</v>
      </c>
      <c r="I113" s="2">
        <f t="shared" si="245"/>
        <v>1453.4703217510482</v>
      </c>
      <c r="J113" s="2">
        <f t="shared" si="245"/>
        <v>1879.3283960562524</v>
      </c>
      <c r="K113" s="2">
        <f t="shared" si="245"/>
        <v>2307.490721790482</v>
      </c>
      <c r="L113" s="2">
        <f t="shared" si="245"/>
        <v>2564.6171164996613</v>
      </c>
      <c r="M113" s="2">
        <f t="shared" si="245"/>
        <v>2648.4033287547654</v>
      </c>
      <c r="N113" s="2">
        <f t="shared" si="245"/>
        <v>2732.1895410098691</v>
      </c>
      <c r="O113" s="2">
        <f t="shared" si="245"/>
        <v>2815.9757532649733</v>
      </c>
      <c r="P113" s="2">
        <f t="shared" si="245"/>
        <v>2899.761965520077</v>
      </c>
      <c r="Q113" s="10">
        <f t="shared" si="235"/>
        <v>21102.968297321979</v>
      </c>
      <c r="R113" s="2">
        <f t="shared" ref="R113:AL113" si="246">R104*0.21</f>
        <v>-7479.5821095965021</v>
      </c>
      <c r="S113" s="2">
        <f t="shared" si="246"/>
        <v>-17463.417525322016</v>
      </c>
      <c r="T113" s="2">
        <f t="shared" si="246"/>
        <v>-27051.744281656473</v>
      </c>
      <c r="U113" s="2">
        <f t="shared" si="246"/>
        <v>-31289.802425169586</v>
      </c>
      <c r="V113" s="2">
        <f t="shared" si="246"/>
        <v>-30176.33871724056</v>
      </c>
      <c r="W113" s="2">
        <f t="shared" si="246"/>
        <v>-28664.85987267891</v>
      </c>
      <c r="X113" s="2">
        <f t="shared" si="246"/>
        <v>-26954.373459800947</v>
      </c>
      <c r="Y113" s="2">
        <f t="shared" si="246"/>
        <v>-25243.887046922981</v>
      </c>
      <c r="Z113" s="2">
        <f t="shared" si="246"/>
        <v>-23533.400634045018</v>
      </c>
      <c r="AA113" s="2">
        <f t="shared" si="246"/>
        <v>-21822.914221167051</v>
      </c>
      <c r="AB113" s="2">
        <f t="shared" si="246"/>
        <v>-20112.427808289078</v>
      </c>
      <c r="AC113" s="2">
        <f t="shared" si="246"/>
        <v>-18401.94139541109</v>
      </c>
      <c r="AD113" s="2">
        <f t="shared" si="246"/>
        <v>-50102.202304972263</v>
      </c>
      <c r="AE113" s="2">
        <f t="shared" si="246"/>
        <v>-81802.463214533418</v>
      </c>
      <c r="AF113" s="2">
        <f t="shared" si="246"/>
        <v>-102481.61496477792</v>
      </c>
      <c r="AG113" s="2">
        <f t="shared" si="246"/>
        <v>-110665.34533106411</v>
      </c>
      <c r="AH113" s="2">
        <f t="shared" si="246"/>
        <v>-115967.85182169198</v>
      </c>
      <c r="AI113" s="2">
        <f t="shared" si="246"/>
        <v>-119863.44666130317</v>
      </c>
      <c r="AJ113" s="2">
        <f t="shared" si="246"/>
        <v>-123759.04150091442</v>
      </c>
      <c r="AK113" s="2">
        <f t="shared" si="246"/>
        <v>-127654.63634052558</v>
      </c>
      <c r="AL113" s="2">
        <f t="shared" si="246"/>
        <v>-131550.23118013673</v>
      </c>
    </row>
    <row r="114" spans="2:38" ht="13.5" thickBot="1">
      <c r="B114" t="s">
        <v>2</v>
      </c>
      <c r="E114" s="5">
        <f t="shared" ref="E114:O114" si="247">SUM(E107:E113)</f>
        <v>-1931.4312998941889</v>
      </c>
      <c r="F114" s="5">
        <f t="shared" si="247"/>
        <v>-3361.6587637848775</v>
      </c>
      <c r="G114" s="5">
        <f t="shared" si="247"/>
        <v>-4706.7941515930916</v>
      </c>
      <c r="H114" s="5">
        <f t="shared" si="247"/>
        <v>-6016.23452988603</v>
      </c>
      <c r="I114" s="5">
        <f t="shared" si="247"/>
        <v>-7309.1370769833447</v>
      </c>
      <c r="J114" s="5">
        <f t="shared" si="247"/>
        <v>-8542.5569336558092</v>
      </c>
      <c r="K114" s="5">
        <f t="shared" si="247"/>
        <v>-9697.8105093117301</v>
      </c>
      <c r="L114" s="5">
        <f t="shared" si="247"/>
        <v>-11002.650843767266</v>
      </c>
      <c r="M114" s="5">
        <f t="shared" si="247"/>
        <v>-12433.033020983246</v>
      </c>
      <c r="N114" s="5">
        <f t="shared" si="247"/>
        <v>-13739.828497268318</v>
      </c>
      <c r="O114" s="5">
        <f t="shared" si="247"/>
        <v>-14959.49371834583</v>
      </c>
      <c r="P114" s="5">
        <f>SUM(P107:P113)</f>
        <v>-16025.466222681338</v>
      </c>
      <c r="Q114" s="11">
        <f>SUM(Q107:Q113)</f>
        <v>-109726.09556815508</v>
      </c>
      <c r="R114" s="5">
        <f>SUM(R107:R113)</f>
        <v>-32572.411872454009</v>
      </c>
      <c r="S114" s="5">
        <f t="shared" ref="S114:AL114" si="248">SUM(S107:S113)</f>
        <v>-48681.671718787737</v>
      </c>
      <c r="T114" s="5">
        <f t="shared" si="248"/>
        <v>-64293.370288783204</v>
      </c>
      <c r="U114" s="5">
        <f t="shared" si="248"/>
        <v>-74284.497594588771</v>
      </c>
      <c r="V114" s="5">
        <f t="shared" si="248"/>
        <v>-78360.202474570455</v>
      </c>
      <c r="W114" s="5">
        <f t="shared" si="248"/>
        <v>-81437.874042029405</v>
      </c>
      <c r="X114" s="5">
        <f t="shared" si="248"/>
        <v>-84091.081833218341</v>
      </c>
      <c r="Y114" s="5">
        <f t="shared" si="248"/>
        <v>-86744.289624407276</v>
      </c>
      <c r="Z114" s="5">
        <f t="shared" si="248"/>
        <v>-89397.497415596241</v>
      </c>
      <c r="AA114" s="5">
        <f t="shared" si="248"/>
        <v>-92050.705206785176</v>
      </c>
      <c r="AB114" s="5">
        <f t="shared" si="248"/>
        <v>-94703.912997974097</v>
      </c>
      <c r="AC114" s="5">
        <f t="shared" si="248"/>
        <v>-97357.120789163033</v>
      </c>
      <c r="AD114" s="5">
        <f t="shared" si="248"/>
        <v>-135895.08582224208</v>
      </c>
      <c r="AE114" s="5">
        <f t="shared" si="248"/>
        <v>-174433.05085532111</v>
      </c>
      <c r="AF114" s="5">
        <f t="shared" si="248"/>
        <v>-201949.90672908351</v>
      </c>
      <c r="AG114" s="5">
        <f t="shared" si="248"/>
        <v>-216971.34121888757</v>
      </c>
      <c r="AH114" s="5">
        <f t="shared" si="248"/>
        <v>-229111.55183303333</v>
      </c>
      <c r="AI114" s="5">
        <f t="shared" si="248"/>
        <v>-239844.85079616241</v>
      </c>
      <c r="AJ114" s="5">
        <f t="shared" si="248"/>
        <v>-250578.14975929155</v>
      </c>
      <c r="AK114" s="5">
        <f t="shared" si="248"/>
        <v>-261311.44872242061</v>
      </c>
      <c r="AL114" s="5">
        <f t="shared" si="248"/>
        <v>-272044.74768554961</v>
      </c>
    </row>
  </sheetData>
  <pageMargins left="0.7" right="0.7" top="0.75" bottom="0.75" header="0.3" footer="0.3"/>
  <pageSetup scale="52" fitToWidth="4" fitToHeight="2" orientation="landscape" r:id="rId1"/>
  <headerFooter>
    <oddFooter>&amp;LAvista
&amp;F
&amp;A&amp;RPage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45C9F-5E89-4214-8CC9-866EBF2DAAE3}">
  <sheetPr>
    <tabColor rgb="FFFFFF00"/>
  </sheetPr>
  <dimension ref="A1:H92"/>
  <sheetViews>
    <sheetView zoomScaleNormal="100" workbookViewId="0">
      <selection activeCell="V37" sqref="V37"/>
    </sheetView>
  </sheetViews>
  <sheetFormatPr defaultRowHeight="12.75"/>
  <cols>
    <col min="1" max="1" width="4.5703125" customWidth="1"/>
    <col min="2" max="3" width="1.7109375" customWidth="1"/>
    <col min="4" max="4" width="25.85546875" customWidth="1"/>
    <col min="5" max="5" width="7.140625" bestFit="1" customWidth="1"/>
    <col min="6" max="6" width="11.7109375" bestFit="1" customWidth="1"/>
    <col min="7" max="8" width="11.85546875" bestFit="1" customWidth="1"/>
  </cols>
  <sheetData>
    <row r="1" spans="1:8">
      <c r="A1" s="30"/>
      <c r="B1" s="31"/>
      <c r="C1" s="31"/>
      <c r="D1" s="162"/>
      <c r="E1" s="162"/>
      <c r="F1" s="162"/>
      <c r="G1" s="138"/>
      <c r="H1" s="138"/>
    </row>
    <row r="2" spans="1:8">
      <c r="A2" s="32" t="s">
        <v>45</v>
      </c>
      <c r="B2" s="31"/>
      <c r="C2" s="31"/>
      <c r="D2" s="30"/>
      <c r="E2" s="30"/>
      <c r="F2" s="139"/>
      <c r="G2" s="139"/>
      <c r="H2" s="139"/>
    </row>
    <row r="3" spans="1:8">
      <c r="A3" s="32" t="s">
        <v>46</v>
      </c>
      <c r="B3" s="31"/>
      <c r="C3" s="31"/>
      <c r="D3" s="30"/>
      <c r="E3" s="30"/>
      <c r="F3" s="30"/>
      <c r="G3" s="139"/>
      <c r="H3" s="139"/>
    </row>
    <row r="4" spans="1:8">
      <c r="A4" s="32" t="s">
        <v>47</v>
      </c>
      <c r="B4" s="31"/>
      <c r="C4" s="31"/>
      <c r="D4" s="30"/>
      <c r="E4" s="30"/>
      <c r="F4" s="140"/>
      <c r="G4" s="141"/>
      <c r="H4" s="141"/>
    </row>
    <row r="5" spans="1:8">
      <c r="A5" s="32" t="s">
        <v>48</v>
      </c>
      <c r="B5" s="31"/>
      <c r="C5" s="31"/>
      <c r="D5" s="30"/>
      <c r="E5" s="30"/>
      <c r="F5" s="142"/>
      <c r="G5" s="141"/>
      <c r="H5" s="141"/>
    </row>
    <row r="6" spans="1:8">
      <c r="A6" s="34"/>
      <c r="B6" s="35"/>
      <c r="C6" s="35"/>
      <c r="D6" s="35"/>
      <c r="E6" s="35"/>
      <c r="F6" s="128" t="s">
        <v>168</v>
      </c>
      <c r="G6" s="128" t="s">
        <v>169</v>
      </c>
      <c r="H6" s="128" t="s">
        <v>170</v>
      </c>
    </row>
    <row r="7" spans="1:8">
      <c r="A7" s="36"/>
      <c r="B7" s="37"/>
      <c r="C7" s="38"/>
      <c r="D7" s="38"/>
      <c r="E7" s="38"/>
      <c r="F7" s="36" t="s">
        <v>101</v>
      </c>
      <c r="G7" s="36" t="s">
        <v>156</v>
      </c>
      <c r="H7" s="36"/>
    </row>
    <row r="8" spans="1:8">
      <c r="A8" s="39" t="s">
        <v>49</v>
      </c>
      <c r="B8" s="40"/>
      <c r="C8" s="35"/>
      <c r="D8" s="35"/>
      <c r="E8" s="35"/>
      <c r="F8" s="33" t="s">
        <v>142</v>
      </c>
      <c r="G8" s="33" t="s">
        <v>142</v>
      </c>
      <c r="H8" s="33"/>
    </row>
    <row r="9" spans="1:8">
      <c r="A9" s="41" t="s">
        <v>50</v>
      </c>
      <c r="B9" s="42"/>
      <c r="C9" s="43"/>
      <c r="D9" s="43" t="s">
        <v>51</v>
      </c>
      <c r="E9" s="43"/>
      <c r="F9" s="44" t="s">
        <v>143</v>
      </c>
      <c r="G9" s="44" t="s">
        <v>143</v>
      </c>
      <c r="H9" s="44"/>
    </row>
    <row r="10" spans="1:8">
      <c r="A10" s="45"/>
      <c r="B10" s="46" t="s">
        <v>52</v>
      </c>
      <c r="C10" s="45"/>
      <c r="D10" s="45"/>
      <c r="E10" s="45"/>
      <c r="F10" s="143" t="s">
        <v>171</v>
      </c>
      <c r="G10" s="143" t="s">
        <v>172</v>
      </c>
      <c r="H10" s="143"/>
    </row>
    <row r="11" spans="1:8">
      <c r="A11" s="45"/>
      <c r="B11" s="46" t="s">
        <v>53</v>
      </c>
      <c r="C11" s="45"/>
      <c r="D11" s="45"/>
      <c r="E11" s="45"/>
      <c r="F11" s="143" t="s">
        <v>144</v>
      </c>
      <c r="G11" s="143" t="s">
        <v>144</v>
      </c>
      <c r="H11" s="143"/>
    </row>
    <row r="12" spans="1:8">
      <c r="A12" s="45"/>
      <c r="B12" s="46"/>
      <c r="C12" s="45"/>
      <c r="D12" s="45"/>
      <c r="E12" s="45"/>
      <c r="F12" s="143"/>
      <c r="G12" s="143"/>
      <c r="H12" s="143"/>
    </row>
    <row r="13" spans="1:8">
      <c r="A13" s="30"/>
      <c r="B13" s="31" t="s">
        <v>54</v>
      </c>
      <c r="C13" s="31"/>
      <c r="D13" s="31"/>
      <c r="E13" s="31"/>
      <c r="F13" s="144"/>
      <c r="G13" s="144"/>
      <c r="H13" s="144"/>
    </row>
    <row r="14" spans="1:8">
      <c r="A14" s="48">
        <v>1</v>
      </c>
      <c r="B14" s="49" t="s">
        <v>55</v>
      </c>
      <c r="C14" s="49"/>
      <c r="D14" s="49"/>
      <c r="E14" s="49"/>
      <c r="F14" s="145">
        <v>0</v>
      </c>
      <c r="G14" s="145">
        <v>0</v>
      </c>
      <c r="H14" s="145">
        <f>F14+G14</f>
        <v>0</v>
      </c>
    </row>
    <row r="15" spans="1:8">
      <c r="A15" s="48">
        <v>2</v>
      </c>
      <c r="B15" s="50" t="s">
        <v>56</v>
      </c>
      <c r="C15" s="50"/>
      <c r="D15" s="50"/>
      <c r="E15" s="50"/>
      <c r="F15" s="146">
        <v>0</v>
      </c>
      <c r="G15" s="146">
        <v>0</v>
      </c>
      <c r="H15" s="146">
        <f t="shared" ref="H15:H19" si="0">F15+G15</f>
        <v>0</v>
      </c>
    </row>
    <row r="16" spans="1:8">
      <c r="A16" s="48">
        <v>3</v>
      </c>
      <c r="B16" s="50" t="s">
        <v>57</v>
      </c>
      <c r="C16" s="50"/>
      <c r="D16" s="50"/>
      <c r="E16" s="50"/>
      <c r="F16" s="147">
        <v>0</v>
      </c>
      <c r="G16" s="147">
        <v>0</v>
      </c>
      <c r="H16" s="147">
        <f t="shared" si="0"/>
        <v>0</v>
      </c>
    </row>
    <row r="17" spans="1:8">
      <c r="A17" s="48">
        <v>4</v>
      </c>
      <c r="B17" s="50" t="s">
        <v>58</v>
      </c>
      <c r="C17" s="50"/>
      <c r="D17" s="50"/>
      <c r="E17" s="50"/>
      <c r="F17" s="146">
        <v>0</v>
      </c>
      <c r="G17" s="146">
        <v>0</v>
      </c>
      <c r="H17" s="146">
        <f t="shared" si="0"/>
        <v>0</v>
      </c>
    </row>
    <row r="18" spans="1:8">
      <c r="A18" s="48">
        <v>5</v>
      </c>
      <c r="B18" s="50" t="s">
        <v>59</v>
      </c>
      <c r="C18" s="50"/>
      <c r="D18" s="50"/>
      <c r="E18" s="50"/>
      <c r="F18" s="147">
        <v>0</v>
      </c>
      <c r="G18" s="147">
        <v>0</v>
      </c>
      <c r="H18" s="147">
        <f t="shared" si="0"/>
        <v>0</v>
      </c>
    </row>
    <row r="19" spans="1:8">
      <c r="A19" s="48">
        <v>6</v>
      </c>
      <c r="B19" s="50" t="s">
        <v>60</v>
      </c>
      <c r="C19" s="50"/>
      <c r="D19" s="50"/>
      <c r="E19" s="50"/>
      <c r="F19" s="146">
        <v>0</v>
      </c>
      <c r="G19" s="146">
        <v>0</v>
      </c>
      <c r="H19" s="146">
        <f t="shared" si="0"/>
        <v>0</v>
      </c>
    </row>
    <row r="20" spans="1:8">
      <c r="A20" s="48"/>
      <c r="B20" s="50"/>
      <c r="C20" s="50"/>
      <c r="D20" s="50"/>
      <c r="E20" s="50"/>
      <c r="F20" s="146"/>
      <c r="G20" s="146"/>
      <c r="H20" s="146"/>
    </row>
    <row r="21" spans="1:8">
      <c r="A21" s="48"/>
      <c r="B21" s="50" t="s">
        <v>61</v>
      </c>
      <c r="C21" s="50"/>
      <c r="D21" s="50"/>
      <c r="E21" s="50"/>
      <c r="F21" s="146"/>
      <c r="G21" s="146"/>
      <c r="H21" s="146"/>
    </row>
    <row r="22" spans="1:8">
      <c r="A22" s="48"/>
      <c r="B22" s="50" t="s">
        <v>62</v>
      </c>
      <c r="C22" s="50"/>
      <c r="D22" s="50"/>
      <c r="E22" s="50"/>
      <c r="F22" s="146"/>
      <c r="G22" s="146"/>
      <c r="H22" s="146"/>
    </row>
    <row r="23" spans="1:8">
      <c r="A23" s="48">
        <v>7</v>
      </c>
      <c r="B23" s="50"/>
      <c r="C23" s="50" t="s">
        <v>63</v>
      </c>
      <c r="D23" s="50"/>
      <c r="E23" s="50"/>
      <c r="F23" s="146">
        <v>1690.610663693054</v>
      </c>
      <c r="G23" s="146">
        <v>0</v>
      </c>
      <c r="H23" s="146">
        <f t="shared" ref="H23:H27" si="1">F23+G23</f>
        <v>1690.610663693054</v>
      </c>
    </row>
    <row r="24" spans="1:8">
      <c r="A24" s="48">
        <v>8</v>
      </c>
      <c r="B24" s="50"/>
      <c r="C24" s="50" t="s">
        <v>64</v>
      </c>
      <c r="D24" s="50"/>
      <c r="E24" s="50"/>
      <c r="F24" s="146">
        <v>0</v>
      </c>
      <c r="G24" s="146">
        <v>0</v>
      </c>
      <c r="H24" s="146">
        <f t="shared" si="1"/>
        <v>0</v>
      </c>
    </row>
    <row r="25" spans="1:8" ht="13.5">
      <c r="A25" s="48">
        <v>9</v>
      </c>
      <c r="B25" s="50"/>
      <c r="C25" s="50" t="s">
        <v>140</v>
      </c>
      <c r="D25" s="50"/>
      <c r="E25" s="50"/>
      <c r="F25" s="146">
        <v>117.04207917823271</v>
      </c>
      <c r="G25" s="146">
        <f>SUM('[6]ADJ-E - OG'!O25:O27)/1000</f>
        <v>0</v>
      </c>
      <c r="H25" s="146">
        <f t="shared" si="1"/>
        <v>117.04207917823271</v>
      </c>
    </row>
    <row r="26" spans="1:8">
      <c r="A26" s="48">
        <v>10</v>
      </c>
      <c r="B26" s="50"/>
      <c r="C26" s="50" t="s">
        <v>65</v>
      </c>
      <c r="D26" s="50"/>
      <c r="E26" s="50"/>
      <c r="F26" s="146">
        <v>0</v>
      </c>
      <c r="G26" s="146">
        <v>0</v>
      </c>
      <c r="H26" s="146">
        <f t="shared" si="1"/>
        <v>0</v>
      </c>
    </row>
    <row r="27" spans="1:8">
      <c r="A27" s="48">
        <v>11</v>
      </c>
      <c r="B27" s="50"/>
      <c r="C27" s="50" t="s">
        <v>66</v>
      </c>
      <c r="D27" s="50"/>
      <c r="E27" s="50"/>
      <c r="F27" s="147">
        <v>0</v>
      </c>
      <c r="G27" s="147">
        <v>0</v>
      </c>
      <c r="H27" s="147">
        <f t="shared" si="1"/>
        <v>0</v>
      </c>
    </row>
    <row r="28" spans="1:8">
      <c r="A28" s="48">
        <v>12</v>
      </c>
      <c r="B28" s="50" t="s">
        <v>67</v>
      </c>
      <c r="C28" s="50"/>
      <c r="D28" s="50"/>
      <c r="E28" s="50"/>
      <c r="F28" s="144">
        <f t="shared" ref="F28:H28" si="2">SUM(F23:F27)</f>
        <v>1807.6527428712866</v>
      </c>
      <c r="G28" s="144">
        <f t="shared" si="2"/>
        <v>0</v>
      </c>
      <c r="H28" s="144">
        <f t="shared" si="2"/>
        <v>1807.6527428712866</v>
      </c>
    </row>
    <row r="29" spans="1:8">
      <c r="A29" s="48"/>
      <c r="B29" s="50"/>
      <c r="C29" s="50"/>
      <c r="D29" s="50"/>
      <c r="E29" s="50"/>
      <c r="F29" s="146"/>
      <c r="G29" s="146"/>
      <c r="H29" s="146"/>
    </row>
    <row r="30" spans="1:8">
      <c r="A30" s="48"/>
      <c r="B30" s="50" t="s">
        <v>68</v>
      </c>
      <c r="C30" s="50"/>
      <c r="D30" s="50"/>
      <c r="E30" s="50"/>
      <c r="F30" s="146"/>
      <c r="G30" s="146"/>
      <c r="H30" s="146"/>
    </row>
    <row r="31" spans="1:8">
      <c r="A31" s="48">
        <v>13</v>
      </c>
      <c r="B31" s="50"/>
      <c r="C31" s="50" t="s">
        <v>63</v>
      </c>
      <c r="D31" s="50"/>
      <c r="E31" s="50"/>
      <c r="F31" s="146">
        <v>0</v>
      </c>
      <c r="G31" s="146">
        <v>0</v>
      </c>
      <c r="H31" s="146">
        <f t="shared" ref="H31:H34" si="3">F31+G31</f>
        <v>0</v>
      </c>
    </row>
    <row r="32" spans="1:8">
      <c r="A32" s="48">
        <v>14</v>
      </c>
      <c r="B32" s="50"/>
      <c r="C32" s="50" t="s">
        <v>69</v>
      </c>
      <c r="D32" s="50"/>
      <c r="E32" s="50"/>
      <c r="F32" s="146">
        <v>4.5849410441144576</v>
      </c>
      <c r="G32" s="146">
        <f>+('[6]ADJ-E - OG'!O24)/1000</f>
        <v>0</v>
      </c>
      <c r="H32" s="146">
        <f t="shared" si="3"/>
        <v>4.5849410441144576</v>
      </c>
    </row>
    <row r="33" spans="1:8">
      <c r="A33" s="48"/>
      <c r="B33" s="50"/>
      <c r="C33" s="50" t="s">
        <v>65</v>
      </c>
      <c r="D33" s="50"/>
      <c r="E33" s="50"/>
      <c r="F33" s="146">
        <v>0</v>
      </c>
      <c r="G33" s="146">
        <v>0</v>
      </c>
      <c r="H33" s="146">
        <f t="shared" si="3"/>
        <v>0</v>
      </c>
    </row>
    <row r="34" spans="1:8">
      <c r="A34" s="48">
        <v>15</v>
      </c>
      <c r="B34" s="50"/>
      <c r="C34" s="50" t="s">
        <v>66</v>
      </c>
      <c r="D34" s="50"/>
      <c r="E34" s="50"/>
      <c r="F34" s="147">
        <v>0</v>
      </c>
      <c r="G34" s="147">
        <v>0</v>
      </c>
      <c r="H34" s="147">
        <f t="shared" si="3"/>
        <v>0</v>
      </c>
    </row>
    <row r="35" spans="1:8">
      <c r="A35" s="48">
        <v>16</v>
      </c>
      <c r="B35" s="50" t="s">
        <v>70</v>
      </c>
      <c r="C35" s="50"/>
      <c r="D35" s="50"/>
      <c r="E35" s="50"/>
      <c r="F35" s="144">
        <f>SUM(F31:F34)</f>
        <v>4.5849410441144576</v>
      </c>
      <c r="G35" s="144">
        <f t="shared" ref="G35" si="4">SUM(G31:G34)</f>
        <v>0</v>
      </c>
      <c r="H35" s="144">
        <f t="shared" ref="H35" si="5">SUM(H30:H34)</f>
        <v>4.5849410441144576</v>
      </c>
    </row>
    <row r="36" spans="1:8">
      <c r="A36" s="50"/>
      <c r="B36" s="50"/>
      <c r="C36" s="50"/>
      <c r="D36" s="50"/>
      <c r="E36" s="50"/>
      <c r="F36" s="146"/>
      <c r="G36" s="146"/>
      <c r="H36" s="146"/>
    </row>
    <row r="37" spans="1:8">
      <c r="A37" s="48">
        <v>17</v>
      </c>
      <c r="B37" s="50" t="s">
        <v>71</v>
      </c>
      <c r="C37" s="50"/>
      <c r="D37" s="50"/>
      <c r="E37" s="50"/>
      <c r="F37" s="146">
        <v>0</v>
      </c>
      <c r="G37" s="146">
        <v>0</v>
      </c>
      <c r="H37" s="146">
        <f t="shared" ref="H37:H39" si="6">F37+G37</f>
        <v>0</v>
      </c>
    </row>
    <row r="38" spans="1:8">
      <c r="A38" s="48">
        <v>18</v>
      </c>
      <c r="B38" s="50" t="s">
        <v>72</v>
      </c>
      <c r="C38" s="50"/>
      <c r="D38" s="50"/>
      <c r="E38" s="50"/>
      <c r="F38" s="146">
        <v>0</v>
      </c>
      <c r="G38" s="146">
        <v>0</v>
      </c>
      <c r="H38" s="146">
        <f t="shared" si="6"/>
        <v>0</v>
      </c>
    </row>
    <row r="39" spans="1:8">
      <c r="A39" s="48">
        <v>19</v>
      </c>
      <c r="B39" s="50" t="s">
        <v>73</v>
      </c>
      <c r="C39" s="50"/>
      <c r="D39" s="50"/>
      <c r="E39" s="50"/>
      <c r="F39" s="146">
        <v>0</v>
      </c>
      <c r="G39" s="146">
        <v>0</v>
      </c>
      <c r="H39" s="146">
        <f t="shared" si="6"/>
        <v>0</v>
      </c>
    </row>
    <row r="40" spans="1:8">
      <c r="A40" s="48"/>
      <c r="B40" s="50"/>
      <c r="C40" s="50"/>
      <c r="D40" s="50"/>
      <c r="E40" s="50"/>
      <c r="F40" s="146"/>
      <c r="G40" s="146"/>
      <c r="H40" s="146"/>
    </row>
    <row r="41" spans="1:8">
      <c r="A41" s="50"/>
      <c r="B41" s="50" t="s">
        <v>74</v>
      </c>
      <c r="C41" s="50"/>
      <c r="D41" s="50"/>
      <c r="E41" s="50"/>
      <c r="F41" s="146"/>
      <c r="G41" s="146"/>
      <c r="H41" s="146"/>
    </row>
    <row r="42" spans="1:8">
      <c r="A42" s="48">
        <v>20</v>
      </c>
      <c r="B42" s="50"/>
      <c r="C42" s="50" t="s">
        <v>63</v>
      </c>
      <c r="D42" s="50"/>
      <c r="E42" s="50"/>
      <c r="F42" s="146">
        <v>0</v>
      </c>
      <c r="G42" s="146">
        <v>0</v>
      </c>
      <c r="H42" s="146">
        <f t="shared" ref="H42:H45" si="7">F42+G42</f>
        <v>0</v>
      </c>
    </row>
    <row r="43" spans="1:8">
      <c r="A43" s="48">
        <v>21</v>
      </c>
      <c r="B43" s="50"/>
      <c r="C43" s="50" t="s">
        <v>69</v>
      </c>
      <c r="D43" s="50"/>
      <c r="E43" s="50"/>
      <c r="F43" s="146">
        <v>767.55750263119842</v>
      </c>
      <c r="G43" s="146">
        <f>820</f>
        <v>820</v>
      </c>
      <c r="H43" s="146">
        <f t="shared" si="7"/>
        <v>1587.5575026311985</v>
      </c>
    </row>
    <row r="44" spans="1:8">
      <c r="A44" s="48">
        <v>22</v>
      </c>
      <c r="B44" s="50"/>
      <c r="C44" s="50" t="s">
        <v>75</v>
      </c>
      <c r="D44" s="50"/>
      <c r="E44" s="50"/>
      <c r="F44" s="146">
        <v>0</v>
      </c>
      <c r="G44" s="146">
        <v>0</v>
      </c>
      <c r="H44" s="146">
        <f t="shared" si="7"/>
        <v>0</v>
      </c>
    </row>
    <row r="45" spans="1:8">
      <c r="A45" s="48">
        <v>23</v>
      </c>
      <c r="B45" s="50"/>
      <c r="C45" s="50" t="s">
        <v>66</v>
      </c>
      <c r="D45" s="50"/>
      <c r="E45" s="50"/>
      <c r="F45" s="147">
        <v>0</v>
      </c>
      <c r="G45" s="147">
        <v>0</v>
      </c>
      <c r="H45" s="147">
        <f t="shared" si="7"/>
        <v>0</v>
      </c>
    </row>
    <row r="46" spans="1:8">
      <c r="A46" s="48">
        <v>24</v>
      </c>
      <c r="B46" s="50" t="s">
        <v>76</v>
      </c>
      <c r="C46" s="50"/>
      <c r="D46" s="50"/>
      <c r="E46" s="50"/>
      <c r="F46" s="148">
        <f>SUM(F42:F45)</f>
        <v>767.55750263119842</v>
      </c>
      <c r="G46" s="148">
        <f>SUM(G42:G45)</f>
        <v>820</v>
      </c>
      <c r="H46" s="148">
        <f>SUM(H42:H45)</f>
        <v>1587.5575026311985</v>
      </c>
    </row>
    <row r="47" spans="1:8">
      <c r="A47" s="48">
        <v>25</v>
      </c>
      <c r="B47" s="50" t="s">
        <v>77</v>
      </c>
      <c r="C47" s="50"/>
      <c r="D47" s="50"/>
      <c r="E47" s="50"/>
      <c r="F47" s="149">
        <f t="shared" ref="F47" si="8">F46+F39+F38+F37+F35+F28</f>
        <v>2579.7951865465993</v>
      </c>
      <c r="G47" s="149">
        <f>G46+G39+G38+G37+G35+G28</f>
        <v>820</v>
      </c>
      <c r="H47" s="149">
        <f>H46+H39+H38+H37+H35+H28</f>
        <v>3399.7951865465993</v>
      </c>
    </row>
    <row r="48" spans="1:8">
      <c r="A48" s="50"/>
      <c r="B48" s="50"/>
      <c r="C48" s="50"/>
      <c r="D48" s="50"/>
      <c r="E48" s="50"/>
      <c r="F48" s="146"/>
      <c r="G48" s="146"/>
      <c r="H48" s="146"/>
    </row>
    <row r="49" spans="1:8">
      <c r="A49" s="48">
        <v>26</v>
      </c>
      <c r="B49" s="50" t="s">
        <v>78</v>
      </c>
      <c r="C49" s="50"/>
      <c r="D49" s="50"/>
      <c r="E49" s="50"/>
      <c r="F49" s="144">
        <f>F19-F47</f>
        <v>-2579.7951865465993</v>
      </c>
      <c r="G49" s="144">
        <f>G19-G47</f>
        <v>-820</v>
      </c>
      <c r="H49" s="144">
        <f>H19-H47</f>
        <v>-3399.7951865465993</v>
      </c>
    </row>
    <row r="50" spans="1:8">
      <c r="A50" s="48"/>
      <c r="B50" s="50"/>
      <c r="C50" s="50"/>
      <c r="D50" s="50"/>
      <c r="E50" s="50"/>
      <c r="F50" s="146"/>
      <c r="G50" s="146"/>
      <c r="H50" s="146"/>
    </row>
    <row r="51" spans="1:8">
      <c r="A51" s="51"/>
      <c r="B51" s="50" t="s">
        <v>79</v>
      </c>
      <c r="C51" s="50"/>
      <c r="D51" s="50"/>
      <c r="E51" s="50"/>
      <c r="F51" s="146"/>
      <c r="G51" s="146"/>
      <c r="H51" s="146"/>
    </row>
    <row r="52" spans="1:8">
      <c r="A52" s="48">
        <v>27</v>
      </c>
      <c r="B52" s="50" t="s">
        <v>80</v>
      </c>
      <c r="C52" s="50"/>
      <c r="D52" s="52"/>
      <c r="E52" s="52"/>
      <c r="F52" s="144">
        <f>F49*0.21</f>
        <v>-541.75698917478587</v>
      </c>
      <c r="G52" s="144">
        <f t="shared" ref="G52" si="9">G49*0.21</f>
        <v>-172.2</v>
      </c>
      <c r="H52" s="144">
        <f>H49*0.21</f>
        <v>-713.9569891747858</v>
      </c>
    </row>
    <row r="53" spans="1:8">
      <c r="A53" s="48">
        <v>28</v>
      </c>
      <c r="B53" s="50" t="s">
        <v>81</v>
      </c>
      <c r="C53" s="50"/>
      <c r="D53" s="50"/>
      <c r="E53" s="50"/>
      <c r="F53" s="144">
        <f>(F81*0.0256*-0.21)</f>
        <v>-46.911971333841663</v>
      </c>
      <c r="G53" s="144">
        <f t="shared" ref="G53" si="10">(G81*0.0256*-0.21)</f>
        <v>-20.702976</v>
      </c>
      <c r="H53" s="144">
        <f>(H81*0.0256*-0.21)</f>
        <v>-67.614947333841656</v>
      </c>
    </row>
    <row r="54" spans="1:8">
      <c r="A54" s="48">
        <v>29</v>
      </c>
      <c r="B54" s="50" t="s">
        <v>82</v>
      </c>
      <c r="C54" s="50"/>
      <c r="D54" s="50"/>
      <c r="E54" s="50"/>
      <c r="F54" s="146">
        <v>0</v>
      </c>
      <c r="G54" s="146">
        <v>0</v>
      </c>
      <c r="H54" s="146">
        <v>0</v>
      </c>
    </row>
    <row r="55" spans="1:8">
      <c r="A55" s="51">
        <v>30</v>
      </c>
      <c r="B55" s="50" t="s">
        <v>83</v>
      </c>
      <c r="C55" s="50"/>
      <c r="D55" s="50"/>
      <c r="E55" s="50"/>
      <c r="F55" s="147">
        <v>0</v>
      </c>
      <c r="G55" s="147">
        <v>0</v>
      </c>
      <c r="H55" s="147">
        <v>0</v>
      </c>
    </row>
    <row r="56" spans="1:8">
      <c r="A56" s="30"/>
      <c r="B56" s="31"/>
      <c r="C56" s="31"/>
      <c r="D56" s="31"/>
      <c r="E56" s="31"/>
      <c r="F56" s="144"/>
      <c r="G56" s="144"/>
      <c r="H56" s="144"/>
    </row>
    <row r="57" spans="1:8" ht="13.5" thickBot="1">
      <c r="A57" s="53">
        <v>31</v>
      </c>
      <c r="B57" s="49" t="s">
        <v>84</v>
      </c>
      <c r="C57" s="49"/>
      <c r="D57" s="49"/>
      <c r="E57" s="49"/>
      <c r="F57" s="150">
        <f t="shared" ref="F57:H57" si="11">F49-SUM(F52:F55)</f>
        <v>-1991.1262260379717</v>
      </c>
      <c r="G57" s="150">
        <f t="shared" si="11"/>
        <v>-627.09702400000003</v>
      </c>
      <c r="H57" s="150">
        <f t="shared" si="11"/>
        <v>-2618.2232500379719</v>
      </c>
    </row>
    <row r="58" spans="1:8" ht="13.5" thickTop="1">
      <c r="A58" s="53"/>
      <c r="B58" s="31"/>
      <c r="C58" s="31"/>
      <c r="D58" s="31"/>
      <c r="E58" s="31"/>
      <c r="F58" s="144"/>
      <c r="G58" s="144"/>
      <c r="H58" s="144"/>
    </row>
    <row r="59" spans="1:8">
      <c r="A59" s="53"/>
      <c r="B59" s="31" t="s">
        <v>85</v>
      </c>
      <c r="C59" s="31"/>
      <c r="D59" s="31"/>
      <c r="E59" s="31"/>
      <c r="F59" s="144"/>
      <c r="G59" s="144"/>
      <c r="H59" s="144"/>
    </row>
    <row r="60" spans="1:8">
      <c r="A60" s="30"/>
      <c r="B60" s="31" t="s">
        <v>86</v>
      </c>
      <c r="C60" s="31"/>
      <c r="D60" s="31"/>
      <c r="E60" s="31"/>
      <c r="F60" s="144"/>
      <c r="G60" s="144"/>
      <c r="H60" s="144"/>
    </row>
    <row r="61" spans="1:8">
      <c r="A61" s="53">
        <v>32</v>
      </c>
      <c r="B61" s="49"/>
      <c r="C61" s="49" t="s">
        <v>87</v>
      </c>
      <c r="D61" s="49"/>
      <c r="E61" s="49"/>
      <c r="F61" s="144">
        <v>3655.5158033470666</v>
      </c>
      <c r="G61" s="144">
        <f>4099</f>
        <v>4099</v>
      </c>
      <c r="H61" s="146">
        <f t="shared" ref="H61:H65" si="12">F61+G61</f>
        <v>7754.515803347067</v>
      </c>
    </row>
    <row r="62" spans="1:8">
      <c r="A62" s="53">
        <v>33</v>
      </c>
      <c r="B62" s="50"/>
      <c r="C62" s="50" t="s">
        <v>88</v>
      </c>
      <c r="D62" s="50"/>
      <c r="E62" s="50"/>
      <c r="F62" s="144">
        <v>3636.8219566918365</v>
      </c>
      <c r="G62" s="144"/>
      <c r="H62" s="146">
        <f t="shared" si="12"/>
        <v>3636.8219566918365</v>
      </c>
    </row>
    <row r="63" spans="1:8">
      <c r="A63" s="53">
        <v>34</v>
      </c>
      <c r="B63" s="50"/>
      <c r="C63" s="50" t="s">
        <v>89</v>
      </c>
      <c r="D63" s="50"/>
      <c r="E63" s="50"/>
      <c r="F63" s="144">
        <v>1502.5084696382678</v>
      </c>
      <c r="G63" s="144"/>
      <c r="H63" s="146">
        <f t="shared" si="12"/>
        <v>1502.5084696382678</v>
      </c>
    </row>
    <row r="64" spans="1:8">
      <c r="A64" s="53">
        <v>35</v>
      </c>
      <c r="B64" s="50"/>
      <c r="C64" s="50" t="s">
        <v>68</v>
      </c>
      <c r="D64" s="50"/>
      <c r="E64" s="50"/>
      <c r="F64" s="144">
        <v>187.14045078018191</v>
      </c>
      <c r="G64" s="144"/>
      <c r="H64" s="146">
        <f t="shared" si="12"/>
        <v>187.14045078018191</v>
      </c>
    </row>
    <row r="65" spans="1:8">
      <c r="A65" s="53">
        <v>36</v>
      </c>
      <c r="B65" s="50"/>
      <c r="C65" s="50" t="s">
        <v>90</v>
      </c>
      <c r="D65" s="50"/>
      <c r="E65" s="50"/>
      <c r="F65" s="149">
        <v>827.63720375973105</v>
      </c>
      <c r="G65" s="149"/>
      <c r="H65" s="147">
        <f t="shared" si="12"/>
        <v>827.63720375973105</v>
      </c>
    </row>
    <row r="66" spans="1:8">
      <c r="A66" s="53">
        <v>37</v>
      </c>
      <c r="B66" s="50" t="s">
        <v>91</v>
      </c>
      <c r="C66" s="50"/>
      <c r="D66" s="50"/>
      <c r="E66" s="50"/>
      <c r="F66" s="144">
        <f>SUM(F61:F65)</f>
        <v>9809.6238842170824</v>
      </c>
      <c r="G66" s="144">
        <f>SUM(G61:G65)</f>
        <v>4099</v>
      </c>
      <c r="H66" s="144">
        <f>SUM(H61:H65)</f>
        <v>13908.623884217082</v>
      </c>
    </row>
    <row r="67" spans="1:8">
      <c r="A67" s="53"/>
      <c r="B67" s="50" t="s">
        <v>92</v>
      </c>
      <c r="C67" s="50"/>
      <c r="D67" s="50"/>
      <c r="E67" s="50"/>
      <c r="F67" s="144"/>
      <c r="G67" s="144"/>
      <c r="H67" s="144"/>
    </row>
    <row r="68" spans="1:8">
      <c r="A68" s="53">
        <v>38</v>
      </c>
      <c r="B68" s="50"/>
      <c r="C68" s="49" t="s">
        <v>87</v>
      </c>
      <c r="D68" s="50"/>
      <c r="E68" s="50"/>
      <c r="F68" s="144">
        <v>-752.22625098575622</v>
      </c>
      <c r="G68" s="144">
        <f>-215</f>
        <v>-215</v>
      </c>
      <c r="H68" s="146">
        <f t="shared" ref="H68:H72" si="13">F68+G68</f>
        <v>-967.22625098575622</v>
      </c>
    </row>
    <row r="69" spans="1:8">
      <c r="A69" s="53">
        <v>39</v>
      </c>
      <c r="B69" s="50"/>
      <c r="C69" s="50" t="s">
        <v>88</v>
      </c>
      <c r="D69" s="50"/>
      <c r="E69" s="50"/>
      <c r="F69" s="144">
        <v>-92.349768487379862</v>
      </c>
      <c r="G69" s="144">
        <v>0</v>
      </c>
      <c r="H69" s="146">
        <f t="shared" si="13"/>
        <v>-92.349768487379862</v>
      </c>
    </row>
    <row r="70" spans="1:8">
      <c r="A70" s="53">
        <v>40</v>
      </c>
      <c r="B70" s="50"/>
      <c r="C70" s="50" t="s">
        <v>89</v>
      </c>
      <c r="D70" s="50"/>
      <c r="E70" s="50"/>
      <c r="F70" s="144">
        <v>-30.369722733126842</v>
      </c>
      <c r="G70" s="144">
        <v>0</v>
      </c>
      <c r="H70" s="146">
        <f t="shared" si="13"/>
        <v>-30.369722733126842</v>
      </c>
    </row>
    <row r="71" spans="1:8">
      <c r="A71" s="53">
        <v>41</v>
      </c>
      <c r="B71" s="50"/>
      <c r="C71" s="50" t="s">
        <v>68</v>
      </c>
      <c r="D71" s="50"/>
      <c r="E71" s="50"/>
      <c r="F71" s="144">
        <v>-3.6297449932572796</v>
      </c>
      <c r="G71" s="144">
        <v>0</v>
      </c>
      <c r="H71" s="146">
        <f t="shared" si="13"/>
        <v>-3.6297449932572796</v>
      </c>
    </row>
    <row r="72" spans="1:8">
      <c r="A72" s="53">
        <v>42</v>
      </c>
      <c r="B72" s="50"/>
      <c r="C72" s="50" t="s">
        <v>90</v>
      </c>
      <c r="D72" s="50"/>
      <c r="E72" s="50"/>
      <c r="F72" s="149">
        <v>-56.651716666090522</v>
      </c>
      <c r="G72" s="149">
        <v>0</v>
      </c>
      <c r="H72" s="147">
        <f t="shared" si="13"/>
        <v>-56.651716666090522</v>
      </c>
    </row>
    <row r="73" spans="1:8">
      <c r="A73" s="53">
        <v>43</v>
      </c>
      <c r="B73" s="50" t="s">
        <v>93</v>
      </c>
      <c r="C73" s="50"/>
      <c r="D73" s="50"/>
      <c r="E73" s="50"/>
      <c r="F73" s="151">
        <f>SUM(F68:F72)</f>
        <v>-935.22720386561082</v>
      </c>
      <c r="G73" s="151">
        <f>SUM(G68:G72)</f>
        <v>-215</v>
      </c>
      <c r="H73" s="144">
        <f>SUM(H68:H72)</f>
        <v>-1150.2272038656106</v>
      </c>
    </row>
    <row r="74" spans="1:8" ht="13.5">
      <c r="A74" s="53">
        <v>44</v>
      </c>
      <c r="B74" s="50" t="s">
        <v>145</v>
      </c>
      <c r="C74" s="50"/>
      <c r="D74" s="50"/>
      <c r="E74" s="50"/>
      <c r="F74" s="151">
        <f>F66+F73</f>
        <v>8874.3966803514722</v>
      </c>
      <c r="G74" s="151">
        <f>G66+G73</f>
        <v>3884</v>
      </c>
      <c r="H74" s="151">
        <f>H66+H73</f>
        <v>12758.396680351472</v>
      </c>
    </row>
    <row r="75" spans="1:8">
      <c r="A75" s="53"/>
      <c r="B75" s="50"/>
      <c r="C75" s="50"/>
      <c r="D75" s="50"/>
      <c r="E75" s="50"/>
      <c r="F75" s="144"/>
      <c r="G75" s="144"/>
      <c r="H75" s="144"/>
    </row>
    <row r="76" spans="1:8">
      <c r="A76" s="51">
        <v>45</v>
      </c>
      <c r="B76" s="50" t="s">
        <v>94</v>
      </c>
      <c r="C76" s="50"/>
      <c r="D76" s="50"/>
      <c r="E76" s="50"/>
      <c r="F76" s="149">
        <v>-148.21153640771027</v>
      </c>
      <c r="G76" s="149">
        <f>-33</f>
        <v>-33</v>
      </c>
      <c r="H76" s="147">
        <f t="shared" ref="H76" si="14">F76+G76</f>
        <v>-181.21153640771027</v>
      </c>
    </row>
    <row r="77" spans="1:8">
      <c r="A77" s="51">
        <v>46</v>
      </c>
      <c r="B77" s="50"/>
      <c r="C77" s="50" t="s">
        <v>95</v>
      </c>
      <c r="D77" s="50"/>
      <c r="E77" s="50"/>
      <c r="F77" s="144">
        <f t="shared" ref="F77" si="15">SUM(F74:F76)</f>
        <v>8726.1851439437614</v>
      </c>
      <c r="G77" s="144">
        <f>SUM(G74:G76)</f>
        <v>3851</v>
      </c>
      <c r="H77" s="144">
        <f>SUM(H74:H76)</f>
        <v>12577.185143943761</v>
      </c>
    </row>
    <row r="78" spans="1:8">
      <c r="A78" s="53">
        <v>47</v>
      </c>
      <c r="B78" s="50" t="s">
        <v>96</v>
      </c>
      <c r="C78" s="50"/>
      <c r="D78" s="50"/>
      <c r="E78" s="50"/>
      <c r="F78" s="146">
        <v>0</v>
      </c>
      <c r="G78" s="146">
        <v>0</v>
      </c>
      <c r="H78" s="146">
        <f t="shared" ref="H78:H79" si="16">F78+G78</f>
        <v>0</v>
      </c>
    </row>
    <row r="79" spans="1:8">
      <c r="A79" s="53">
        <v>48</v>
      </c>
      <c r="B79" s="50" t="s">
        <v>97</v>
      </c>
      <c r="C79" s="50"/>
      <c r="D79" s="50"/>
      <c r="E79" s="50"/>
      <c r="F79" s="147">
        <v>0</v>
      </c>
      <c r="G79" s="147">
        <v>0</v>
      </c>
      <c r="H79" s="147">
        <f t="shared" si="16"/>
        <v>0</v>
      </c>
    </row>
    <row r="80" spans="1:8">
      <c r="A80" s="51"/>
      <c r="B80" s="50"/>
      <c r="C80" s="50"/>
      <c r="D80" s="50"/>
      <c r="E80" s="50"/>
      <c r="F80" s="144"/>
      <c r="G80" s="144"/>
      <c r="H80" s="144"/>
    </row>
    <row r="81" spans="1:8" ht="13.5" thickBot="1">
      <c r="A81" s="48">
        <v>49</v>
      </c>
      <c r="B81" s="49" t="s">
        <v>98</v>
      </c>
      <c r="C81" s="49"/>
      <c r="D81" s="49"/>
      <c r="E81" s="49"/>
      <c r="F81" s="150">
        <f t="shared" ref="F81:H81" si="17">SUM(F77:F79)</f>
        <v>8726.1851439437614</v>
      </c>
      <c r="G81" s="150">
        <f t="shared" si="17"/>
        <v>3851</v>
      </c>
      <c r="H81" s="150">
        <f t="shared" si="17"/>
        <v>12577.185143943761</v>
      </c>
    </row>
    <row r="82" spans="1:8" ht="13.5" thickTop="1">
      <c r="A82" s="48">
        <v>50</v>
      </c>
      <c r="B82" s="31" t="s">
        <v>99</v>
      </c>
      <c r="C82" s="31"/>
      <c r="D82" s="31"/>
      <c r="E82" s="31"/>
      <c r="F82" s="54"/>
      <c r="G82" s="54"/>
      <c r="H82" s="54"/>
    </row>
    <row r="83" spans="1:8">
      <c r="A83" s="30">
        <v>51</v>
      </c>
      <c r="B83" s="31" t="s">
        <v>100</v>
      </c>
      <c r="C83" s="31"/>
      <c r="D83" s="31"/>
      <c r="E83" s="31"/>
      <c r="F83" s="55">
        <f>F89</f>
        <v>3458.8444283477438</v>
      </c>
      <c r="G83" s="55">
        <f>G89</f>
        <v>1193.3008831045029</v>
      </c>
      <c r="H83" s="55">
        <f>H89</f>
        <v>4652.1453114522474</v>
      </c>
    </row>
    <row r="84" spans="1:8">
      <c r="A84" s="30"/>
      <c r="B84" s="57"/>
      <c r="C84" s="31"/>
      <c r="D84" s="31"/>
      <c r="E84" s="31"/>
      <c r="F84" s="58"/>
      <c r="G84" s="58"/>
      <c r="H84" s="58"/>
    </row>
    <row r="85" spans="1:8">
      <c r="A85" s="30"/>
      <c r="B85" s="31"/>
      <c r="C85" s="31"/>
      <c r="D85" s="31"/>
      <c r="E85" s="31"/>
      <c r="F85" s="59"/>
      <c r="G85" s="59"/>
      <c r="H85" s="59"/>
    </row>
    <row r="86" spans="1:8">
      <c r="A86" s="30"/>
      <c r="B86" s="31"/>
      <c r="C86" s="31"/>
      <c r="D86" s="31"/>
      <c r="E86" s="61">
        <v>7.1199999999999999E-2</v>
      </c>
      <c r="F86" s="47"/>
      <c r="G86" s="47"/>
      <c r="H86" s="47"/>
    </row>
    <row r="87" spans="1:8">
      <c r="A87" s="30"/>
      <c r="B87" s="31"/>
      <c r="C87" s="31"/>
      <c r="D87" s="31" t="s">
        <v>102</v>
      </c>
      <c r="E87" s="62">
        <v>0.75529000000000002</v>
      </c>
    </row>
    <row r="88" spans="1:8">
      <c r="A88" s="30"/>
      <c r="B88" s="31"/>
      <c r="C88" s="31"/>
      <c r="D88" s="31" t="s">
        <v>103</v>
      </c>
      <c r="E88" s="31"/>
      <c r="F88" s="60">
        <f>F81*E86-F57</f>
        <v>2612.4306082867674</v>
      </c>
      <c r="G88" s="60">
        <f>G81*E86-G57</f>
        <v>901.28822400000001</v>
      </c>
      <c r="H88" s="60">
        <f>H81*E86-H57</f>
        <v>3513.7188322867678</v>
      </c>
    </row>
    <row r="89" spans="1:8">
      <c r="A89" s="30"/>
      <c r="B89" s="31"/>
      <c r="C89" s="31"/>
      <c r="D89" s="31" t="s">
        <v>104</v>
      </c>
      <c r="E89" s="31"/>
      <c r="F89" s="56">
        <f>F88/E87</f>
        <v>3458.8444283477438</v>
      </c>
      <c r="G89" s="56">
        <f>G88/E87</f>
        <v>1193.3008831045029</v>
      </c>
      <c r="H89" s="56">
        <f>H88/E87</f>
        <v>4652.1453114522474</v>
      </c>
    </row>
    <row r="92" spans="1:8" ht="13.5">
      <c r="D92" s="31" t="s">
        <v>146</v>
      </c>
    </row>
  </sheetData>
  <mergeCells count="1">
    <mergeCell ref="D1:F1"/>
  </mergeCells>
  <pageMargins left="0.7" right="0.7" top="0.75" bottom="0.75" header="0.3" footer="0.3"/>
  <pageSetup scale="56" orientation="portrait" horizontalDpi="1200" verticalDpi="1200" r:id="rId1"/>
  <headerFooter>
    <oddFooter>&amp;LAvista
&amp;F
&amp;A&amp;RPage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2022-04-15T07:00:00+00:00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D5EB045-D3B8-4826-A9EC-A69273993997}"/>
</file>

<file path=customXml/itemProps2.xml><?xml version="1.0" encoding="utf-8"?>
<ds:datastoreItem xmlns:ds="http://schemas.openxmlformats.org/officeDocument/2006/customXml" ds:itemID="{6E77B427-5DBC-465D-8A61-1A5D3AA44875}"/>
</file>

<file path=customXml/itemProps3.xml><?xml version="1.0" encoding="utf-8"?>
<ds:datastoreItem xmlns:ds="http://schemas.openxmlformats.org/officeDocument/2006/customXml" ds:itemID="{00072950-E48B-449A-9B84-62CEF1EE4B1A}"/>
</file>

<file path=customXml/itemProps4.xml><?xml version="1.0" encoding="utf-8"?>
<ds:datastoreItem xmlns:ds="http://schemas.openxmlformats.org/officeDocument/2006/customXml" ds:itemID="{C5903571-3AA0-45EE-924C-A839FC6816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Sum Cost Comparison-Act vs </vt:lpstr>
      <vt:lpstr>EIM - 2020 WA E Detail - Actual</vt:lpstr>
      <vt:lpstr>EIM - 2021 WA E Detail - FCst</vt:lpstr>
      <vt:lpstr>EIM - 2021 WA E Detail - Actual</vt:lpstr>
      <vt:lpstr>EIM - 2022 WA E Detail - FCst</vt:lpstr>
      <vt:lpstr>EIM - 2022 WA E Detail - Actual</vt:lpstr>
      <vt:lpstr>ADJ-E - PF</vt:lpstr>
      <vt:lpstr>Summary-Cost-E - PF.PV</vt:lpstr>
      <vt:lpstr>RR Model-update once complete</vt:lpstr>
      <vt:lpstr>'EIM - 2020 WA E Detail - Actual'!Print_Area</vt:lpstr>
      <vt:lpstr>'EIM - 2021 WA E Detail - FCst'!Print_Area</vt:lpstr>
      <vt:lpstr>'EIM - 2022 WA E Detail - FCst'!Print_Area</vt:lpstr>
      <vt:lpstr>'Summary-Cost-E - PF.PV'!Print_Area</vt:lpstr>
      <vt:lpstr>'Summary-Cost-E - PF.PV'!Print_Titles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2022-04-15T01:54:38Z</cp:lastPrinted>
  <dcterms:created xsi:type="dcterms:W3CDTF">2020-05-28T13:46:58Z</dcterms:created>
  <dcterms:modified xsi:type="dcterms:W3CDTF">2022-04-15T01:54:51Z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