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0\2020 WA Elec and Gas GRC\Compliance Filing - Final Order\"/>
    </mc:Choice>
  </mc:AlternateContent>
  <xr:revisionPtr revIDLastSave="0" documentId="13_ncr:1_{8D9D92E6-87A5-4843-A650-89AF201A35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ttachment 3, Page 1" sheetId="15" r:id="rId1"/>
    <sheet name="Attachment 3, Page 2" sheetId="16" r:id="rId2"/>
    <sheet name="Attachment 3, Page 3" sheetId="18" r:id="rId3"/>
    <sheet name="Attachment 3, Page 4" sheetId="21" r:id="rId4"/>
    <sheet name="TY Normalized Usage by Month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'Attachment 3, Page 1'!$A$1:$K$34</definedName>
    <definedName name="_xlnm.Print_Area" localSheetId="1">'Attachment 3, Page 2'!$A$1:$E$17</definedName>
    <definedName name="_xlnm.Print_Area" localSheetId="2">'Attachment 3, Page 3'!$A$1:$P$35</definedName>
    <definedName name="_xlnm.Print_Area" localSheetId="3">'Attachment 3, Page 4'!$A$1:$E$31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6" l="1"/>
  <c r="J10" i="18"/>
  <c r="J10" i="21"/>
  <c r="J10" i="15"/>
  <c r="H10" i="16"/>
  <c r="H10" i="18"/>
  <c r="H10" i="21"/>
  <c r="H10" i="15"/>
  <c r="G10" i="16"/>
  <c r="G10" i="18"/>
  <c r="G10" i="21"/>
  <c r="G10" i="15"/>
  <c r="F10" i="16"/>
  <c r="F10" i="18"/>
  <c r="F10" i="21"/>
  <c r="F10" i="15"/>
  <c r="F32" i="15" l="1"/>
  <c r="E27" i="15"/>
  <c r="D51" i="20"/>
  <c r="O51" i="20"/>
  <c r="N51" i="20"/>
  <c r="M51" i="20"/>
  <c r="L51" i="20"/>
  <c r="K51" i="20"/>
  <c r="J51" i="20"/>
  <c r="I51" i="20"/>
  <c r="H51" i="20"/>
  <c r="G51" i="20"/>
  <c r="F51" i="20"/>
  <c r="E51" i="20"/>
  <c r="P51" i="20"/>
  <c r="P50" i="20"/>
  <c r="E20" i="21" l="1"/>
  <c r="G13" i="15" l="1"/>
  <c r="J13" i="15"/>
  <c r="E9" i="15"/>
  <c r="E10" i="15"/>
  <c r="K10" i="15"/>
  <c r="I10" i="15"/>
  <c r="Q57" i="20" l="1"/>
  <c r="B27" i="18" l="1"/>
  <c r="P57" i="20"/>
  <c r="P54" i="20"/>
  <c r="Q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N56" i="20" s="1"/>
  <c r="N58" i="20" s="1"/>
  <c r="M43" i="20"/>
  <c r="L43" i="20"/>
  <c r="K43" i="20"/>
  <c r="J43" i="20"/>
  <c r="I43" i="20"/>
  <c r="H43" i="20"/>
  <c r="G43" i="20"/>
  <c r="F43" i="20"/>
  <c r="F56" i="20" s="1"/>
  <c r="F58" i="20" s="1"/>
  <c r="E43" i="20"/>
  <c r="D43" i="20"/>
  <c r="O42" i="20"/>
  <c r="N42" i="20"/>
  <c r="M42" i="20"/>
  <c r="M53" i="20" s="1"/>
  <c r="M55" i="20" s="1"/>
  <c r="L42" i="20"/>
  <c r="L53" i="20" s="1"/>
  <c r="L55" i="20" s="1"/>
  <c r="K42" i="20"/>
  <c r="K53" i="20" s="1"/>
  <c r="K55" i="20" s="1"/>
  <c r="J42" i="20"/>
  <c r="J53" i="20" s="1"/>
  <c r="J55" i="20" s="1"/>
  <c r="I42" i="20"/>
  <c r="I53" i="20" s="1"/>
  <c r="I55" i="20" s="1"/>
  <c r="H42" i="20"/>
  <c r="G42" i="20"/>
  <c r="F42" i="20"/>
  <c r="E42" i="20"/>
  <c r="E53" i="20" s="1"/>
  <c r="E55" i="20" s="1"/>
  <c r="D42" i="20"/>
  <c r="D53" i="20" s="1"/>
  <c r="D55" i="20" s="1"/>
  <c r="O39" i="20"/>
  <c r="N39" i="20"/>
  <c r="M39" i="20"/>
  <c r="L39" i="20"/>
  <c r="K39" i="20"/>
  <c r="J39" i="20"/>
  <c r="I39" i="20"/>
  <c r="H39" i="20"/>
  <c r="G39" i="20"/>
  <c r="F39" i="20"/>
  <c r="E39" i="20"/>
  <c r="D39" i="20"/>
  <c r="P38" i="20"/>
  <c r="P37" i="20"/>
  <c r="P36" i="20"/>
  <c r="P35" i="20"/>
  <c r="P34" i="20"/>
  <c r="P33" i="20"/>
  <c r="P39" i="20" s="1"/>
  <c r="P30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P26" i="20"/>
  <c r="P25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P20" i="20"/>
  <c r="P19" i="20"/>
  <c r="P18" i="20"/>
  <c r="P17" i="20"/>
  <c r="P16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P12" i="20"/>
  <c r="P11" i="20"/>
  <c r="P10" i="20"/>
  <c r="P9" i="20"/>
  <c r="P8" i="20"/>
  <c r="P7" i="20"/>
  <c r="P22" i="20" l="1"/>
  <c r="H56" i="20"/>
  <c r="H58" i="20" s="1"/>
  <c r="P47" i="20"/>
  <c r="I56" i="20"/>
  <c r="I58" i="20" s="1"/>
  <c r="P45" i="20"/>
  <c r="F48" i="20"/>
  <c r="F60" i="20" s="1"/>
  <c r="N48" i="20"/>
  <c r="N60" i="20" s="1"/>
  <c r="J56" i="20"/>
  <c r="J58" i="20" s="1"/>
  <c r="P13" i="20"/>
  <c r="G48" i="20"/>
  <c r="G60" i="20" s="1"/>
  <c r="O48" i="20"/>
  <c r="O60" i="20" s="1"/>
  <c r="K56" i="20"/>
  <c r="K58" i="20" s="1"/>
  <c r="G56" i="20"/>
  <c r="G58" i="20" s="1"/>
  <c r="O56" i="20"/>
  <c r="O58" i="20" s="1"/>
  <c r="H48" i="20"/>
  <c r="H60" i="20" s="1"/>
  <c r="P43" i="20"/>
  <c r="L56" i="20"/>
  <c r="L58" i="20" s="1"/>
  <c r="P44" i="20"/>
  <c r="P46" i="20"/>
  <c r="I48" i="20"/>
  <c r="I60" i="20" s="1"/>
  <c r="P27" i="20"/>
  <c r="E56" i="20"/>
  <c r="E58" i="20" s="1"/>
  <c r="M48" i="20"/>
  <c r="M60" i="20" s="1"/>
  <c r="J48" i="20"/>
  <c r="J60" i="20" s="1"/>
  <c r="F53" i="20"/>
  <c r="F55" i="20" s="1"/>
  <c r="E48" i="20"/>
  <c r="E60" i="20" s="1"/>
  <c r="G53" i="20"/>
  <c r="G55" i="20" s="1"/>
  <c r="M56" i="20"/>
  <c r="M58" i="20" s="1"/>
  <c r="P42" i="20"/>
  <c r="K48" i="20"/>
  <c r="K60" i="20" s="1"/>
  <c r="D48" i="20"/>
  <c r="D60" i="20" s="1"/>
  <c r="L48" i="20"/>
  <c r="L60" i="20" s="1"/>
  <c r="N53" i="20"/>
  <c r="N55" i="20" s="1"/>
  <c r="O53" i="20"/>
  <c r="O55" i="20" s="1"/>
  <c r="D56" i="20"/>
  <c r="H53" i="20"/>
  <c r="H55" i="20" s="1"/>
  <c r="A4" i="18"/>
  <c r="P48" i="20" l="1"/>
  <c r="P53" i="20"/>
  <c r="P55" i="20" s="1"/>
  <c r="P60" i="20"/>
  <c r="P56" i="20"/>
  <c r="P58" i="20" s="1"/>
  <c r="D58" i="20"/>
  <c r="A6" i="21"/>
  <c r="A5" i="16" l="1"/>
  <c r="G30" i="15" l="1"/>
  <c r="E22" i="21" l="1"/>
  <c r="E26" i="15" l="1"/>
  <c r="E26" i="21"/>
  <c r="D14" i="18" l="1"/>
  <c r="I10" i="18" l="1"/>
  <c r="M10" i="18"/>
  <c r="E10" i="18"/>
  <c r="O10" i="18"/>
  <c r="K10" i="18"/>
  <c r="N10" i="18"/>
  <c r="O14" i="18"/>
  <c r="G14" i="18"/>
  <c r="K14" i="18"/>
  <c r="L14" i="18"/>
  <c r="H14" i="18"/>
  <c r="D10" i="18"/>
  <c r="L10" i="18" l="1"/>
  <c r="N14" i="18"/>
  <c r="M14" i="18"/>
  <c r="J14" i="18"/>
  <c r="E14" i="18"/>
  <c r="F14" i="18"/>
  <c r="I14" i="18"/>
  <c r="E12" i="16" l="1"/>
  <c r="G33" i="15"/>
  <c r="G31" i="15"/>
  <c r="F30" i="15"/>
  <c r="F33" i="15" l="1"/>
  <c r="F31" i="15"/>
  <c r="F21" i="15" l="1"/>
  <c r="G21" i="15"/>
  <c r="H21" i="15"/>
  <c r="I21" i="15"/>
  <c r="G32" i="15" l="1"/>
  <c r="D22" i="16"/>
  <c r="F34" i="15"/>
  <c r="G34" i="15" l="1"/>
  <c r="E22" i="16"/>
  <c r="H14" i="15"/>
  <c r="H15" i="15" s="1"/>
  <c r="E14" i="15"/>
  <c r="G14" i="15"/>
  <c r="G15" i="15" s="1"/>
  <c r="K14" i="15"/>
  <c r="K15" i="15" s="1"/>
  <c r="F14" i="15"/>
  <c r="F15" i="15" s="1"/>
  <c r="D23" i="16" s="1"/>
  <c r="I14" i="15"/>
  <c r="I15" i="15" s="1"/>
  <c r="J14" i="15"/>
  <c r="J15" i="15" s="1"/>
  <c r="E23" i="16" l="1"/>
  <c r="E15" i="15"/>
  <c r="G11" i="15" l="1"/>
  <c r="H11" i="15"/>
  <c r="J11" i="15"/>
  <c r="I11" i="15"/>
  <c r="K11" i="15"/>
  <c r="F11" i="15"/>
  <c r="E11" i="15" l="1"/>
  <c r="A2" i="18"/>
  <c r="P14" i="18" l="1"/>
  <c r="N15" i="18" s="1"/>
  <c r="P10" i="18"/>
  <c r="N11" i="18" s="1"/>
  <c r="A9" i="18"/>
  <c r="A10" i="18" s="1"/>
  <c r="A11" i="18" s="1"/>
  <c r="A22" i="18" s="1"/>
  <c r="A23" i="18" s="1"/>
  <c r="A24" i="18" s="1"/>
  <c r="A26" i="18" s="1"/>
  <c r="A27" i="18" s="1"/>
  <c r="A28" i="18" s="1"/>
  <c r="D12" i="16"/>
  <c r="E21" i="15"/>
  <c r="E19" i="15"/>
  <c r="E13" i="15"/>
  <c r="E11" i="18" l="1"/>
  <c r="G11" i="18"/>
  <c r="I11" i="18"/>
  <c r="K11" i="18"/>
  <c r="M11" i="18"/>
  <c r="O11" i="18"/>
  <c r="E15" i="18"/>
  <c r="G15" i="18"/>
  <c r="I15" i="18"/>
  <c r="K15" i="18"/>
  <c r="M15" i="18"/>
  <c r="O15" i="18"/>
  <c r="D11" i="18"/>
  <c r="F11" i="18"/>
  <c r="H11" i="18"/>
  <c r="J11" i="18"/>
  <c r="L11" i="18"/>
  <c r="D15" i="18"/>
  <c r="F15" i="18"/>
  <c r="H15" i="18"/>
  <c r="J15" i="18"/>
  <c r="L15" i="18"/>
  <c r="G17" i="15"/>
  <c r="I17" i="15"/>
  <c r="H17" i="15"/>
  <c r="F17" i="15"/>
  <c r="H23" i="15" l="1"/>
  <c r="H39" i="15" s="1"/>
  <c r="H40" i="15" s="1"/>
  <c r="F23" i="15"/>
  <c r="F39" i="15" s="1"/>
  <c r="F40" i="15" s="1"/>
  <c r="G23" i="15"/>
  <c r="G39" i="15" s="1"/>
  <c r="G40" i="15" s="1"/>
  <c r="I23" i="15"/>
  <c r="I39" i="15" s="1"/>
  <c r="I40" i="15" s="1"/>
  <c r="P11" i="18"/>
  <c r="P15" i="18"/>
  <c r="C14" i="16"/>
  <c r="D10" i="16" l="1"/>
  <c r="E10" i="16"/>
  <c r="E23" i="15"/>
  <c r="C24" i="18"/>
  <c r="E17" i="15"/>
  <c r="E14" i="16" l="1"/>
  <c r="D14" i="16"/>
  <c r="P23" i="18" l="1"/>
  <c r="D21" i="16"/>
  <c r="D24" i="16" s="1"/>
  <c r="P27" i="18"/>
  <c r="E21" i="16"/>
  <c r="E24" i="16" s="1"/>
  <c r="J28" i="18" l="1"/>
  <c r="G28" i="18"/>
  <c r="N28" i="18"/>
  <c r="I28" i="18"/>
  <c r="F28" i="18"/>
  <c r="M28" i="18"/>
  <c r="K28" i="18"/>
  <c r="D28" i="18"/>
  <c r="L28" i="18"/>
  <c r="E28" i="18"/>
  <c r="O28" i="18"/>
  <c r="H28" i="18"/>
  <c r="E24" i="18" l="1"/>
  <c r="M24" i="18"/>
  <c r="K24" i="18"/>
  <c r="I24" i="18"/>
  <c r="N24" i="18"/>
  <c r="G24" i="18"/>
  <c r="H24" i="18"/>
  <c r="O24" i="18"/>
  <c r="J24" i="18"/>
  <c r="D24" i="18"/>
  <c r="L24" i="18"/>
  <c r="F24" i="18"/>
  <c r="P28" i="18"/>
  <c r="P24" i="18" l="1"/>
  <c r="C2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Unbilled true-ups, and large customer abnormal usage adjustments if any</t>
        </r>
      </text>
    </comment>
  </commentList>
</comments>
</file>

<file path=xl/sharedStrings.xml><?xml version="1.0" encoding="utf-8"?>
<sst xmlns="http://schemas.openxmlformats.org/spreadsheetml/2006/main" count="204" uniqueCount="159">
  <si>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</si>
  <si>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</si>
  <si>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</si>
  <si>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</si>
  <si>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</si>
  <si>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</si>
  <si>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</si>
  <si>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</si>
  <si>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</si>
  <si>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</si>
  <si>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</si>
  <si>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</si>
  <si>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</si>
  <si>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</si>
  <si>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</si>
  <si>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</si>
  <si>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</si>
  <si>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</si>
  <si>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</si>
  <si>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</si>
  <si>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</si>
  <si>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</si>
  <si>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</si>
  <si>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</si>
  <si>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</si>
  <si>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</si>
  <si>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</si>
  <si>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</si>
  <si>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</si>
  <si>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</si>
  <si>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</si>
  <si>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</si>
  <si>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</si>
  <si>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</si>
  <si>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</si>
  <si>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</si>
  <si>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</si>
  <si>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</si>
  <si>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</si>
  <si>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</si>
  <si>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</si>
  <si>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</si>
  <si>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</si>
  <si>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</si>
  <si>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</si>
  <si>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</si>
  <si>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</si>
  <si>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</si>
  <si>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 xml:space="preserve"> Electric Decoupling Mechanism</t>
  </si>
  <si>
    <t>% of Total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</si>
  <si>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</si>
  <si>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</si>
  <si>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</si>
  <si>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</si>
  <si>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</si>
  <si>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</si>
  <si>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</si>
  <si>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</si>
  <si>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</si>
  <si>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</si>
  <si>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</si>
  <si>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</si>
  <si>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</si>
  <si>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</si>
  <si>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</si>
  <si>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</si>
  <si>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</si>
  <si>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</si>
  <si>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</si>
  <si>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</si>
  <si>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</si>
  <si>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</si>
  <si>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Excluded From Decoupling</t>
  </si>
  <si>
    <t>Normalized Usage by Month</t>
  </si>
  <si>
    <t>WASHINGTON ELECTRIC SYSTEM</t>
  </si>
  <si>
    <t>Revenue Run Billed Usage</t>
  </si>
  <si>
    <t>General Svc Schedule 011/012</t>
  </si>
  <si>
    <t>Large Gen Svc Schedule 021/022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</si>
  <si>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</si>
  <si>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</si>
  <si>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</si>
  <si>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</si>
  <si>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</si>
  <si>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</si>
  <si>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</si>
  <si>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</si>
  <si>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</si>
  <si>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</si>
  <si>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</si>
  <si>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Non-Residential Group Usage</t>
  </si>
  <si>
    <t>Non-Residential Group Customers</t>
  </si>
  <si>
    <t>Non-Residential Group Norm Use/Customer</t>
  </si>
  <si>
    <t>WA Jurisdiction % of Annual Usage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</si>
  <si>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</si>
  <si>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</si>
  <si>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</si>
  <si>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</si>
  <si>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</si>
  <si>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</si>
  <si>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</si>
  <si>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</si>
  <si>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</si>
  <si>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</si>
  <si>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>REVENUE CONVERSION FACTOR</t>
  </si>
  <si>
    <t>Retail Revenue Adjustment (line 14)</t>
  </si>
  <si>
    <t>Grossed Up Retail Revenue Adjustment</t>
  </si>
  <si>
    <t>check calculations - DO NOT PRINT</t>
  </si>
  <si>
    <t>avg decoupled rev/kwh</t>
  </si>
  <si>
    <t>check to avg rate</t>
  </si>
  <si>
    <t xml:space="preserve">  - Monthly Decoupled RPC</t>
  </si>
  <si>
    <t>Attachment 4, P. 2 L. 3</t>
  </si>
  <si>
    <t>AVISTA UTILITIES</t>
  </si>
  <si>
    <t>WASHINGTON ELECTRIC</t>
  </si>
  <si>
    <t>(Per Order No. 6; UE-120436, dated 6/20/2012 - "hard" CF rounded to 6 digits)</t>
  </si>
  <si>
    <t>Monthly Test Year</t>
  </si>
  <si>
    <t>SCHEDULE 1,2</t>
  </si>
  <si>
    <t>Residential Schedule 001/002</t>
  </si>
  <si>
    <t>Extra Large Gen Schedule 025</t>
  </si>
  <si>
    <t>Pumping Schedule 031/032</t>
  </si>
  <si>
    <t>Allowed Basic Charges</t>
  </si>
  <si>
    <t xml:space="preserve">  Federal Income Tax @ 21%</t>
  </si>
  <si>
    <t>Pumping Schedule 030/031/032</t>
  </si>
  <si>
    <t>Miller wp</t>
  </si>
  <si>
    <t>Schedule 001/002 Customers</t>
  </si>
  <si>
    <t>Schedule 001/002 Norm Use/Customer</t>
  </si>
  <si>
    <t>Attachment 3, Page 1</t>
  </si>
  <si>
    <t>Attachment 3, Page 3</t>
  </si>
  <si>
    <t>Attachment 3, Page 2</t>
  </si>
  <si>
    <t>Attachment 3, Page 4</t>
  </si>
  <si>
    <t>Total Normalized 12ME Dec 2019 Revenue</t>
  </si>
  <si>
    <t xml:space="preserve">Proposed Base Rate Revenue </t>
  </si>
  <si>
    <t>Normalized kWhs (12ME Dec 2019 Test Year)</t>
  </si>
  <si>
    <t>Customer Bills (12ME Dec 2019 Test Year)</t>
  </si>
  <si>
    <t>TWELVE MONTHS ENDED DECEMBER 31, 2019</t>
  </si>
  <si>
    <t xml:space="preserve">  -UE-200900 Decoupled RPC</t>
  </si>
  <si>
    <t>Test Year # of Customers 12 ME 12.2019</t>
  </si>
  <si>
    <t>WUTC Docket No. UE-200900</t>
  </si>
  <si>
    <t>Twelve Months Ended December 31, 2019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</si>
  <si>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</si>
  <si>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</si>
  <si>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</si>
  <si>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</si>
  <si>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</si>
  <si>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</si>
  <si>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</si>
  <si>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</si>
  <si>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</si>
  <si>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</si>
  <si>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</si>
  <si>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SCH. 25,25I</t>
  </si>
  <si>
    <t>Washington Docket No. UE-200900 Compliance Filing</t>
  </si>
  <si>
    <t>* Schedules 11, 12, 13, 21, 22, 23, 31, 32.</t>
  </si>
  <si>
    <t>SCH. 11,12,13</t>
  </si>
  <si>
    <t>SCH. 21,22,23</t>
  </si>
  <si>
    <t xml:space="preserve">* Schedules 11, 12, 13, 21, 22, 23, 31, 32.  </t>
  </si>
  <si>
    <t>Allowed Revenue Increase (Attachment 1)</t>
  </si>
  <si>
    <t>Revised Schedule 25</t>
  </si>
  <si>
    <t>Revised Total Normalized Test Year</t>
  </si>
  <si>
    <t>Retail Revenue Adjustment - (Attachment 5 Approved 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</si>
</sst>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95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35" xfId="4" applyFont="1" applyFill="1" applyBorder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41" fontId="119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41" fontId="117" fillId="33" borderId="35" xfId="9505" applyNumberFormat="1" applyFont="1" applyFill="1" applyBorder="1">
      <alignment horizontal="center" vertical="center" wrapText="1"/>
    </xf>
    <xf numFmtId="41" fontId="117" fillId="33" borderId="35" xfId="9505" applyNumberFormat="1" applyFont="1" applyFill="1" applyBorder="1" applyAlignment="1">
      <alignment horizontal="center" vertical="center" wrapText="1"/>
    </xf>
    <xf numFmtId="167" fontId="117" fillId="33" borderId="35" xfId="9505" applyNumberFormat="1" applyFont="1" applyFill="1" applyBorder="1">
      <alignment horizontal="center" vertical="center" wrapText="1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6" fontId="0" fillId="0" borderId="0" xfId="0" applyNumberFormat="1" applyBorder="1"/>
    <xf numFmtId="197" fontId="0" fillId="0" borderId="0" xfId="3" applyNumberFormat="1" applyFont="1"/>
    <xf numFmtId="0" fontId="117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09" fillId="0" borderId="0" xfId="0" applyFont="1"/>
    <xf numFmtId="0" fontId="125" fillId="0" borderId="0" xfId="0" applyFont="1"/>
    <xf numFmtId="0" fontId="124" fillId="0" borderId="0" xfId="0" applyFont="1" applyBorder="1" applyAlignment="1">
      <alignment horizontal="center"/>
    </xf>
    <xf numFmtId="0" fontId="117" fillId="0" borderId="35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4" fillId="0" borderId="35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5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5" fillId="0" borderId="15" xfId="0" applyNumberFormat="1" applyFont="1" applyBorder="1"/>
    <xf numFmtId="168" fontId="125" fillId="0" borderId="0" xfId="0" applyNumberFormat="1" applyFont="1" applyBorder="1"/>
    <xf numFmtId="10" fontId="126" fillId="0" borderId="0" xfId="0" applyNumberFormat="1" applyFont="1"/>
    <xf numFmtId="168" fontId="125" fillId="0" borderId="35" xfId="0" applyNumberFormat="1" applyFont="1" applyBorder="1"/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0" fontId="117" fillId="0" borderId="0" xfId="0" applyFont="1" applyAlignment="1">
      <alignment horizontal="center"/>
    </xf>
    <xf numFmtId="168" fontId="125" fillId="0" borderId="44" xfId="0" applyNumberFormat="1" applyFont="1" applyBorder="1"/>
    <xf numFmtId="0" fontId="109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36" xfId="1" applyNumberFormat="1" applyFont="1" applyBorder="1"/>
    <xf numFmtId="166" fontId="0" fillId="0" borderId="0" xfId="1" applyNumberFormat="1" applyFont="1" applyBorder="1"/>
    <xf numFmtId="166" fontId="0" fillId="0" borderId="35" xfId="1" applyNumberFormat="1" applyFont="1" applyBorder="1"/>
    <xf numFmtId="166" fontId="0" fillId="0" borderId="0" xfId="0" applyNumberFormat="1" applyFill="1"/>
    <xf numFmtId="0" fontId="125" fillId="0" borderId="0" xfId="0" applyFont="1" applyAlignment="1">
      <alignment horizontal="left" vertical="top" wrapText="1"/>
    </xf>
    <xf numFmtId="0" fontId="21" fillId="33" borderId="0" xfId="0" applyFont="1" applyFill="1"/>
    <xf numFmtId="0" fontId="16" fillId="0" borderId="0" xfId="0" applyFont="1"/>
    <xf numFmtId="166" fontId="16" fillId="0" borderId="0" xfId="0" applyNumberFormat="1" applyFont="1"/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9" fillId="33" borderId="0" xfId="0" applyFont="1" applyFill="1" applyAlignment="1">
      <alignment horizontal="center"/>
    </xf>
    <xf numFmtId="0" fontId="129" fillId="33" borderId="0" xfId="4" applyFont="1" applyFill="1" applyAlignment="1">
      <alignment horizont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5" fillId="0" borderId="0" xfId="0" applyFont="1" applyAlignment="1">
      <alignment horizontal="left" vertical="top" wrapText="1"/>
    </xf>
    <xf numFmtId="168" fontId="117" fillId="0" borderId="0" xfId="0" applyNumberFormat="1" applyFont="1" applyAlignment="1">
      <alignment horizontal="center"/>
    </xf>
    <xf numFmtId="0" fontId="117" fillId="0" borderId="0" xfId="0" applyFont="1" applyAlignment="1">
      <alignment horizontal="center"/>
    </xf>
  </cellXfs>
  <cellStyles count="9546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3" xfId="9520" xr:uid="{00000000-0005-0000-0000-00006D1F0000}"/>
    <cellStyle name="Normal 154" xfId="9512" xr:uid="{00000000-0005-0000-0000-00006E1F0000}"/>
    <cellStyle name="Normal 155" xfId="9506" xr:uid="{00000000-0005-0000-0000-00006F1F0000}"/>
    <cellStyle name="Normal 156" xfId="9536" xr:uid="{00000000-0005-0000-0000-0000701F0000}"/>
    <cellStyle name="Normal 16" xfId="8032" xr:uid="{00000000-0005-0000-0000-0000711F0000}"/>
    <cellStyle name="Normal 16 2" xfId="8033" xr:uid="{00000000-0005-0000-0000-0000721F0000}"/>
    <cellStyle name="Normal 16 3" xfId="8034" xr:uid="{00000000-0005-0000-0000-0000731F0000}"/>
    <cellStyle name="Normal 16 3 2" xfId="8035" xr:uid="{00000000-0005-0000-0000-0000741F0000}"/>
    <cellStyle name="Normal 16 3 3" xfId="8036" xr:uid="{00000000-0005-0000-0000-0000751F0000}"/>
    <cellStyle name="Normal 16 4" xfId="8037" xr:uid="{00000000-0005-0000-0000-0000761F0000}"/>
    <cellStyle name="Normal 16 4 2" xfId="8038" xr:uid="{00000000-0005-0000-0000-0000771F0000}"/>
    <cellStyle name="Normal 16 5" xfId="8039" xr:uid="{00000000-0005-0000-0000-0000781F0000}"/>
    <cellStyle name="Normal 16 6" xfId="8040" xr:uid="{00000000-0005-0000-0000-0000791F0000}"/>
    <cellStyle name="Normal 16 7" xfId="8041" xr:uid="{00000000-0005-0000-0000-00007A1F0000}"/>
    <cellStyle name="Normal 16_2011 CBR Rev Calc by schedule" xfId="8042" xr:uid="{00000000-0005-0000-0000-00007B1F0000}"/>
    <cellStyle name="Normal 17" xfId="8043" xr:uid="{00000000-0005-0000-0000-00007C1F0000}"/>
    <cellStyle name="Normal 17 2" xfId="8044" xr:uid="{00000000-0005-0000-0000-00007D1F0000}"/>
    <cellStyle name="Normal 17 3" xfId="8045" xr:uid="{00000000-0005-0000-0000-00007E1F0000}"/>
    <cellStyle name="Normal 17 3 2" xfId="8046" xr:uid="{00000000-0005-0000-0000-00007F1F0000}"/>
    <cellStyle name="Normal 17 4" xfId="8047" xr:uid="{00000000-0005-0000-0000-0000801F0000}"/>
    <cellStyle name="Normal 17 5" xfId="8048" xr:uid="{00000000-0005-0000-0000-0000811F0000}"/>
    <cellStyle name="Normal 18" xfId="8049" xr:uid="{00000000-0005-0000-0000-0000821F0000}"/>
    <cellStyle name="Normal 18 2" xfId="8050" xr:uid="{00000000-0005-0000-0000-0000831F0000}"/>
    <cellStyle name="Normal 18 3" xfId="8051" xr:uid="{00000000-0005-0000-0000-0000841F0000}"/>
    <cellStyle name="Normal 18 3 2" xfId="8052" xr:uid="{00000000-0005-0000-0000-0000851F0000}"/>
    <cellStyle name="Normal 18 4" xfId="8053" xr:uid="{00000000-0005-0000-0000-0000861F0000}"/>
    <cellStyle name="Normal 18 5" xfId="8054" xr:uid="{00000000-0005-0000-0000-0000871F0000}"/>
    <cellStyle name="Normal 19" xfId="8055" xr:uid="{00000000-0005-0000-0000-0000881F0000}"/>
    <cellStyle name="Normal 19 2" xfId="8056" xr:uid="{00000000-0005-0000-0000-0000891F0000}"/>
    <cellStyle name="Normal 19 3" xfId="8057" xr:uid="{00000000-0005-0000-0000-00008A1F0000}"/>
    <cellStyle name="Normal 19 3 2" xfId="8058" xr:uid="{00000000-0005-0000-0000-00008B1F0000}"/>
    <cellStyle name="Normal 19 4" xfId="8059" xr:uid="{00000000-0005-0000-0000-00008C1F0000}"/>
    <cellStyle name="Normal 2" xfId="4" xr:uid="{00000000-0005-0000-0000-00008D1F0000}"/>
    <cellStyle name="Normal 2 10" xfId="8060" xr:uid="{00000000-0005-0000-0000-00008E1F0000}"/>
    <cellStyle name="Normal 2 10 2" xfId="8061" xr:uid="{00000000-0005-0000-0000-00008F1F0000}"/>
    <cellStyle name="Normal 2 10 2 2" xfId="8062" xr:uid="{00000000-0005-0000-0000-0000901F0000}"/>
    <cellStyle name="Normal 2 10 3" xfId="8063" xr:uid="{00000000-0005-0000-0000-0000911F0000}"/>
    <cellStyle name="Normal 2 11" xfId="8064" xr:uid="{00000000-0005-0000-0000-0000921F0000}"/>
    <cellStyle name="Normal 2 11 2" xfId="8065" xr:uid="{00000000-0005-0000-0000-0000931F0000}"/>
    <cellStyle name="Normal 2 12" xfId="8066" xr:uid="{00000000-0005-0000-0000-0000941F0000}"/>
    <cellStyle name="Normal 2 13" xfId="9542" xr:uid="{00000000-0005-0000-0000-0000951F0000}"/>
    <cellStyle name="Normal 2 2" xfId="8067" xr:uid="{00000000-0005-0000-0000-0000961F0000}"/>
    <cellStyle name="Normal 2 2 10" xfId="8068" xr:uid="{00000000-0005-0000-0000-0000971F0000}"/>
    <cellStyle name="Normal 2 2 11" xfId="8069" xr:uid="{00000000-0005-0000-0000-0000981F0000}"/>
    <cellStyle name="Normal 2 2 2" xfId="8070" xr:uid="{00000000-0005-0000-0000-0000991F0000}"/>
    <cellStyle name="Normal 2 2 2 2" xfId="8071" xr:uid="{00000000-0005-0000-0000-00009A1F0000}"/>
    <cellStyle name="Normal 2 2 2 2 2" xfId="8072" xr:uid="{00000000-0005-0000-0000-00009B1F0000}"/>
    <cellStyle name="Normal 2 2 2 3" xfId="8073" xr:uid="{00000000-0005-0000-0000-00009C1F0000}"/>
    <cellStyle name="Normal 2 2 2 3 2" xfId="8074" xr:uid="{00000000-0005-0000-0000-00009D1F0000}"/>
    <cellStyle name="Normal 2 2 2 4" xfId="8075" xr:uid="{00000000-0005-0000-0000-00009E1F0000}"/>
    <cellStyle name="Normal 2 2 2 5" xfId="8076" xr:uid="{00000000-0005-0000-0000-00009F1F0000}"/>
    <cellStyle name="Normal 2 2 2 6" xfId="8077" xr:uid="{00000000-0005-0000-0000-0000A01F0000}"/>
    <cellStyle name="Normal 2 2 2 7" xfId="8078" xr:uid="{00000000-0005-0000-0000-0000A11F0000}"/>
    <cellStyle name="Normal 2 2 2_Chelan PUD Power Costs (8-10)" xfId="8079" xr:uid="{00000000-0005-0000-0000-0000A21F0000}"/>
    <cellStyle name="Normal 2 2 3" xfId="8080" xr:uid="{00000000-0005-0000-0000-0000A31F0000}"/>
    <cellStyle name="Normal 2 2 3 2" xfId="8081" xr:uid="{00000000-0005-0000-0000-0000A41F0000}"/>
    <cellStyle name="Normal 2 2 3 3" xfId="8082" xr:uid="{00000000-0005-0000-0000-0000A51F0000}"/>
    <cellStyle name="Normal 2 2 4" xfId="8083" xr:uid="{00000000-0005-0000-0000-0000A61F0000}"/>
    <cellStyle name="Normal 2 2 4 2" xfId="8084" xr:uid="{00000000-0005-0000-0000-0000A71F0000}"/>
    <cellStyle name="Normal 2 2 5" xfId="8085" xr:uid="{00000000-0005-0000-0000-0000A81F0000}"/>
    <cellStyle name="Normal 2 2 6" xfId="8086" xr:uid="{00000000-0005-0000-0000-0000A91F0000}"/>
    <cellStyle name="Normal 2 2 7" xfId="8087" xr:uid="{00000000-0005-0000-0000-0000AA1F0000}"/>
    <cellStyle name="Normal 2 2 8" xfId="8088" xr:uid="{00000000-0005-0000-0000-0000AB1F0000}"/>
    <cellStyle name="Normal 2 2 9" xfId="8089" xr:uid="{00000000-0005-0000-0000-0000AC1F0000}"/>
    <cellStyle name="Normal 2 2_ Price Inputs" xfId="8090" xr:uid="{00000000-0005-0000-0000-0000AD1F0000}"/>
    <cellStyle name="Normal 2 3" xfId="8091" xr:uid="{00000000-0005-0000-0000-0000AE1F0000}"/>
    <cellStyle name="Normal 2 3 2" xfId="8092" xr:uid="{00000000-0005-0000-0000-0000AF1F0000}"/>
    <cellStyle name="Normal 2 3 3" xfId="8093" xr:uid="{00000000-0005-0000-0000-0000B01F0000}"/>
    <cellStyle name="Normal 2 3 4" xfId="8094" xr:uid="{00000000-0005-0000-0000-0000B11F0000}"/>
    <cellStyle name="Normal 2 3 5" xfId="9540" xr:uid="{00000000-0005-0000-0000-0000B21F0000}"/>
    <cellStyle name="Normal 2 4" xfId="8095" xr:uid="{00000000-0005-0000-0000-0000B31F0000}"/>
    <cellStyle name="Normal 2 4 2" xfId="8096" xr:uid="{00000000-0005-0000-0000-0000B41F0000}"/>
    <cellStyle name="Normal 2 4 3" xfId="8097" xr:uid="{00000000-0005-0000-0000-0000B51F0000}"/>
    <cellStyle name="Normal 2 5" xfId="8098" xr:uid="{00000000-0005-0000-0000-0000B61F0000}"/>
    <cellStyle name="Normal 2 5 2" xfId="8099" xr:uid="{00000000-0005-0000-0000-0000B71F0000}"/>
    <cellStyle name="Normal 2 5 3" xfId="8100" xr:uid="{00000000-0005-0000-0000-0000B81F0000}"/>
    <cellStyle name="Normal 2 6" xfId="8101" xr:uid="{00000000-0005-0000-0000-0000B91F0000}"/>
    <cellStyle name="Normal 2 6 2" xfId="8102" xr:uid="{00000000-0005-0000-0000-0000BA1F0000}"/>
    <cellStyle name="Normal 2 6 2 2" xfId="8103" xr:uid="{00000000-0005-0000-0000-0000BB1F0000}"/>
    <cellStyle name="Normal 2 6 3" xfId="8104" xr:uid="{00000000-0005-0000-0000-0000BC1F0000}"/>
    <cellStyle name="Normal 2 6 4" xfId="8105" xr:uid="{00000000-0005-0000-0000-0000BD1F0000}"/>
    <cellStyle name="Normal 2 6 5" xfId="8106" xr:uid="{00000000-0005-0000-0000-0000BE1F0000}"/>
    <cellStyle name="Normal 2 6 6" xfId="8107" xr:uid="{00000000-0005-0000-0000-0000BF1F0000}"/>
    <cellStyle name="Normal 2 7" xfId="8108" xr:uid="{00000000-0005-0000-0000-0000C01F0000}"/>
    <cellStyle name="Normal 2 7 2" xfId="8109" xr:uid="{00000000-0005-0000-0000-0000C11F0000}"/>
    <cellStyle name="Normal 2 7 2 2" xfId="8110" xr:uid="{00000000-0005-0000-0000-0000C21F0000}"/>
    <cellStyle name="Normal 2 7 3" xfId="8111" xr:uid="{00000000-0005-0000-0000-0000C31F0000}"/>
    <cellStyle name="Normal 2 7 4" xfId="8112" xr:uid="{00000000-0005-0000-0000-0000C41F0000}"/>
    <cellStyle name="Normal 2 8" xfId="8113" xr:uid="{00000000-0005-0000-0000-0000C51F0000}"/>
    <cellStyle name="Normal 2 8 2" xfId="8114" xr:uid="{00000000-0005-0000-0000-0000C61F0000}"/>
    <cellStyle name="Normal 2 8 2 2" xfId="8115" xr:uid="{00000000-0005-0000-0000-0000C71F0000}"/>
    <cellStyle name="Normal 2 8 2 2 2" xfId="8116" xr:uid="{00000000-0005-0000-0000-0000C81F0000}"/>
    <cellStyle name="Normal 2 8 2 3" xfId="8117" xr:uid="{00000000-0005-0000-0000-0000C91F0000}"/>
    <cellStyle name="Normal 2 8 3" xfId="8118" xr:uid="{00000000-0005-0000-0000-0000CA1F0000}"/>
    <cellStyle name="Normal 2 8 3 2" xfId="8119" xr:uid="{00000000-0005-0000-0000-0000CB1F0000}"/>
    <cellStyle name="Normal 2 8 4" xfId="8120" xr:uid="{00000000-0005-0000-0000-0000CC1F0000}"/>
    <cellStyle name="Normal 2 8 5" xfId="8121" xr:uid="{00000000-0005-0000-0000-0000CD1F0000}"/>
    <cellStyle name="Normal 2 9" xfId="8122" xr:uid="{00000000-0005-0000-0000-0000CE1F0000}"/>
    <cellStyle name="Normal 2 9 2" xfId="8123" xr:uid="{00000000-0005-0000-0000-0000CF1F0000}"/>
    <cellStyle name="Normal 2 9 2 2" xfId="8124" xr:uid="{00000000-0005-0000-0000-0000D01F0000}"/>
    <cellStyle name="Normal 2 9 3" xfId="8125" xr:uid="{00000000-0005-0000-0000-0000D11F0000}"/>
    <cellStyle name="Normal 2 9 4" xfId="8126" xr:uid="{00000000-0005-0000-0000-0000D21F0000}"/>
    <cellStyle name="Normal 2_16.37E Wild Horse Expansion DeferralRevwrkingfile SF" xfId="8127" xr:uid="{00000000-0005-0000-0000-0000D31F0000}"/>
    <cellStyle name="Normal 20" xfId="8128" xr:uid="{00000000-0005-0000-0000-0000D41F0000}"/>
    <cellStyle name="Normal 20 2" xfId="8129" xr:uid="{00000000-0005-0000-0000-0000D51F0000}"/>
    <cellStyle name="Normal 20 2 2" xfId="8130" xr:uid="{00000000-0005-0000-0000-0000D61F0000}"/>
    <cellStyle name="Normal 20 3" xfId="8131" xr:uid="{00000000-0005-0000-0000-0000D71F0000}"/>
    <cellStyle name="Normal 20 3 2" xfId="8132" xr:uid="{00000000-0005-0000-0000-0000D81F0000}"/>
    <cellStyle name="Normal 20 4" xfId="8133" xr:uid="{00000000-0005-0000-0000-0000D91F0000}"/>
    <cellStyle name="Normal 20 4 2" xfId="8134" xr:uid="{00000000-0005-0000-0000-0000DA1F0000}"/>
    <cellStyle name="Normal 20 5" xfId="8135" xr:uid="{00000000-0005-0000-0000-0000DB1F0000}"/>
    <cellStyle name="Normal 20 6" xfId="8136" xr:uid="{00000000-0005-0000-0000-0000DC1F0000}"/>
    <cellStyle name="Normal 21" xfId="8137" xr:uid="{00000000-0005-0000-0000-0000DD1F0000}"/>
    <cellStyle name="Normal 21 2" xfId="8138" xr:uid="{00000000-0005-0000-0000-0000DE1F0000}"/>
    <cellStyle name="Normal 21 2 2" xfId="8139" xr:uid="{00000000-0005-0000-0000-0000DF1F0000}"/>
    <cellStyle name="Normal 21 2 3" xfId="8140" xr:uid="{00000000-0005-0000-0000-0000E01F0000}"/>
    <cellStyle name="Normal 21 3" xfId="8141" xr:uid="{00000000-0005-0000-0000-0000E11F0000}"/>
    <cellStyle name="Normal 21 3 2" xfId="8142" xr:uid="{00000000-0005-0000-0000-0000E21F0000}"/>
    <cellStyle name="Normal 21 4" xfId="8143" xr:uid="{00000000-0005-0000-0000-0000E31F0000}"/>
    <cellStyle name="Normal 21 5" xfId="8144" xr:uid="{00000000-0005-0000-0000-0000E41F0000}"/>
    <cellStyle name="Normal 21 6" xfId="8145" xr:uid="{00000000-0005-0000-0000-0000E51F0000}"/>
    <cellStyle name="Normal 22" xfId="8146" xr:uid="{00000000-0005-0000-0000-0000E61F0000}"/>
    <cellStyle name="Normal 22 2" xfId="8147" xr:uid="{00000000-0005-0000-0000-0000E71F0000}"/>
    <cellStyle name="Normal 22 2 2" xfId="8148" xr:uid="{00000000-0005-0000-0000-0000E81F0000}"/>
    <cellStyle name="Normal 22 2 3" xfId="8149" xr:uid="{00000000-0005-0000-0000-0000E91F0000}"/>
    <cellStyle name="Normal 22 3" xfId="8150" xr:uid="{00000000-0005-0000-0000-0000EA1F0000}"/>
    <cellStyle name="Normal 22 3 2" xfId="8151" xr:uid="{00000000-0005-0000-0000-0000EB1F0000}"/>
    <cellStyle name="Normal 22 4" xfId="8152" xr:uid="{00000000-0005-0000-0000-0000EC1F0000}"/>
    <cellStyle name="Normal 22 5" xfId="8153" xr:uid="{00000000-0005-0000-0000-0000ED1F0000}"/>
    <cellStyle name="Normal 22 6" xfId="8154" xr:uid="{00000000-0005-0000-0000-0000EE1F0000}"/>
    <cellStyle name="Normal 23" xfId="8155" xr:uid="{00000000-0005-0000-0000-0000EF1F0000}"/>
    <cellStyle name="Normal 23 2" xfId="8156" xr:uid="{00000000-0005-0000-0000-0000F01F0000}"/>
    <cellStyle name="Normal 23 2 2" xfId="8157" xr:uid="{00000000-0005-0000-0000-0000F11F0000}"/>
    <cellStyle name="Normal 23 2 3" xfId="8158" xr:uid="{00000000-0005-0000-0000-0000F21F0000}"/>
    <cellStyle name="Normal 23 3" xfId="8159" xr:uid="{00000000-0005-0000-0000-0000F31F0000}"/>
    <cellStyle name="Normal 23 3 2" xfId="8160" xr:uid="{00000000-0005-0000-0000-0000F41F0000}"/>
    <cellStyle name="Normal 23 4" xfId="8161" xr:uid="{00000000-0005-0000-0000-0000F51F0000}"/>
    <cellStyle name="Normal 23 5" xfId="8162" xr:uid="{00000000-0005-0000-0000-0000F61F0000}"/>
    <cellStyle name="Normal 23 6" xfId="8163" xr:uid="{00000000-0005-0000-0000-0000F71F0000}"/>
    <cellStyle name="Normal 24" xfId="8164" xr:uid="{00000000-0005-0000-0000-0000F81F0000}"/>
    <cellStyle name="Normal 24 2" xfId="8165" xr:uid="{00000000-0005-0000-0000-0000F91F0000}"/>
    <cellStyle name="Normal 24 2 2" xfId="8166" xr:uid="{00000000-0005-0000-0000-0000FA1F0000}"/>
    <cellStyle name="Normal 24 2 3" xfId="8167" xr:uid="{00000000-0005-0000-0000-0000FB1F0000}"/>
    <cellStyle name="Normal 24 3" xfId="8168" xr:uid="{00000000-0005-0000-0000-0000FC1F0000}"/>
    <cellStyle name="Normal 24 3 2" xfId="8169" xr:uid="{00000000-0005-0000-0000-0000FD1F0000}"/>
    <cellStyle name="Normal 24 4" xfId="8170" xr:uid="{00000000-0005-0000-0000-0000FE1F0000}"/>
    <cellStyle name="Normal 24 5" xfId="8171" xr:uid="{00000000-0005-0000-0000-0000FF1F0000}"/>
    <cellStyle name="Normal 25" xfId="8172" xr:uid="{00000000-0005-0000-0000-000000200000}"/>
    <cellStyle name="Normal 25 2" xfId="8173" xr:uid="{00000000-0005-0000-0000-000001200000}"/>
    <cellStyle name="Normal 25 2 2" xfId="8174" xr:uid="{00000000-0005-0000-0000-000002200000}"/>
    <cellStyle name="Normal 25 2 3" xfId="8175" xr:uid="{00000000-0005-0000-0000-000003200000}"/>
    <cellStyle name="Normal 25 3" xfId="8176" xr:uid="{00000000-0005-0000-0000-000004200000}"/>
    <cellStyle name="Normal 25 3 2" xfId="8177" xr:uid="{00000000-0005-0000-0000-000005200000}"/>
    <cellStyle name="Normal 25 4" xfId="8178" xr:uid="{00000000-0005-0000-0000-000006200000}"/>
    <cellStyle name="Normal 25 5" xfId="8179" xr:uid="{00000000-0005-0000-0000-000007200000}"/>
    <cellStyle name="Normal 26" xfId="8180" xr:uid="{00000000-0005-0000-0000-000008200000}"/>
    <cellStyle name="Normal 26 2" xfId="8181" xr:uid="{00000000-0005-0000-0000-000009200000}"/>
    <cellStyle name="Normal 26 2 2" xfId="8182" xr:uid="{00000000-0005-0000-0000-00000A200000}"/>
    <cellStyle name="Normal 26 2 3" xfId="8183" xr:uid="{00000000-0005-0000-0000-00000B200000}"/>
    <cellStyle name="Normal 26 3" xfId="8184" xr:uid="{00000000-0005-0000-0000-00000C200000}"/>
    <cellStyle name="Normal 26 3 2" xfId="8185" xr:uid="{00000000-0005-0000-0000-00000D200000}"/>
    <cellStyle name="Normal 26 4" xfId="8186" xr:uid="{00000000-0005-0000-0000-00000E200000}"/>
    <cellStyle name="Normal 26 5" xfId="8187" xr:uid="{00000000-0005-0000-0000-00000F200000}"/>
    <cellStyle name="Normal 27" xfId="8188" xr:uid="{00000000-0005-0000-0000-000010200000}"/>
    <cellStyle name="Normal 27 2" xfId="8189" xr:uid="{00000000-0005-0000-0000-000011200000}"/>
    <cellStyle name="Normal 27 2 2" xfId="8190" xr:uid="{00000000-0005-0000-0000-000012200000}"/>
    <cellStyle name="Normal 27 2 3" xfId="8191" xr:uid="{00000000-0005-0000-0000-000013200000}"/>
    <cellStyle name="Normal 27 3" xfId="8192" xr:uid="{00000000-0005-0000-0000-000014200000}"/>
    <cellStyle name="Normal 27 3 2" xfId="8193" xr:uid="{00000000-0005-0000-0000-000015200000}"/>
    <cellStyle name="Normal 27 4" xfId="8194" xr:uid="{00000000-0005-0000-0000-000016200000}"/>
    <cellStyle name="Normal 27 5" xfId="8195" xr:uid="{00000000-0005-0000-0000-000017200000}"/>
    <cellStyle name="Normal 28" xfId="8196" xr:uid="{00000000-0005-0000-0000-000018200000}"/>
    <cellStyle name="Normal 28 2" xfId="8197" xr:uid="{00000000-0005-0000-0000-000019200000}"/>
    <cellStyle name="Normal 28 2 2" xfId="8198" xr:uid="{00000000-0005-0000-0000-00001A200000}"/>
    <cellStyle name="Normal 28 2 3" xfId="8199" xr:uid="{00000000-0005-0000-0000-00001B200000}"/>
    <cellStyle name="Normal 28 3" xfId="8200" xr:uid="{00000000-0005-0000-0000-00001C200000}"/>
    <cellStyle name="Normal 28 3 2" xfId="8201" xr:uid="{00000000-0005-0000-0000-00001D200000}"/>
    <cellStyle name="Normal 28 4" xfId="8202" xr:uid="{00000000-0005-0000-0000-00001E200000}"/>
    <cellStyle name="Normal 28 5" xfId="8203" xr:uid="{00000000-0005-0000-0000-00001F200000}"/>
    <cellStyle name="Normal 29" xfId="8204" xr:uid="{00000000-0005-0000-0000-000020200000}"/>
    <cellStyle name="Normal 29 2" xfId="8205" xr:uid="{00000000-0005-0000-0000-000021200000}"/>
    <cellStyle name="Normal 29 2 2" xfId="8206" xr:uid="{00000000-0005-0000-0000-000022200000}"/>
    <cellStyle name="Normal 29 2 3" xfId="8207" xr:uid="{00000000-0005-0000-0000-000023200000}"/>
    <cellStyle name="Normal 29 3" xfId="8208" xr:uid="{00000000-0005-0000-0000-000024200000}"/>
    <cellStyle name="Normal 29 3 2" xfId="8209" xr:uid="{00000000-0005-0000-0000-000025200000}"/>
    <cellStyle name="Normal 29 4" xfId="8210" xr:uid="{00000000-0005-0000-0000-000026200000}"/>
    <cellStyle name="Normal 29 5" xfId="8211" xr:uid="{00000000-0005-0000-0000-000027200000}"/>
    <cellStyle name="Normal 3" xfId="8212" xr:uid="{00000000-0005-0000-0000-000028200000}"/>
    <cellStyle name="Normal 3 10" xfId="8213" xr:uid="{00000000-0005-0000-0000-000029200000}"/>
    <cellStyle name="Normal 3 11" xfId="9515" xr:uid="{00000000-0005-0000-0000-00002A200000}"/>
    <cellStyle name="Normal 3 2" xfId="8214" xr:uid="{00000000-0005-0000-0000-00002B200000}"/>
    <cellStyle name="Normal 3 2 2" xfId="8215" xr:uid="{00000000-0005-0000-0000-00002C200000}"/>
    <cellStyle name="Normal 3 2 2 2" xfId="8216" xr:uid="{00000000-0005-0000-0000-00002D200000}"/>
    <cellStyle name="Normal 3 2 3" xfId="8217" xr:uid="{00000000-0005-0000-0000-00002E200000}"/>
    <cellStyle name="Normal 3 2 4" xfId="8218" xr:uid="{00000000-0005-0000-0000-00002F200000}"/>
    <cellStyle name="Normal 3 2 5" xfId="8219" xr:uid="{00000000-0005-0000-0000-000030200000}"/>
    <cellStyle name="Normal 3 2 6" xfId="8220" xr:uid="{00000000-0005-0000-0000-000031200000}"/>
    <cellStyle name="Normal 3 2 7" xfId="9529" xr:uid="{00000000-0005-0000-0000-000032200000}"/>
    <cellStyle name="Normal 3 2_Chelan PUD Power Costs (8-10)" xfId="8221" xr:uid="{00000000-0005-0000-0000-000033200000}"/>
    <cellStyle name="Normal 3 3" xfId="8222" xr:uid="{00000000-0005-0000-0000-000034200000}"/>
    <cellStyle name="Normal 3 3 2" xfId="8223" xr:uid="{00000000-0005-0000-0000-000035200000}"/>
    <cellStyle name="Normal 3 3 2 2" xfId="8224" xr:uid="{00000000-0005-0000-0000-000036200000}"/>
    <cellStyle name="Normal 3 3 2 3" xfId="8225" xr:uid="{00000000-0005-0000-0000-000037200000}"/>
    <cellStyle name="Normal 3 3 3" xfId="8226" xr:uid="{00000000-0005-0000-0000-000038200000}"/>
    <cellStyle name="Normal 3 3 4" xfId="8227" xr:uid="{00000000-0005-0000-0000-000039200000}"/>
    <cellStyle name="Normal 3 3 5" xfId="8228" xr:uid="{00000000-0005-0000-0000-00003A200000}"/>
    <cellStyle name="Normal 3 3 6" xfId="8229" xr:uid="{00000000-0005-0000-0000-00003B200000}"/>
    <cellStyle name="Normal 3 4" xfId="8230" xr:uid="{00000000-0005-0000-0000-00003C200000}"/>
    <cellStyle name="Normal 3 4 2" xfId="8231" xr:uid="{00000000-0005-0000-0000-00003D200000}"/>
    <cellStyle name="Normal 3 4 2 2" xfId="8232" xr:uid="{00000000-0005-0000-0000-00003E200000}"/>
    <cellStyle name="Normal 3 4 3" xfId="8233" xr:uid="{00000000-0005-0000-0000-00003F200000}"/>
    <cellStyle name="Normal 3 4 3 2" xfId="8234" xr:uid="{00000000-0005-0000-0000-000040200000}"/>
    <cellStyle name="Normal 3 4 4" xfId="8235" xr:uid="{00000000-0005-0000-0000-000041200000}"/>
    <cellStyle name="Normal 3 4 4 2" xfId="8236" xr:uid="{00000000-0005-0000-0000-000042200000}"/>
    <cellStyle name="Normal 3 4 5" xfId="8237" xr:uid="{00000000-0005-0000-0000-000043200000}"/>
    <cellStyle name="Normal 3 5" xfId="8238" xr:uid="{00000000-0005-0000-0000-000044200000}"/>
    <cellStyle name="Normal 3 5 2" xfId="8239" xr:uid="{00000000-0005-0000-0000-000045200000}"/>
    <cellStyle name="Normal 3 6" xfId="8240" xr:uid="{00000000-0005-0000-0000-000046200000}"/>
    <cellStyle name="Normal 3 6 2" xfId="8241" xr:uid="{00000000-0005-0000-0000-000047200000}"/>
    <cellStyle name="Normal 3 7" xfId="8242" xr:uid="{00000000-0005-0000-0000-000048200000}"/>
    <cellStyle name="Normal 3 8" xfId="8243" xr:uid="{00000000-0005-0000-0000-000049200000}"/>
    <cellStyle name="Normal 3 9" xfId="8244" xr:uid="{00000000-0005-0000-0000-00004A200000}"/>
    <cellStyle name="Normal 3_ Price Inputs" xfId="8245" xr:uid="{00000000-0005-0000-0000-00004B200000}"/>
    <cellStyle name="Normal 30" xfId="8246" xr:uid="{00000000-0005-0000-0000-00004C200000}"/>
    <cellStyle name="Normal 30 2" xfId="8247" xr:uid="{00000000-0005-0000-0000-00004D200000}"/>
    <cellStyle name="Normal 30 2 2" xfId="8248" xr:uid="{00000000-0005-0000-0000-00004E200000}"/>
    <cellStyle name="Normal 30 2 3" xfId="8249" xr:uid="{00000000-0005-0000-0000-00004F200000}"/>
    <cellStyle name="Normal 30 3" xfId="8250" xr:uid="{00000000-0005-0000-0000-000050200000}"/>
    <cellStyle name="Normal 30 3 2" xfId="8251" xr:uid="{00000000-0005-0000-0000-000051200000}"/>
    <cellStyle name="Normal 30 4" xfId="8252" xr:uid="{00000000-0005-0000-0000-000052200000}"/>
    <cellStyle name="Normal 30 5" xfId="8253" xr:uid="{00000000-0005-0000-0000-000053200000}"/>
    <cellStyle name="Normal 31" xfId="8254" xr:uid="{00000000-0005-0000-0000-000054200000}"/>
    <cellStyle name="Normal 31 2" xfId="8255" xr:uid="{00000000-0005-0000-0000-000055200000}"/>
    <cellStyle name="Normal 31 2 2" xfId="8256" xr:uid="{00000000-0005-0000-0000-000056200000}"/>
    <cellStyle name="Normal 31 2 3" xfId="8257" xr:uid="{00000000-0005-0000-0000-000057200000}"/>
    <cellStyle name="Normal 31 3" xfId="8258" xr:uid="{00000000-0005-0000-0000-000058200000}"/>
    <cellStyle name="Normal 31 3 2" xfId="8259" xr:uid="{00000000-0005-0000-0000-000059200000}"/>
    <cellStyle name="Normal 31 4" xfId="8260" xr:uid="{00000000-0005-0000-0000-00005A200000}"/>
    <cellStyle name="Normal 31 5" xfId="8261" xr:uid="{00000000-0005-0000-0000-00005B200000}"/>
    <cellStyle name="Normal 32" xfId="8262" xr:uid="{00000000-0005-0000-0000-00005C200000}"/>
    <cellStyle name="Normal 32 2" xfId="8263" xr:uid="{00000000-0005-0000-0000-00005D200000}"/>
    <cellStyle name="Normal 32 2 2" xfId="8264" xr:uid="{00000000-0005-0000-0000-00005E200000}"/>
    <cellStyle name="Normal 32 2 3" xfId="8265" xr:uid="{00000000-0005-0000-0000-00005F200000}"/>
    <cellStyle name="Normal 32 3" xfId="8266" xr:uid="{00000000-0005-0000-0000-000060200000}"/>
    <cellStyle name="Normal 32 3 2" xfId="8267" xr:uid="{00000000-0005-0000-0000-000061200000}"/>
    <cellStyle name="Normal 32 4" xfId="8268" xr:uid="{00000000-0005-0000-0000-000062200000}"/>
    <cellStyle name="Normal 32 5" xfId="8269" xr:uid="{00000000-0005-0000-0000-000063200000}"/>
    <cellStyle name="Normal 33" xfId="8270" xr:uid="{00000000-0005-0000-0000-000064200000}"/>
    <cellStyle name="Normal 33 2" xfId="8271" xr:uid="{00000000-0005-0000-0000-000065200000}"/>
    <cellStyle name="Normal 33 2 2" xfId="8272" xr:uid="{00000000-0005-0000-0000-000066200000}"/>
    <cellStyle name="Normal 33 2 3" xfId="8273" xr:uid="{00000000-0005-0000-0000-000067200000}"/>
    <cellStyle name="Normal 33 3" xfId="8274" xr:uid="{00000000-0005-0000-0000-000068200000}"/>
    <cellStyle name="Normal 33 3 2" xfId="8275" xr:uid="{00000000-0005-0000-0000-000069200000}"/>
    <cellStyle name="Normal 33 4" xfId="8276" xr:uid="{00000000-0005-0000-0000-00006A200000}"/>
    <cellStyle name="Normal 33 5" xfId="8277" xr:uid="{00000000-0005-0000-0000-00006B200000}"/>
    <cellStyle name="Normal 34" xfId="8278" xr:uid="{00000000-0005-0000-0000-00006C200000}"/>
    <cellStyle name="Normal 34 2" xfId="8279" xr:uid="{00000000-0005-0000-0000-00006D200000}"/>
    <cellStyle name="Normal 34 2 2" xfId="8280" xr:uid="{00000000-0005-0000-0000-00006E200000}"/>
    <cellStyle name="Normal 34 2 3" xfId="8281" xr:uid="{00000000-0005-0000-0000-00006F200000}"/>
    <cellStyle name="Normal 34 3" xfId="8282" xr:uid="{00000000-0005-0000-0000-000070200000}"/>
    <cellStyle name="Normal 34 3 2" xfId="8283" xr:uid="{00000000-0005-0000-0000-000071200000}"/>
    <cellStyle name="Normal 34 4" xfId="8284" xr:uid="{00000000-0005-0000-0000-000072200000}"/>
    <cellStyle name="Normal 34 5" xfId="8285" xr:uid="{00000000-0005-0000-0000-000073200000}"/>
    <cellStyle name="Normal 35" xfId="8286" xr:uid="{00000000-0005-0000-0000-000074200000}"/>
    <cellStyle name="Normal 35 2" xfId="8287" xr:uid="{00000000-0005-0000-0000-000075200000}"/>
    <cellStyle name="Normal 35 2 2" xfId="8288" xr:uid="{00000000-0005-0000-0000-000076200000}"/>
    <cellStyle name="Normal 35 2 3" xfId="8289" xr:uid="{00000000-0005-0000-0000-000077200000}"/>
    <cellStyle name="Normal 35 3" xfId="8290" xr:uid="{00000000-0005-0000-0000-000078200000}"/>
    <cellStyle name="Normal 35 3 2" xfId="8291" xr:uid="{00000000-0005-0000-0000-000079200000}"/>
    <cellStyle name="Normal 35 4" xfId="8292" xr:uid="{00000000-0005-0000-0000-00007A200000}"/>
    <cellStyle name="Normal 35 5" xfId="8293" xr:uid="{00000000-0005-0000-0000-00007B200000}"/>
    <cellStyle name="Normal 36" xfId="8294" xr:uid="{00000000-0005-0000-0000-00007C200000}"/>
    <cellStyle name="Normal 36 2" xfId="8295" xr:uid="{00000000-0005-0000-0000-00007D200000}"/>
    <cellStyle name="Normal 36 2 2" xfId="8296" xr:uid="{00000000-0005-0000-0000-00007E200000}"/>
    <cellStyle name="Normal 36 2 3" xfId="8297" xr:uid="{00000000-0005-0000-0000-00007F200000}"/>
    <cellStyle name="Normal 36 3" xfId="8298" xr:uid="{00000000-0005-0000-0000-000080200000}"/>
    <cellStyle name="Normal 36 3 2" xfId="8299" xr:uid="{00000000-0005-0000-0000-000081200000}"/>
    <cellStyle name="Normal 36 4" xfId="8300" xr:uid="{00000000-0005-0000-0000-000082200000}"/>
    <cellStyle name="Normal 36 5" xfId="8301" xr:uid="{00000000-0005-0000-0000-000083200000}"/>
    <cellStyle name="Normal 37" xfId="8302" xr:uid="{00000000-0005-0000-0000-000084200000}"/>
    <cellStyle name="Normal 37 2" xfId="8303" xr:uid="{00000000-0005-0000-0000-000085200000}"/>
    <cellStyle name="Normal 37 2 2" xfId="8304" xr:uid="{00000000-0005-0000-0000-000086200000}"/>
    <cellStyle name="Normal 37 2 3" xfId="8305" xr:uid="{00000000-0005-0000-0000-000087200000}"/>
    <cellStyle name="Normal 37 3" xfId="8306" xr:uid="{00000000-0005-0000-0000-000088200000}"/>
    <cellStyle name="Normal 37 3 2" xfId="8307" xr:uid="{00000000-0005-0000-0000-000089200000}"/>
    <cellStyle name="Normal 37 4" xfId="8308" xr:uid="{00000000-0005-0000-0000-00008A200000}"/>
    <cellStyle name="Normal 37 5" xfId="8309" xr:uid="{00000000-0005-0000-0000-00008B200000}"/>
    <cellStyle name="Normal 38" xfId="8310" xr:uid="{00000000-0005-0000-0000-00008C200000}"/>
    <cellStyle name="Normal 38 2" xfId="8311" xr:uid="{00000000-0005-0000-0000-00008D200000}"/>
    <cellStyle name="Normal 38 2 2" xfId="8312" xr:uid="{00000000-0005-0000-0000-00008E200000}"/>
    <cellStyle name="Normal 38 2 3" xfId="8313" xr:uid="{00000000-0005-0000-0000-00008F200000}"/>
    <cellStyle name="Normal 38 3" xfId="8314" xr:uid="{00000000-0005-0000-0000-000090200000}"/>
    <cellStyle name="Normal 38 3 2" xfId="8315" xr:uid="{00000000-0005-0000-0000-000091200000}"/>
    <cellStyle name="Normal 38 4" xfId="8316" xr:uid="{00000000-0005-0000-0000-000092200000}"/>
    <cellStyle name="Normal 38 5" xfId="8317" xr:uid="{00000000-0005-0000-0000-000093200000}"/>
    <cellStyle name="Normal 39" xfId="8318" xr:uid="{00000000-0005-0000-0000-000094200000}"/>
    <cellStyle name="Normal 39 2" xfId="8319" xr:uid="{00000000-0005-0000-0000-000095200000}"/>
    <cellStyle name="Normal 39 2 2" xfId="8320" xr:uid="{00000000-0005-0000-0000-000096200000}"/>
    <cellStyle name="Normal 39 2 3" xfId="8321" xr:uid="{00000000-0005-0000-0000-000097200000}"/>
    <cellStyle name="Normal 39 3" xfId="8322" xr:uid="{00000000-0005-0000-0000-000098200000}"/>
    <cellStyle name="Normal 39 3 2" xfId="8323" xr:uid="{00000000-0005-0000-0000-000099200000}"/>
    <cellStyle name="Normal 39 4" xfId="8324" xr:uid="{00000000-0005-0000-0000-00009A200000}"/>
    <cellStyle name="Normal 39 5" xfId="8325" xr:uid="{00000000-0005-0000-0000-00009B200000}"/>
    <cellStyle name="Normal 4" xfId="8326" xr:uid="{00000000-0005-0000-0000-00009C200000}"/>
    <cellStyle name="Normal 4 2" xfId="8327" xr:uid="{00000000-0005-0000-0000-00009D200000}"/>
    <cellStyle name="Normal 4 2 2" xfId="8328" xr:uid="{00000000-0005-0000-0000-00009E200000}"/>
    <cellStyle name="Normal 4 2 2 2" xfId="8329" xr:uid="{00000000-0005-0000-0000-00009F200000}"/>
    <cellStyle name="Normal 4 2 2 3" xfId="8330" xr:uid="{00000000-0005-0000-0000-0000A0200000}"/>
    <cellStyle name="Normal 4 2 3" xfId="8331" xr:uid="{00000000-0005-0000-0000-0000A1200000}"/>
    <cellStyle name="Normal 4 2 3 2" xfId="8332" xr:uid="{00000000-0005-0000-0000-0000A2200000}"/>
    <cellStyle name="Normal 4 2 4" xfId="8333" xr:uid="{00000000-0005-0000-0000-0000A3200000}"/>
    <cellStyle name="Normal 4 2 5" xfId="8334" xr:uid="{00000000-0005-0000-0000-0000A4200000}"/>
    <cellStyle name="Normal 4 2 6" xfId="8335" xr:uid="{00000000-0005-0000-0000-0000A5200000}"/>
    <cellStyle name="Normal 4 3" xfId="8336" xr:uid="{00000000-0005-0000-0000-0000A6200000}"/>
    <cellStyle name="Normal 4 3 2" xfId="8337" xr:uid="{00000000-0005-0000-0000-0000A7200000}"/>
    <cellStyle name="Normal 4 4" xfId="8338" xr:uid="{00000000-0005-0000-0000-0000A8200000}"/>
    <cellStyle name="Normal 4 4 2" xfId="8339" xr:uid="{00000000-0005-0000-0000-0000A9200000}"/>
    <cellStyle name="Normal 4 5" xfId="8340" xr:uid="{00000000-0005-0000-0000-0000AA200000}"/>
    <cellStyle name="Normal 4 5 2" xfId="8341" xr:uid="{00000000-0005-0000-0000-0000AB200000}"/>
    <cellStyle name="Normal 4 6" xfId="8342" xr:uid="{00000000-0005-0000-0000-0000AC200000}"/>
    <cellStyle name="Normal 4 7" xfId="8343" xr:uid="{00000000-0005-0000-0000-0000AD200000}"/>
    <cellStyle name="Normal 4 8" xfId="9534" xr:uid="{00000000-0005-0000-0000-0000AE200000}"/>
    <cellStyle name="Normal 4_ Price Inputs" xfId="8344" xr:uid="{00000000-0005-0000-0000-0000AF200000}"/>
    <cellStyle name="Normal 40" xfId="8345" xr:uid="{00000000-0005-0000-0000-0000B0200000}"/>
    <cellStyle name="Normal 40 2" xfId="8346" xr:uid="{00000000-0005-0000-0000-0000B1200000}"/>
    <cellStyle name="Normal 41" xfId="8347" xr:uid="{00000000-0005-0000-0000-0000B2200000}"/>
    <cellStyle name="Normal 41 2" xfId="8348" xr:uid="{00000000-0005-0000-0000-0000B3200000}"/>
    <cellStyle name="Normal 41 2 2" xfId="8349" xr:uid="{00000000-0005-0000-0000-0000B4200000}"/>
    <cellStyle name="Normal 41 3" xfId="8350" xr:uid="{00000000-0005-0000-0000-0000B5200000}"/>
    <cellStyle name="Normal 41 3 2" xfId="8351" xr:uid="{00000000-0005-0000-0000-0000B6200000}"/>
    <cellStyle name="Normal 41 4" xfId="8352" xr:uid="{00000000-0005-0000-0000-0000B7200000}"/>
    <cellStyle name="Normal 41 4 2" xfId="8353" xr:uid="{00000000-0005-0000-0000-0000B8200000}"/>
    <cellStyle name="Normal 42" xfId="8354" xr:uid="{00000000-0005-0000-0000-0000B9200000}"/>
    <cellStyle name="Normal 42 2" xfId="8355" xr:uid="{00000000-0005-0000-0000-0000BA200000}"/>
    <cellStyle name="Normal 42 2 2" xfId="8356" xr:uid="{00000000-0005-0000-0000-0000BB200000}"/>
    <cellStyle name="Normal 42 2 2 2" xfId="8357" xr:uid="{00000000-0005-0000-0000-0000BC200000}"/>
    <cellStyle name="Normal 42 2 3" xfId="8358" xr:uid="{00000000-0005-0000-0000-0000BD200000}"/>
    <cellStyle name="Normal 42 3" xfId="8359" xr:uid="{00000000-0005-0000-0000-0000BE200000}"/>
    <cellStyle name="Normal 42 3 2" xfId="8360" xr:uid="{00000000-0005-0000-0000-0000BF200000}"/>
    <cellStyle name="Normal 42 4" xfId="8361" xr:uid="{00000000-0005-0000-0000-0000C0200000}"/>
    <cellStyle name="Normal 42 4 2" xfId="8362" xr:uid="{00000000-0005-0000-0000-0000C1200000}"/>
    <cellStyle name="Normal 42 5" xfId="8363" xr:uid="{00000000-0005-0000-0000-0000C2200000}"/>
    <cellStyle name="Normal 42 5 2" xfId="8364" xr:uid="{00000000-0005-0000-0000-0000C3200000}"/>
    <cellStyle name="Normal 43" xfId="8365" xr:uid="{00000000-0005-0000-0000-0000C4200000}"/>
    <cellStyle name="Normal 43 2" xfId="8366" xr:uid="{00000000-0005-0000-0000-0000C5200000}"/>
    <cellStyle name="Normal 43 3" xfId="8367" xr:uid="{00000000-0005-0000-0000-0000C6200000}"/>
    <cellStyle name="Normal 43 3 2" xfId="8368" xr:uid="{00000000-0005-0000-0000-0000C7200000}"/>
    <cellStyle name="Normal 44" xfId="8369" xr:uid="{00000000-0005-0000-0000-0000C8200000}"/>
    <cellStyle name="Normal 44 2" xfId="8370" xr:uid="{00000000-0005-0000-0000-0000C9200000}"/>
    <cellStyle name="Normal 44 2 2" xfId="8371" xr:uid="{00000000-0005-0000-0000-0000CA200000}"/>
    <cellStyle name="Normal 44 2 2 2" xfId="8372" xr:uid="{00000000-0005-0000-0000-0000CB200000}"/>
    <cellStyle name="Normal 44 2 3" xfId="8373" xr:uid="{00000000-0005-0000-0000-0000CC200000}"/>
    <cellStyle name="Normal 44 2 4" xfId="8374" xr:uid="{00000000-0005-0000-0000-0000CD200000}"/>
    <cellStyle name="Normal 44 3" xfId="8375" xr:uid="{00000000-0005-0000-0000-0000CE200000}"/>
    <cellStyle name="Normal 44 3 2" xfId="8376" xr:uid="{00000000-0005-0000-0000-0000CF200000}"/>
    <cellStyle name="Normal 44 3 3" xfId="8377" xr:uid="{00000000-0005-0000-0000-0000D0200000}"/>
    <cellStyle name="Normal 44 4" xfId="8378" xr:uid="{00000000-0005-0000-0000-0000D1200000}"/>
    <cellStyle name="Normal 44 4 2" xfId="8379" xr:uid="{00000000-0005-0000-0000-0000D2200000}"/>
    <cellStyle name="Normal 44 5" xfId="8380" xr:uid="{00000000-0005-0000-0000-0000D3200000}"/>
    <cellStyle name="Normal 44 5 2" xfId="8381" xr:uid="{00000000-0005-0000-0000-0000D4200000}"/>
    <cellStyle name="Normal 44 6" xfId="8382" xr:uid="{00000000-0005-0000-0000-0000D5200000}"/>
    <cellStyle name="Normal 44 7" xfId="8383" xr:uid="{00000000-0005-0000-0000-0000D6200000}"/>
    <cellStyle name="Normal 45" xfId="8384" xr:uid="{00000000-0005-0000-0000-0000D7200000}"/>
    <cellStyle name="Normal 45 2" xfId="8385" xr:uid="{00000000-0005-0000-0000-0000D8200000}"/>
    <cellStyle name="Normal 45 2 2" xfId="8386" xr:uid="{00000000-0005-0000-0000-0000D9200000}"/>
    <cellStyle name="Normal 45 3" xfId="8387" xr:uid="{00000000-0005-0000-0000-0000DA200000}"/>
    <cellStyle name="Normal 45 4" xfId="8388" xr:uid="{00000000-0005-0000-0000-0000DB200000}"/>
    <cellStyle name="Normal 45 5" xfId="8389" xr:uid="{00000000-0005-0000-0000-0000DC200000}"/>
    <cellStyle name="Normal 45 6" xfId="8390" xr:uid="{00000000-0005-0000-0000-0000DD200000}"/>
    <cellStyle name="Normal 46" xfId="8391" xr:uid="{00000000-0005-0000-0000-0000DE200000}"/>
    <cellStyle name="Normal 46 2" xfId="8392" xr:uid="{00000000-0005-0000-0000-0000DF200000}"/>
    <cellStyle name="Normal 46 2 2" xfId="8393" xr:uid="{00000000-0005-0000-0000-0000E0200000}"/>
    <cellStyle name="Normal 46 2 3" xfId="8394" xr:uid="{00000000-0005-0000-0000-0000E1200000}"/>
    <cellStyle name="Normal 46 3" xfId="8395" xr:uid="{00000000-0005-0000-0000-0000E2200000}"/>
    <cellStyle name="Normal 46 4" xfId="8396" xr:uid="{00000000-0005-0000-0000-0000E3200000}"/>
    <cellStyle name="Normal 46 5" xfId="8397" xr:uid="{00000000-0005-0000-0000-0000E4200000}"/>
    <cellStyle name="Normal 46 6" xfId="8398" xr:uid="{00000000-0005-0000-0000-0000E5200000}"/>
    <cellStyle name="Normal 47" xfId="8399" xr:uid="{00000000-0005-0000-0000-0000E6200000}"/>
    <cellStyle name="Normal 47 2" xfId="8400" xr:uid="{00000000-0005-0000-0000-0000E7200000}"/>
    <cellStyle name="Normal 47 2 2" xfId="8401" xr:uid="{00000000-0005-0000-0000-0000E8200000}"/>
    <cellStyle name="Normal 47 3" xfId="8402" xr:uid="{00000000-0005-0000-0000-0000E9200000}"/>
    <cellStyle name="Normal 47 3 2" xfId="8403" xr:uid="{00000000-0005-0000-0000-0000EA200000}"/>
    <cellStyle name="Normal 47 4" xfId="8404" xr:uid="{00000000-0005-0000-0000-0000EB200000}"/>
    <cellStyle name="Normal 47 4 2" xfId="8405" xr:uid="{00000000-0005-0000-0000-0000EC200000}"/>
    <cellStyle name="Normal 47 5" xfId="8406" xr:uid="{00000000-0005-0000-0000-0000ED200000}"/>
    <cellStyle name="Normal 48" xfId="8407" xr:uid="{00000000-0005-0000-0000-0000EE200000}"/>
    <cellStyle name="Normal 48 2" xfId="8408" xr:uid="{00000000-0005-0000-0000-0000EF200000}"/>
    <cellStyle name="Normal 48 2 2" xfId="8409" xr:uid="{00000000-0005-0000-0000-0000F0200000}"/>
    <cellStyle name="Normal 48 3" xfId="8410" xr:uid="{00000000-0005-0000-0000-0000F1200000}"/>
    <cellStyle name="Normal 48 3 2" xfId="8411" xr:uid="{00000000-0005-0000-0000-0000F2200000}"/>
    <cellStyle name="Normal 48 4" xfId="8412" xr:uid="{00000000-0005-0000-0000-0000F3200000}"/>
    <cellStyle name="Normal 48 4 2" xfId="8413" xr:uid="{00000000-0005-0000-0000-0000F4200000}"/>
    <cellStyle name="Normal 49" xfId="8414" xr:uid="{00000000-0005-0000-0000-0000F5200000}"/>
    <cellStyle name="Normal 49 2" xfId="8415" xr:uid="{00000000-0005-0000-0000-0000F6200000}"/>
    <cellStyle name="Normal 49 2 2" xfId="8416" xr:uid="{00000000-0005-0000-0000-0000F7200000}"/>
    <cellStyle name="Normal 49 3" xfId="8417" xr:uid="{00000000-0005-0000-0000-0000F8200000}"/>
    <cellStyle name="Normal 49 3 2" xfId="8418" xr:uid="{00000000-0005-0000-0000-0000F9200000}"/>
    <cellStyle name="Normal 49 4" xfId="8419" xr:uid="{00000000-0005-0000-0000-0000FA200000}"/>
    <cellStyle name="Normal 49 4 2" xfId="8420" xr:uid="{00000000-0005-0000-0000-0000FB200000}"/>
    <cellStyle name="Normal 5" xfId="8421" xr:uid="{00000000-0005-0000-0000-0000FC200000}"/>
    <cellStyle name="Normal 5 2" xfId="8422" xr:uid="{00000000-0005-0000-0000-0000FD200000}"/>
    <cellStyle name="Normal 5 2 2" xfId="8423" xr:uid="{00000000-0005-0000-0000-0000FE200000}"/>
    <cellStyle name="Normal 5 2 3" xfId="8424" xr:uid="{00000000-0005-0000-0000-0000FF200000}"/>
    <cellStyle name="Normal 5 2 4" xfId="9527" xr:uid="{00000000-0005-0000-0000-000000210000}"/>
    <cellStyle name="Normal 5 3" xfId="8425" xr:uid="{00000000-0005-0000-0000-000001210000}"/>
    <cellStyle name="Normal 5 3 2" xfId="8426" xr:uid="{00000000-0005-0000-0000-000002210000}"/>
    <cellStyle name="Normal 5 4" xfId="8427" xr:uid="{00000000-0005-0000-0000-000003210000}"/>
    <cellStyle name="Normal 5 4 2" xfId="8428" xr:uid="{00000000-0005-0000-0000-000004210000}"/>
    <cellStyle name="Normal 5 5" xfId="8429" xr:uid="{00000000-0005-0000-0000-000005210000}"/>
    <cellStyle name="Normal 5 5 2" xfId="8430" xr:uid="{00000000-0005-0000-0000-000006210000}"/>
    <cellStyle name="Normal 5 6" xfId="8431" xr:uid="{00000000-0005-0000-0000-000007210000}"/>
    <cellStyle name="Normal 5 7" xfId="9528" xr:uid="{00000000-0005-0000-0000-000008210000}"/>
    <cellStyle name="Normal 5_2011 CBR Rev Calc by schedule" xfId="8432" xr:uid="{00000000-0005-0000-0000-000009210000}"/>
    <cellStyle name="Normal 50" xfId="8433" xr:uid="{00000000-0005-0000-0000-00000A210000}"/>
    <cellStyle name="Normal 50 2" xfId="8434" xr:uid="{00000000-0005-0000-0000-00000B210000}"/>
    <cellStyle name="Normal 50 2 2" xfId="8435" xr:uid="{00000000-0005-0000-0000-00000C210000}"/>
    <cellStyle name="Normal 50 3" xfId="8436" xr:uid="{00000000-0005-0000-0000-00000D210000}"/>
    <cellStyle name="Normal 50 3 2" xfId="8437" xr:uid="{00000000-0005-0000-0000-00000E210000}"/>
    <cellStyle name="Normal 50 4" xfId="8438" xr:uid="{00000000-0005-0000-0000-00000F210000}"/>
    <cellStyle name="Normal 50 4 2" xfId="8439" xr:uid="{00000000-0005-0000-0000-000010210000}"/>
    <cellStyle name="Normal 51" xfId="8440" xr:uid="{00000000-0005-0000-0000-000011210000}"/>
    <cellStyle name="Normal 51 2" xfId="8441" xr:uid="{00000000-0005-0000-0000-000012210000}"/>
    <cellStyle name="Normal 51 2 2" xfId="8442" xr:uid="{00000000-0005-0000-0000-000013210000}"/>
    <cellStyle name="Normal 51 2 3" xfId="8443" xr:uid="{00000000-0005-0000-0000-000014210000}"/>
    <cellStyle name="Normal 51 3" xfId="8444" xr:uid="{00000000-0005-0000-0000-000015210000}"/>
    <cellStyle name="Normal 51 4" xfId="8445" xr:uid="{00000000-0005-0000-0000-000016210000}"/>
    <cellStyle name="Normal 51 5" xfId="8446" xr:uid="{00000000-0005-0000-0000-000017210000}"/>
    <cellStyle name="Normal 51 6" xfId="8447" xr:uid="{00000000-0005-0000-0000-000018210000}"/>
    <cellStyle name="Normal 52" xfId="8448" xr:uid="{00000000-0005-0000-0000-000019210000}"/>
    <cellStyle name="Normal 53" xfId="8449" xr:uid="{00000000-0005-0000-0000-00001A210000}"/>
    <cellStyle name="Normal 53 2" xfId="8450" xr:uid="{00000000-0005-0000-0000-00001B210000}"/>
    <cellStyle name="Normal 53 3" xfId="8451" xr:uid="{00000000-0005-0000-0000-00001C210000}"/>
    <cellStyle name="Normal 53 3 2" xfId="8452" xr:uid="{00000000-0005-0000-0000-00001D210000}"/>
    <cellStyle name="Normal 53 4" xfId="8453" xr:uid="{00000000-0005-0000-0000-00001E210000}"/>
    <cellStyle name="Normal 54" xfId="8454" xr:uid="{00000000-0005-0000-0000-00001F210000}"/>
    <cellStyle name="Normal 54 2" xfId="8455" xr:uid="{00000000-0005-0000-0000-000020210000}"/>
    <cellStyle name="Normal 54 3" xfId="8456" xr:uid="{00000000-0005-0000-0000-000021210000}"/>
    <cellStyle name="Normal 54 3 2" xfId="8457" xr:uid="{00000000-0005-0000-0000-000022210000}"/>
    <cellStyle name="Normal 54 4" xfId="8458" xr:uid="{00000000-0005-0000-0000-000023210000}"/>
    <cellStyle name="Normal 55" xfId="8459" xr:uid="{00000000-0005-0000-0000-000024210000}"/>
    <cellStyle name="Normal 55 2" xfId="8460" xr:uid="{00000000-0005-0000-0000-000025210000}"/>
    <cellStyle name="Normal 55 2 2" xfId="8461" xr:uid="{00000000-0005-0000-0000-000026210000}"/>
    <cellStyle name="Normal 55 3" xfId="8462" xr:uid="{00000000-0005-0000-0000-000027210000}"/>
    <cellStyle name="Normal 56" xfId="8463" xr:uid="{00000000-0005-0000-0000-000028210000}"/>
    <cellStyle name="Normal 56 2" xfId="8464" xr:uid="{00000000-0005-0000-0000-000029210000}"/>
    <cellStyle name="Normal 56 2 2" xfId="8465" xr:uid="{00000000-0005-0000-0000-00002A210000}"/>
    <cellStyle name="Normal 56 3" xfId="8466" xr:uid="{00000000-0005-0000-0000-00002B210000}"/>
    <cellStyle name="Normal 57" xfId="8467" xr:uid="{00000000-0005-0000-0000-00002C210000}"/>
    <cellStyle name="Normal 57 2" xfId="8468" xr:uid="{00000000-0005-0000-0000-00002D210000}"/>
    <cellStyle name="Normal 58" xfId="8469" xr:uid="{00000000-0005-0000-0000-00002E210000}"/>
    <cellStyle name="Normal 58 2" xfId="8470" xr:uid="{00000000-0005-0000-0000-00002F210000}"/>
    <cellStyle name="Normal 59" xfId="8471" xr:uid="{00000000-0005-0000-0000-000030210000}"/>
    <cellStyle name="Normal 59 2" xfId="8472" xr:uid="{00000000-0005-0000-0000-000031210000}"/>
    <cellStyle name="Normal 6" xfId="8473" xr:uid="{00000000-0005-0000-0000-000032210000}"/>
    <cellStyle name="Normal 6 2" xfId="8474" xr:uid="{00000000-0005-0000-0000-000033210000}"/>
    <cellStyle name="Normal 6 2 2" xfId="8475" xr:uid="{00000000-0005-0000-0000-000034210000}"/>
    <cellStyle name="Normal 6 2 2 2" xfId="8476" xr:uid="{00000000-0005-0000-0000-000035210000}"/>
    <cellStyle name="Normal 6 2 3" xfId="8477" xr:uid="{00000000-0005-0000-0000-000036210000}"/>
    <cellStyle name="Normal 6 2 4" xfId="8478" xr:uid="{00000000-0005-0000-0000-000037210000}"/>
    <cellStyle name="Normal 6 3" xfId="8479" xr:uid="{00000000-0005-0000-0000-000038210000}"/>
    <cellStyle name="Normal 6 3 2" xfId="8480" xr:uid="{00000000-0005-0000-0000-000039210000}"/>
    <cellStyle name="Normal 6 4" xfId="8481" xr:uid="{00000000-0005-0000-0000-00003A210000}"/>
    <cellStyle name="Normal 6 5" xfId="8482" xr:uid="{00000000-0005-0000-0000-00003B210000}"/>
    <cellStyle name="Normal 6 5 2" xfId="8483" xr:uid="{00000000-0005-0000-0000-00003C210000}"/>
    <cellStyle name="Normal 6 6" xfId="8484" xr:uid="{00000000-0005-0000-0000-00003D210000}"/>
    <cellStyle name="Normal 6 7" xfId="9519" xr:uid="{00000000-0005-0000-0000-00003E210000}"/>
    <cellStyle name="Normal 6_Scenario 1 REC vs PTC Offset" xfId="8485" xr:uid="{00000000-0005-0000-0000-00003F210000}"/>
    <cellStyle name="Normal 60" xfId="8486" xr:uid="{00000000-0005-0000-0000-000040210000}"/>
    <cellStyle name="Normal 60 2" xfId="8487" xr:uid="{00000000-0005-0000-0000-000041210000}"/>
    <cellStyle name="Normal 61" xfId="8488" xr:uid="{00000000-0005-0000-0000-000042210000}"/>
    <cellStyle name="Normal 61 2" xfId="8489" xr:uid="{00000000-0005-0000-0000-000043210000}"/>
    <cellStyle name="Normal 62" xfId="8490" xr:uid="{00000000-0005-0000-0000-000044210000}"/>
    <cellStyle name="Normal 62 2" xfId="8491" xr:uid="{00000000-0005-0000-0000-000045210000}"/>
    <cellStyle name="Normal 63" xfId="8492" xr:uid="{00000000-0005-0000-0000-000046210000}"/>
    <cellStyle name="Normal 63 2" xfId="8493" xr:uid="{00000000-0005-0000-0000-000047210000}"/>
    <cellStyle name="Normal 64" xfId="8494" xr:uid="{00000000-0005-0000-0000-000048210000}"/>
    <cellStyle name="Normal 64 2" xfId="8495" xr:uid="{00000000-0005-0000-0000-000049210000}"/>
    <cellStyle name="Normal 65" xfId="8496" xr:uid="{00000000-0005-0000-0000-00004A210000}"/>
    <cellStyle name="Normal 65 2" xfId="8497" xr:uid="{00000000-0005-0000-0000-00004B210000}"/>
    <cellStyle name="Normal 66" xfId="8498" xr:uid="{00000000-0005-0000-0000-00004C210000}"/>
    <cellStyle name="Normal 66 2" xfId="8499" xr:uid="{00000000-0005-0000-0000-00004D210000}"/>
    <cellStyle name="Normal 67" xfId="8500" xr:uid="{00000000-0005-0000-0000-00004E210000}"/>
    <cellStyle name="Normal 67 2" xfId="8501" xr:uid="{00000000-0005-0000-0000-00004F210000}"/>
    <cellStyle name="Normal 68" xfId="8502" xr:uid="{00000000-0005-0000-0000-000050210000}"/>
    <cellStyle name="Normal 68 2" xfId="8503" xr:uid="{00000000-0005-0000-0000-000051210000}"/>
    <cellStyle name="Normal 69" xfId="8504" xr:uid="{00000000-0005-0000-0000-000052210000}"/>
    <cellStyle name="Normal 69 2" xfId="8505" xr:uid="{00000000-0005-0000-0000-000053210000}"/>
    <cellStyle name="Normal 7" xfId="8506" xr:uid="{00000000-0005-0000-0000-000054210000}"/>
    <cellStyle name="Normal 7 2" xfId="8507" xr:uid="{00000000-0005-0000-0000-000055210000}"/>
    <cellStyle name="Normal 7 2 2" xfId="8508" xr:uid="{00000000-0005-0000-0000-000056210000}"/>
    <cellStyle name="Normal 7 2 2 2" xfId="8509" xr:uid="{00000000-0005-0000-0000-000057210000}"/>
    <cellStyle name="Normal 7 2 3" xfId="8510" xr:uid="{00000000-0005-0000-0000-000058210000}"/>
    <cellStyle name="Normal 7 3" xfId="8511" xr:uid="{00000000-0005-0000-0000-000059210000}"/>
    <cellStyle name="Normal 7 4" xfId="8512" xr:uid="{00000000-0005-0000-0000-00005A210000}"/>
    <cellStyle name="Normal 7 4 2" xfId="8513" xr:uid="{00000000-0005-0000-0000-00005B210000}"/>
    <cellStyle name="Normal 7 5" xfId="8514" xr:uid="{00000000-0005-0000-0000-00005C210000}"/>
    <cellStyle name="Normal 70" xfId="8515" xr:uid="{00000000-0005-0000-0000-00005D210000}"/>
    <cellStyle name="Normal 70 2" xfId="8516" xr:uid="{00000000-0005-0000-0000-00005E210000}"/>
    <cellStyle name="Normal 71" xfId="8517" xr:uid="{00000000-0005-0000-0000-00005F210000}"/>
    <cellStyle name="Normal 71 2" xfId="8518" xr:uid="{00000000-0005-0000-0000-000060210000}"/>
    <cellStyle name="Normal 72" xfId="8519" xr:uid="{00000000-0005-0000-0000-000061210000}"/>
    <cellStyle name="Normal 72 2" xfId="8520" xr:uid="{00000000-0005-0000-0000-000062210000}"/>
    <cellStyle name="Normal 73" xfId="8521" xr:uid="{00000000-0005-0000-0000-000063210000}"/>
    <cellStyle name="Normal 73 2" xfId="8522" xr:uid="{00000000-0005-0000-0000-000064210000}"/>
    <cellStyle name="Normal 74" xfId="8523" xr:uid="{00000000-0005-0000-0000-000065210000}"/>
    <cellStyle name="Normal 75" xfId="8524" xr:uid="{00000000-0005-0000-0000-000066210000}"/>
    <cellStyle name="Normal 76" xfId="8525" xr:uid="{00000000-0005-0000-0000-000067210000}"/>
    <cellStyle name="Normal 77" xfId="8526" xr:uid="{00000000-0005-0000-0000-000068210000}"/>
    <cellStyle name="Normal 78" xfId="8527" xr:uid="{00000000-0005-0000-0000-000069210000}"/>
    <cellStyle name="Normal 79" xfId="8528" xr:uid="{00000000-0005-0000-0000-00006A210000}"/>
    <cellStyle name="Normal 8" xfId="8529" xr:uid="{00000000-0005-0000-0000-00006B210000}"/>
    <cellStyle name="Normal 8 2" xfId="8530" xr:uid="{00000000-0005-0000-0000-00006C210000}"/>
    <cellStyle name="Normal 8 2 2" xfId="8531" xr:uid="{00000000-0005-0000-0000-00006D210000}"/>
    <cellStyle name="Normal 8 2 2 2" xfId="8532" xr:uid="{00000000-0005-0000-0000-00006E210000}"/>
    <cellStyle name="Normal 8 2 3" xfId="8533" xr:uid="{00000000-0005-0000-0000-00006F210000}"/>
    <cellStyle name="Normal 8 2 4" xfId="8534" xr:uid="{00000000-0005-0000-0000-000070210000}"/>
    <cellStyle name="Normal 8 3" xfId="8535" xr:uid="{00000000-0005-0000-0000-000071210000}"/>
    <cellStyle name="Normal 8 4" xfId="8536" xr:uid="{00000000-0005-0000-0000-000072210000}"/>
    <cellStyle name="Normal 8 4 2" xfId="8537" xr:uid="{00000000-0005-0000-0000-000073210000}"/>
    <cellStyle name="Normal 8 5" xfId="8538" xr:uid="{00000000-0005-0000-0000-000074210000}"/>
    <cellStyle name="Normal 8 6" xfId="8539" xr:uid="{00000000-0005-0000-0000-000075210000}"/>
    <cellStyle name="Normal 8 7" xfId="9526" xr:uid="{00000000-0005-0000-0000-000076210000}"/>
    <cellStyle name="Normal 80" xfId="8540" xr:uid="{00000000-0005-0000-0000-000077210000}"/>
    <cellStyle name="Normal 81" xfId="8541" xr:uid="{00000000-0005-0000-0000-000078210000}"/>
    <cellStyle name="Normal 82" xfId="8542" xr:uid="{00000000-0005-0000-0000-000079210000}"/>
    <cellStyle name="Normal 83" xfId="8543" xr:uid="{00000000-0005-0000-0000-00007A210000}"/>
    <cellStyle name="Normal 84" xfId="8544" xr:uid="{00000000-0005-0000-0000-00007B210000}"/>
    <cellStyle name="Normal 85" xfId="8545" xr:uid="{00000000-0005-0000-0000-00007C210000}"/>
    <cellStyle name="Normal 86" xfId="8546" xr:uid="{00000000-0005-0000-0000-00007D210000}"/>
    <cellStyle name="Normal 87" xfId="8547" xr:uid="{00000000-0005-0000-0000-00007E210000}"/>
    <cellStyle name="Normal 88" xfId="8548" xr:uid="{00000000-0005-0000-0000-00007F210000}"/>
    <cellStyle name="Normal 89" xfId="8549" xr:uid="{00000000-0005-0000-0000-000080210000}"/>
    <cellStyle name="Normal 9" xfId="8550" xr:uid="{00000000-0005-0000-0000-000081210000}"/>
    <cellStyle name="Normal 9 2" xfId="8551" xr:uid="{00000000-0005-0000-0000-000082210000}"/>
    <cellStyle name="Normal 9 2 2" xfId="8552" xr:uid="{00000000-0005-0000-0000-000083210000}"/>
    <cellStyle name="Normal 9 2 2 2" xfId="8553" xr:uid="{00000000-0005-0000-0000-000084210000}"/>
    <cellStyle name="Normal 9 2 3" xfId="8554" xr:uid="{00000000-0005-0000-0000-000085210000}"/>
    <cellStyle name="Normal 9 3" xfId="8555" xr:uid="{00000000-0005-0000-0000-000086210000}"/>
    <cellStyle name="Normal 9 3 2" xfId="8556" xr:uid="{00000000-0005-0000-0000-000087210000}"/>
    <cellStyle name="Normal 9 4" xfId="8557" xr:uid="{00000000-0005-0000-0000-000088210000}"/>
    <cellStyle name="Normal 90" xfId="8558" xr:uid="{00000000-0005-0000-0000-000089210000}"/>
    <cellStyle name="Normal 91" xfId="8559" xr:uid="{00000000-0005-0000-0000-00008A210000}"/>
    <cellStyle name="Normal 92" xfId="8560" xr:uid="{00000000-0005-0000-0000-00008B210000}"/>
    <cellStyle name="Normal 93" xfId="8561" xr:uid="{00000000-0005-0000-0000-00008C210000}"/>
    <cellStyle name="Normal 94" xfId="8562" xr:uid="{00000000-0005-0000-0000-00008D210000}"/>
    <cellStyle name="Normal 95" xfId="8563" xr:uid="{00000000-0005-0000-0000-00008E210000}"/>
    <cellStyle name="Normal 96" xfId="8564" xr:uid="{00000000-0005-0000-0000-00008F210000}"/>
    <cellStyle name="Normal 96 2" xfId="8565" xr:uid="{00000000-0005-0000-0000-000090210000}"/>
    <cellStyle name="Normal 97" xfId="8566" xr:uid="{00000000-0005-0000-0000-000091210000}"/>
    <cellStyle name="Normal 98" xfId="8567" xr:uid="{00000000-0005-0000-0000-000092210000}"/>
    <cellStyle name="Normal 99" xfId="8568" xr:uid="{00000000-0005-0000-0000-000093210000}"/>
    <cellStyle name="Note 10" xfId="8569" xr:uid="{00000000-0005-0000-0000-000094210000}"/>
    <cellStyle name="Note 10 2" xfId="8570" xr:uid="{00000000-0005-0000-0000-000095210000}"/>
    <cellStyle name="Note 10 2 2" xfId="8571" xr:uid="{00000000-0005-0000-0000-000096210000}"/>
    <cellStyle name="Note 10 3" xfId="8572" xr:uid="{00000000-0005-0000-0000-000097210000}"/>
    <cellStyle name="Note 11" xfId="8573" xr:uid="{00000000-0005-0000-0000-000098210000}"/>
    <cellStyle name="Note 11 2" xfId="8574" xr:uid="{00000000-0005-0000-0000-000099210000}"/>
    <cellStyle name="Note 11 2 2" xfId="8575" xr:uid="{00000000-0005-0000-0000-00009A210000}"/>
    <cellStyle name="Note 11 3" xfId="8576" xr:uid="{00000000-0005-0000-0000-00009B210000}"/>
    <cellStyle name="Note 12" xfId="8577" xr:uid="{00000000-0005-0000-0000-00009C210000}"/>
    <cellStyle name="Note 12 2" xfId="8578" xr:uid="{00000000-0005-0000-0000-00009D210000}"/>
    <cellStyle name="Note 12 2 2" xfId="8579" xr:uid="{00000000-0005-0000-0000-00009E210000}"/>
    <cellStyle name="Note 12 3" xfId="8580" xr:uid="{00000000-0005-0000-0000-00009F210000}"/>
    <cellStyle name="Note 12 3 2" xfId="8581" xr:uid="{00000000-0005-0000-0000-0000A0210000}"/>
    <cellStyle name="Note 12 4" xfId="8582" xr:uid="{00000000-0005-0000-0000-0000A1210000}"/>
    <cellStyle name="Note 13" xfId="8583" xr:uid="{00000000-0005-0000-0000-0000A2210000}"/>
    <cellStyle name="Note 13 2" xfId="8584" xr:uid="{00000000-0005-0000-0000-0000A3210000}"/>
    <cellStyle name="Note 14" xfId="8585" xr:uid="{00000000-0005-0000-0000-0000A4210000}"/>
    <cellStyle name="Note 2" xfId="8586" xr:uid="{00000000-0005-0000-0000-0000A5210000}"/>
    <cellStyle name="Note 2 2" xfId="8587" xr:uid="{00000000-0005-0000-0000-0000A6210000}"/>
    <cellStyle name="Note 2 2 2" xfId="8588" xr:uid="{00000000-0005-0000-0000-0000A7210000}"/>
    <cellStyle name="Note 2 2 3" xfId="8589" xr:uid="{00000000-0005-0000-0000-0000A8210000}"/>
    <cellStyle name="Note 2 2 4" xfId="8590" xr:uid="{00000000-0005-0000-0000-0000A9210000}"/>
    <cellStyle name="Note 2 3" xfId="8591" xr:uid="{00000000-0005-0000-0000-0000AA210000}"/>
    <cellStyle name="Note 2 3 2" xfId="8592" xr:uid="{00000000-0005-0000-0000-0000AB210000}"/>
    <cellStyle name="Note 2 4" xfId="8593" xr:uid="{00000000-0005-0000-0000-0000AC210000}"/>
    <cellStyle name="Note 2 4 2" xfId="8594" xr:uid="{00000000-0005-0000-0000-0000AD210000}"/>
    <cellStyle name="Note 2 5" xfId="8595" xr:uid="{00000000-0005-0000-0000-0000AE210000}"/>
    <cellStyle name="Note 2_AURORA Total New" xfId="8596" xr:uid="{00000000-0005-0000-0000-0000AF210000}"/>
    <cellStyle name="Note 3" xfId="8597" xr:uid="{00000000-0005-0000-0000-0000B0210000}"/>
    <cellStyle name="Note 3 2" xfId="8598" xr:uid="{00000000-0005-0000-0000-0000B1210000}"/>
    <cellStyle name="Note 3 2 2" xfId="8599" xr:uid="{00000000-0005-0000-0000-0000B2210000}"/>
    <cellStyle name="Note 3 3" xfId="8600" xr:uid="{00000000-0005-0000-0000-0000B3210000}"/>
    <cellStyle name="Note 3 4" xfId="8601" xr:uid="{00000000-0005-0000-0000-0000B4210000}"/>
    <cellStyle name="Note 4" xfId="8602" xr:uid="{00000000-0005-0000-0000-0000B5210000}"/>
    <cellStyle name="Note 4 2" xfId="8603" xr:uid="{00000000-0005-0000-0000-0000B6210000}"/>
    <cellStyle name="Note 4 2 2" xfId="8604" xr:uid="{00000000-0005-0000-0000-0000B7210000}"/>
    <cellStyle name="Note 4 3" xfId="8605" xr:uid="{00000000-0005-0000-0000-0000B8210000}"/>
    <cellStyle name="Note 4 4" xfId="8606" xr:uid="{00000000-0005-0000-0000-0000B9210000}"/>
    <cellStyle name="Note 5" xfId="8607" xr:uid="{00000000-0005-0000-0000-0000BA210000}"/>
    <cellStyle name="Note 5 2" xfId="8608" xr:uid="{00000000-0005-0000-0000-0000BB210000}"/>
    <cellStyle name="Note 5 2 2" xfId="8609" xr:uid="{00000000-0005-0000-0000-0000BC210000}"/>
    <cellStyle name="Note 5 3" xfId="8610" xr:uid="{00000000-0005-0000-0000-0000BD210000}"/>
    <cellStyle name="Note 5 4" xfId="8611" xr:uid="{00000000-0005-0000-0000-0000BE210000}"/>
    <cellStyle name="Note 6" xfId="8612" xr:uid="{00000000-0005-0000-0000-0000BF210000}"/>
    <cellStyle name="Note 6 2" xfId="8613" xr:uid="{00000000-0005-0000-0000-0000C0210000}"/>
    <cellStyle name="Note 6 2 2" xfId="8614" xr:uid="{00000000-0005-0000-0000-0000C1210000}"/>
    <cellStyle name="Note 6 3" xfId="8615" xr:uid="{00000000-0005-0000-0000-0000C2210000}"/>
    <cellStyle name="Note 6 4" xfId="8616" xr:uid="{00000000-0005-0000-0000-0000C3210000}"/>
    <cellStyle name="Note 7" xfId="8617" xr:uid="{00000000-0005-0000-0000-0000C4210000}"/>
    <cellStyle name="Note 7 2" xfId="8618" xr:uid="{00000000-0005-0000-0000-0000C5210000}"/>
    <cellStyle name="Note 7 2 2" xfId="8619" xr:uid="{00000000-0005-0000-0000-0000C6210000}"/>
    <cellStyle name="Note 7 3" xfId="8620" xr:uid="{00000000-0005-0000-0000-0000C7210000}"/>
    <cellStyle name="Note 7 4" xfId="8621" xr:uid="{00000000-0005-0000-0000-0000C8210000}"/>
    <cellStyle name="Note 8" xfId="8622" xr:uid="{00000000-0005-0000-0000-0000C9210000}"/>
    <cellStyle name="Note 8 2" xfId="8623" xr:uid="{00000000-0005-0000-0000-0000CA210000}"/>
    <cellStyle name="Note 8 2 2" xfId="8624" xr:uid="{00000000-0005-0000-0000-0000CB210000}"/>
    <cellStyle name="Note 8 3" xfId="8625" xr:uid="{00000000-0005-0000-0000-0000CC210000}"/>
    <cellStyle name="Note 8 4" xfId="8626" xr:uid="{00000000-0005-0000-0000-0000CD210000}"/>
    <cellStyle name="Note 9" xfId="8627" xr:uid="{00000000-0005-0000-0000-0000CE210000}"/>
    <cellStyle name="Note 9 2" xfId="8628" xr:uid="{00000000-0005-0000-0000-0000CF210000}"/>
    <cellStyle name="Note 9 2 2" xfId="8629" xr:uid="{00000000-0005-0000-0000-0000D0210000}"/>
    <cellStyle name="Note 9 3" xfId="8630" xr:uid="{00000000-0005-0000-0000-0000D1210000}"/>
    <cellStyle name="Note 9 4" xfId="8631" xr:uid="{00000000-0005-0000-0000-0000D2210000}"/>
    <cellStyle name="Output 2" xfId="8632" xr:uid="{00000000-0005-0000-0000-0000D3210000}"/>
    <cellStyle name="Output 2 2" xfId="8633" xr:uid="{00000000-0005-0000-0000-0000D4210000}"/>
    <cellStyle name="Output 2 2 2" xfId="8634" xr:uid="{00000000-0005-0000-0000-0000D5210000}"/>
    <cellStyle name="Output 2 2 3" xfId="8635" xr:uid="{00000000-0005-0000-0000-0000D6210000}"/>
    <cellStyle name="Output 2 3" xfId="8636" xr:uid="{00000000-0005-0000-0000-0000D7210000}"/>
    <cellStyle name="Output 2 4" xfId="8637" xr:uid="{00000000-0005-0000-0000-0000D8210000}"/>
    <cellStyle name="Output 3" xfId="8638" xr:uid="{00000000-0005-0000-0000-0000D9210000}"/>
    <cellStyle name="Output 3 2" xfId="8639" xr:uid="{00000000-0005-0000-0000-0000DA210000}"/>
    <cellStyle name="Output 3 3" xfId="8640" xr:uid="{00000000-0005-0000-0000-0000DB210000}"/>
    <cellStyle name="Output 3 4" xfId="8641" xr:uid="{00000000-0005-0000-0000-0000DC210000}"/>
    <cellStyle name="Output 4" xfId="8642" xr:uid="{00000000-0005-0000-0000-0000DD210000}"/>
    <cellStyle name="Output 5" xfId="8643" xr:uid="{00000000-0005-0000-0000-0000DE210000}"/>
    <cellStyle name="Output 6" xfId="8644" xr:uid="{00000000-0005-0000-0000-0000DF210000}"/>
    <cellStyle name="Percen - Style1" xfId="8645" xr:uid="{00000000-0005-0000-0000-0000E0210000}"/>
    <cellStyle name="Percen - Style1 2" xfId="8646" xr:uid="{00000000-0005-0000-0000-0000E1210000}"/>
    <cellStyle name="Percen - Style2" xfId="8647" xr:uid="{00000000-0005-0000-0000-0000E2210000}"/>
    <cellStyle name="Percen - Style2 2" xfId="8648" xr:uid="{00000000-0005-0000-0000-0000E3210000}"/>
    <cellStyle name="Percen - Style2 3" xfId="8649" xr:uid="{00000000-0005-0000-0000-0000E4210000}"/>
    <cellStyle name="Percen - Style3" xfId="8650" xr:uid="{00000000-0005-0000-0000-0000E5210000}"/>
    <cellStyle name="Percen - Style3 2" xfId="8651" xr:uid="{00000000-0005-0000-0000-0000E6210000}"/>
    <cellStyle name="Percen - Style3 2 2" xfId="8652" xr:uid="{00000000-0005-0000-0000-0000E7210000}"/>
    <cellStyle name="Percen - Style3 3" xfId="8653" xr:uid="{00000000-0005-0000-0000-0000E8210000}"/>
    <cellStyle name="Percen - Style3 4" xfId="8654" xr:uid="{00000000-0005-0000-0000-0000E9210000}"/>
    <cellStyle name="Percen - Style3_ACCOUNTS" xfId="8655" xr:uid="{00000000-0005-0000-0000-0000EA210000}"/>
    <cellStyle name="Percent" xfId="3" builtinId="5"/>
    <cellStyle name="Percent (0)" xfId="8656" xr:uid="{00000000-0005-0000-0000-0000EC210000}"/>
    <cellStyle name="Percent [2]" xfId="8657" xr:uid="{00000000-0005-0000-0000-0000ED210000}"/>
    <cellStyle name="Percent [2] 2" xfId="8658" xr:uid="{00000000-0005-0000-0000-0000EE210000}"/>
    <cellStyle name="Percent [2] 2 2" xfId="8659" xr:uid="{00000000-0005-0000-0000-0000EF210000}"/>
    <cellStyle name="Percent [2] 2 2 2" xfId="8660" xr:uid="{00000000-0005-0000-0000-0000F0210000}"/>
    <cellStyle name="Percent [2] 2 3" xfId="8661" xr:uid="{00000000-0005-0000-0000-0000F1210000}"/>
    <cellStyle name="Percent [2] 3" xfId="8662" xr:uid="{00000000-0005-0000-0000-0000F2210000}"/>
    <cellStyle name="Percent [2] 3 2" xfId="8663" xr:uid="{00000000-0005-0000-0000-0000F3210000}"/>
    <cellStyle name="Percent [2] 3 2 2" xfId="8664" xr:uid="{00000000-0005-0000-0000-0000F4210000}"/>
    <cellStyle name="Percent [2] 3 3" xfId="8665" xr:uid="{00000000-0005-0000-0000-0000F5210000}"/>
    <cellStyle name="Percent [2] 3 3 2" xfId="8666" xr:uid="{00000000-0005-0000-0000-0000F6210000}"/>
    <cellStyle name="Percent [2] 3 4" xfId="8667" xr:uid="{00000000-0005-0000-0000-0000F7210000}"/>
    <cellStyle name="Percent [2] 3 4 2" xfId="8668" xr:uid="{00000000-0005-0000-0000-0000F8210000}"/>
    <cellStyle name="Percent [2] 4" xfId="8669" xr:uid="{00000000-0005-0000-0000-0000F9210000}"/>
    <cellStyle name="Percent [2] 4 2" xfId="8670" xr:uid="{00000000-0005-0000-0000-0000FA210000}"/>
    <cellStyle name="Percent [2] 5" xfId="8671" xr:uid="{00000000-0005-0000-0000-0000FB210000}"/>
    <cellStyle name="Percent [2] 6" xfId="8672" xr:uid="{00000000-0005-0000-0000-0000FC210000}"/>
    <cellStyle name="Percent [2] 7" xfId="8673" xr:uid="{00000000-0005-0000-0000-0000FD210000}"/>
    <cellStyle name="Percent 10" xfId="8674" xr:uid="{00000000-0005-0000-0000-0000FE210000}"/>
    <cellStyle name="Percent 10 2" xfId="8675" xr:uid="{00000000-0005-0000-0000-0000FF210000}"/>
    <cellStyle name="Percent 10 3" xfId="8676" xr:uid="{00000000-0005-0000-0000-000000220000}"/>
    <cellStyle name="Percent 10 3 2" xfId="8677" xr:uid="{00000000-0005-0000-0000-000001220000}"/>
    <cellStyle name="Percent 10 4" xfId="8678" xr:uid="{00000000-0005-0000-0000-000002220000}"/>
    <cellStyle name="Percent 100" xfId="8679" xr:uid="{00000000-0005-0000-0000-000003220000}"/>
    <cellStyle name="Percent 101" xfId="8680" xr:uid="{00000000-0005-0000-0000-000004220000}"/>
    <cellStyle name="Percent 102" xfId="8681" xr:uid="{00000000-0005-0000-0000-000005220000}"/>
    <cellStyle name="Percent 103" xfId="8682" xr:uid="{00000000-0005-0000-0000-000006220000}"/>
    <cellStyle name="Percent 104" xfId="8683" xr:uid="{00000000-0005-0000-0000-000007220000}"/>
    <cellStyle name="Percent 105" xfId="8684" xr:uid="{00000000-0005-0000-0000-000008220000}"/>
    <cellStyle name="Percent 106" xfId="8685" xr:uid="{00000000-0005-0000-0000-000009220000}"/>
    <cellStyle name="Percent 107" xfId="8686" xr:uid="{00000000-0005-0000-0000-00000A220000}"/>
    <cellStyle name="Percent 108" xfId="8687" xr:uid="{00000000-0005-0000-0000-00000B220000}"/>
    <cellStyle name="Percent 109" xfId="8688" xr:uid="{00000000-0005-0000-0000-00000C220000}"/>
    <cellStyle name="Percent 11" xfId="8689" xr:uid="{00000000-0005-0000-0000-00000D220000}"/>
    <cellStyle name="Percent 11 2" xfId="8690" xr:uid="{00000000-0005-0000-0000-00000E220000}"/>
    <cellStyle name="Percent 11 2 2" xfId="8691" xr:uid="{00000000-0005-0000-0000-00000F220000}"/>
    <cellStyle name="Percent 11 3" xfId="8692" xr:uid="{00000000-0005-0000-0000-000010220000}"/>
    <cellStyle name="Percent 11 3 2" xfId="8693" xr:uid="{00000000-0005-0000-0000-000011220000}"/>
    <cellStyle name="Percent 11 4" xfId="8694" xr:uid="{00000000-0005-0000-0000-000012220000}"/>
    <cellStyle name="Percent 11 4 2" xfId="8695" xr:uid="{00000000-0005-0000-0000-000013220000}"/>
    <cellStyle name="Percent 11 5" xfId="8696" xr:uid="{00000000-0005-0000-0000-000014220000}"/>
    <cellStyle name="Percent 110" xfId="8697" xr:uid="{00000000-0005-0000-0000-000015220000}"/>
    <cellStyle name="Percent 111" xfId="8698" xr:uid="{00000000-0005-0000-0000-000016220000}"/>
    <cellStyle name="Percent 112" xfId="8699" xr:uid="{00000000-0005-0000-0000-000017220000}"/>
    <cellStyle name="Percent 113" xfId="8700" xr:uid="{00000000-0005-0000-0000-000018220000}"/>
    <cellStyle name="Percent 114" xfId="8701" xr:uid="{00000000-0005-0000-0000-000019220000}"/>
    <cellStyle name="Percent 115" xfId="8702" xr:uid="{00000000-0005-0000-0000-00001A220000}"/>
    <cellStyle name="Percent 116" xfId="8703" xr:uid="{00000000-0005-0000-0000-00001B220000}"/>
    <cellStyle name="Percent 117" xfId="8704" xr:uid="{00000000-0005-0000-0000-00001C220000}"/>
    <cellStyle name="Percent 118" xfId="8705" xr:uid="{00000000-0005-0000-0000-00001D220000}"/>
    <cellStyle name="Percent 119" xfId="8706" xr:uid="{00000000-0005-0000-0000-00001E220000}"/>
    <cellStyle name="Percent 12" xfId="8707" xr:uid="{00000000-0005-0000-0000-00001F220000}"/>
    <cellStyle name="Percent 12 2" xfId="8708" xr:uid="{00000000-0005-0000-0000-000020220000}"/>
    <cellStyle name="Percent 12 2 2" xfId="8709" xr:uid="{00000000-0005-0000-0000-000021220000}"/>
    <cellStyle name="Percent 12 2 2 2" xfId="8710" xr:uid="{00000000-0005-0000-0000-000022220000}"/>
    <cellStyle name="Percent 12 2 3" xfId="8711" xr:uid="{00000000-0005-0000-0000-000023220000}"/>
    <cellStyle name="Percent 12 3" xfId="8712" xr:uid="{00000000-0005-0000-0000-000024220000}"/>
    <cellStyle name="Percent 12 3 2" xfId="8713" xr:uid="{00000000-0005-0000-0000-000025220000}"/>
    <cellStyle name="Percent 12 4" xfId="8714" xr:uid="{00000000-0005-0000-0000-000026220000}"/>
    <cellStyle name="Percent 12 4 2" xfId="8715" xr:uid="{00000000-0005-0000-0000-000027220000}"/>
    <cellStyle name="Percent 12 5" xfId="8716" xr:uid="{00000000-0005-0000-0000-000028220000}"/>
    <cellStyle name="Percent 12 5 2" xfId="8717" xr:uid="{00000000-0005-0000-0000-000029220000}"/>
    <cellStyle name="Percent 120" xfId="8718" xr:uid="{00000000-0005-0000-0000-00002A220000}"/>
    <cellStyle name="Percent 121" xfId="9516" xr:uid="{00000000-0005-0000-0000-00002B220000}"/>
    <cellStyle name="Percent 122" xfId="9511" xr:uid="{00000000-0005-0000-0000-00002C220000}"/>
    <cellStyle name="Percent 123" xfId="9508" xr:uid="{00000000-0005-0000-0000-00002D220000}"/>
    <cellStyle name="Percent 124" xfId="9509" xr:uid="{00000000-0005-0000-0000-00002E220000}"/>
    <cellStyle name="Percent 125" xfId="9541" xr:uid="{00000000-0005-0000-0000-00002F220000}"/>
    <cellStyle name="Percent 13" xfId="8719" xr:uid="{00000000-0005-0000-0000-000030220000}"/>
    <cellStyle name="Percent 13 2" xfId="8720" xr:uid="{00000000-0005-0000-0000-000031220000}"/>
    <cellStyle name="Percent 13 2 2" xfId="8721" xr:uid="{00000000-0005-0000-0000-000032220000}"/>
    <cellStyle name="Percent 13 2 3" xfId="8722" xr:uid="{00000000-0005-0000-0000-000033220000}"/>
    <cellStyle name="Percent 13 3" xfId="8723" xr:uid="{00000000-0005-0000-0000-000034220000}"/>
    <cellStyle name="Percent 13 3 2" xfId="8724" xr:uid="{00000000-0005-0000-0000-000035220000}"/>
    <cellStyle name="Percent 13 4" xfId="8725" xr:uid="{00000000-0005-0000-0000-000036220000}"/>
    <cellStyle name="Percent 13 5" xfId="8726" xr:uid="{00000000-0005-0000-0000-000037220000}"/>
    <cellStyle name="Percent 13 6" xfId="8727" xr:uid="{00000000-0005-0000-0000-000038220000}"/>
    <cellStyle name="Percent 14" xfId="8728" xr:uid="{00000000-0005-0000-0000-000039220000}"/>
    <cellStyle name="Percent 14 2" xfId="8729" xr:uid="{00000000-0005-0000-0000-00003A220000}"/>
    <cellStyle name="Percent 14 2 2" xfId="8730" xr:uid="{00000000-0005-0000-0000-00003B220000}"/>
    <cellStyle name="Percent 14 3" xfId="8731" xr:uid="{00000000-0005-0000-0000-00003C220000}"/>
    <cellStyle name="Percent 14 4" xfId="8732" xr:uid="{00000000-0005-0000-0000-00003D220000}"/>
    <cellStyle name="Percent 14 4 2" xfId="8733" xr:uid="{00000000-0005-0000-0000-00003E220000}"/>
    <cellStyle name="Percent 14 5" xfId="8734" xr:uid="{00000000-0005-0000-0000-00003F220000}"/>
    <cellStyle name="Percent 15" xfId="8735" xr:uid="{00000000-0005-0000-0000-000040220000}"/>
    <cellStyle name="Percent 15 2" xfId="8736" xr:uid="{00000000-0005-0000-0000-000041220000}"/>
    <cellStyle name="Percent 15 2 2" xfId="8737" xr:uid="{00000000-0005-0000-0000-000042220000}"/>
    <cellStyle name="Percent 15 2 3" xfId="8738" xr:uid="{00000000-0005-0000-0000-000043220000}"/>
    <cellStyle name="Percent 15 2 4" xfId="8739" xr:uid="{00000000-0005-0000-0000-000044220000}"/>
    <cellStyle name="Percent 15 3" xfId="8740" xr:uid="{00000000-0005-0000-0000-000045220000}"/>
    <cellStyle name="Percent 15 3 2" xfId="8741" xr:uid="{00000000-0005-0000-0000-000046220000}"/>
    <cellStyle name="Percent 15 4" xfId="8742" xr:uid="{00000000-0005-0000-0000-000047220000}"/>
    <cellStyle name="Percent 15 4 2" xfId="8743" xr:uid="{00000000-0005-0000-0000-000048220000}"/>
    <cellStyle name="Percent 15 5" xfId="8744" xr:uid="{00000000-0005-0000-0000-000049220000}"/>
    <cellStyle name="Percent 15 6" xfId="8745" xr:uid="{00000000-0005-0000-0000-00004A220000}"/>
    <cellStyle name="Percent 16" xfId="8746" xr:uid="{00000000-0005-0000-0000-00004B220000}"/>
    <cellStyle name="Percent 16 2" xfId="8747" xr:uid="{00000000-0005-0000-0000-00004C220000}"/>
    <cellStyle name="Percent 16 2 2" xfId="8748" xr:uid="{00000000-0005-0000-0000-00004D220000}"/>
    <cellStyle name="Percent 16 3" xfId="8749" xr:uid="{00000000-0005-0000-0000-00004E220000}"/>
    <cellStyle name="Percent 16 3 2" xfId="8750" xr:uid="{00000000-0005-0000-0000-00004F220000}"/>
    <cellStyle name="Percent 16 4" xfId="8751" xr:uid="{00000000-0005-0000-0000-000050220000}"/>
    <cellStyle name="Percent 16 4 2" xfId="8752" xr:uid="{00000000-0005-0000-0000-000051220000}"/>
    <cellStyle name="Percent 17" xfId="8753" xr:uid="{00000000-0005-0000-0000-000052220000}"/>
    <cellStyle name="Percent 17 2" xfId="8754" xr:uid="{00000000-0005-0000-0000-000053220000}"/>
    <cellStyle name="Percent 17 2 2" xfId="8755" xr:uid="{00000000-0005-0000-0000-000054220000}"/>
    <cellStyle name="Percent 17 2 3" xfId="8756" xr:uid="{00000000-0005-0000-0000-000055220000}"/>
    <cellStyle name="Percent 17 3" xfId="8757" xr:uid="{00000000-0005-0000-0000-000056220000}"/>
    <cellStyle name="Percent 17 3 2" xfId="8758" xr:uid="{00000000-0005-0000-0000-000057220000}"/>
    <cellStyle name="Percent 17 4" xfId="8759" xr:uid="{00000000-0005-0000-0000-000058220000}"/>
    <cellStyle name="Percent 17 4 2" xfId="8760" xr:uid="{00000000-0005-0000-0000-000059220000}"/>
    <cellStyle name="Percent 18" xfId="8761" xr:uid="{00000000-0005-0000-0000-00005A220000}"/>
    <cellStyle name="Percent 18 2" xfId="8762" xr:uid="{00000000-0005-0000-0000-00005B220000}"/>
    <cellStyle name="Percent 18 2 2" xfId="8763" xr:uid="{00000000-0005-0000-0000-00005C220000}"/>
    <cellStyle name="Percent 18 3" xfId="8764" xr:uid="{00000000-0005-0000-0000-00005D220000}"/>
    <cellStyle name="Percent 18 3 2" xfId="8765" xr:uid="{00000000-0005-0000-0000-00005E220000}"/>
    <cellStyle name="Percent 18 4" xfId="8766" xr:uid="{00000000-0005-0000-0000-00005F220000}"/>
    <cellStyle name="Percent 18 4 2" xfId="8767" xr:uid="{00000000-0005-0000-0000-000060220000}"/>
    <cellStyle name="Percent 18 5" xfId="8768" xr:uid="{00000000-0005-0000-0000-000061220000}"/>
    <cellStyle name="Percent 19" xfId="8769" xr:uid="{00000000-0005-0000-0000-000062220000}"/>
    <cellStyle name="Percent 19 2" xfId="8770" xr:uid="{00000000-0005-0000-0000-000063220000}"/>
    <cellStyle name="Percent 19 2 2" xfId="8771" xr:uid="{00000000-0005-0000-0000-000064220000}"/>
    <cellStyle name="Percent 19 3" xfId="8772" xr:uid="{00000000-0005-0000-0000-000065220000}"/>
    <cellStyle name="Percent 19 3 2" xfId="8773" xr:uid="{00000000-0005-0000-0000-000066220000}"/>
    <cellStyle name="Percent 19 4" xfId="8774" xr:uid="{00000000-0005-0000-0000-000067220000}"/>
    <cellStyle name="Percent 19 4 2" xfId="8775" xr:uid="{00000000-0005-0000-0000-000068220000}"/>
    <cellStyle name="Percent 2" xfId="8776" xr:uid="{00000000-0005-0000-0000-000069220000}"/>
    <cellStyle name="Percent 2 2" xfId="8777" xr:uid="{00000000-0005-0000-0000-00006A220000}"/>
    <cellStyle name="Percent 2 2 2" xfId="8778" xr:uid="{00000000-0005-0000-0000-00006B220000}"/>
    <cellStyle name="Percent 2 2 2 2" xfId="8779" xr:uid="{00000000-0005-0000-0000-00006C220000}"/>
    <cellStyle name="Percent 2 2 3" xfId="8780" xr:uid="{00000000-0005-0000-0000-00006D220000}"/>
    <cellStyle name="Percent 2 2 4" xfId="8781" xr:uid="{00000000-0005-0000-0000-00006E220000}"/>
    <cellStyle name="Percent 2 2 5" xfId="9525" xr:uid="{00000000-0005-0000-0000-00006F220000}"/>
    <cellStyle name="Percent 2 3" xfId="8782" xr:uid="{00000000-0005-0000-0000-000070220000}"/>
    <cellStyle name="Percent 2 3 2" xfId="8783" xr:uid="{00000000-0005-0000-0000-000071220000}"/>
    <cellStyle name="Percent 2 3 3" xfId="8784" xr:uid="{00000000-0005-0000-0000-000072220000}"/>
    <cellStyle name="Percent 2 3 4" xfId="8785" xr:uid="{00000000-0005-0000-0000-000073220000}"/>
    <cellStyle name="Percent 2 4" xfId="8786" xr:uid="{00000000-0005-0000-0000-000074220000}"/>
    <cellStyle name="Percent 2 4 2" xfId="8787" xr:uid="{00000000-0005-0000-0000-000075220000}"/>
    <cellStyle name="Percent 2 5" xfId="8788" xr:uid="{00000000-0005-0000-0000-000076220000}"/>
    <cellStyle name="Percent 2 6" xfId="8789" xr:uid="{00000000-0005-0000-0000-000077220000}"/>
    <cellStyle name="Percent 20" xfId="8790" xr:uid="{00000000-0005-0000-0000-000078220000}"/>
    <cellStyle name="Percent 20 2" xfId="8791" xr:uid="{00000000-0005-0000-0000-000079220000}"/>
    <cellStyle name="Percent 20 2 2" xfId="8792" xr:uid="{00000000-0005-0000-0000-00007A220000}"/>
    <cellStyle name="Percent 20 2 3" xfId="8793" xr:uid="{00000000-0005-0000-0000-00007B220000}"/>
    <cellStyle name="Percent 20 2 4" xfId="8794" xr:uid="{00000000-0005-0000-0000-00007C220000}"/>
    <cellStyle name="Percent 20 3" xfId="8795" xr:uid="{00000000-0005-0000-0000-00007D220000}"/>
    <cellStyle name="Percent 20 4" xfId="8796" xr:uid="{00000000-0005-0000-0000-00007E220000}"/>
    <cellStyle name="Percent 20 5" xfId="8797" xr:uid="{00000000-0005-0000-0000-00007F220000}"/>
    <cellStyle name="Percent 21" xfId="8798" xr:uid="{00000000-0005-0000-0000-000080220000}"/>
    <cellStyle name="Percent 21 2" xfId="8799" xr:uid="{00000000-0005-0000-0000-000081220000}"/>
    <cellStyle name="Percent 21 3" xfId="8800" xr:uid="{00000000-0005-0000-0000-000082220000}"/>
    <cellStyle name="Percent 22" xfId="8801" xr:uid="{00000000-0005-0000-0000-000083220000}"/>
    <cellStyle name="Percent 22 2" xfId="8802" xr:uid="{00000000-0005-0000-0000-000084220000}"/>
    <cellStyle name="Percent 22 3" xfId="8803" xr:uid="{00000000-0005-0000-0000-000085220000}"/>
    <cellStyle name="Percent 22 3 2" xfId="8804" xr:uid="{00000000-0005-0000-0000-000086220000}"/>
    <cellStyle name="Percent 22 4" xfId="8805" xr:uid="{00000000-0005-0000-0000-000087220000}"/>
    <cellStyle name="Percent 23" xfId="8806" xr:uid="{00000000-0005-0000-0000-000088220000}"/>
    <cellStyle name="Percent 23 2" xfId="8807" xr:uid="{00000000-0005-0000-0000-000089220000}"/>
    <cellStyle name="Percent 23 3" xfId="8808" xr:uid="{00000000-0005-0000-0000-00008A220000}"/>
    <cellStyle name="Percent 23 3 2" xfId="8809" xr:uid="{00000000-0005-0000-0000-00008B220000}"/>
    <cellStyle name="Percent 23 4" xfId="8810" xr:uid="{00000000-0005-0000-0000-00008C220000}"/>
    <cellStyle name="Percent 24" xfId="8811" xr:uid="{00000000-0005-0000-0000-00008D220000}"/>
    <cellStyle name="Percent 24 2" xfId="8812" xr:uid="{00000000-0005-0000-0000-00008E220000}"/>
    <cellStyle name="Percent 24 2 2" xfId="8813" xr:uid="{00000000-0005-0000-0000-00008F220000}"/>
    <cellStyle name="Percent 24 3" xfId="8814" xr:uid="{00000000-0005-0000-0000-000090220000}"/>
    <cellStyle name="Percent 24 3 2" xfId="8815" xr:uid="{00000000-0005-0000-0000-000091220000}"/>
    <cellStyle name="Percent 24 4" xfId="8816" xr:uid="{00000000-0005-0000-0000-000092220000}"/>
    <cellStyle name="Percent 24 4 2" xfId="8817" xr:uid="{00000000-0005-0000-0000-000093220000}"/>
    <cellStyle name="Percent 24 5" xfId="8818" xr:uid="{00000000-0005-0000-0000-000094220000}"/>
    <cellStyle name="Percent 25" xfId="8819" xr:uid="{00000000-0005-0000-0000-000095220000}"/>
    <cellStyle name="Percent 25 2" xfId="8820" xr:uid="{00000000-0005-0000-0000-000096220000}"/>
    <cellStyle name="Percent 25 2 2" xfId="8821" xr:uid="{00000000-0005-0000-0000-000097220000}"/>
    <cellStyle name="Percent 25 3" xfId="8822" xr:uid="{00000000-0005-0000-0000-000098220000}"/>
    <cellStyle name="Percent 26" xfId="8823" xr:uid="{00000000-0005-0000-0000-000099220000}"/>
    <cellStyle name="Percent 26 2" xfId="8824" xr:uid="{00000000-0005-0000-0000-00009A220000}"/>
    <cellStyle name="Percent 27" xfId="8825" xr:uid="{00000000-0005-0000-0000-00009B220000}"/>
    <cellStyle name="Percent 27 2" xfId="8826" xr:uid="{00000000-0005-0000-0000-00009C220000}"/>
    <cellStyle name="Percent 28" xfId="8827" xr:uid="{00000000-0005-0000-0000-00009D220000}"/>
    <cellStyle name="Percent 28 2" xfId="8828" xr:uid="{00000000-0005-0000-0000-00009E220000}"/>
    <cellStyle name="Percent 29" xfId="8829" xr:uid="{00000000-0005-0000-0000-00009F220000}"/>
    <cellStyle name="Percent 29 2" xfId="8830" xr:uid="{00000000-0005-0000-0000-0000A0220000}"/>
    <cellStyle name="Percent 3" xfId="8831" xr:uid="{00000000-0005-0000-0000-0000A1220000}"/>
    <cellStyle name="Percent 3 2" xfId="8832" xr:uid="{00000000-0005-0000-0000-0000A2220000}"/>
    <cellStyle name="Percent 3 2 2" xfId="8833" xr:uid="{00000000-0005-0000-0000-0000A3220000}"/>
    <cellStyle name="Percent 3 2 2 2" xfId="8834" xr:uid="{00000000-0005-0000-0000-0000A4220000}"/>
    <cellStyle name="Percent 3 2 3" xfId="8835" xr:uid="{00000000-0005-0000-0000-0000A5220000}"/>
    <cellStyle name="Percent 3 2 4" xfId="9524" xr:uid="{00000000-0005-0000-0000-0000A6220000}"/>
    <cellStyle name="Percent 3 3" xfId="8836" xr:uid="{00000000-0005-0000-0000-0000A7220000}"/>
    <cellStyle name="Percent 3 3 2" xfId="8837" xr:uid="{00000000-0005-0000-0000-0000A8220000}"/>
    <cellStyle name="Percent 3 3 3" xfId="9523" xr:uid="{00000000-0005-0000-0000-0000A9220000}"/>
    <cellStyle name="Percent 3 4" xfId="8838" xr:uid="{00000000-0005-0000-0000-0000AA220000}"/>
    <cellStyle name="Percent 3 5" xfId="8839" xr:uid="{00000000-0005-0000-0000-0000AB220000}"/>
    <cellStyle name="Percent 30" xfId="8840" xr:uid="{00000000-0005-0000-0000-0000AC220000}"/>
    <cellStyle name="Percent 30 2" xfId="8841" xr:uid="{00000000-0005-0000-0000-0000AD220000}"/>
    <cellStyle name="Percent 31" xfId="8842" xr:uid="{00000000-0005-0000-0000-0000AE220000}"/>
    <cellStyle name="Percent 31 2" xfId="8843" xr:uid="{00000000-0005-0000-0000-0000AF220000}"/>
    <cellStyle name="Percent 32" xfId="8844" xr:uid="{00000000-0005-0000-0000-0000B0220000}"/>
    <cellStyle name="Percent 32 2" xfId="8845" xr:uid="{00000000-0005-0000-0000-0000B1220000}"/>
    <cellStyle name="Percent 33" xfId="8846" xr:uid="{00000000-0005-0000-0000-0000B2220000}"/>
    <cellStyle name="Percent 33 2" xfId="8847" xr:uid="{00000000-0005-0000-0000-0000B3220000}"/>
    <cellStyle name="Percent 34" xfId="8848" xr:uid="{00000000-0005-0000-0000-0000B4220000}"/>
    <cellStyle name="Percent 34 2" xfId="8849" xr:uid="{00000000-0005-0000-0000-0000B5220000}"/>
    <cellStyle name="Percent 35" xfId="8850" xr:uid="{00000000-0005-0000-0000-0000B6220000}"/>
    <cellStyle name="Percent 35 2" xfId="8851" xr:uid="{00000000-0005-0000-0000-0000B7220000}"/>
    <cellStyle name="Percent 36" xfId="8852" xr:uid="{00000000-0005-0000-0000-0000B8220000}"/>
    <cellStyle name="Percent 36 2" xfId="8853" xr:uid="{00000000-0005-0000-0000-0000B9220000}"/>
    <cellStyle name="Percent 37" xfId="8854" xr:uid="{00000000-0005-0000-0000-0000BA220000}"/>
    <cellStyle name="Percent 37 2" xfId="8855" xr:uid="{00000000-0005-0000-0000-0000BB220000}"/>
    <cellStyle name="Percent 38" xfId="8856" xr:uid="{00000000-0005-0000-0000-0000BC220000}"/>
    <cellStyle name="Percent 38 2" xfId="8857" xr:uid="{00000000-0005-0000-0000-0000BD220000}"/>
    <cellStyle name="Percent 39" xfId="8858" xr:uid="{00000000-0005-0000-0000-0000BE220000}"/>
    <cellStyle name="Percent 39 2" xfId="8859" xr:uid="{00000000-0005-0000-0000-0000BF220000}"/>
    <cellStyle name="Percent 4" xfId="8860" xr:uid="{00000000-0005-0000-0000-0000C0220000}"/>
    <cellStyle name="Percent 4 2" xfId="8861" xr:uid="{00000000-0005-0000-0000-0000C1220000}"/>
    <cellStyle name="Percent 4 2 2" xfId="8862" xr:uid="{00000000-0005-0000-0000-0000C2220000}"/>
    <cellStyle name="Percent 4 2 3" xfId="8863" xr:uid="{00000000-0005-0000-0000-0000C3220000}"/>
    <cellStyle name="Percent 4 2 3 2" xfId="8864" xr:uid="{00000000-0005-0000-0000-0000C4220000}"/>
    <cellStyle name="Percent 4 2 4" xfId="8865" xr:uid="{00000000-0005-0000-0000-0000C5220000}"/>
    <cellStyle name="Percent 4 2 5" xfId="8866" xr:uid="{00000000-0005-0000-0000-0000C6220000}"/>
    <cellStyle name="Percent 4 3" xfId="8867" xr:uid="{00000000-0005-0000-0000-0000C7220000}"/>
    <cellStyle name="Percent 4 3 2" xfId="8868" xr:uid="{00000000-0005-0000-0000-0000C8220000}"/>
    <cellStyle name="Percent 4 4" xfId="8869" xr:uid="{00000000-0005-0000-0000-0000C9220000}"/>
    <cellStyle name="Percent 4 5" xfId="8870" xr:uid="{00000000-0005-0000-0000-0000CA220000}"/>
    <cellStyle name="Percent 40" xfId="8871" xr:uid="{00000000-0005-0000-0000-0000CB220000}"/>
    <cellStyle name="Percent 40 2" xfId="8872" xr:uid="{00000000-0005-0000-0000-0000CC220000}"/>
    <cellStyle name="Percent 41" xfId="8873" xr:uid="{00000000-0005-0000-0000-0000CD220000}"/>
    <cellStyle name="Percent 41 2" xfId="8874" xr:uid="{00000000-0005-0000-0000-0000CE220000}"/>
    <cellStyle name="Percent 42" xfId="8875" xr:uid="{00000000-0005-0000-0000-0000CF220000}"/>
    <cellStyle name="Percent 42 2" xfId="8876" xr:uid="{00000000-0005-0000-0000-0000D0220000}"/>
    <cellStyle name="Percent 43" xfId="8877" xr:uid="{00000000-0005-0000-0000-0000D1220000}"/>
    <cellStyle name="Percent 43 2" xfId="8878" xr:uid="{00000000-0005-0000-0000-0000D2220000}"/>
    <cellStyle name="Percent 44" xfId="8879" xr:uid="{00000000-0005-0000-0000-0000D3220000}"/>
    <cellStyle name="Percent 44 2" xfId="8880" xr:uid="{00000000-0005-0000-0000-0000D4220000}"/>
    <cellStyle name="Percent 45" xfId="8881" xr:uid="{00000000-0005-0000-0000-0000D5220000}"/>
    <cellStyle name="Percent 45 2" xfId="8882" xr:uid="{00000000-0005-0000-0000-0000D6220000}"/>
    <cellStyle name="Percent 46" xfId="8883" xr:uid="{00000000-0005-0000-0000-0000D7220000}"/>
    <cellStyle name="Percent 47" xfId="8884" xr:uid="{00000000-0005-0000-0000-0000D8220000}"/>
    <cellStyle name="Percent 48" xfId="8885" xr:uid="{00000000-0005-0000-0000-0000D9220000}"/>
    <cellStyle name="Percent 49" xfId="8886" xr:uid="{00000000-0005-0000-0000-0000DA220000}"/>
    <cellStyle name="Percent 5" xfId="8887" xr:uid="{00000000-0005-0000-0000-0000DB220000}"/>
    <cellStyle name="Percent 5 2" xfId="8888" xr:uid="{00000000-0005-0000-0000-0000DC220000}"/>
    <cellStyle name="Percent 5 2 2" xfId="8889" xr:uid="{00000000-0005-0000-0000-0000DD220000}"/>
    <cellStyle name="Percent 5 3" xfId="8890" xr:uid="{00000000-0005-0000-0000-0000DE220000}"/>
    <cellStyle name="Percent 5 4" xfId="8891" xr:uid="{00000000-0005-0000-0000-0000DF220000}"/>
    <cellStyle name="Percent 5 5" xfId="9522" xr:uid="{00000000-0005-0000-0000-0000E0220000}"/>
    <cellStyle name="Percent 50" xfId="8892" xr:uid="{00000000-0005-0000-0000-0000E1220000}"/>
    <cellStyle name="Percent 51" xfId="8893" xr:uid="{00000000-0005-0000-0000-0000E2220000}"/>
    <cellStyle name="Percent 52" xfId="8894" xr:uid="{00000000-0005-0000-0000-0000E3220000}"/>
    <cellStyle name="Percent 53" xfId="8895" xr:uid="{00000000-0005-0000-0000-0000E4220000}"/>
    <cellStyle name="Percent 54" xfId="8896" xr:uid="{00000000-0005-0000-0000-0000E5220000}"/>
    <cellStyle name="Percent 55" xfId="8897" xr:uid="{00000000-0005-0000-0000-0000E6220000}"/>
    <cellStyle name="Percent 56" xfId="8898" xr:uid="{00000000-0005-0000-0000-0000E7220000}"/>
    <cellStyle name="Percent 57" xfId="8899" xr:uid="{00000000-0005-0000-0000-0000E8220000}"/>
    <cellStyle name="Percent 58" xfId="8900" xr:uid="{00000000-0005-0000-0000-0000E9220000}"/>
    <cellStyle name="Percent 59" xfId="8901" xr:uid="{00000000-0005-0000-0000-0000EA220000}"/>
    <cellStyle name="Percent 6" xfId="8902" xr:uid="{00000000-0005-0000-0000-0000EB220000}"/>
    <cellStyle name="Percent 6 2" xfId="8903" xr:uid="{00000000-0005-0000-0000-0000EC220000}"/>
    <cellStyle name="Percent 6 2 2" xfId="8904" xr:uid="{00000000-0005-0000-0000-0000ED220000}"/>
    <cellStyle name="Percent 6 2 2 2" xfId="8905" xr:uid="{00000000-0005-0000-0000-0000EE220000}"/>
    <cellStyle name="Percent 6 2 3" xfId="8906" xr:uid="{00000000-0005-0000-0000-0000EF220000}"/>
    <cellStyle name="Percent 6 3" xfId="8907" xr:uid="{00000000-0005-0000-0000-0000F0220000}"/>
    <cellStyle name="Percent 6 3 2" xfId="8908" xr:uid="{00000000-0005-0000-0000-0000F1220000}"/>
    <cellStyle name="Percent 6 4" xfId="8909" xr:uid="{00000000-0005-0000-0000-0000F2220000}"/>
    <cellStyle name="Percent 6 5" xfId="8910" xr:uid="{00000000-0005-0000-0000-0000F3220000}"/>
    <cellStyle name="Percent 60" xfId="8911" xr:uid="{00000000-0005-0000-0000-0000F4220000}"/>
    <cellStyle name="Percent 61" xfId="8912" xr:uid="{00000000-0005-0000-0000-0000F5220000}"/>
    <cellStyle name="Percent 62" xfId="8913" xr:uid="{00000000-0005-0000-0000-0000F6220000}"/>
    <cellStyle name="Percent 63" xfId="8914" xr:uid="{00000000-0005-0000-0000-0000F7220000}"/>
    <cellStyle name="Percent 64" xfId="8915" xr:uid="{00000000-0005-0000-0000-0000F8220000}"/>
    <cellStyle name="Percent 65" xfId="8916" xr:uid="{00000000-0005-0000-0000-0000F9220000}"/>
    <cellStyle name="Percent 66" xfId="8917" xr:uid="{00000000-0005-0000-0000-0000FA220000}"/>
    <cellStyle name="Percent 67" xfId="8918" xr:uid="{00000000-0005-0000-0000-0000FB220000}"/>
    <cellStyle name="Percent 68" xfId="8919" xr:uid="{00000000-0005-0000-0000-0000FC220000}"/>
    <cellStyle name="Percent 69" xfId="8920" xr:uid="{00000000-0005-0000-0000-0000FD220000}"/>
    <cellStyle name="Percent 7" xfId="8921" xr:uid="{00000000-0005-0000-0000-0000FE220000}"/>
    <cellStyle name="Percent 7 2" xfId="8922" xr:uid="{00000000-0005-0000-0000-0000FF220000}"/>
    <cellStyle name="Percent 7 2 2" xfId="8923" xr:uid="{00000000-0005-0000-0000-000000230000}"/>
    <cellStyle name="Percent 7 2 3" xfId="8924" xr:uid="{00000000-0005-0000-0000-000001230000}"/>
    <cellStyle name="Percent 7 3" xfId="8925" xr:uid="{00000000-0005-0000-0000-000002230000}"/>
    <cellStyle name="Percent 7 3 2" xfId="8926" xr:uid="{00000000-0005-0000-0000-000003230000}"/>
    <cellStyle name="Percent 7 3 3" xfId="8927" xr:uid="{00000000-0005-0000-0000-000004230000}"/>
    <cellStyle name="Percent 7 3 4" xfId="8928" xr:uid="{00000000-0005-0000-0000-000005230000}"/>
    <cellStyle name="Percent 7 4" xfId="8929" xr:uid="{00000000-0005-0000-0000-000006230000}"/>
    <cellStyle name="Percent 7 4 2" xfId="8930" xr:uid="{00000000-0005-0000-0000-000007230000}"/>
    <cellStyle name="Percent 7 5" xfId="8931" xr:uid="{00000000-0005-0000-0000-000008230000}"/>
    <cellStyle name="Percent 7 5 2" xfId="8932" xr:uid="{00000000-0005-0000-0000-000009230000}"/>
    <cellStyle name="Percent 7 6" xfId="8933" xr:uid="{00000000-0005-0000-0000-00000A230000}"/>
    <cellStyle name="Percent 7 7" xfId="8934" xr:uid="{00000000-0005-0000-0000-00000B230000}"/>
    <cellStyle name="Percent 7 8" xfId="8935" xr:uid="{00000000-0005-0000-0000-00000C230000}"/>
    <cellStyle name="Percent 7 9" xfId="8936" xr:uid="{00000000-0005-0000-0000-00000D230000}"/>
    <cellStyle name="Percent 70" xfId="8937" xr:uid="{00000000-0005-0000-0000-00000E230000}"/>
    <cellStyle name="Percent 71" xfId="8938" xr:uid="{00000000-0005-0000-0000-00000F230000}"/>
    <cellStyle name="Percent 72" xfId="8939" xr:uid="{00000000-0005-0000-0000-000010230000}"/>
    <cellStyle name="Percent 73" xfId="8940" xr:uid="{00000000-0005-0000-0000-000011230000}"/>
    <cellStyle name="Percent 74" xfId="8941" xr:uid="{00000000-0005-0000-0000-000012230000}"/>
    <cellStyle name="Percent 75" xfId="8942" xr:uid="{00000000-0005-0000-0000-000013230000}"/>
    <cellStyle name="Percent 76" xfId="8943" xr:uid="{00000000-0005-0000-0000-000014230000}"/>
    <cellStyle name="Percent 77" xfId="8944" xr:uid="{00000000-0005-0000-0000-000015230000}"/>
    <cellStyle name="Percent 78" xfId="8945" xr:uid="{00000000-0005-0000-0000-000016230000}"/>
    <cellStyle name="Percent 79" xfId="8946" xr:uid="{00000000-0005-0000-0000-000017230000}"/>
    <cellStyle name="Percent 8" xfId="8947" xr:uid="{00000000-0005-0000-0000-000018230000}"/>
    <cellStyle name="Percent 8 2" xfId="8948" xr:uid="{00000000-0005-0000-0000-000019230000}"/>
    <cellStyle name="Percent 8 2 2" xfId="8949" xr:uid="{00000000-0005-0000-0000-00001A230000}"/>
    <cellStyle name="Percent 8 3" xfId="8950" xr:uid="{00000000-0005-0000-0000-00001B230000}"/>
    <cellStyle name="Percent 80" xfId="8951" xr:uid="{00000000-0005-0000-0000-00001C230000}"/>
    <cellStyle name="Percent 81" xfId="8952" xr:uid="{00000000-0005-0000-0000-00001D230000}"/>
    <cellStyle name="Percent 82" xfId="8953" xr:uid="{00000000-0005-0000-0000-00001E230000}"/>
    <cellStyle name="Percent 83" xfId="8954" xr:uid="{00000000-0005-0000-0000-00001F230000}"/>
    <cellStyle name="Percent 84" xfId="8955" xr:uid="{00000000-0005-0000-0000-000020230000}"/>
    <cellStyle name="Percent 85" xfId="8956" xr:uid="{00000000-0005-0000-0000-000021230000}"/>
    <cellStyle name="Percent 86" xfId="8957" xr:uid="{00000000-0005-0000-0000-000022230000}"/>
    <cellStyle name="Percent 87" xfId="8958" xr:uid="{00000000-0005-0000-0000-000023230000}"/>
    <cellStyle name="Percent 88" xfId="8959" xr:uid="{00000000-0005-0000-0000-000024230000}"/>
    <cellStyle name="Percent 89" xfId="8960" xr:uid="{00000000-0005-0000-0000-000025230000}"/>
    <cellStyle name="Percent 9" xfId="8961" xr:uid="{00000000-0005-0000-0000-000026230000}"/>
    <cellStyle name="Percent 9 2" xfId="8962" xr:uid="{00000000-0005-0000-0000-000027230000}"/>
    <cellStyle name="Percent 9 2 2" xfId="8963" xr:uid="{00000000-0005-0000-0000-000028230000}"/>
    <cellStyle name="Percent 9 2 3" xfId="8964" xr:uid="{00000000-0005-0000-0000-000029230000}"/>
    <cellStyle name="Percent 9 3" xfId="8965" xr:uid="{00000000-0005-0000-0000-00002A230000}"/>
    <cellStyle name="Percent 9 4" xfId="8966" xr:uid="{00000000-0005-0000-0000-00002B230000}"/>
    <cellStyle name="Percent 90" xfId="8967" xr:uid="{00000000-0005-0000-0000-00002C230000}"/>
    <cellStyle name="Percent 91" xfId="8968" xr:uid="{00000000-0005-0000-0000-00002D230000}"/>
    <cellStyle name="Percent 92" xfId="8969" xr:uid="{00000000-0005-0000-0000-00002E230000}"/>
    <cellStyle name="Percent 93" xfId="8970" xr:uid="{00000000-0005-0000-0000-00002F230000}"/>
    <cellStyle name="Percent 94" xfId="8971" xr:uid="{00000000-0005-0000-0000-000030230000}"/>
    <cellStyle name="Percent 95" xfId="8972" xr:uid="{00000000-0005-0000-0000-000031230000}"/>
    <cellStyle name="Percent 96" xfId="8973" xr:uid="{00000000-0005-0000-0000-000032230000}"/>
    <cellStyle name="Percent 97" xfId="8974" xr:uid="{00000000-0005-0000-0000-000033230000}"/>
    <cellStyle name="Percent 98" xfId="8975" xr:uid="{00000000-0005-0000-0000-000034230000}"/>
    <cellStyle name="Percent 99" xfId="8976" xr:uid="{00000000-0005-0000-0000-000035230000}"/>
    <cellStyle name="Processing" xfId="8977" xr:uid="{00000000-0005-0000-0000-000036230000}"/>
    <cellStyle name="Processing 2" xfId="8978" xr:uid="{00000000-0005-0000-0000-000037230000}"/>
    <cellStyle name="Processing 2 2" xfId="8979" xr:uid="{00000000-0005-0000-0000-000038230000}"/>
    <cellStyle name="Processing 3" xfId="8980" xr:uid="{00000000-0005-0000-0000-000039230000}"/>
    <cellStyle name="Processing 4" xfId="8981" xr:uid="{00000000-0005-0000-0000-00003A230000}"/>
    <cellStyle name="Processing_AURORA Total New" xfId="8982" xr:uid="{00000000-0005-0000-0000-00003B230000}"/>
    <cellStyle name="PS_Comma" xfId="9521" xr:uid="{00000000-0005-0000-0000-00003C230000}"/>
    <cellStyle name="PSChar" xfId="8983" xr:uid="{00000000-0005-0000-0000-00003D230000}"/>
    <cellStyle name="PSChar 2" xfId="8984" xr:uid="{00000000-0005-0000-0000-00003E230000}"/>
    <cellStyle name="PSChar 2 2" xfId="8985" xr:uid="{00000000-0005-0000-0000-00003F230000}"/>
    <cellStyle name="PSChar 3" xfId="8986" xr:uid="{00000000-0005-0000-0000-000040230000}"/>
    <cellStyle name="PSChar 4" xfId="8987" xr:uid="{00000000-0005-0000-0000-000041230000}"/>
    <cellStyle name="PSDate" xfId="8988" xr:uid="{00000000-0005-0000-0000-000042230000}"/>
    <cellStyle name="PSDate 2" xfId="8989" xr:uid="{00000000-0005-0000-0000-000043230000}"/>
    <cellStyle name="PSDate 2 2" xfId="8990" xr:uid="{00000000-0005-0000-0000-000044230000}"/>
    <cellStyle name="PSDate 3" xfId="8991" xr:uid="{00000000-0005-0000-0000-000045230000}"/>
    <cellStyle name="PSDate 4" xfId="8992" xr:uid="{00000000-0005-0000-0000-000046230000}"/>
    <cellStyle name="PSDec" xfId="8993" xr:uid="{00000000-0005-0000-0000-000047230000}"/>
    <cellStyle name="PSDec 2" xfId="8994" xr:uid="{00000000-0005-0000-0000-000048230000}"/>
    <cellStyle name="PSDec 2 2" xfId="8995" xr:uid="{00000000-0005-0000-0000-000049230000}"/>
    <cellStyle name="PSDec 3" xfId="8996" xr:uid="{00000000-0005-0000-0000-00004A230000}"/>
    <cellStyle name="PSDec 4" xfId="8997" xr:uid="{00000000-0005-0000-0000-00004B230000}"/>
    <cellStyle name="PSHeading" xfId="8998" xr:uid="{00000000-0005-0000-0000-00004C230000}"/>
    <cellStyle name="PSHeading 2" xfId="8999" xr:uid="{00000000-0005-0000-0000-00004D230000}"/>
    <cellStyle name="PSHeading 2 2" xfId="9000" xr:uid="{00000000-0005-0000-0000-00004E230000}"/>
    <cellStyle name="PSHeading 3" xfId="9001" xr:uid="{00000000-0005-0000-0000-00004F230000}"/>
    <cellStyle name="PSHeading 4" xfId="9002" xr:uid="{00000000-0005-0000-0000-000050230000}"/>
    <cellStyle name="PSInt" xfId="9003" xr:uid="{00000000-0005-0000-0000-000051230000}"/>
    <cellStyle name="PSInt 2" xfId="9004" xr:uid="{00000000-0005-0000-0000-000052230000}"/>
    <cellStyle name="PSInt 2 2" xfId="9005" xr:uid="{00000000-0005-0000-0000-000053230000}"/>
    <cellStyle name="PSInt 3" xfId="9006" xr:uid="{00000000-0005-0000-0000-000054230000}"/>
    <cellStyle name="PSInt 4" xfId="9007" xr:uid="{00000000-0005-0000-0000-000055230000}"/>
    <cellStyle name="PSSpacer" xfId="9008" xr:uid="{00000000-0005-0000-0000-000056230000}"/>
    <cellStyle name="PSSpacer 2" xfId="9009" xr:uid="{00000000-0005-0000-0000-000057230000}"/>
    <cellStyle name="PSSpacer 2 2" xfId="9010" xr:uid="{00000000-0005-0000-0000-000058230000}"/>
    <cellStyle name="PSSpacer 3" xfId="9011" xr:uid="{00000000-0005-0000-0000-000059230000}"/>
    <cellStyle name="PSSpacer 4" xfId="9012" xr:uid="{00000000-0005-0000-0000-00005A230000}"/>
    <cellStyle name="purple - Style8" xfId="9013" xr:uid="{00000000-0005-0000-0000-00005B230000}"/>
    <cellStyle name="purple - Style8 2" xfId="9014" xr:uid="{00000000-0005-0000-0000-00005C230000}"/>
    <cellStyle name="purple - Style8 2 2" xfId="9015" xr:uid="{00000000-0005-0000-0000-00005D230000}"/>
    <cellStyle name="purple - Style8 3" xfId="9016" xr:uid="{00000000-0005-0000-0000-00005E230000}"/>
    <cellStyle name="purple - Style8_ACCOUNTS" xfId="9017" xr:uid="{00000000-0005-0000-0000-00005F230000}"/>
    <cellStyle name="RED" xfId="9018" xr:uid="{00000000-0005-0000-0000-000060230000}"/>
    <cellStyle name="Red - Style7" xfId="9019" xr:uid="{00000000-0005-0000-0000-000061230000}"/>
    <cellStyle name="Red - Style7 2" xfId="9020" xr:uid="{00000000-0005-0000-0000-000062230000}"/>
    <cellStyle name="Red - Style7 2 2" xfId="9021" xr:uid="{00000000-0005-0000-0000-000063230000}"/>
    <cellStyle name="Red - Style7 3" xfId="9022" xr:uid="{00000000-0005-0000-0000-000064230000}"/>
    <cellStyle name="Red - Style7_ACCOUNTS" xfId="9023" xr:uid="{00000000-0005-0000-0000-000065230000}"/>
    <cellStyle name="RED 10" xfId="9024" xr:uid="{00000000-0005-0000-0000-000066230000}"/>
    <cellStyle name="RED 11" xfId="9025" xr:uid="{00000000-0005-0000-0000-000067230000}"/>
    <cellStyle name="RED 12" xfId="9026" xr:uid="{00000000-0005-0000-0000-000068230000}"/>
    <cellStyle name="RED 13" xfId="9027" xr:uid="{00000000-0005-0000-0000-000069230000}"/>
    <cellStyle name="RED 14" xfId="9028" xr:uid="{00000000-0005-0000-0000-00006A230000}"/>
    <cellStyle name="RED 15" xfId="9029" xr:uid="{00000000-0005-0000-0000-00006B230000}"/>
    <cellStyle name="RED 16" xfId="9030" xr:uid="{00000000-0005-0000-0000-00006C230000}"/>
    <cellStyle name="RED 17" xfId="9031" xr:uid="{00000000-0005-0000-0000-00006D230000}"/>
    <cellStyle name="RED 18" xfId="9032" xr:uid="{00000000-0005-0000-0000-00006E230000}"/>
    <cellStyle name="RED 19" xfId="9033" xr:uid="{00000000-0005-0000-0000-00006F230000}"/>
    <cellStyle name="RED 2" xfId="9034" xr:uid="{00000000-0005-0000-0000-000070230000}"/>
    <cellStyle name="RED 2 2" xfId="9035" xr:uid="{00000000-0005-0000-0000-000071230000}"/>
    <cellStyle name="RED 20" xfId="9036" xr:uid="{00000000-0005-0000-0000-000072230000}"/>
    <cellStyle name="RED 21" xfId="9037" xr:uid="{00000000-0005-0000-0000-000073230000}"/>
    <cellStyle name="RED 22" xfId="9038" xr:uid="{00000000-0005-0000-0000-000074230000}"/>
    <cellStyle name="RED 23" xfId="9039" xr:uid="{00000000-0005-0000-0000-000075230000}"/>
    <cellStyle name="RED 24" xfId="9040" xr:uid="{00000000-0005-0000-0000-000076230000}"/>
    <cellStyle name="RED 3" xfId="9041" xr:uid="{00000000-0005-0000-0000-000077230000}"/>
    <cellStyle name="RED 4" xfId="9042" xr:uid="{00000000-0005-0000-0000-000078230000}"/>
    <cellStyle name="RED 5" xfId="9043" xr:uid="{00000000-0005-0000-0000-000079230000}"/>
    <cellStyle name="RED 6" xfId="9044" xr:uid="{00000000-0005-0000-0000-00007A230000}"/>
    <cellStyle name="RED 7" xfId="9045" xr:uid="{00000000-0005-0000-0000-00007B230000}"/>
    <cellStyle name="RED 8" xfId="9046" xr:uid="{00000000-0005-0000-0000-00007C230000}"/>
    <cellStyle name="RED 9" xfId="9047" xr:uid="{00000000-0005-0000-0000-00007D230000}"/>
    <cellStyle name="RED_04 07E Wild Horse Wind Expansion (C) (2)" xfId="9048" xr:uid="{00000000-0005-0000-0000-00007E230000}"/>
    <cellStyle name="Report" xfId="9049" xr:uid="{00000000-0005-0000-0000-00007F230000}"/>
    <cellStyle name="Report - Style5" xfId="9050" xr:uid="{00000000-0005-0000-0000-000080230000}"/>
    <cellStyle name="Report - Style6" xfId="9051" xr:uid="{00000000-0005-0000-0000-000081230000}"/>
    <cellStyle name="Report - Style7" xfId="9052" xr:uid="{00000000-0005-0000-0000-000082230000}"/>
    <cellStyle name="Report - Style8" xfId="9053" xr:uid="{00000000-0005-0000-0000-000083230000}"/>
    <cellStyle name="Report 2" xfId="9054" xr:uid="{00000000-0005-0000-0000-000084230000}"/>
    <cellStyle name="Report 2 2" xfId="9055" xr:uid="{00000000-0005-0000-0000-000085230000}"/>
    <cellStyle name="Report 3" xfId="9056" xr:uid="{00000000-0005-0000-0000-000086230000}"/>
    <cellStyle name="Report 4" xfId="9057" xr:uid="{00000000-0005-0000-0000-000087230000}"/>
    <cellStyle name="Report 5" xfId="9058" xr:uid="{00000000-0005-0000-0000-000088230000}"/>
    <cellStyle name="Report 6" xfId="9059" xr:uid="{00000000-0005-0000-0000-000089230000}"/>
    <cellStyle name="Report Bar" xfId="9060" xr:uid="{00000000-0005-0000-0000-00008A230000}"/>
    <cellStyle name="Report Bar 2" xfId="9061" xr:uid="{00000000-0005-0000-0000-00008B230000}"/>
    <cellStyle name="Report Bar 2 2" xfId="9062" xr:uid="{00000000-0005-0000-0000-00008C230000}"/>
    <cellStyle name="Report Bar 3" xfId="9063" xr:uid="{00000000-0005-0000-0000-00008D230000}"/>
    <cellStyle name="Report Bar 4" xfId="9064" xr:uid="{00000000-0005-0000-0000-00008E230000}"/>
    <cellStyle name="Report Bar 5" xfId="9065" xr:uid="{00000000-0005-0000-0000-00008F230000}"/>
    <cellStyle name="Report Bar_AURORA Total New" xfId="9066" xr:uid="{00000000-0005-0000-0000-000090230000}"/>
    <cellStyle name="Report Heading" xfId="9067" xr:uid="{00000000-0005-0000-0000-000091230000}"/>
    <cellStyle name="Report Heading 2" xfId="9068" xr:uid="{00000000-0005-0000-0000-000092230000}"/>
    <cellStyle name="Report Heading 3" xfId="9069" xr:uid="{00000000-0005-0000-0000-000093230000}"/>
    <cellStyle name="Report Heading 3 2" xfId="9505" xr:uid="{00000000-0005-0000-0000-000094230000}"/>
    <cellStyle name="Report Heading_Electric Rev Req Model (2009 GRC) Rebuttal" xfId="9070" xr:uid="{00000000-0005-0000-0000-000095230000}"/>
    <cellStyle name="Report Percent" xfId="9071" xr:uid="{00000000-0005-0000-0000-000096230000}"/>
    <cellStyle name="Report Percent 2" xfId="9072" xr:uid="{00000000-0005-0000-0000-000097230000}"/>
    <cellStyle name="Report Percent 2 2" xfId="9073" xr:uid="{00000000-0005-0000-0000-000098230000}"/>
    <cellStyle name="Report Percent 2 2 2" xfId="9074" xr:uid="{00000000-0005-0000-0000-000099230000}"/>
    <cellStyle name="Report Percent 2 3" xfId="9075" xr:uid="{00000000-0005-0000-0000-00009A230000}"/>
    <cellStyle name="Report Percent 3" xfId="9076" xr:uid="{00000000-0005-0000-0000-00009B230000}"/>
    <cellStyle name="Report Percent 3 2" xfId="9077" xr:uid="{00000000-0005-0000-0000-00009C230000}"/>
    <cellStyle name="Report Percent 3 2 2" xfId="9078" xr:uid="{00000000-0005-0000-0000-00009D230000}"/>
    <cellStyle name="Report Percent 3 3" xfId="9079" xr:uid="{00000000-0005-0000-0000-00009E230000}"/>
    <cellStyle name="Report Percent 3 3 2" xfId="9080" xr:uid="{00000000-0005-0000-0000-00009F230000}"/>
    <cellStyle name="Report Percent 3 4" xfId="9081" xr:uid="{00000000-0005-0000-0000-0000A0230000}"/>
    <cellStyle name="Report Percent 3 4 2" xfId="9082" xr:uid="{00000000-0005-0000-0000-0000A1230000}"/>
    <cellStyle name="Report Percent 4" xfId="9083" xr:uid="{00000000-0005-0000-0000-0000A2230000}"/>
    <cellStyle name="Report Percent 4 2" xfId="9084" xr:uid="{00000000-0005-0000-0000-0000A3230000}"/>
    <cellStyle name="Report Percent 5" xfId="9085" xr:uid="{00000000-0005-0000-0000-0000A4230000}"/>
    <cellStyle name="Report Percent 6" xfId="9086" xr:uid="{00000000-0005-0000-0000-0000A5230000}"/>
    <cellStyle name="Report Percent 7" xfId="9087" xr:uid="{00000000-0005-0000-0000-0000A6230000}"/>
    <cellStyle name="Report Percent_ACCOUNTS" xfId="9088" xr:uid="{00000000-0005-0000-0000-0000A7230000}"/>
    <cellStyle name="Report Unit Cost" xfId="9089" xr:uid="{00000000-0005-0000-0000-0000A8230000}"/>
    <cellStyle name="Report Unit Cost 2" xfId="9090" xr:uid="{00000000-0005-0000-0000-0000A9230000}"/>
    <cellStyle name="Report Unit Cost 2 2" xfId="9091" xr:uid="{00000000-0005-0000-0000-0000AA230000}"/>
    <cellStyle name="Report Unit Cost 2 2 2" xfId="9092" xr:uid="{00000000-0005-0000-0000-0000AB230000}"/>
    <cellStyle name="Report Unit Cost 2 3" xfId="9093" xr:uid="{00000000-0005-0000-0000-0000AC230000}"/>
    <cellStyle name="Report Unit Cost 3" xfId="9094" xr:uid="{00000000-0005-0000-0000-0000AD230000}"/>
    <cellStyle name="Report Unit Cost 3 2" xfId="9095" xr:uid="{00000000-0005-0000-0000-0000AE230000}"/>
    <cellStyle name="Report Unit Cost 3 2 2" xfId="9096" xr:uid="{00000000-0005-0000-0000-0000AF230000}"/>
    <cellStyle name="Report Unit Cost 3 3" xfId="9097" xr:uid="{00000000-0005-0000-0000-0000B0230000}"/>
    <cellStyle name="Report Unit Cost 3 3 2" xfId="9098" xr:uid="{00000000-0005-0000-0000-0000B1230000}"/>
    <cellStyle name="Report Unit Cost 3 4" xfId="9099" xr:uid="{00000000-0005-0000-0000-0000B2230000}"/>
    <cellStyle name="Report Unit Cost 3 4 2" xfId="9100" xr:uid="{00000000-0005-0000-0000-0000B3230000}"/>
    <cellStyle name="Report Unit Cost 4" xfId="9101" xr:uid="{00000000-0005-0000-0000-0000B4230000}"/>
    <cellStyle name="Report Unit Cost 4 2" xfId="9102" xr:uid="{00000000-0005-0000-0000-0000B5230000}"/>
    <cellStyle name="Report Unit Cost 5" xfId="9103" xr:uid="{00000000-0005-0000-0000-0000B6230000}"/>
    <cellStyle name="Report Unit Cost 6" xfId="9104" xr:uid="{00000000-0005-0000-0000-0000B7230000}"/>
    <cellStyle name="Report Unit Cost 7" xfId="9105" xr:uid="{00000000-0005-0000-0000-0000B8230000}"/>
    <cellStyle name="Report Unit Cost_ACCOUNTS" xfId="9106" xr:uid="{00000000-0005-0000-0000-0000B9230000}"/>
    <cellStyle name="Report_Adj Bench DR 3 for Initial Briefs (Electric)" xfId="9107" xr:uid="{00000000-0005-0000-0000-0000BA230000}"/>
    <cellStyle name="Reports" xfId="9108" xr:uid="{00000000-0005-0000-0000-0000BB230000}"/>
    <cellStyle name="Reports 2" xfId="9109" xr:uid="{00000000-0005-0000-0000-0000BC230000}"/>
    <cellStyle name="Reports 3" xfId="9110" xr:uid="{00000000-0005-0000-0000-0000BD230000}"/>
    <cellStyle name="Reports Total" xfId="9111" xr:uid="{00000000-0005-0000-0000-0000BE230000}"/>
    <cellStyle name="Reports Total 2" xfId="9112" xr:uid="{00000000-0005-0000-0000-0000BF230000}"/>
    <cellStyle name="Reports Total 2 2" xfId="9113" xr:uid="{00000000-0005-0000-0000-0000C0230000}"/>
    <cellStyle name="Reports Total 3" xfId="9114" xr:uid="{00000000-0005-0000-0000-0000C1230000}"/>
    <cellStyle name="Reports Total 4" xfId="9115" xr:uid="{00000000-0005-0000-0000-0000C2230000}"/>
    <cellStyle name="Reports Total 5" xfId="9116" xr:uid="{00000000-0005-0000-0000-0000C3230000}"/>
    <cellStyle name="Reports Total_AURORA Total New" xfId="9117" xr:uid="{00000000-0005-0000-0000-0000C4230000}"/>
    <cellStyle name="Reports Unit Cost Total" xfId="9118" xr:uid="{00000000-0005-0000-0000-0000C5230000}"/>
    <cellStyle name="Reports Unit Cost Total 2" xfId="9119" xr:uid="{00000000-0005-0000-0000-0000C6230000}"/>
    <cellStyle name="Reports Unit Cost Total 3" xfId="9120" xr:uid="{00000000-0005-0000-0000-0000C7230000}"/>
    <cellStyle name="Reports_14.21G &amp; 16.28E Incentive Pay" xfId="9121" xr:uid="{00000000-0005-0000-0000-0000C8230000}"/>
    <cellStyle name="RevList" xfId="9122" xr:uid="{00000000-0005-0000-0000-0000C9230000}"/>
    <cellStyle name="RevList 2" xfId="9123" xr:uid="{00000000-0005-0000-0000-0000CA230000}"/>
    <cellStyle name="round100" xfId="9124" xr:uid="{00000000-0005-0000-0000-0000CB230000}"/>
    <cellStyle name="round100 2" xfId="9125" xr:uid="{00000000-0005-0000-0000-0000CC230000}"/>
    <cellStyle name="round100 2 2" xfId="9126" xr:uid="{00000000-0005-0000-0000-0000CD230000}"/>
    <cellStyle name="round100 2 2 2" xfId="9127" xr:uid="{00000000-0005-0000-0000-0000CE230000}"/>
    <cellStyle name="round100 2 3" xfId="9128" xr:uid="{00000000-0005-0000-0000-0000CF230000}"/>
    <cellStyle name="round100 3" xfId="9129" xr:uid="{00000000-0005-0000-0000-0000D0230000}"/>
    <cellStyle name="round100 3 2" xfId="9130" xr:uid="{00000000-0005-0000-0000-0000D1230000}"/>
    <cellStyle name="round100 3 2 2" xfId="9131" xr:uid="{00000000-0005-0000-0000-0000D2230000}"/>
    <cellStyle name="round100 3 3" xfId="9132" xr:uid="{00000000-0005-0000-0000-0000D3230000}"/>
    <cellStyle name="round100 3 3 2" xfId="9133" xr:uid="{00000000-0005-0000-0000-0000D4230000}"/>
    <cellStyle name="round100 3 4" xfId="9134" xr:uid="{00000000-0005-0000-0000-0000D5230000}"/>
    <cellStyle name="round100 3 4 2" xfId="9135" xr:uid="{00000000-0005-0000-0000-0000D6230000}"/>
    <cellStyle name="round100 4" xfId="9136" xr:uid="{00000000-0005-0000-0000-0000D7230000}"/>
    <cellStyle name="round100 4 2" xfId="9137" xr:uid="{00000000-0005-0000-0000-0000D8230000}"/>
    <cellStyle name="round100 5" xfId="9138" xr:uid="{00000000-0005-0000-0000-0000D9230000}"/>
    <cellStyle name="round100 6" xfId="9139" xr:uid="{00000000-0005-0000-0000-0000DA230000}"/>
    <cellStyle name="round100 7" xfId="9140" xr:uid="{00000000-0005-0000-0000-0000DB230000}"/>
    <cellStyle name="SAPBEXaggData" xfId="9141" xr:uid="{00000000-0005-0000-0000-0000DC230000}"/>
    <cellStyle name="SAPBEXaggData 2" xfId="9142" xr:uid="{00000000-0005-0000-0000-0000DD230000}"/>
    <cellStyle name="SAPBEXaggData 3" xfId="9143" xr:uid="{00000000-0005-0000-0000-0000DE230000}"/>
    <cellStyle name="SAPBEXaggDataEmph" xfId="9144" xr:uid="{00000000-0005-0000-0000-0000DF230000}"/>
    <cellStyle name="SAPBEXaggDataEmph 2" xfId="9145" xr:uid="{00000000-0005-0000-0000-0000E0230000}"/>
    <cellStyle name="SAPBEXaggDataEmph 3" xfId="9146" xr:uid="{00000000-0005-0000-0000-0000E1230000}"/>
    <cellStyle name="SAPBEXaggItem" xfId="9147" xr:uid="{00000000-0005-0000-0000-0000E2230000}"/>
    <cellStyle name="SAPBEXaggItem 2" xfId="9148" xr:uid="{00000000-0005-0000-0000-0000E3230000}"/>
    <cellStyle name="SAPBEXaggItem 3" xfId="9149" xr:uid="{00000000-0005-0000-0000-0000E4230000}"/>
    <cellStyle name="SAPBEXaggItemX" xfId="9150" xr:uid="{00000000-0005-0000-0000-0000E5230000}"/>
    <cellStyle name="SAPBEXaggItemX 2" xfId="9151" xr:uid="{00000000-0005-0000-0000-0000E6230000}"/>
    <cellStyle name="SAPBEXaggItemX 3" xfId="9152" xr:uid="{00000000-0005-0000-0000-0000E7230000}"/>
    <cellStyle name="SAPBEXchaText" xfId="9153" xr:uid="{00000000-0005-0000-0000-0000E8230000}"/>
    <cellStyle name="SAPBEXchaText 2" xfId="9154" xr:uid="{00000000-0005-0000-0000-0000E9230000}"/>
    <cellStyle name="SAPBEXchaText 2 2" xfId="9155" xr:uid="{00000000-0005-0000-0000-0000EA230000}"/>
    <cellStyle name="SAPBEXchaText 2 2 2" xfId="9156" xr:uid="{00000000-0005-0000-0000-0000EB230000}"/>
    <cellStyle name="SAPBEXchaText 2 3" xfId="9157" xr:uid="{00000000-0005-0000-0000-0000EC230000}"/>
    <cellStyle name="SAPBEXchaText 3" xfId="9158" xr:uid="{00000000-0005-0000-0000-0000ED230000}"/>
    <cellStyle name="SAPBEXchaText 3 2" xfId="9159" xr:uid="{00000000-0005-0000-0000-0000EE230000}"/>
    <cellStyle name="SAPBEXchaText 3 2 2" xfId="9160" xr:uid="{00000000-0005-0000-0000-0000EF230000}"/>
    <cellStyle name="SAPBEXchaText 3 3" xfId="9161" xr:uid="{00000000-0005-0000-0000-0000F0230000}"/>
    <cellStyle name="SAPBEXchaText 3 3 2" xfId="9162" xr:uid="{00000000-0005-0000-0000-0000F1230000}"/>
    <cellStyle name="SAPBEXchaText 3 4" xfId="9163" xr:uid="{00000000-0005-0000-0000-0000F2230000}"/>
    <cellStyle name="SAPBEXchaText 3 4 2" xfId="9164" xr:uid="{00000000-0005-0000-0000-0000F3230000}"/>
    <cellStyle name="SAPBEXchaText 4" xfId="9165" xr:uid="{00000000-0005-0000-0000-0000F4230000}"/>
    <cellStyle name="SAPBEXchaText 4 2" xfId="9166" xr:uid="{00000000-0005-0000-0000-0000F5230000}"/>
    <cellStyle name="SAPBEXchaText 5" xfId="9167" xr:uid="{00000000-0005-0000-0000-0000F6230000}"/>
    <cellStyle name="SAPBEXchaText 6" xfId="9168" xr:uid="{00000000-0005-0000-0000-0000F7230000}"/>
    <cellStyle name="SAPBEXchaText 7" xfId="9169" xr:uid="{00000000-0005-0000-0000-0000F8230000}"/>
    <cellStyle name="SAPBEXchaText 8" xfId="9170" xr:uid="{00000000-0005-0000-0000-0000F9230000}"/>
    <cellStyle name="SAPBEXchaText 9" xfId="9171" xr:uid="{00000000-0005-0000-0000-0000FA230000}"/>
    <cellStyle name="SAPBEXexcBad7" xfId="9172" xr:uid="{00000000-0005-0000-0000-0000FB230000}"/>
    <cellStyle name="SAPBEXexcBad7 2" xfId="9173" xr:uid="{00000000-0005-0000-0000-0000FC230000}"/>
    <cellStyle name="SAPBEXexcBad7 3" xfId="9174" xr:uid="{00000000-0005-0000-0000-0000FD230000}"/>
    <cellStyle name="SAPBEXexcBad8" xfId="9175" xr:uid="{00000000-0005-0000-0000-0000FE230000}"/>
    <cellStyle name="SAPBEXexcBad8 2" xfId="9176" xr:uid="{00000000-0005-0000-0000-0000FF230000}"/>
    <cellStyle name="SAPBEXexcBad8 3" xfId="9177" xr:uid="{00000000-0005-0000-0000-000000240000}"/>
    <cellStyle name="SAPBEXexcBad9" xfId="9178" xr:uid="{00000000-0005-0000-0000-000001240000}"/>
    <cellStyle name="SAPBEXexcBad9 2" xfId="9179" xr:uid="{00000000-0005-0000-0000-000002240000}"/>
    <cellStyle name="SAPBEXexcBad9 3" xfId="9180" xr:uid="{00000000-0005-0000-0000-000003240000}"/>
    <cellStyle name="SAPBEXexcCritical4" xfId="9181" xr:uid="{00000000-0005-0000-0000-000004240000}"/>
    <cellStyle name="SAPBEXexcCritical4 2" xfId="9182" xr:uid="{00000000-0005-0000-0000-000005240000}"/>
    <cellStyle name="SAPBEXexcCritical4 3" xfId="9183" xr:uid="{00000000-0005-0000-0000-000006240000}"/>
    <cellStyle name="SAPBEXexcCritical5" xfId="9184" xr:uid="{00000000-0005-0000-0000-000007240000}"/>
    <cellStyle name="SAPBEXexcCritical5 2" xfId="9185" xr:uid="{00000000-0005-0000-0000-000008240000}"/>
    <cellStyle name="SAPBEXexcCritical5 3" xfId="9186" xr:uid="{00000000-0005-0000-0000-000009240000}"/>
    <cellStyle name="SAPBEXexcCritical6" xfId="9187" xr:uid="{00000000-0005-0000-0000-00000A240000}"/>
    <cellStyle name="SAPBEXexcCritical6 2" xfId="9188" xr:uid="{00000000-0005-0000-0000-00000B240000}"/>
    <cellStyle name="SAPBEXexcCritical6 3" xfId="9189" xr:uid="{00000000-0005-0000-0000-00000C240000}"/>
    <cellStyle name="SAPBEXexcGood1" xfId="9190" xr:uid="{00000000-0005-0000-0000-00000D240000}"/>
    <cellStyle name="SAPBEXexcGood1 2" xfId="9191" xr:uid="{00000000-0005-0000-0000-00000E240000}"/>
    <cellStyle name="SAPBEXexcGood1 3" xfId="9192" xr:uid="{00000000-0005-0000-0000-00000F240000}"/>
    <cellStyle name="SAPBEXexcGood2" xfId="9193" xr:uid="{00000000-0005-0000-0000-000010240000}"/>
    <cellStyle name="SAPBEXexcGood2 2" xfId="9194" xr:uid="{00000000-0005-0000-0000-000011240000}"/>
    <cellStyle name="SAPBEXexcGood2 3" xfId="9195" xr:uid="{00000000-0005-0000-0000-000012240000}"/>
    <cellStyle name="SAPBEXexcGood3" xfId="9196" xr:uid="{00000000-0005-0000-0000-000013240000}"/>
    <cellStyle name="SAPBEXexcGood3 2" xfId="9197" xr:uid="{00000000-0005-0000-0000-000014240000}"/>
    <cellStyle name="SAPBEXexcGood3 3" xfId="9198" xr:uid="{00000000-0005-0000-0000-000015240000}"/>
    <cellStyle name="SAPBEXfilterDrill" xfId="9199" xr:uid="{00000000-0005-0000-0000-000016240000}"/>
    <cellStyle name="SAPBEXfilterDrill 2" xfId="9200" xr:uid="{00000000-0005-0000-0000-000017240000}"/>
    <cellStyle name="SAPBEXfilterDrill 3" xfId="9201" xr:uid="{00000000-0005-0000-0000-000018240000}"/>
    <cellStyle name="SAPBEXfilterDrill 4" xfId="9202" xr:uid="{00000000-0005-0000-0000-000019240000}"/>
    <cellStyle name="SAPBEXfilterItem" xfId="9203" xr:uid="{00000000-0005-0000-0000-00001A240000}"/>
    <cellStyle name="SAPBEXfilterItem 2" xfId="9204" xr:uid="{00000000-0005-0000-0000-00001B240000}"/>
    <cellStyle name="SAPBEXfilterItem 3" xfId="9205" xr:uid="{00000000-0005-0000-0000-00001C240000}"/>
    <cellStyle name="SAPBEXfilterText" xfId="9206" xr:uid="{00000000-0005-0000-0000-00001D240000}"/>
    <cellStyle name="SAPBEXfilterText 2" xfId="9207" xr:uid="{00000000-0005-0000-0000-00001E240000}"/>
    <cellStyle name="SAPBEXfilterText 3" xfId="9208" xr:uid="{00000000-0005-0000-0000-00001F240000}"/>
    <cellStyle name="SAPBEXformats" xfId="9209" xr:uid="{00000000-0005-0000-0000-000020240000}"/>
    <cellStyle name="SAPBEXformats 2" xfId="9210" xr:uid="{00000000-0005-0000-0000-000021240000}"/>
    <cellStyle name="SAPBEXformats 2 2" xfId="9211" xr:uid="{00000000-0005-0000-0000-000022240000}"/>
    <cellStyle name="SAPBEXformats 3" xfId="9212" xr:uid="{00000000-0005-0000-0000-000023240000}"/>
    <cellStyle name="SAPBEXformats 4" xfId="9213" xr:uid="{00000000-0005-0000-0000-000024240000}"/>
    <cellStyle name="SAPBEXheaderItem" xfId="9214" xr:uid="{00000000-0005-0000-0000-000025240000}"/>
    <cellStyle name="SAPBEXheaderItem 2" xfId="9215" xr:uid="{00000000-0005-0000-0000-000026240000}"/>
    <cellStyle name="SAPBEXheaderItem 3" xfId="9216" xr:uid="{00000000-0005-0000-0000-000027240000}"/>
    <cellStyle name="SAPBEXheaderItem 4" xfId="9217" xr:uid="{00000000-0005-0000-0000-000028240000}"/>
    <cellStyle name="SAPBEXheaderText" xfId="9218" xr:uid="{00000000-0005-0000-0000-000029240000}"/>
    <cellStyle name="SAPBEXheaderText 2" xfId="9219" xr:uid="{00000000-0005-0000-0000-00002A240000}"/>
    <cellStyle name="SAPBEXheaderText 3" xfId="9220" xr:uid="{00000000-0005-0000-0000-00002B240000}"/>
    <cellStyle name="SAPBEXheaderText 4" xfId="9221" xr:uid="{00000000-0005-0000-0000-00002C240000}"/>
    <cellStyle name="SAPBEXHLevel0" xfId="9222" xr:uid="{00000000-0005-0000-0000-00002D240000}"/>
    <cellStyle name="SAPBEXHLevel0 2" xfId="9223" xr:uid="{00000000-0005-0000-0000-00002E240000}"/>
    <cellStyle name="SAPBEXHLevel0 2 2" xfId="9224" xr:uid="{00000000-0005-0000-0000-00002F240000}"/>
    <cellStyle name="SAPBEXHLevel0 3" xfId="9225" xr:uid="{00000000-0005-0000-0000-000030240000}"/>
    <cellStyle name="SAPBEXHLevel0 4" xfId="9226" xr:uid="{00000000-0005-0000-0000-000031240000}"/>
    <cellStyle name="SAPBEXHLevel0X" xfId="9227" xr:uid="{00000000-0005-0000-0000-000032240000}"/>
    <cellStyle name="SAPBEXHLevel0X 2" xfId="9228" xr:uid="{00000000-0005-0000-0000-000033240000}"/>
    <cellStyle name="SAPBEXHLevel0X 2 2" xfId="9229" xr:uid="{00000000-0005-0000-0000-000034240000}"/>
    <cellStyle name="SAPBEXHLevel0X 2 2 2" xfId="9230" xr:uid="{00000000-0005-0000-0000-000035240000}"/>
    <cellStyle name="SAPBEXHLevel0X 2 3" xfId="9231" xr:uid="{00000000-0005-0000-0000-000036240000}"/>
    <cellStyle name="SAPBEXHLevel0X 3" xfId="9232" xr:uid="{00000000-0005-0000-0000-000037240000}"/>
    <cellStyle name="SAPBEXHLevel0X 3 2" xfId="9233" xr:uid="{00000000-0005-0000-0000-000038240000}"/>
    <cellStyle name="SAPBEXHLevel0X 3 2 2" xfId="9234" xr:uid="{00000000-0005-0000-0000-000039240000}"/>
    <cellStyle name="SAPBEXHLevel0X 3 3" xfId="9235" xr:uid="{00000000-0005-0000-0000-00003A240000}"/>
    <cellStyle name="SAPBEXHLevel0X 3 3 2" xfId="9236" xr:uid="{00000000-0005-0000-0000-00003B240000}"/>
    <cellStyle name="SAPBEXHLevel0X 3 4" xfId="9237" xr:uid="{00000000-0005-0000-0000-00003C240000}"/>
    <cellStyle name="SAPBEXHLevel0X 3 4 2" xfId="9238" xr:uid="{00000000-0005-0000-0000-00003D240000}"/>
    <cellStyle name="SAPBEXHLevel0X 4" xfId="9239" xr:uid="{00000000-0005-0000-0000-00003E240000}"/>
    <cellStyle name="SAPBEXHLevel0X 4 2" xfId="9240" xr:uid="{00000000-0005-0000-0000-00003F240000}"/>
    <cellStyle name="SAPBEXHLevel0X 5" xfId="9241" xr:uid="{00000000-0005-0000-0000-000040240000}"/>
    <cellStyle name="SAPBEXHLevel0X 6" xfId="9242" xr:uid="{00000000-0005-0000-0000-000041240000}"/>
    <cellStyle name="SAPBEXHLevel0X 7" xfId="9243" xr:uid="{00000000-0005-0000-0000-000042240000}"/>
    <cellStyle name="SAPBEXHLevel0X 8" xfId="9244" xr:uid="{00000000-0005-0000-0000-000043240000}"/>
    <cellStyle name="SAPBEXHLevel1" xfId="9245" xr:uid="{00000000-0005-0000-0000-000044240000}"/>
    <cellStyle name="SAPBEXHLevel1 2" xfId="9246" xr:uid="{00000000-0005-0000-0000-000045240000}"/>
    <cellStyle name="SAPBEXHLevel1 2 2" xfId="9247" xr:uid="{00000000-0005-0000-0000-000046240000}"/>
    <cellStyle name="SAPBEXHLevel1 3" xfId="9248" xr:uid="{00000000-0005-0000-0000-000047240000}"/>
    <cellStyle name="SAPBEXHLevel1 4" xfId="9249" xr:uid="{00000000-0005-0000-0000-000048240000}"/>
    <cellStyle name="SAPBEXHLevel1X" xfId="9250" xr:uid="{00000000-0005-0000-0000-000049240000}"/>
    <cellStyle name="SAPBEXHLevel1X 2" xfId="9251" xr:uid="{00000000-0005-0000-0000-00004A240000}"/>
    <cellStyle name="SAPBEXHLevel1X 2 2" xfId="9252" xr:uid="{00000000-0005-0000-0000-00004B240000}"/>
    <cellStyle name="SAPBEXHLevel1X 3" xfId="9253" xr:uid="{00000000-0005-0000-0000-00004C240000}"/>
    <cellStyle name="SAPBEXHLevel1X 4" xfId="9254" xr:uid="{00000000-0005-0000-0000-00004D240000}"/>
    <cellStyle name="SAPBEXHLevel2" xfId="9255" xr:uid="{00000000-0005-0000-0000-00004E240000}"/>
    <cellStyle name="SAPBEXHLevel2 2" xfId="9256" xr:uid="{00000000-0005-0000-0000-00004F240000}"/>
    <cellStyle name="SAPBEXHLevel2 2 2" xfId="9257" xr:uid="{00000000-0005-0000-0000-000050240000}"/>
    <cellStyle name="SAPBEXHLevel2 3" xfId="9258" xr:uid="{00000000-0005-0000-0000-000051240000}"/>
    <cellStyle name="SAPBEXHLevel2 4" xfId="9259" xr:uid="{00000000-0005-0000-0000-000052240000}"/>
    <cellStyle name="SAPBEXHLevel2X" xfId="9260" xr:uid="{00000000-0005-0000-0000-000053240000}"/>
    <cellStyle name="SAPBEXHLevel2X 2" xfId="9261" xr:uid="{00000000-0005-0000-0000-000054240000}"/>
    <cellStyle name="SAPBEXHLevel2X 2 2" xfId="9262" xr:uid="{00000000-0005-0000-0000-000055240000}"/>
    <cellStyle name="SAPBEXHLevel2X 3" xfId="9263" xr:uid="{00000000-0005-0000-0000-000056240000}"/>
    <cellStyle name="SAPBEXHLevel2X 4" xfId="9264" xr:uid="{00000000-0005-0000-0000-000057240000}"/>
    <cellStyle name="SAPBEXHLevel3" xfId="9265" xr:uid="{00000000-0005-0000-0000-000058240000}"/>
    <cellStyle name="SAPBEXHLevel3 2" xfId="9266" xr:uid="{00000000-0005-0000-0000-000059240000}"/>
    <cellStyle name="SAPBEXHLevel3 2 2" xfId="9267" xr:uid="{00000000-0005-0000-0000-00005A240000}"/>
    <cellStyle name="SAPBEXHLevel3 3" xfId="9268" xr:uid="{00000000-0005-0000-0000-00005B240000}"/>
    <cellStyle name="SAPBEXHLevel3 4" xfId="9269" xr:uid="{00000000-0005-0000-0000-00005C240000}"/>
    <cellStyle name="SAPBEXHLevel3X" xfId="9270" xr:uid="{00000000-0005-0000-0000-00005D240000}"/>
    <cellStyle name="SAPBEXHLevel3X 2" xfId="9271" xr:uid="{00000000-0005-0000-0000-00005E240000}"/>
    <cellStyle name="SAPBEXHLevel3X 2 2" xfId="9272" xr:uid="{00000000-0005-0000-0000-00005F240000}"/>
    <cellStyle name="SAPBEXHLevel3X 3" xfId="9273" xr:uid="{00000000-0005-0000-0000-000060240000}"/>
    <cellStyle name="SAPBEXHLevel3X 4" xfId="9274" xr:uid="{00000000-0005-0000-0000-000061240000}"/>
    <cellStyle name="SAPBEXinputData" xfId="9275" xr:uid="{00000000-0005-0000-0000-000062240000}"/>
    <cellStyle name="SAPBEXinputData 2" xfId="9276" xr:uid="{00000000-0005-0000-0000-000063240000}"/>
    <cellStyle name="SAPBEXinputData 2 2" xfId="9277" xr:uid="{00000000-0005-0000-0000-000064240000}"/>
    <cellStyle name="SAPBEXinputData 3" xfId="9278" xr:uid="{00000000-0005-0000-0000-000065240000}"/>
    <cellStyle name="SAPBEXItemHeader" xfId="9279" xr:uid="{00000000-0005-0000-0000-000066240000}"/>
    <cellStyle name="SAPBEXresData" xfId="9280" xr:uid="{00000000-0005-0000-0000-000067240000}"/>
    <cellStyle name="SAPBEXresData 2" xfId="9281" xr:uid="{00000000-0005-0000-0000-000068240000}"/>
    <cellStyle name="SAPBEXresData 3" xfId="9282" xr:uid="{00000000-0005-0000-0000-000069240000}"/>
    <cellStyle name="SAPBEXresDataEmph" xfId="9283" xr:uid="{00000000-0005-0000-0000-00006A240000}"/>
    <cellStyle name="SAPBEXresDataEmph 2" xfId="9284" xr:uid="{00000000-0005-0000-0000-00006B240000}"/>
    <cellStyle name="SAPBEXresDataEmph 3" xfId="9285" xr:uid="{00000000-0005-0000-0000-00006C240000}"/>
    <cellStyle name="SAPBEXresItem" xfId="9286" xr:uid="{00000000-0005-0000-0000-00006D240000}"/>
    <cellStyle name="SAPBEXresItem 2" xfId="9287" xr:uid="{00000000-0005-0000-0000-00006E240000}"/>
    <cellStyle name="SAPBEXresItem 3" xfId="9288" xr:uid="{00000000-0005-0000-0000-00006F240000}"/>
    <cellStyle name="SAPBEXresItemX" xfId="9289" xr:uid="{00000000-0005-0000-0000-000070240000}"/>
    <cellStyle name="SAPBEXresItemX 2" xfId="9290" xr:uid="{00000000-0005-0000-0000-000071240000}"/>
    <cellStyle name="SAPBEXresItemX 3" xfId="9291" xr:uid="{00000000-0005-0000-0000-000072240000}"/>
    <cellStyle name="SAPBEXstdData" xfId="9292" xr:uid="{00000000-0005-0000-0000-000073240000}"/>
    <cellStyle name="SAPBEXstdData 2" xfId="9293" xr:uid="{00000000-0005-0000-0000-000074240000}"/>
    <cellStyle name="SAPBEXstdData 3" xfId="9294" xr:uid="{00000000-0005-0000-0000-000075240000}"/>
    <cellStyle name="SAPBEXstdData 4" xfId="9295" xr:uid="{00000000-0005-0000-0000-000076240000}"/>
    <cellStyle name="SAPBEXstdDataEmph" xfId="9296" xr:uid="{00000000-0005-0000-0000-000077240000}"/>
    <cellStyle name="SAPBEXstdDataEmph 2" xfId="9297" xr:uid="{00000000-0005-0000-0000-000078240000}"/>
    <cellStyle name="SAPBEXstdDataEmph 3" xfId="9298" xr:uid="{00000000-0005-0000-0000-000079240000}"/>
    <cellStyle name="SAPBEXstdItem" xfId="9299" xr:uid="{00000000-0005-0000-0000-00007A240000}"/>
    <cellStyle name="SAPBEXstdItem 2" xfId="9300" xr:uid="{00000000-0005-0000-0000-00007B240000}"/>
    <cellStyle name="SAPBEXstdItem 2 2" xfId="9301" xr:uid="{00000000-0005-0000-0000-00007C240000}"/>
    <cellStyle name="SAPBEXstdItem 2 2 2" xfId="9302" xr:uid="{00000000-0005-0000-0000-00007D240000}"/>
    <cellStyle name="SAPBEXstdItem 2 3" xfId="9303" xr:uid="{00000000-0005-0000-0000-00007E240000}"/>
    <cellStyle name="SAPBEXstdItem 3" xfId="9304" xr:uid="{00000000-0005-0000-0000-00007F240000}"/>
    <cellStyle name="SAPBEXstdItem 3 2" xfId="9305" xr:uid="{00000000-0005-0000-0000-000080240000}"/>
    <cellStyle name="SAPBEXstdItem 3 2 2" xfId="9306" xr:uid="{00000000-0005-0000-0000-000081240000}"/>
    <cellStyle name="SAPBEXstdItem 3 3" xfId="9307" xr:uid="{00000000-0005-0000-0000-000082240000}"/>
    <cellStyle name="SAPBEXstdItem 3 3 2" xfId="9308" xr:uid="{00000000-0005-0000-0000-000083240000}"/>
    <cellStyle name="SAPBEXstdItem 3 4" xfId="9309" xr:uid="{00000000-0005-0000-0000-000084240000}"/>
    <cellStyle name="SAPBEXstdItem 3 4 2" xfId="9310" xr:uid="{00000000-0005-0000-0000-000085240000}"/>
    <cellStyle name="SAPBEXstdItem 4" xfId="9311" xr:uid="{00000000-0005-0000-0000-000086240000}"/>
    <cellStyle name="SAPBEXstdItem 4 2" xfId="9312" xr:uid="{00000000-0005-0000-0000-000087240000}"/>
    <cellStyle name="SAPBEXstdItem 5" xfId="9313" xr:uid="{00000000-0005-0000-0000-000088240000}"/>
    <cellStyle name="SAPBEXstdItem 6" xfId="9314" xr:uid="{00000000-0005-0000-0000-000089240000}"/>
    <cellStyle name="SAPBEXstdItem 7" xfId="9315" xr:uid="{00000000-0005-0000-0000-00008A240000}"/>
    <cellStyle name="SAPBEXstdItem 8" xfId="9316" xr:uid="{00000000-0005-0000-0000-00008B240000}"/>
    <cellStyle name="SAPBEXstdItemX" xfId="9317" xr:uid="{00000000-0005-0000-0000-00008C240000}"/>
    <cellStyle name="SAPBEXstdItemX 2" xfId="9318" xr:uid="{00000000-0005-0000-0000-00008D240000}"/>
    <cellStyle name="SAPBEXstdItemX 2 2" xfId="9319" xr:uid="{00000000-0005-0000-0000-00008E240000}"/>
    <cellStyle name="SAPBEXstdItemX 2 2 2" xfId="9320" xr:uid="{00000000-0005-0000-0000-00008F240000}"/>
    <cellStyle name="SAPBEXstdItemX 2 3" xfId="9321" xr:uid="{00000000-0005-0000-0000-000090240000}"/>
    <cellStyle name="SAPBEXstdItemX 3" xfId="9322" xr:uid="{00000000-0005-0000-0000-000091240000}"/>
    <cellStyle name="SAPBEXstdItemX 3 2" xfId="9323" xr:uid="{00000000-0005-0000-0000-000092240000}"/>
    <cellStyle name="SAPBEXstdItemX 3 2 2" xfId="9324" xr:uid="{00000000-0005-0000-0000-000093240000}"/>
    <cellStyle name="SAPBEXstdItemX 3 3" xfId="9325" xr:uid="{00000000-0005-0000-0000-000094240000}"/>
    <cellStyle name="SAPBEXstdItemX 3 3 2" xfId="9326" xr:uid="{00000000-0005-0000-0000-000095240000}"/>
    <cellStyle name="SAPBEXstdItemX 3 4" xfId="9327" xr:uid="{00000000-0005-0000-0000-000096240000}"/>
    <cellStyle name="SAPBEXstdItemX 3 4 2" xfId="9328" xr:uid="{00000000-0005-0000-0000-000097240000}"/>
    <cellStyle name="SAPBEXstdItemX 4" xfId="9329" xr:uid="{00000000-0005-0000-0000-000098240000}"/>
    <cellStyle name="SAPBEXstdItemX 4 2" xfId="9330" xr:uid="{00000000-0005-0000-0000-000099240000}"/>
    <cellStyle name="SAPBEXstdItemX 5" xfId="9331" xr:uid="{00000000-0005-0000-0000-00009A240000}"/>
    <cellStyle name="SAPBEXstdItemX 6" xfId="9332" xr:uid="{00000000-0005-0000-0000-00009B240000}"/>
    <cellStyle name="SAPBEXstdItemX 7" xfId="9333" xr:uid="{00000000-0005-0000-0000-00009C240000}"/>
    <cellStyle name="SAPBEXstdItemX 8" xfId="9334" xr:uid="{00000000-0005-0000-0000-00009D240000}"/>
    <cellStyle name="SAPBEXtitle" xfId="9335" xr:uid="{00000000-0005-0000-0000-00009E240000}"/>
    <cellStyle name="SAPBEXtitle 2" xfId="9336" xr:uid="{00000000-0005-0000-0000-00009F240000}"/>
    <cellStyle name="SAPBEXtitle 3" xfId="9337" xr:uid="{00000000-0005-0000-0000-0000A0240000}"/>
    <cellStyle name="SAPBEXunassignedItem" xfId="9338" xr:uid="{00000000-0005-0000-0000-0000A1240000}"/>
    <cellStyle name="SAPBEXundefined" xfId="9339" xr:uid="{00000000-0005-0000-0000-0000A2240000}"/>
    <cellStyle name="SAPBEXundefined 2" xfId="9340" xr:uid="{00000000-0005-0000-0000-0000A3240000}"/>
    <cellStyle name="SAPBEXundefined 3" xfId="9341" xr:uid="{00000000-0005-0000-0000-0000A4240000}"/>
    <cellStyle name="shade" xfId="9342" xr:uid="{00000000-0005-0000-0000-0000A5240000}"/>
    <cellStyle name="shade 2" xfId="9343" xr:uid="{00000000-0005-0000-0000-0000A6240000}"/>
    <cellStyle name="shade 2 2" xfId="9344" xr:uid="{00000000-0005-0000-0000-0000A7240000}"/>
    <cellStyle name="shade 2 2 2" xfId="9345" xr:uid="{00000000-0005-0000-0000-0000A8240000}"/>
    <cellStyle name="shade 2 3" xfId="9346" xr:uid="{00000000-0005-0000-0000-0000A9240000}"/>
    <cellStyle name="shade 3" xfId="9347" xr:uid="{00000000-0005-0000-0000-0000AA240000}"/>
    <cellStyle name="shade 3 2" xfId="9348" xr:uid="{00000000-0005-0000-0000-0000AB240000}"/>
    <cellStyle name="shade 3 2 2" xfId="9349" xr:uid="{00000000-0005-0000-0000-0000AC240000}"/>
    <cellStyle name="shade 3 3" xfId="9350" xr:uid="{00000000-0005-0000-0000-0000AD240000}"/>
    <cellStyle name="shade 3 3 2" xfId="9351" xr:uid="{00000000-0005-0000-0000-0000AE240000}"/>
    <cellStyle name="shade 3 4" xfId="9352" xr:uid="{00000000-0005-0000-0000-0000AF240000}"/>
    <cellStyle name="shade 3 4 2" xfId="9353" xr:uid="{00000000-0005-0000-0000-0000B0240000}"/>
    <cellStyle name="shade 4" xfId="9354" xr:uid="{00000000-0005-0000-0000-0000B1240000}"/>
    <cellStyle name="shade 4 2" xfId="9355" xr:uid="{00000000-0005-0000-0000-0000B2240000}"/>
    <cellStyle name="shade 5" xfId="9356" xr:uid="{00000000-0005-0000-0000-0000B3240000}"/>
    <cellStyle name="shade 6" xfId="9357" xr:uid="{00000000-0005-0000-0000-0000B4240000}"/>
    <cellStyle name="shade 7" xfId="9358" xr:uid="{00000000-0005-0000-0000-0000B5240000}"/>
    <cellStyle name="shade_ACCOUNTS" xfId="9359" xr:uid="{00000000-0005-0000-0000-0000B6240000}"/>
    <cellStyle name="Sheet Title" xfId="9360" xr:uid="{00000000-0005-0000-0000-0000B7240000}"/>
    <cellStyle name="StmtTtl1" xfId="9361" xr:uid="{00000000-0005-0000-0000-0000B8240000}"/>
    <cellStyle name="StmtTtl1 2" xfId="9362" xr:uid="{00000000-0005-0000-0000-0000B9240000}"/>
    <cellStyle name="StmtTtl1 2 2" xfId="9363" xr:uid="{00000000-0005-0000-0000-0000BA240000}"/>
    <cellStyle name="StmtTtl1 2 3" xfId="9364" xr:uid="{00000000-0005-0000-0000-0000BB240000}"/>
    <cellStyle name="StmtTtl1 2 4" xfId="9365" xr:uid="{00000000-0005-0000-0000-0000BC240000}"/>
    <cellStyle name="StmtTtl1 3" xfId="9366" xr:uid="{00000000-0005-0000-0000-0000BD240000}"/>
    <cellStyle name="StmtTtl1 3 2" xfId="9367" xr:uid="{00000000-0005-0000-0000-0000BE240000}"/>
    <cellStyle name="StmtTtl1 3 3" xfId="9368" xr:uid="{00000000-0005-0000-0000-0000BF240000}"/>
    <cellStyle name="StmtTtl1 3 4" xfId="9369" xr:uid="{00000000-0005-0000-0000-0000C0240000}"/>
    <cellStyle name="StmtTtl1 4" xfId="9370" xr:uid="{00000000-0005-0000-0000-0000C1240000}"/>
    <cellStyle name="StmtTtl1 4 2" xfId="9371" xr:uid="{00000000-0005-0000-0000-0000C2240000}"/>
    <cellStyle name="StmtTtl1 4 3" xfId="9372" xr:uid="{00000000-0005-0000-0000-0000C3240000}"/>
    <cellStyle name="StmtTtl1 4 4" xfId="9373" xr:uid="{00000000-0005-0000-0000-0000C4240000}"/>
    <cellStyle name="StmtTtl1 5" xfId="9374" xr:uid="{00000000-0005-0000-0000-0000C5240000}"/>
    <cellStyle name="StmtTtl1 5 2" xfId="9375" xr:uid="{00000000-0005-0000-0000-0000C6240000}"/>
    <cellStyle name="StmtTtl1 6" xfId="9376" xr:uid="{00000000-0005-0000-0000-0000C7240000}"/>
    <cellStyle name="StmtTtl1 6 2" xfId="9377" xr:uid="{00000000-0005-0000-0000-0000C8240000}"/>
    <cellStyle name="StmtTtl1 7" xfId="9378" xr:uid="{00000000-0005-0000-0000-0000C9240000}"/>
    <cellStyle name="StmtTtl1 8" xfId="9379" xr:uid="{00000000-0005-0000-0000-0000CA240000}"/>
    <cellStyle name="StmtTtl1_(C) WHE Proforma with ITC cash grant 10 Yr Amort_for deferral_102809" xfId="9380" xr:uid="{00000000-0005-0000-0000-0000CB240000}"/>
    <cellStyle name="StmtTtl2" xfId="9381" xr:uid="{00000000-0005-0000-0000-0000CC240000}"/>
    <cellStyle name="StmtTtl2 2" xfId="9382" xr:uid="{00000000-0005-0000-0000-0000CD240000}"/>
    <cellStyle name="StmtTtl2 2 2" xfId="9383" xr:uid="{00000000-0005-0000-0000-0000CE240000}"/>
    <cellStyle name="StmtTtl2 3" xfId="9384" xr:uid="{00000000-0005-0000-0000-0000CF240000}"/>
    <cellStyle name="StmtTtl2 3 2" xfId="9385" xr:uid="{00000000-0005-0000-0000-0000D0240000}"/>
    <cellStyle name="StmtTtl2 4" xfId="9386" xr:uid="{00000000-0005-0000-0000-0000D1240000}"/>
    <cellStyle name="StmtTtl2 5" xfId="9387" xr:uid="{00000000-0005-0000-0000-0000D2240000}"/>
    <cellStyle name="StmtTtl2 6" xfId="9388" xr:uid="{00000000-0005-0000-0000-0000D3240000}"/>
    <cellStyle name="StmtTtl2 7" xfId="9389" xr:uid="{00000000-0005-0000-0000-0000D4240000}"/>
    <cellStyle name="StmtTtl2 8" xfId="9390" xr:uid="{00000000-0005-0000-0000-0000D5240000}"/>
    <cellStyle name="StmtTtl2 9" xfId="9391" xr:uid="{00000000-0005-0000-0000-0000D6240000}"/>
    <cellStyle name="StmtTtl2_4.32E Depreciation Study Robs file" xfId="9392" xr:uid="{00000000-0005-0000-0000-0000D7240000}"/>
    <cellStyle name="STYL1 - Style1" xfId="9393" xr:uid="{00000000-0005-0000-0000-0000D8240000}"/>
    <cellStyle name="STYL1 - Style1 2" xfId="9394" xr:uid="{00000000-0005-0000-0000-0000D9240000}"/>
    <cellStyle name="Style 1" xfId="9395" xr:uid="{00000000-0005-0000-0000-0000DA240000}"/>
    <cellStyle name="Style 1 10" xfId="9396" xr:uid="{00000000-0005-0000-0000-0000DB240000}"/>
    <cellStyle name="Style 1 11" xfId="9397" xr:uid="{00000000-0005-0000-0000-0000DC240000}"/>
    <cellStyle name="Style 1 2" xfId="9398" xr:uid="{00000000-0005-0000-0000-0000DD240000}"/>
    <cellStyle name="Style 1 2 2" xfId="9399" xr:uid="{00000000-0005-0000-0000-0000DE240000}"/>
    <cellStyle name="Style 1 2 2 2" xfId="9400" xr:uid="{00000000-0005-0000-0000-0000DF240000}"/>
    <cellStyle name="Style 1 2 3" xfId="9401" xr:uid="{00000000-0005-0000-0000-0000E0240000}"/>
    <cellStyle name="Style 1 2 4" xfId="9402" xr:uid="{00000000-0005-0000-0000-0000E1240000}"/>
    <cellStyle name="Style 1 2 5" xfId="9403" xr:uid="{00000000-0005-0000-0000-0000E2240000}"/>
    <cellStyle name="Style 1 2 6" xfId="9404" xr:uid="{00000000-0005-0000-0000-0000E3240000}"/>
    <cellStyle name="Style 1 2_Chelan PUD Power Costs (8-10)" xfId="9405" xr:uid="{00000000-0005-0000-0000-0000E4240000}"/>
    <cellStyle name="Style 1 3" xfId="9406" xr:uid="{00000000-0005-0000-0000-0000E5240000}"/>
    <cellStyle name="Style 1 3 2" xfId="9407" xr:uid="{00000000-0005-0000-0000-0000E6240000}"/>
    <cellStyle name="Style 1 3 2 2" xfId="9408" xr:uid="{00000000-0005-0000-0000-0000E7240000}"/>
    <cellStyle name="Style 1 3 2 3" xfId="9409" xr:uid="{00000000-0005-0000-0000-0000E8240000}"/>
    <cellStyle name="Style 1 3 3" xfId="9410" xr:uid="{00000000-0005-0000-0000-0000E9240000}"/>
    <cellStyle name="Style 1 3 3 2" xfId="9411" xr:uid="{00000000-0005-0000-0000-0000EA240000}"/>
    <cellStyle name="Style 1 3 4" xfId="9412" xr:uid="{00000000-0005-0000-0000-0000EB240000}"/>
    <cellStyle name="Style 1 3 5" xfId="9413" xr:uid="{00000000-0005-0000-0000-0000EC240000}"/>
    <cellStyle name="Style 1 4" xfId="9414" xr:uid="{00000000-0005-0000-0000-0000ED240000}"/>
    <cellStyle name="Style 1 4 2" xfId="9415" xr:uid="{00000000-0005-0000-0000-0000EE240000}"/>
    <cellStyle name="Style 1 4 2 2" xfId="9416" xr:uid="{00000000-0005-0000-0000-0000EF240000}"/>
    <cellStyle name="Style 1 4 3" xfId="9417" xr:uid="{00000000-0005-0000-0000-0000F0240000}"/>
    <cellStyle name="Style 1 4 4" xfId="9418" xr:uid="{00000000-0005-0000-0000-0000F1240000}"/>
    <cellStyle name="Style 1 5" xfId="9419" xr:uid="{00000000-0005-0000-0000-0000F2240000}"/>
    <cellStyle name="Style 1 5 2" xfId="9420" xr:uid="{00000000-0005-0000-0000-0000F3240000}"/>
    <cellStyle name="Style 1 5 2 2" xfId="9421" xr:uid="{00000000-0005-0000-0000-0000F4240000}"/>
    <cellStyle name="Style 1 5 3" xfId="9422" xr:uid="{00000000-0005-0000-0000-0000F5240000}"/>
    <cellStyle name="Style 1 5 4" xfId="9423" xr:uid="{00000000-0005-0000-0000-0000F6240000}"/>
    <cellStyle name="Style 1 6" xfId="9424" xr:uid="{00000000-0005-0000-0000-0000F7240000}"/>
    <cellStyle name="Style 1 6 2" xfId="9425" xr:uid="{00000000-0005-0000-0000-0000F8240000}"/>
    <cellStyle name="Style 1 6 2 2" xfId="9426" xr:uid="{00000000-0005-0000-0000-0000F9240000}"/>
    <cellStyle name="Style 1 6 2 3" xfId="9427" xr:uid="{00000000-0005-0000-0000-0000FA240000}"/>
    <cellStyle name="Style 1 6 3" xfId="9428" xr:uid="{00000000-0005-0000-0000-0000FB240000}"/>
    <cellStyle name="Style 1 6 3 2" xfId="9429" xr:uid="{00000000-0005-0000-0000-0000FC240000}"/>
    <cellStyle name="Style 1 6 4" xfId="9430" xr:uid="{00000000-0005-0000-0000-0000FD240000}"/>
    <cellStyle name="Style 1 6 4 2" xfId="9431" xr:uid="{00000000-0005-0000-0000-0000FE240000}"/>
    <cellStyle name="Style 1 6 5" xfId="9432" xr:uid="{00000000-0005-0000-0000-0000FF240000}"/>
    <cellStyle name="Style 1 6 5 2" xfId="9433" xr:uid="{00000000-0005-0000-0000-000000250000}"/>
    <cellStyle name="Style 1 6 6" xfId="9434" xr:uid="{00000000-0005-0000-0000-000001250000}"/>
    <cellStyle name="Style 1 7" xfId="9435" xr:uid="{00000000-0005-0000-0000-000002250000}"/>
    <cellStyle name="Style 1 8" xfId="9436" xr:uid="{00000000-0005-0000-0000-000003250000}"/>
    <cellStyle name="Style 1 9" xfId="9437" xr:uid="{00000000-0005-0000-0000-000004250000}"/>
    <cellStyle name="Style 1_ Price Inputs" xfId="9438" xr:uid="{00000000-0005-0000-0000-000005250000}"/>
    <cellStyle name="STYLE1" xfId="9439" xr:uid="{00000000-0005-0000-0000-000006250000}"/>
    <cellStyle name="STYLE2" xfId="9440" xr:uid="{00000000-0005-0000-0000-000007250000}"/>
    <cellStyle name="STYLE3" xfId="9441" xr:uid="{00000000-0005-0000-0000-000008250000}"/>
    <cellStyle name="sub-tl - Style3" xfId="9442" xr:uid="{00000000-0005-0000-0000-000009250000}"/>
    <cellStyle name="subtot - Style5" xfId="9443" xr:uid="{00000000-0005-0000-0000-00000A250000}"/>
    <cellStyle name="Subtotal" xfId="9444" xr:uid="{00000000-0005-0000-0000-00000B250000}"/>
    <cellStyle name="Sub-total" xfId="9445" xr:uid="{00000000-0005-0000-0000-00000C250000}"/>
    <cellStyle name="Subtotal 2" xfId="9446" xr:uid="{00000000-0005-0000-0000-00000D250000}"/>
    <cellStyle name="Sub-total 2" xfId="9447" xr:uid="{00000000-0005-0000-0000-00000E250000}"/>
    <cellStyle name="Subtotal 3" xfId="9448" xr:uid="{00000000-0005-0000-0000-00000F250000}"/>
    <cellStyle name="Sub-total 3" xfId="9449" xr:uid="{00000000-0005-0000-0000-000010250000}"/>
    <cellStyle name="taples Plaza" xfId="9450" xr:uid="{00000000-0005-0000-0000-000011250000}"/>
    <cellStyle name="Test" xfId="9451" xr:uid="{00000000-0005-0000-0000-000012250000}"/>
    <cellStyle name="Tickmark" xfId="9452" xr:uid="{00000000-0005-0000-0000-000013250000}"/>
    <cellStyle name="Title 2" xfId="9453" xr:uid="{00000000-0005-0000-0000-000014250000}"/>
    <cellStyle name="Title 2 2" xfId="9454" xr:uid="{00000000-0005-0000-0000-000015250000}"/>
    <cellStyle name="Title 2 2 2" xfId="9455" xr:uid="{00000000-0005-0000-0000-000016250000}"/>
    <cellStyle name="Title 2 3" xfId="9456" xr:uid="{00000000-0005-0000-0000-000017250000}"/>
    <cellStyle name="Title 3" xfId="9457" xr:uid="{00000000-0005-0000-0000-000018250000}"/>
    <cellStyle name="Title 3 2" xfId="9458" xr:uid="{00000000-0005-0000-0000-000019250000}"/>
    <cellStyle name="Title 3 3" xfId="9459" xr:uid="{00000000-0005-0000-0000-00001A250000}"/>
    <cellStyle name="Title 3 4" xfId="9460" xr:uid="{00000000-0005-0000-0000-00001B250000}"/>
    <cellStyle name="Title 4" xfId="9461" xr:uid="{00000000-0005-0000-0000-00001C250000}"/>
    <cellStyle name="Title 5" xfId="9462" xr:uid="{00000000-0005-0000-0000-00001D250000}"/>
    <cellStyle name="Title 6" xfId="9463" xr:uid="{00000000-0005-0000-0000-00001E250000}"/>
    <cellStyle name="Title: - Style3" xfId="9464" xr:uid="{00000000-0005-0000-0000-00001F250000}"/>
    <cellStyle name="Title: - Style4" xfId="9465" xr:uid="{00000000-0005-0000-0000-000020250000}"/>
    <cellStyle name="Title: Major" xfId="9466" xr:uid="{00000000-0005-0000-0000-000021250000}"/>
    <cellStyle name="Title: Major 2" xfId="9467" xr:uid="{00000000-0005-0000-0000-000022250000}"/>
    <cellStyle name="Title: Major 3" xfId="9468" xr:uid="{00000000-0005-0000-0000-000023250000}"/>
    <cellStyle name="Title: Minor" xfId="9469" xr:uid="{00000000-0005-0000-0000-000024250000}"/>
    <cellStyle name="Title: Minor 2" xfId="9470" xr:uid="{00000000-0005-0000-0000-000025250000}"/>
    <cellStyle name="Title: Minor 3" xfId="9471" xr:uid="{00000000-0005-0000-0000-000026250000}"/>
    <cellStyle name="Title: Minor_Electric Rev Req Model (2009 GRC) Rebuttal" xfId="9472" xr:uid="{00000000-0005-0000-0000-000027250000}"/>
    <cellStyle name="Title: Worksheet" xfId="9473" xr:uid="{00000000-0005-0000-0000-000028250000}"/>
    <cellStyle name="Title: Worksheet 2" xfId="9474" xr:uid="{00000000-0005-0000-0000-000029250000}"/>
    <cellStyle name="Total 2" xfId="9475" xr:uid="{00000000-0005-0000-0000-00002A250000}"/>
    <cellStyle name="Total 2 2" xfId="9476" xr:uid="{00000000-0005-0000-0000-00002B250000}"/>
    <cellStyle name="Total 2 2 2" xfId="9477" xr:uid="{00000000-0005-0000-0000-00002C250000}"/>
    <cellStyle name="Total 2 2 3" xfId="9478" xr:uid="{00000000-0005-0000-0000-00002D250000}"/>
    <cellStyle name="Total 2 3" xfId="9479" xr:uid="{00000000-0005-0000-0000-00002E250000}"/>
    <cellStyle name="Total 2 3 2" xfId="9480" xr:uid="{00000000-0005-0000-0000-00002F250000}"/>
    <cellStyle name="Total 2 3 3" xfId="9481" xr:uid="{00000000-0005-0000-0000-000030250000}"/>
    <cellStyle name="Total 2 3 4" xfId="9482" xr:uid="{00000000-0005-0000-0000-000031250000}"/>
    <cellStyle name="Total 2 4" xfId="9483" xr:uid="{00000000-0005-0000-0000-000032250000}"/>
    <cellStyle name="Total 3" xfId="9484" xr:uid="{00000000-0005-0000-0000-000033250000}"/>
    <cellStyle name="Total 3 2" xfId="9485" xr:uid="{00000000-0005-0000-0000-000034250000}"/>
    <cellStyle name="Total 3 3" xfId="9486" xr:uid="{00000000-0005-0000-0000-000035250000}"/>
    <cellStyle name="Total 3 4" xfId="9487" xr:uid="{00000000-0005-0000-0000-000036250000}"/>
    <cellStyle name="Total 4" xfId="9488" xr:uid="{00000000-0005-0000-0000-000037250000}"/>
    <cellStyle name="Total 4 2" xfId="9489" xr:uid="{00000000-0005-0000-0000-000038250000}"/>
    <cellStyle name="Total 5" xfId="9490" xr:uid="{00000000-0005-0000-0000-000039250000}"/>
    <cellStyle name="Total 6" xfId="9491" xr:uid="{00000000-0005-0000-0000-00003A250000}"/>
    <cellStyle name="Total 9" xfId="9492" xr:uid="{00000000-0005-0000-0000-00003B250000}"/>
    <cellStyle name="Total 9 2" xfId="9493" xr:uid="{00000000-0005-0000-0000-00003C250000}"/>
    <cellStyle name="Total4 - Style4" xfId="9494" xr:uid="{00000000-0005-0000-0000-00003D250000}"/>
    <cellStyle name="Total4 - Style4 2" xfId="9495" xr:uid="{00000000-0005-0000-0000-00003E250000}"/>
    <cellStyle name="Total4 - Style4 2 2" xfId="9496" xr:uid="{00000000-0005-0000-0000-00003F250000}"/>
    <cellStyle name="Total4 - Style4 3" xfId="9497" xr:uid="{00000000-0005-0000-0000-000040250000}"/>
    <cellStyle name="Total4 - Style4_ACCOUNTS" xfId="9498" xr:uid="{00000000-0005-0000-0000-000041250000}"/>
    <cellStyle name="Warning Text 2" xfId="9499" xr:uid="{00000000-0005-0000-0000-000042250000}"/>
    <cellStyle name="Warning Text 2 2" xfId="9500" xr:uid="{00000000-0005-0000-0000-000043250000}"/>
    <cellStyle name="Warning Text 2 2 2" xfId="9501" xr:uid="{00000000-0005-0000-0000-000044250000}"/>
    <cellStyle name="Warning Text 2 3" xfId="9502" xr:uid="{00000000-0005-0000-0000-000045250000}"/>
    <cellStyle name="Warning Text 3" xfId="9503" xr:uid="{00000000-0005-0000-0000-000046250000}"/>
    <cellStyle name="Warning Text 4" xfId="9504" xr:uid="{00000000-0005-0000-0000-000047250000}"/>
    <cellStyle name="WM_STANDARD" xfId="9518" xr:uid="{00000000-0005-0000-0000-000048250000}"/>
    <cellStyle name="WMI_Standard" xfId="9517" xr:uid="{00000000-0005-0000-0000-000049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40"/>
  <sheetViews>
    <sheetView tabSelected="1" view="pageLayout" zoomScaleNormal="100" workbookViewId="0">
      <selection activeCell="H32" sqref="H32"/>
    </sheetView>
  </sheetViews>
  <sheetFormatPr defaultColWidth="9.140625" defaultRowHeight="15.75"/>
  <cols>
    <col min="1" max="1" width="5.28515625" style="3" customWidth="1"/>
    <col min="2" max="2" width="9.140625" style="2"/>
    <col min="3" max="3" width="22.5703125" style="2" customWidth="1"/>
    <col min="4" max="4" width="17.28515625" style="2" customWidth="1"/>
    <col min="5" max="5" width="17.7109375" style="2" customWidth="1"/>
    <col min="6" max="6" width="16.85546875" style="2" customWidth="1"/>
    <col min="7" max="7" width="17.7109375" style="2" customWidth="1"/>
    <col min="8" max="8" width="16.28515625" style="2" customWidth="1"/>
    <col min="9" max="10" width="17.28515625" style="2" customWidth="1"/>
    <col min="11" max="11" width="16.5703125" style="2" customWidth="1"/>
    <col min="12" max="16384" width="9.140625" style="2"/>
  </cols>
  <sheetData>
    <row r="1" spans="1:11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>
      <c r="A3" s="108" t="s">
        <v>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>
      <c r="A4" s="111" t="s">
        <v>150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3.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81" t="s">
        <v>25</v>
      </c>
      <c r="K6" s="9" t="s">
        <v>27</v>
      </c>
    </row>
    <row r="7" spans="1:11">
      <c r="A7" s="7"/>
      <c r="B7" s="8"/>
      <c r="C7" s="8"/>
      <c r="D7" s="8"/>
      <c r="E7" s="10" t="s">
        <v>28</v>
      </c>
      <c r="F7" s="10" t="s">
        <v>115</v>
      </c>
      <c r="G7" s="10" t="s">
        <v>152</v>
      </c>
      <c r="H7" s="10" t="s">
        <v>153</v>
      </c>
      <c r="I7" s="10" t="s">
        <v>29</v>
      </c>
      <c r="J7" s="82" t="s">
        <v>149</v>
      </c>
      <c r="K7" s="10" t="s">
        <v>30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83"/>
      <c r="K8" s="84"/>
    </row>
    <row r="9" spans="1:11">
      <c r="A9" s="7">
        <v>1</v>
      </c>
      <c r="B9" s="8" t="s">
        <v>129</v>
      </c>
      <c r="C9" s="8"/>
      <c r="D9" s="8"/>
      <c r="E9" s="11">
        <f>SUM(F9:K9)</f>
        <v>530579000</v>
      </c>
      <c r="F9" s="11">
        <v>232554000</v>
      </c>
      <c r="G9" s="11">
        <v>77796000</v>
      </c>
      <c r="H9" s="11">
        <v>133266000</v>
      </c>
      <c r="I9" s="11">
        <v>12229000</v>
      </c>
      <c r="J9" s="85">
        <v>68105000</v>
      </c>
      <c r="K9" s="86">
        <v>6629000</v>
      </c>
    </row>
    <row r="10" spans="1:11">
      <c r="A10" s="7">
        <v>2</v>
      </c>
      <c r="B10" s="104" t="s">
        <v>155</v>
      </c>
      <c r="C10" s="8"/>
      <c r="D10" s="8"/>
      <c r="E10" s="11">
        <f>SUM(F10:K10)</f>
        <v>13578000</v>
      </c>
      <c r="F10" s="11">
        <f>9070000+1659000</f>
        <v>10729000</v>
      </c>
      <c r="G10" s="11">
        <f>386000+1044000</f>
        <v>1430000</v>
      </c>
      <c r="H10" s="11">
        <f>638000+1786000</f>
        <v>2424000</v>
      </c>
      <c r="I10" s="11">
        <f>73000+328000</f>
        <v>401000</v>
      </c>
      <c r="J10" s="85">
        <f>198000+1172000-3009000</f>
        <v>-1639000</v>
      </c>
      <c r="K10" s="86">
        <f>55000+178000</f>
        <v>233000</v>
      </c>
    </row>
    <row r="11" spans="1:11">
      <c r="A11" s="7">
        <v>3</v>
      </c>
      <c r="B11" s="8" t="s">
        <v>130</v>
      </c>
      <c r="C11" s="8"/>
      <c r="D11" s="8"/>
      <c r="E11" s="11">
        <f>SUM(F11:K11)</f>
        <v>544157000</v>
      </c>
      <c r="F11" s="11">
        <f t="shared" ref="F11:K11" si="0">F9+F10</f>
        <v>243283000</v>
      </c>
      <c r="G11" s="11">
        <f t="shared" si="0"/>
        <v>79226000</v>
      </c>
      <c r="H11" s="11">
        <f t="shared" si="0"/>
        <v>135690000</v>
      </c>
      <c r="I11" s="11">
        <f t="shared" si="0"/>
        <v>12630000</v>
      </c>
      <c r="J11" s="85">
        <f>J9+J10</f>
        <v>66466000</v>
      </c>
      <c r="K11" s="86">
        <f t="shared" si="0"/>
        <v>6862000</v>
      </c>
    </row>
    <row r="12" spans="1:11">
      <c r="A12" s="7"/>
      <c r="B12" s="8"/>
      <c r="C12" s="8"/>
      <c r="D12" s="8"/>
      <c r="E12" s="11"/>
      <c r="F12" s="11"/>
      <c r="G12" s="11"/>
      <c r="H12" s="11"/>
      <c r="I12" s="11"/>
      <c r="J12" s="85"/>
      <c r="K12" s="86"/>
    </row>
    <row r="13" spans="1:11">
      <c r="A13" s="7">
        <v>4</v>
      </c>
      <c r="B13" s="8" t="s">
        <v>131</v>
      </c>
      <c r="C13" s="8"/>
      <c r="D13" s="8"/>
      <c r="E13" s="12">
        <f>SUM(F13:K13)</f>
        <v>5615755915</v>
      </c>
      <c r="F13" s="13">
        <v>2395485525</v>
      </c>
      <c r="G13" s="13">
        <f>621898154-1</f>
        <v>621898153</v>
      </c>
      <c r="H13" s="13">
        <v>1369570126</v>
      </c>
      <c r="I13" s="13">
        <v>139623053</v>
      </c>
      <c r="J13" s="87">
        <f>620117686+451099448</f>
        <v>1071217134</v>
      </c>
      <c r="K13" s="88">
        <v>17961924</v>
      </c>
    </row>
    <row r="14" spans="1:11">
      <c r="A14" s="7">
        <v>5</v>
      </c>
      <c r="B14" s="8" t="s">
        <v>104</v>
      </c>
      <c r="C14" s="8"/>
      <c r="D14" s="14"/>
      <c r="E14" s="14">
        <f t="shared" ref="E14:K14" si="1">$E$27</f>
        <v>1.3599999999999999E-2</v>
      </c>
      <c r="F14" s="14">
        <f t="shared" si="1"/>
        <v>1.3599999999999999E-2</v>
      </c>
      <c r="G14" s="14">
        <f t="shared" si="1"/>
        <v>1.3599999999999999E-2</v>
      </c>
      <c r="H14" s="14">
        <f t="shared" si="1"/>
        <v>1.3599999999999999E-2</v>
      </c>
      <c r="I14" s="14">
        <f t="shared" si="1"/>
        <v>1.3599999999999999E-2</v>
      </c>
      <c r="J14" s="89">
        <f t="shared" si="1"/>
        <v>1.3599999999999999E-2</v>
      </c>
      <c r="K14" s="90">
        <f t="shared" si="1"/>
        <v>1.3599999999999999E-2</v>
      </c>
    </row>
    <row r="15" spans="1:11">
      <c r="A15" s="7">
        <v>6</v>
      </c>
      <c r="B15" s="8" t="s">
        <v>53</v>
      </c>
      <c r="C15" s="8"/>
      <c r="D15" s="14"/>
      <c r="E15" s="11">
        <f>SUM(F15:K15)</f>
        <v>76374280.443999991</v>
      </c>
      <c r="F15" s="11">
        <f>F14*F13</f>
        <v>32578603.139999997</v>
      </c>
      <c r="G15" s="11">
        <f t="shared" ref="G15:K15" si="2">G14*G13</f>
        <v>8457814.8807999995</v>
      </c>
      <c r="H15" s="11">
        <f t="shared" si="2"/>
        <v>18626153.713599999</v>
      </c>
      <c r="I15" s="11">
        <f t="shared" si="2"/>
        <v>1898873.5207999998</v>
      </c>
      <c r="J15" s="85">
        <f>J14*J13</f>
        <v>14568553.022399999</v>
      </c>
      <c r="K15" s="86">
        <f t="shared" si="2"/>
        <v>244282.16639999999</v>
      </c>
    </row>
    <row r="16" spans="1:11">
      <c r="A16" s="7"/>
      <c r="B16" s="8"/>
      <c r="C16" s="8"/>
      <c r="D16" s="8"/>
      <c r="E16" s="11"/>
      <c r="F16" s="11"/>
      <c r="G16" s="11"/>
      <c r="H16" s="11"/>
      <c r="I16" s="11"/>
      <c r="J16" s="85"/>
      <c r="K16" s="86"/>
    </row>
    <row r="17" spans="1:11">
      <c r="A17" s="7">
        <v>7</v>
      </c>
      <c r="B17" s="8" t="s">
        <v>56</v>
      </c>
      <c r="C17" s="8"/>
      <c r="D17" s="8"/>
      <c r="E17" s="11">
        <f>SUM(F17:K17)</f>
        <v>409267554.74480003</v>
      </c>
      <c r="F17" s="15">
        <f t="shared" ref="F17:I17" si="3">F11-F15</f>
        <v>210704396.86000001</v>
      </c>
      <c r="G17" s="15">
        <f t="shared" si="3"/>
        <v>70768185.119200006</v>
      </c>
      <c r="H17" s="15">
        <f t="shared" si="3"/>
        <v>117063846.28640001</v>
      </c>
      <c r="I17" s="15">
        <f t="shared" si="3"/>
        <v>10731126.4792</v>
      </c>
      <c r="J17" s="83"/>
      <c r="K17" s="84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3"/>
      <c r="K18" s="84"/>
    </row>
    <row r="19" spans="1:11">
      <c r="A19" s="7">
        <v>8</v>
      </c>
      <c r="B19" s="8" t="s">
        <v>132</v>
      </c>
      <c r="C19" s="8"/>
      <c r="D19" s="8"/>
      <c r="E19" s="12">
        <f>SUM(F19:K19)</f>
        <v>3063751</v>
      </c>
      <c r="F19" s="16">
        <v>2619517</v>
      </c>
      <c r="G19" s="16">
        <v>391801</v>
      </c>
      <c r="H19" s="16">
        <v>22941</v>
      </c>
      <c r="I19" s="16">
        <v>29492</v>
      </c>
      <c r="J19" s="83"/>
      <c r="K19" s="84"/>
    </row>
    <row r="20" spans="1:11">
      <c r="A20" s="7">
        <v>9</v>
      </c>
      <c r="B20" s="8" t="s">
        <v>119</v>
      </c>
      <c r="C20" s="8"/>
      <c r="D20" s="8"/>
      <c r="E20" s="11"/>
      <c r="F20" s="61">
        <v>9</v>
      </c>
      <c r="G20" s="61">
        <v>20</v>
      </c>
      <c r="H20" s="61">
        <v>550</v>
      </c>
      <c r="I20" s="61">
        <v>20</v>
      </c>
      <c r="J20" s="83"/>
      <c r="K20" s="84"/>
    </row>
    <row r="21" spans="1:11">
      <c r="A21" s="7">
        <v>10</v>
      </c>
      <c r="B21" s="8" t="s">
        <v>54</v>
      </c>
      <c r="C21" s="8"/>
      <c r="D21" s="8"/>
      <c r="E21" s="11">
        <f>SUM(F21:K21)</f>
        <v>44619063</v>
      </c>
      <c r="F21" s="17">
        <f>F20*F19</f>
        <v>23575653</v>
      </c>
      <c r="G21" s="17">
        <f>G20*G19</f>
        <v>7836020</v>
      </c>
      <c r="H21" s="17">
        <f>H20*H19</f>
        <v>12617550</v>
      </c>
      <c r="I21" s="17">
        <f>I20*I19</f>
        <v>589840</v>
      </c>
      <c r="J21" s="83"/>
      <c r="K21" s="84"/>
    </row>
    <row r="22" spans="1:11">
      <c r="A22" s="7"/>
      <c r="B22" s="8"/>
      <c r="C22" s="8"/>
      <c r="D22" s="8"/>
      <c r="E22" s="11"/>
      <c r="F22" s="17"/>
      <c r="G22" s="17"/>
      <c r="H22" s="17"/>
      <c r="I22" s="17"/>
      <c r="J22" s="109" t="s">
        <v>72</v>
      </c>
      <c r="K22" s="110"/>
    </row>
    <row r="23" spans="1:11">
      <c r="A23" s="7">
        <v>11</v>
      </c>
      <c r="B23" s="8" t="s">
        <v>55</v>
      </c>
      <c r="C23" s="8"/>
      <c r="D23" s="8"/>
      <c r="E23" s="11">
        <f>SUM(F23:K23)</f>
        <v>364648491.74480003</v>
      </c>
      <c r="F23" s="15">
        <f>F17-F21</f>
        <v>187128743.86000001</v>
      </c>
      <c r="G23" s="15">
        <f>G17-G21</f>
        <v>62932165.119200006</v>
      </c>
      <c r="H23" s="15">
        <f>H17-H21</f>
        <v>104446296.28640001</v>
      </c>
      <c r="I23" s="15">
        <f>I17-I21</f>
        <v>10141286.4792</v>
      </c>
      <c r="J23" s="109"/>
      <c r="K23" s="110"/>
    </row>
    <row r="24" spans="1:11">
      <c r="A24" s="7"/>
      <c r="B24" s="8"/>
      <c r="C24" s="8"/>
      <c r="D24" s="8"/>
      <c r="E24" s="8"/>
      <c r="F24" s="12"/>
      <c r="G24" s="8"/>
      <c r="H24" s="8"/>
      <c r="I24" s="8"/>
      <c r="J24" s="8"/>
      <c r="K24" s="8"/>
    </row>
    <row r="25" spans="1:11">
      <c r="A25" s="7">
        <v>12</v>
      </c>
      <c r="B25" s="8" t="s">
        <v>158</v>
      </c>
      <c r="C25" s="8"/>
      <c r="D25" s="8"/>
      <c r="E25" s="91">
        <v>1.2999999999999999E-2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50</v>
      </c>
      <c r="C26" s="8"/>
      <c r="D26" s="8"/>
      <c r="E26" s="19">
        <f>1/'Attachment 3, Page 4'!E22</f>
        <v>1.0459501026690385</v>
      </c>
      <c r="F26" s="20"/>
      <c r="G26" s="8"/>
      <c r="H26" s="20"/>
      <c r="I26" s="8"/>
      <c r="J26" s="8"/>
      <c r="K26" s="8"/>
    </row>
    <row r="27" spans="1:11">
      <c r="A27" s="7">
        <v>14</v>
      </c>
      <c r="B27" s="8" t="s">
        <v>105</v>
      </c>
      <c r="C27" s="8"/>
      <c r="D27" s="8"/>
      <c r="E27" s="18">
        <f>ROUND(E25*E26,5)</f>
        <v>1.3599999999999999E-2</v>
      </c>
      <c r="F27" s="20"/>
      <c r="G27" s="8"/>
      <c r="H27" s="20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52</v>
      </c>
      <c r="H29" s="6"/>
    </row>
    <row r="30" spans="1:11">
      <c r="A30" s="3">
        <v>15</v>
      </c>
      <c r="B30" s="2" t="s">
        <v>60</v>
      </c>
      <c r="F30" s="54">
        <f>ROUND(F19/12,0)</f>
        <v>218293</v>
      </c>
      <c r="G30" s="54">
        <f>ROUND((G19+H19+I19)/12,0)</f>
        <v>37020</v>
      </c>
    </row>
    <row r="31" spans="1:11">
      <c r="A31" s="3">
        <v>16</v>
      </c>
      <c r="B31" s="2" t="s">
        <v>59</v>
      </c>
      <c r="F31" s="55">
        <f>F13</f>
        <v>2395485525</v>
      </c>
      <c r="G31" s="55">
        <f>G13+H13+I13</f>
        <v>2131091332</v>
      </c>
    </row>
    <row r="32" spans="1:11">
      <c r="A32" s="3">
        <v>17</v>
      </c>
      <c r="B32" s="2" t="s">
        <v>57</v>
      </c>
      <c r="F32" s="55">
        <f>F21</f>
        <v>23575653</v>
      </c>
      <c r="G32" s="55">
        <f>G21+H21+I21</f>
        <v>21043410</v>
      </c>
    </row>
    <row r="33" spans="1:9">
      <c r="A33" s="3">
        <v>18</v>
      </c>
      <c r="B33" s="2" t="s">
        <v>31</v>
      </c>
      <c r="F33" s="5">
        <f>F19</f>
        <v>2619517</v>
      </c>
      <c r="G33" s="5">
        <f>G19+H19+I19</f>
        <v>444234</v>
      </c>
    </row>
    <row r="34" spans="1:9">
      <c r="A34" s="3">
        <v>19</v>
      </c>
      <c r="B34" s="2" t="s">
        <v>58</v>
      </c>
      <c r="F34" s="56">
        <f>F32/F33</f>
        <v>9</v>
      </c>
      <c r="G34" s="56">
        <f>G32/G33</f>
        <v>47.370102243412255</v>
      </c>
    </row>
    <row r="35" spans="1:9">
      <c r="G35" s="53"/>
      <c r="H35" s="4"/>
    </row>
    <row r="36" spans="1:9">
      <c r="A36" s="2" t="s">
        <v>125</v>
      </c>
      <c r="G36" s="53"/>
      <c r="H36" s="4"/>
    </row>
    <row r="37" spans="1:9">
      <c r="G37" s="53"/>
      <c r="H37" s="4"/>
    </row>
    <row r="38" spans="1:9">
      <c r="D38" s="2" t="s">
        <v>106</v>
      </c>
    </row>
    <row r="39" spans="1:9">
      <c r="D39" s="2" t="s">
        <v>107</v>
      </c>
      <c r="F39" s="92">
        <f>F23/F13</f>
        <v>7.811725093183354E-2</v>
      </c>
      <c r="G39" s="92">
        <f t="shared" ref="G39:I39" si="4">G23/G13</f>
        <v>0.10119368391049073</v>
      </c>
      <c r="H39" s="92">
        <f t="shared" si="4"/>
        <v>7.6262101738045651E-2</v>
      </c>
      <c r="I39" s="92">
        <f t="shared" si="4"/>
        <v>7.2633324234788077E-2</v>
      </c>
    </row>
    <row r="40" spans="1:9">
      <c r="D40" s="2" t="s">
        <v>108</v>
      </c>
      <c r="F40" s="93">
        <f>F39+F14</f>
        <v>9.1717250931833541E-2</v>
      </c>
      <c r="G40" s="93">
        <f t="shared" ref="G40:I40" si="5">G39+G14</f>
        <v>0.11479368391049073</v>
      </c>
      <c r="H40" s="93">
        <f t="shared" si="5"/>
        <v>8.9862101738045652E-2</v>
      </c>
      <c r="I40" s="93">
        <f t="shared" si="5"/>
        <v>8.6233324234788078E-2</v>
      </c>
    </row>
  </sheetData>
  <mergeCells count="5">
    <mergeCell ref="A1:K1"/>
    <mergeCell ref="A2:K2"/>
    <mergeCell ref="A3:K3"/>
    <mergeCell ref="J22:K23"/>
    <mergeCell ref="A4:K4"/>
  </mergeCells>
  <printOptions horizontalCentered="1"/>
  <pageMargins left="0.6" right="0.6" top="0.75" bottom="0.75" header="0.3" footer="0.61"/>
  <pageSetup scale="72" orientation="landscape" r:id="rId1"/>
  <headerFooter scaleWithDoc="0">
    <oddFooter>&amp;C&amp;12Attachment 3 (UE-200900 Compliance)&amp;R&amp;12 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J24"/>
  <sheetViews>
    <sheetView tabSelected="1" view="pageLayout" zoomScaleNormal="100" workbookViewId="0">
      <selection activeCell="H32" sqref="H32"/>
    </sheetView>
  </sheetViews>
  <sheetFormatPr defaultColWidth="9.140625" defaultRowHeight="15.75"/>
  <cols>
    <col min="1" max="1" width="6" style="2" customWidth="1"/>
    <col min="2" max="2" width="40.85546875" style="2" customWidth="1"/>
    <col min="3" max="3" width="19.28515625" style="2" customWidth="1"/>
    <col min="4" max="4" width="16.85546875" style="2" bestFit="1" customWidth="1"/>
    <col min="5" max="5" width="17.85546875" style="2" customWidth="1"/>
    <col min="6" max="6" width="13.7109375" style="2" bestFit="1" customWidth="1"/>
    <col min="7" max="16384" width="9.140625" style="2"/>
  </cols>
  <sheetData>
    <row r="2" spans="1:10">
      <c r="A2" s="107" t="s">
        <v>20</v>
      </c>
      <c r="B2" s="107"/>
      <c r="C2" s="107"/>
      <c r="D2" s="107"/>
      <c r="E2" s="107"/>
    </row>
    <row r="3" spans="1:10">
      <c r="A3" s="107" t="s">
        <v>48</v>
      </c>
      <c r="B3" s="107"/>
      <c r="C3" s="107"/>
      <c r="D3" s="107"/>
      <c r="E3" s="107"/>
    </row>
    <row r="4" spans="1:10">
      <c r="A4" s="108" t="s">
        <v>68</v>
      </c>
      <c r="B4" s="108"/>
      <c r="C4" s="108"/>
      <c r="D4" s="108"/>
      <c r="E4" s="108"/>
    </row>
    <row r="5" spans="1:10">
      <c r="A5" s="112" t="str">
        <f>'Attachment 3, Page 1'!A4:K4</f>
        <v>Washington Docket No. UE-200900 Compliance Filing</v>
      </c>
      <c r="B5" s="112"/>
      <c r="C5" s="112"/>
      <c r="D5" s="112"/>
      <c r="E5" s="112"/>
    </row>
    <row r="6" spans="1:10" ht="40.15" customHeight="1">
      <c r="A6" s="26"/>
      <c r="B6" s="26"/>
      <c r="C6" s="26"/>
      <c r="D6" s="26"/>
      <c r="E6" s="26"/>
    </row>
    <row r="7" spans="1:10" ht="31.5">
      <c r="A7" s="27" t="s">
        <v>17</v>
      </c>
      <c r="B7" s="28"/>
      <c r="C7" s="27" t="s">
        <v>16</v>
      </c>
      <c r="D7" s="27" t="s">
        <v>19</v>
      </c>
      <c r="E7" s="27" t="s">
        <v>18</v>
      </c>
    </row>
    <row r="8" spans="1:10">
      <c r="A8" s="26"/>
      <c r="B8" s="29" t="s">
        <v>14</v>
      </c>
      <c r="C8" s="29" t="s">
        <v>13</v>
      </c>
      <c r="D8" s="29" t="s">
        <v>12</v>
      </c>
      <c r="E8" s="29" t="s">
        <v>11</v>
      </c>
    </row>
    <row r="9" spans="1:10">
      <c r="A9" s="29"/>
      <c r="B9" s="30"/>
      <c r="C9" s="29"/>
      <c r="D9" s="29"/>
      <c r="E9" s="29"/>
    </row>
    <row r="10" spans="1:10" ht="17.25" customHeight="1">
      <c r="A10" s="29">
        <v>1</v>
      </c>
      <c r="B10" s="26" t="s">
        <v>62</v>
      </c>
      <c r="C10" s="29" t="s">
        <v>125</v>
      </c>
      <c r="D10" s="31">
        <f>'Attachment 3, Page 1'!F23</f>
        <v>187128743.86000001</v>
      </c>
      <c r="E10" s="31">
        <f>SUM('Attachment 3, Page 1'!G23:I23)</f>
        <v>177519747.88480002</v>
      </c>
      <c r="F10" s="4">
        <f>9070000+1659000</f>
        <v>10729000</v>
      </c>
      <c r="G10" s="2">
        <f>386000+1044000</f>
        <v>1430000</v>
      </c>
      <c r="H10" s="2">
        <f>638000+1786000</f>
        <v>2424000</v>
      </c>
      <c r="J10" s="2">
        <f>198000+1172000-3009000</f>
        <v>-1639000</v>
      </c>
    </row>
    <row r="11" spans="1:10" ht="17.25" customHeight="1">
      <c r="A11" s="29"/>
      <c r="B11" s="26"/>
      <c r="C11" s="26"/>
      <c r="D11" s="26"/>
      <c r="E11" s="26"/>
    </row>
    <row r="12" spans="1:10" ht="17.25" customHeight="1">
      <c r="A12" s="29">
        <v>2</v>
      </c>
      <c r="B12" s="26" t="s">
        <v>135</v>
      </c>
      <c r="C12" s="29" t="s">
        <v>51</v>
      </c>
      <c r="D12" s="32">
        <f>'Attachment 3, Page 1'!F19/12</f>
        <v>218293.08333333334</v>
      </c>
      <c r="E12" s="32">
        <f>SUM('Attachment 3, Page 1'!G19:I19)/12</f>
        <v>37019.5</v>
      </c>
    </row>
    <row r="13" spans="1:10" ht="17.25" customHeight="1">
      <c r="A13" s="29"/>
      <c r="B13" s="26"/>
      <c r="C13" s="26"/>
      <c r="D13" s="32"/>
      <c r="E13" s="32"/>
    </row>
    <row r="14" spans="1:10" ht="17.25" customHeight="1">
      <c r="A14" s="29">
        <v>3</v>
      </c>
      <c r="B14" s="26" t="s">
        <v>63</v>
      </c>
      <c r="C14" s="29" t="str">
        <f>"("&amp;A10&amp;") / ("&amp;A12&amp;")"</f>
        <v>(1) / (2)</v>
      </c>
      <c r="D14" s="33">
        <f>ROUND(D10/D12,2)</f>
        <v>857.24</v>
      </c>
      <c r="E14" s="33">
        <f>ROUND(E10/E12,2)</f>
        <v>4795.3</v>
      </c>
    </row>
    <row r="15" spans="1:10" ht="17.25" customHeight="1">
      <c r="A15" s="29"/>
      <c r="B15" s="26"/>
      <c r="C15" s="26"/>
      <c r="D15" s="34"/>
      <c r="E15" s="34"/>
    </row>
    <row r="16" spans="1:10" ht="17.25" customHeight="1">
      <c r="A16" s="29"/>
      <c r="B16" s="35" t="s">
        <v>151</v>
      </c>
      <c r="C16" s="26"/>
      <c r="D16" s="26"/>
      <c r="E16" s="26"/>
    </row>
    <row r="19" spans="1:5">
      <c r="A19" s="2" t="s">
        <v>127</v>
      </c>
    </row>
    <row r="20" spans="1:5">
      <c r="B20" s="59" t="s">
        <v>64</v>
      </c>
    </row>
    <row r="21" spans="1:5">
      <c r="B21" s="59" t="s">
        <v>65</v>
      </c>
      <c r="D21" s="31">
        <f>D12*D14</f>
        <v>187129562.75666669</v>
      </c>
      <c r="E21" s="31">
        <f>E12*E14</f>
        <v>177519608.34999999</v>
      </c>
    </row>
    <row r="22" spans="1:5">
      <c r="B22" s="59" t="s">
        <v>67</v>
      </c>
      <c r="D22" s="31">
        <f>'Attachment 3, Page 1'!F32</f>
        <v>23575653</v>
      </c>
      <c r="E22" s="31">
        <f>'Attachment 3, Page 1'!G32</f>
        <v>21043410</v>
      </c>
    </row>
    <row r="23" spans="1:5">
      <c r="B23" s="59" t="s">
        <v>66</v>
      </c>
      <c r="D23" s="31">
        <f>'Attachment 3, Page 1'!F15</f>
        <v>32578603.139999997</v>
      </c>
      <c r="E23" s="31">
        <f>'Attachment 3, Page 1'!G15+'Attachment 3, Page 1'!H15+'Attachment 3, Page 1'!I15</f>
        <v>28982842.115199994</v>
      </c>
    </row>
    <row r="24" spans="1:5">
      <c r="B24" s="59" t="s">
        <v>15</v>
      </c>
      <c r="D24" s="60">
        <f>SUM(D21:D23)</f>
        <v>243283818.89666668</v>
      </c>
      <c r="E24" s="60">
        <f>SUM(E21:E23)</f>
        <v>227545860.46519998</v>
      </c>
    </row>
  </sheetData>
  <mergeCells count="4">
    <mergeCell ref="A2:E2"/>
    <mergeCell ref="A3:E3"/>
    <mergeCell ref="A4:E4"/>
    <mergeCell ref="A5:E5"/>
  </mergeCells>
  <printOptions horizontalCentered="1"/>
  <pageMargins left="0.6" right="0.6" top="0.75" bottom="0.75" header="0.3" footer="0.6"/>
  <pageSetup orientation="landscape" r:id="rId1"/>
  <headerFooter scaleWithDoc="0">
    <oddFooter>&amp;C&amp;12Attachment 3 (UE-200900 Compliance)&amp;R&amp;12 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37"/>
  <sheetViews>
    <sheetView tabSelected="1" view="pageLayout" topLeftCell="B1" zoomScaleNormal="100" workbookViewId="0">
      <selection activeCell="H32" sqref="H32"/>
    </sheetView>
  </sheetViews>
  <sheetFormatPr defaultColWidth="9.140625" defaultRowHeight="15"/>
  <cols>
    <col min="1" max="1" width="5.7109375" style="1" customWidth="1"/>
    <col min="2" max="2" width="26.28515625" style="1" customWidth="1"/>
    <col min="3" max="3" width="17.42578125" style="1" customWidth="1"/>
    <col min="4" max="4" width="12.5703125" style="1" customWidth="1"/>
    <col min="5" max="5" width="12.7109375" style="1" customWidth="1"/>
    <col min="6" max="6" width="12.5703125" style="1" customWidth="1"/>
    <col min="7" max="7" width="12.28515625" style="1" customWidth="1"/>
    <col min="8" max="9" width="12.5703125" style="1" customWidth="1"/>
    <col min="10" max="10" width="12.28515625" style="1" customWidth="1"/>
    <col min="11" max="11" width="12.7109375" style="1" customWidth="1"/>
    <col min="12" max="12" width="12.5703125" style="1" customWidth="1"/>
    <col min="13" max="13" width="12.28515625" style="1" customWidth="1"/>
    <col min="14" max="14" width="12.140625" style="1" customWidth="1"/>
    <col min="15" max="15" width="12.28515625" style="1" customWidth="1"/>
    <col min="16" max="16" width="13.85546875" style="1" customWidth="1"/>
    <col min="17" max="16384" width="9.140625" style="1"/>
  </cols>
  <sheetData>
    <row r="1" spans="1:16" ht="18.75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.75">
      <c r="A2" s="113" t="str">
        <f>'Attachment 3, Page 2'!A3:E3</f>
        <v xml:space="preserve"> Electric Decoupling Mechanism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8.75">
      <c r="A3" s="114" t="s">
        <v>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.75">
      <c r="A4" s="114" t="str">
        <f>'Attachment 3, Page 1'!A4:K4</f>
        <v>Washington Docket No. UE-200900 Compliance Filing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30.6" customHeight="1">
      <c r="A6" s="36" t="s">
        <v>17</v>
      </c>
      <c r="B6" s="22"/>
      <c r="C6" s="37" t="s">
        <v>16</v>
      </c>
      <c r="D6" s="38" t="s">
        <v>32</v>
      </c>
      <c r="E6" s="38" t="s">
        <v>33</v>
      </c>
      <c r="F6" s="38" t="s">
        <v>34</v>
      </c>
      <c r="G6" s="38" t="s">
        <v>35</v>
      </c>
      <c r="H6" s="38" t="s">
        <v>36</v>
      </c>
      <c r="I6" s="38" t="s">
        <v>37</v>
      </c>
      <c r="J6" s="38" t="s">
        <v>38</v>
      </c>
      <c r="K6" s="38" t="s">
        <v>39</v>
      </c>
      <c r="L6" s="38" t="s">
        <v>40</v>
      </c>
      <c r="M6" s="38" t="s">
        <v>41</v>
      </c>
      <c r="N6" s="38" t="s">
        <v>42</v>
      </c>
      <c r="O6" s="38" t="s">
        <v>43</v>
      </c>
      <c r="P6" s="36" t="s">
        <v>28</v>
      </c>
    </row>
    <row r="7" spans="1:16">
      <c r="A7" s="21"/>
      <c r="B7" s="23" t="s">
        <v>14</v>
      </c>
      <c r="C7" s="23" t="s">
        <v>13</v>
      </c>
      <c r="D7" s="23" t="s">
        <v>12</v>
      </c>
      <c r="E7" s="23" t="s">
        <v>11</v>
      </c>
      <c r="F7" s="23" t="s">
        <v>10</v>
      </c>
      <c r="G7" s="23" t="s">
        <v>9</v>
      </c>
      <c r="H7" s="23" t="s">
        <v>8</v>
      </c>
      <c r="I7" s="23" t="s">
        <v>7</v>
      </c>
      <c r="J7" s="23" t="s">
        <v>6</v>
      </c>
      <c r="K7" s="23" t="s">
        <v>5</v>
      </c>
      <c r="L7" s="23" t="s">
        <v>4</v>
      </c>
      <c r="M7" s="23" t="s">
        <v>3</v>
      </c>
      <c r="N7" s="23" t="s">
        <v>2</v>
      </c>
      <c r="O7" s="23" t="s">
        <v>1</v>
      </c>
      <c r="P7" s="23" t="s">
        <v>0</v>
      </c>
    </row>
    <row r="8" spans="1:16">
      <c r="A8" s="23">
        <v>1</v>
      </c>
      <c r="B8" s="39" t="s">
        <v>44</v>
      </c>
      <c r="C8" s="23"/>
      <c r="D8" s="21"/>
      <c r="E8" s="21"/>
      <c r="F8" s="21"/>
      <c r="G8" s="21"/>
      <c r="H8" s="24"/>
      <c r="I8" s="24"/>
      <c r="J8" s="21"/>
      <c r="K8" s="21"/>
      <c r="L8" s="21"/>
      <c r="M8" s="21"/>
      <c r="N8" s="21"/>
      <c r="O8" s="21"/>
      <c r="P8" s="40"/>
    </row>
    <row r="9" spans="1:16">
      <c r="A9" s="23">
        <f t="shared" ref="A9:A28" si="0">A8+1</f>
        <v>2</v>
      </c>
      <c r="B9" s="41" t="s">
        <v>19</v>
      </c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0"/>
    </row>
    <row r="10" spans="1:16">
      <c r="A10" s="23">
        <f t="shared" si="0"/>
        <v>3</v>
      </c>
      <c r="B10" s="25" t="s">
        <v>45</v>
      </c>
      <c r="C10" s="23" t="s">
        <v>114</v>
      </c>
      <c r="D10" s="52">
        <f>'TY Normalized Usage by Month'!D53</f>
        <v>274360635.00099999</v>
      </c>
      <c r="E10" s="52">
        <f>'TY Normalized Usage by Month'!E53</f>
        <v>207193378.29500002</v>
      </c>
      <c r="F10" s="52">
        <f>9070000+1659000</f>
        <v>10729000</v>
      </c>
      <c r="G10" s="52">
        <f>386000+1044000</f>
        <v>1430000</v>
      </c>
      <c r="H10" s="52">
        <f>638000+1786000</f>
        <v>2424000</v>
      </c>
      <c r="I10" s="52">
        <f>'TY Normalized Usage by Month'!I53</f>
        <v>147189238.35699999</v>
      </c>
      <c r="J10" s="52">
        <f>198000+1172000-3009000</f>
        <v>-1639000</v>
      </c>
      <c r="K10" s="52">
        <f>'TY Normalized Usage by Month'!K53</f>
        <v>178597371.602</v>
      </c>
      <c r="L10" s="52">
        <f>'TY Normalized Usage by Month'!L53</f>
        <v>154091917.74200001</v>
      </c>
      <c r="M10" s="52">
        <f>'TY Normalized Usage by Month'!M53</f>
        <v>172757206.697</v>
      </c>
      <c r="N10" s="52">
        <f>'TY Normalized Usage by Month'!N53</f>
        <v>218913345.961</v>
      </c>
      <c r="O10" s="52">
        <f>'TY Normalized Usage by Month'!O53</f>
        <v>280299613.98699999</v>
      </c>
      <c r="P10" s="42">
        <f>SUM(D10:O10)</f>
        <v>1646346707.642</v>
      </c>
    </row>
    <row r="11" spans="1:16">
      <c r="A11" s="23">
        <f t="shared" si="0"/>
        <v>4</v>
      </c>
      <c r="B11" s="21" t="s">
        <v>46</v>
      </c>
      <c r="C11" s="43" t="s">
        <v>49</v>
      </c>
      <c r="D11" s="44">
        <f t="shared" ref="D11:O11" si="1">D10/$P10</f>
        <v>0.16664815116249501</v>
      </c>
      <c r="E11" s="44">
        <f t="shared" si="1"/>
        <v>0.12585039186050626</v>
      </c>
      <c r="F11" s="44">
        <f t="shared" si="1"/>
        <v>6.5168533154032543E-3</v>
      </c>
      <c r="G11" s="44">
        <f t="shared" si="1"/>
        <v>8.6858982580171999E-4</v>
      </c>
      <c r="H11" s="44">
        <f t="shared" si="1"/>
        <v>1.4723508655548037E-3</v>
      </c>
      <c r="I11" s="44">
        <f t="shared" si="1"/>
        <v>8.9403548884191941E-2</v>
      </c>
      <c r="J11" s="44">
        <f t="shared" si="1"/>
        <v>-9.9553756957274065E-4</v>
      </c>
      <c r="K11" s="44">
        <f t="shared" si="1"/>
        <v>0.10848102090099737</v>
      </c>
      <c r="L11" s="44">
        <f t="shared" si="1"/>
        <v>9.3596274118165568E-2</v>
      </c>
      <c r="M11" s="44">
        <f t="shared" si="1"/>
        <v>0.1049336727768804</v>
      </c>
      <c r="N11" s="44">
        <f t="shared" si="1"/>
        <v>0.13296916435939626</v>
      </c>
      <c r="O11" s="44">
        <f t="shared" si="1"/>
        <v>0.1702555195001802</v>
      </c>
      <c r="P11" s="44">
        <f>SUM(D11:O11)</f>
        <v>1</v>
      </c>
    </row>
    <row r="12" spans="1:16">
      <c r="A12" s="23"/>
      <c r="B12" s="21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>
      <c r="A13" s="23">
        <v>5</v>
      </c>
      <c r="B13" s="41" t="s">
        <v>47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>
      <c r="A14" s="23">
        <v>6</v>
      </c>
      <c r="B14" s="25" t="s">
        <v>45</v>
      </c>
      <c r="C14" s="23" t="s">
        <v>114</v>
      </c>
      <c r="D14" s="52">
        <f>'TY Normalized Usage by Month'!D56</f>
        <v>179816968.33199999</v>
      </c>
      <c r="E14" s="52">
        <f>'TY Normalized Usage by Month'!E56</f>
        <v>169080975.83200002</v>
      </c>
      <c r="F14" s="52">
        <f>'TY Normalized Usage by Month'!F56</f>
        <v>165320800.23899999</v>
      </c>
      <c r="G14" s="52">
        <f>'TY Normalized Usage by Month'!G56</f>
        <v>161641994.10200003</v>
      </c>
      <c r="H14" s="52">
        <f>'TY Normalized Usage by Month'!H56</f>
        <v>174637011.808</v>
      </c>
      <c r="I14" s="52">
        <f>'TY Normalized Usage by Month'!I56</f>
        <v>181579984.44</v>
      </c>
      <c r="J14" s="52">
        <f>'TY Normalized Usage by Month'!J56</f>
        <v>203004360.49900001</v>
      </c>
      <c r="K14" s="52">
        <f>'TY Normalized Usage by Month'!K56</f>
        <v>194109759.51300001</v>
      </c>
      <c r="L14" s="52">
        <f>'TY Normalized Usage by Month'!L56</f>
        <v>173098756.25199997</v>
      </c>
      <c r="M14" s="52">
        <f>'TY Normalized Usage by Month'!M56</f>
        <v>186883169.097</v>
      </c>
      <c r="N14" s="52">
        <f>'TY Normalized Usage by Month'!N56</f>
        <v>162591051.52900001</v>
      </c>
      <c r="O14" s="52">
        <f>'TY Normalized Usage by Month'!O56</f>
        <v>179326501.192</v>
      </c>
      <c r="P14" s="42">
        <f>SUM(D14:O14)</f>
        <v>2131091332.8350003</v>
      </c>
    </row>
    <row r="15" spans="1:16">
      <c r="A15" s="23">
        <v>7</v>
      </c>
      <c r="B15" s="21" t="s">
        <v>46</v>
      </c>
      <c r="C15" s="43" t="s">
        <v>49</v>
      </c>
      <c r="D15" s="47">
        <f t="shared" ref="D15:O15" si="2">D14/$P14</f>
        <v>8.4377879803391009E-2</v>
      </c>
      <c r="E15" s="47">
        <f t="shared" si="2"/>
        <v>7.93400889144769E-2</v>
      </c>
      <c r="F15" s="47">
        <f t="shared" si="2"/>
        <v>7.7575652292233288E-2</v>
      </c>
      <c r="G15" s="47">
        <f t="shared" si="2"/>
        <v>7.5849397729456744E-2</v>
      </c>
      <c r="H15" s="47">
        <f t="shared" si="2"/>
        <v>8.1947220711408739E-2</v>
      </c>
      <c r="I15" s="47">
        <f t="shared" si="2"/>
        <v>8.5205163027172251E-2</v>
      </c>
      <c r="J15" s="47">
        <f t="shared" si="2"/>
        <v>9.525840463577992E-2</v>
      </c>
      <c r="K15" s="47">
        <f t="shared" si="2"/>
        <v>9.1084674092674831E-2</v>
      </c>
      <c r="L15" s="47">
        <f t="shared" si="2"/>
        <v>8.1225404835993553E-2</v>
      </c>
      <c r="M15" s="47">
        <f t="shared" si="2"/>
        <v>8.7693646075876291E-2</v>
      </c>
      <c r="N15" s="47">
        <f t="shared" si="2"/>
        <v>7.6294736421598799E-2</v>
      </c>
      <c r="O15" s="47">
        <f t="shared" si="2"/>
        <v>8.414773145993755E-2</v>
      </c>
      <c r="P15" s="47">
        <f>SUM(D15:O15)</f>
        <v>0.99999999999999989</v>
      </c>
    </row>
    <row r="16" spans="1:16">
      <c r="A16" s="23"/>
      <c r="B16" s="21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>
      <c r="A17" s="23"/>
      <c r="B17" s="41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0"/>
    </row>
    <row r="18" spans="1:16">
      <c r="A18" s="23"/>
      <c r="B18" s="25"/>
      <c r="C18" s="2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2"/>
    </row>
    <row r="19" spans="1:16">
      <c r="A19" s="23"/>
      <c r="B19" s="21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>
      <c r="A20" s="23"/>
      <c r="B20" s="21"/>
      <c r="C20" s="23"/>
      <c r="D20" s="4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>
      <c r="A21" s="23">
        <v>8</v>
      </c>
      <c r="B21" s="39" t="s">
        <v>69</v>
      </c>
      <c r="C21" s="23"/>
      <c r="D21" s="4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>
      <c r="A22" s="23">
        <f t="shared" si="0"/>
        <v>9</v>
      </c>
      <c r="B22" s="41" t="s">
        <v>19</v>
      </c>
      <c r="C22" s="23"/>
      <c r="D22" s="4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>
      <c r="A23" s="23">
        <f t="shared" si="0"/>
        <v>10</v>
      </c>
      <c r="B23" s="21" t="s">
        <v>134</v>
      </c>
      <c r="C23" s="23" t="s">
        <v>110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9">
        <f>'Attachment 3, Page 2'!D14</f>
        <v>857.24</v>
      </c>
    </row>
    <row r="24" spans="1:16">
      <c r="A24" s="23">
        <f t="shared" si="0"/>
        <v>11</v>
      </c>
      <c r="B24" s="21" t="s">
        <v>109</v>
      </c>
      <c r="C24" s="23" t="str">
        <f>"("&amp;A$11&amp;") x ("&amp;A23&amp;")"</f>
        <v>(4) x (10)</v>
      </c>
      <c r="D24" s="50">
        <f t="shared" ref="D24:O24" si="3">$P23*D$11</f>
        <v>142.85746110253723</v>
      </c>
      <c r="E24" s="50">
        <f t="shared" si="3"/>
        <v>107.88398991850039</v>
      </c>
      <c r="F24" s="50">
        <f t="shared" si="3"/>
        <v>5.586507336096286</v>
      </c>
      <c r="G24" s="50">
        <f t="shared" si="3"/>
        <v>0.74458994227026642</v>
      </c>
      <c r="H24" s="50">
        <f t="shared" si="3"/>
        <v>1.2621580559882</v>
      </c>
      <c r="I24" s="50">
        <f t="shared" si="3"/>
        <v>76.640298245484701</v>
      </c>
      <c r="J24" s="50">
        <f t="shared" si="3"/>
        <v>-0.8534146261405362</v>
      </c>
      <c r="K24" s="50">
        <f t="shared" si="3"/>
        <v>92.99427035717099</v>
      </c>
      <c r="L24" s="50">
        <f t="shared" si="3"/>
        <v>80.234470025056254</v>
      </c>
      <c r="M24" s="50">
        <f t="shared" si="3"/>
        <v>89.953341651252956</v>
      </c>
      <c r="N24" s="50">
        <f t="shared" si="3"/>
        <v>113.98648645544885</v>
      </c>
      <c r="O24" s="50">
        <f t="shared" si="3"/>
        <v>145.94984153633447</v>
      </c>
      <c r="P24" s="49">
        <f>SUM(D24:O24)</f>
        <v>857.24</v>
      </c>
    </row>
    <row r="25" spans="1:16">
      <c r="A25" s="23"/>
      <c r="B25" s="21"/>
      <c r="C25" s="2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</row>
    <row r="26" spans="1:16">
      <c r="A26" s="23">
        <f>A24+1</f>
        <v>12</v>
      </c>
      <c r="B26" s="41" t="s">
        <v>47</v>
      </c>
      <c r="C26" s="5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9"/>
    </row>
    <row r="27" spans="1:16">
      <c r="A27" s="23">
        <f t="shared" si="0"/>
        <v>13</v>
      </c>
      <c r="B27" s="21" t="str">
        <f>B23</f>
        <v xml:space="preserve">  -UE-200900 Decoupled RPC</v>
      </c>
      <c r="C27" s="23" t="s">
        <v>110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9">
        <f>'Attachment 3, Page 2'!E14</f>
        <v>4795.3</v>
      </c>
    </row>
    <row r="28" spans="1:16">
      <c r="A28" s="23">
        <f t="shared" si="0"/>
        <v>14</v>
      </c>
      <c r="B28" s="21" t="s">
        <v>109</v>
      </c>
      <c r="C28" s="23" t="str">
        <f>"("&amp;A$15&amp;") x ("&amp;A27&amp;")"</f>
        <v>(7) x (13)</v>
      </c>
      <c r="D28" s="50">
        <f t="shared" ref="D28:O28" si="4">$P27*D$15</f>
        <v>404.61724702120091</v>
      </c>
      <c r="E28" s="50">
        <f t="shared" si="4"/>
        <v>380.45952837159109</v>
      </c>
      <c r="F28" s="50">
        <f t="shared" si="4"/>
        <v>371.9985254369463</v>
      </c>
      <c r="G28" s="50">
        <f t="shared" si="4"/>
        <v>363.72061693206393</v>
      </c>
      <c r="H28" s="50">
        <f t="shared" si="4"/>
        <v>392.96150747741837</v>
      </c>
      <c r="I28" s="50">
        <f t="shared" si="4"/>
        <v>408.58431826419911</v>
      </c>
      <c r="J28" s="50">
        <f t="shared" si="4"/>
        <v>456.79262774995544</v>
      </c>
      <c r="K28" s="50">
        <f t="shared" si="4"/>
        <v>436.77833767660366</v>
      </c>
      <c r="L28" s="50">
        <f t="shared" si="4"/>
        <v>389.50018381003991</v>
      </c>
      <c r="M28" s="50">
        <f t="shared" si="4"/>
        <v>420.51734102764959</v>
      </c>
      <c r="N28" s="50">
        <f t="shared" si="4"/>
        <v>365.85614956249276</v>
      </c>
      <c r="O28" s="50">
        <f t="shared" si="4"/>
        <v>403.51361666983854</v>
      </c>
      <c r="P28" s="49">
        <f>SUM(D28:O28)</f>
        <v>4795.3</v>
      </c>
    </row>
    <row r="29" spans="1:16">
      <c r="A29" s="23"/>
      <c r="B29" s="21"/>
      <c r="C29" s="23"/>
      <c r="D29" s="50"/>
      <c r="E29" s="50"/>
      <c r="F29" s="50"/>
      <c r="G29" s="50"/>
      <c r="I29" s="50"/>
      <c r="J29" s="50"/>
      <c r="K29" s="50"/>
      <c r="L29" s="50"/>
      <c r="M29" s="50"/>
      <c r="N29" s="50"/>
      <c r="O29" s="50"/>
      <c r="P29" s="49"/>
    </row>
    <row r="30" spans="1:16">
      <c r="A30" s="23"/>
      <c r="B30" s="41"/>
      <c r="C30" s="51"/>
      <c r="D30" s="21"/>
      <c r="E30" s="21"/>
      <c r="F30" s="21"/>
      <c r="G30" s="21"/>
      <c r="H30" s="21"/>
      <c r="I30" s="50"/>
      <c r="J30" s="21"/>
      <c r="K30" s="50"/>
      <c r="L30" s="21"/>
      <c r="M30" s="21"/>
      <c r="N30" s="21"/>
      <c r="O30" s="21"/>
      <c r="P30" s="49"/>
    </row>
    <row r="31" spans="1:16">
      <c r="A31" s="23"/>
      <c r="B31" s="21"/>
      <c r="C31" s="23"/>
      <c r="D31" s="21"/>
      <c r="E31" s="21"/>
      <c r="F31" s="21"/>
      <c r="G31" s="21"/>
      <c r="H31" s="21"/>
      <c r="I31" s="50"/>
      <c r="J31" s="21"/>
      <c r="K31" s="50"/>
      <c r="L31" s="21"/>
      <c r="M31" s="21"/>
      <c r="N31" s="21"/>
      <c r="O31" s="21"/>
      <c r="P31" s="49"/>
    </row>
    <row r="32" spans="1:16">
      <c r="A32" s="23"/>
      <c r="B32" s="21"/>
      <c r="C32" s="2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</row>
    <row r="33" spans="1:16">
      <c r="A33" s="23"/>
      <c r="B33" s="21"/>
      <c r="C33" s="51"/>
      <c r="D33" s="23"/>
      <c r="E33" s="23"/>
      <c r="F33" s="23"/>
      <c r="G33" s="23"/>
      <c r="H33" s="21"/>
      <c r="I33" s="50"/>
      <c r="J33" s="21"/>
      <c r="K33" s="50"/>
      <c r="L33" s="21"/>
      <c r="M33" s="21"/>
      <c r="N33" s="21"/>
      <c r="O33" s="21"/>
      <c r="P33" s="49"/>
    </row>
    <row r="34" spans="1:16">
      <c r="A34" s="23"/>
      <c r="B34" s="25" t="s">
        <v>154</v>
      </c>
      <c r="C34" s="23"/>
      <c r="D34" s="23"/>
      <c r="E34" s="23"/>
      <c r="F34" s="23"/>
      <c r="G34" s="23"/>
      <c r="H34" s="21"/>
      <c r="I34" s="50"/>
      <c r="J34" s="21"/>
      <c r="K34" s="50"/>
      <c r="L34" s="21"/>
      <c r="M34" s="21"/>
      <c r="N34" s="21"/>
      <c r="O34" s="21"/>
      <c r="P34" s="21"/>
    </row>
    <row r="35" spans="1:16">
      <c r="I35" s="50"/>
    </row>
    <row r="36" spans="1:16">
      <c r="H36" s="50"/>
    </row>
    <row r="37" spans="1:16" ht="15.75">
      <c r="A37" s="2" t="s">
        <v>126</v>
      </c>
    </row>
  </sheetData>
  <mergeCells count="5">
    <mergeCell ref="A1:P1"/>
    <mergeCell ref="A2:P2"/>
    <mergeCell ref="A3:P3"/>
    <mergeCell ref="A5:P5"/>
    <mergeCell ref="A4:P4"/>
  </mergeCells>
  <pageMargins left="0.6" right="0.6" top="1.07" bottom="0.77" header="0.3" footer="0.6"/>
  <pageSetup scale="59" orientation="landscape" r:id="rId1"/>
  <headerFooter scaleWithDoc="0">
    <oddFooter>&amp;C&amp;12Attachment 3 (UE-200900 Compliance)&amp;R&amp;12 
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33"/>
  <sheetViews>
    <sheetView tabSelected="1" view="pageLayout" topLeftCell="A7" zoomScaleNormal="100" workbookViewId="0">
      <selection activeCell="H32" sqref="H32"/>
    </sheetView>
  </sheetViews>
  <sheetFormatPr defaultRowHeight="15"/>
  <cols>
    <col min="1" max="1" width="11.5703125" customWidth="1"/>
    <col min="3" max="3" width="42" customWidth="1"/>
    <col min="4" max="4" width="5.85546875" customWidth="1"/>
    <col min="5" max="5" width="20.140625" customWidth="1"/>
  </cols>
  <sheetData>
    <row r="1" spans="1:10">
      <c r="A1" s="64" t="s">
        <v>111</v>
      </c>
      <c r="B1" s="64"/>
      <c r="C1" s="64"/>
      <c r="D1" s="64"/>
      <c r="E1" s="65"/>
    </row>
    <row r="2" spans="1:10">
      <c r="A2" s="116" t="s">
        <v>103</v>
      </c>
      <c r="B2" s="116"/>
      <c r="C2" s="116"/>
      <c r="D2" s="116"/>
      <c r="E2" s="116"/>
    </row>
    <row r="3" spans="1:10">
      <c r="A3" s="117" t="s">
        <v>112</v>
      </c>
      <c r="B3" s="117"/>
      <c r="C3" s="117"/>
      <c r="D3" s="117"/>
      <c r="E3" s="117"/>
    </row>
    <row r="4" spans="1:10">
      <c r="A4" s="64" t="s">
        <v>133</v>
      </c>
      <c r="B4" s="64"/>
      <c r="C4" s="64"/>
      <c r="D4" s="64"/>
      <c r="E4" s="65"/>
    </row>
    <row r="5" spans="1:10">
      <c r="A5" s="117"/>
      <c r="B5" s="117"/>
      <c r="C5" s="117"/>
      <c r="D5" s="117"/>
      <c r="E5" s="117"/>
    </row>
    <row r="6" spans="1:10">
      <c r="A6" s="117" t="str">
        <f>'Attachment 3, Page 1'!A4:K4</f>
        <v>Washington Docket No. UE-200900 Compliance Filing</v>
      </c>
      <c r="B6" s="117"/>
      <c r="C6" s="117"/>
      <c r="D6" s="117"/>
      <c r="E6" s="117"/>
    </row>
    <row r="7" spans="1:10" ht="23.45" customHeight="1">
      <c r="A7" s="66"/>
      <c r="B7" s="66"/>
      <c r="C7" s="66"/>
      <c r="D7" s="66"/>
      <c r="E7" s="67"/>
    </row>
    <row r="8" spans="1:10">
      <c r="A8" s="94" t="s">
        <v>93</v>
      </c>
      <c r="B8" s="94"/>
      <c r="C8" s="94"/>
      <c r="D8" s="94"/>
      <c r="E8" s="68"/>
    </row>
    <row r="9" spans="1:10">
      <c r="A9" s="69" t="s">
        <v>94</v>
      </c>
      <c r="B9" s="94"/>
      <c r="C9" s="69" t="s">
        <v>95</v>
      </c>
      <c r="D9" s="70"/>
      <c r="E9" s="71" t="s">
        <v>96</v>
      </c>
    </row>
    <row r="10" spans="1:10">
      <c r="A10" s="66"/>
      <c r="B10" s="66"/>
      <c r="C10" s="66"/>
      <c r="D10" s="66"/>
      <c r="E10" s="67"/>
      <c r="F10">
        <f>9070000+1659000</f>
        <v>10729000</v>
      </c>
      <c r="G10">
        <f>386000+1044000</f>
        <v>1430000</v>
      </c>
      <c r="H10">
        <f>638000+1786000</f>
        <v>2424000</v>
      </c>
      <c r="J10">
        <f>198000+1172000-3009000</f>
        <v>-1639000</v>
      </c>
    </row>
    <row r="11" spans="1:10">
      <c r="A11" s="72">
        <v>1</v>
      </c>
      <c r="B11" s="66"/>
      <c r="C11" s="73" t="s">
        <v>64</v>
      </c>
      <c r="D11" s="66"/>
      <c r="E11" s="74">
        <v>1</v>
      </c>
    </row>
    <row r="12" spans="1:10">
      <c r="A12" s="72"/>
      <c r="B12" s="66"/>
      <c r="C12" s="66"/>
      <c r="D12" s="66"/>
      <c r="E12" s="74"/>
    </row>
    <row r="13" spans="1:10">
      <c r="A13" s="72"/>
      <c r="B13" s="66"/>
      <c r="C13" s="75" t="s">
        <v>97</v>
      </c>
      <c r="D13" s="76"/>
      <c r="E13" s="74"/>
    </row>
    <row r="14" spans="1:10">
      <c r="A14" s="72">
        <v>2</v>
      </c>
      <c r="B14" s="66"/>
      <c r="C14" s="76" t="s">
        <v>98</v>
      </c>
      <c r="D14" s="76"/>
      <c r="E14" s="76">
        <v>3.3262885794710221E-3</v>
      </c>
    </row>
    <row r="15" spans="1:10">
      <c r="A15" s="72"/>
      <c r="B15" s="66"/>
      <c r="C15" s="76"/>
      <c r="D15" s="76"/>
      <c r="E15" s="76"/>
    </row>
    <row r="16" spans="1:10">
      <c r="A16" s="72">
        <v>3</v>
      </c>
      <c r="B16" s="66"/>
      <c r="C16" s="76" t="s">
        <v>99</v>
      </c>
      <c r="D16" s="76"/>
      <c r="E16" s="76">
        <v>2E-3</v>
      </c>
    </row>
    <row r="17" spans="1:5">
      <c r="A17" s="72"/>
      <c r="B17" s="66"/>
      <c r="C17" s="76"/>
      <c r="D17" s="76"/>
      <c r="E17" s="76"/>
    </row>
    <row r="18" spans="1:5">
      <c r="A18" s="72">
        <v>4</v>
      </c>
      <c r="B18" s="66"/>
      <c r="C18" s="76" t="s">
        <v>100</v>
      </c>
      <c r="D18" s="76"/>
      <c r="E18" s="76">
        <v>3.8605159538162764E-2</v>
      </c>
    </row>
    <row r="19" spans="1:5">
      <c r="A19" s="72"/>
      <c r="B19" s="66"/>
      <c r="C19" s="76"/>
      <c r="D19" s="76"/>
      <c r="E19" s="76"/>
    </row>
    <row r="20" spans="1:5">
      <c r="A20" s="72">
        <v>6</v>
      </c>
      <c r="B20" s="66"/>
      <c r="C20" s="76" t="s">
        <v>101</v>
      </c>
      <c r="D20" s="76"/>
      <c r="E20" s="77">
        <f>SUM(E14:E18)</f>
        <v>4.393144811763379E-2</v>
      </c>
    </row>
    <row r="21" spans="1:5">
      <c r="A21" s="66"/>
      <c r="B21" s="66"/>
      <c r="C21" s="76"/>
      <c r="D21" s="76"/>
      <c r="E21" s="78"/>
    </row>
    <row r="22" spans="1:5">
      <c r="A22" s="72">
        <v>7</v>
      </c>
      <c r="B22" s="66"/>
      <c r="C22" s="76" t="s">
        <v>102</v>
      </c>
      <c r="D22" s="76"/>
      <c r="E22" s="78">
        <f>E11-E20</f>
        <v>0.95606855188236617</v>
      </c>
    </row>
    <row r="23" spans="1:5">
      <c r="A23" s="66"/>
      <c r="B23" s="66"/>
      <c r="C23" s="76"/>
      <c r="D23" s="76"/>
      <c r="E23" s="78"/>
    </row>
    <row r="24" spans="1:5">
      <c r="A24" s="72">
        <v>8</v>
      </c>
      <c r="B24" s="66"/>
      <c r="C24" s="76" t="s">
        <v>120</v>
      </c>
      <c r="D24" s="79"/>
      <c r="E24" s="80">
        <v>0.20077439589529689</v>
      </c>
    </row>
    <row r="25" spans="1:5">
      <c r="A25" s="66"/>
      <c r="B25" s="66"/>
      <c r="C25" s="76"/>
      <c r="D25" s="76"/>
      <c r="E25" s="78"/>
    </row>
    <row r="26" spans="1:5" ht="15.75" thickBot="1">
      <c r="A26" s="72">
        <v>9</v>
      </c>
      <c r="B26" s="66"/>
      <c r="C26" s="75" t="s">
        <v>103</v>
      </c>
      <c r="D26" s="76"/>
      <c r="E26" s="95">
        <f>ROUND(E22-E24,6)</f>
        <v>0.75529400000000002</v>
      </c>
    </row>
    <row r="27" spans="1:5" ht="15.75" thickTop="1">
      <c r="A27" s="66"/>
      <c r="B27" s="66"/>
      <c r="C27" s="66"/>
      <c r="D27" s="66"/>
      <c r="E27" s="67"/>
    </row>
    <row r="28" spans="1:5">
      <c r="A28" s="66"/>
      <c r="B28" s="66"/>
      <c r="C28" s="66"/>
      <c r="D28" s="66"/>
      <c r="E28" s="67"/>
    </row>
    <row r="29" spans="1:5">
      <c r="A29" s="66"/>
      <c r="B29" s="66"/>
      <c r="C29" s="115" t="s">
        <v>113</v>
      </c>
      <c r="D29" s="115"/>
      <c r="E29" s="115"/>
    </row>
    <row r="30" spans="1:5">
      <c r="A30" s="66"/>
      <c r="B30" s="66"/>
      <c r="C30" s="103"/>
      <c r="D30" s="103"/>
      <c r="E30" s="103"/>
    </row>
    <row r="31" spans="1:5">
      <c r="A31" s="66"/>
      <c r="B31" s="66"/>
      <c r="C31" s="96"/>
      <c r="D31" s="96"/>
      <c r="E31" s="96"/>
    </row>
    <row r="33" spans="1:1" ht="15.75">
      <c r="A33" s="2" t="s">
        <v>128</v>
      </c>
    </row>
  </sheetData>
  <mergeCells count="5">
    <mergeCell ref="C29:E29"/>
    <mergeCell ref="A2:E2"/>
    <mergeCell ref="A3:E3"/>
    <mergeCell ref="A5:E5"/>
    <mergeCell ref="A6:E6"/>
  </mergeCells>
  <printOptions horizontalCentered="1"/>
  <pageMargins left="0.7" right="0.7" top="0.75" bottom="0.75" header="0.3" footer="0.6"/>
  <pageSetup orientation="landscape" r:id="rId1"/>
  <headerFooter scaleWithDoc="0">
    <oddFooter>&amp;C&amp;12Attachment 3 (UE-200900 Compliance)&amp;R&amp;12Page 4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"/>
  <sheetViews>
    <sheetView topLeftCell="A29" workbookViewId="0">
      <selection activeCell="P50" sqref="P50"/>
    </sheetView>
  </sheetViews>
  <sheetFormatPr defaultRowHeight="15"/>
  <cols>
    <col min="1" max="1" width="2.42578125" customWidth="1"/>
    <col min="2" max="2" width="32" customWidth="1"/>
    <col min="4" max="15" width="12.5703125" bestFit="1" customWidth="1"/>
    <col min="16" max="16" width="15.140625" bestFit="1" customWidth="1"/>
    <col min="17" max="17" width="14.140625" customWidth="1"/>
    <col min="19" max="19" width="13.42578125" customWidth="1"/>
    <col min="20" max="20" width="13" customWidth="1"/>
    <col min="21" max="21" width="12.5703125" customWidth="1"/>
  </cols>
  <sheetData>
    <row r="1" spans="1:17">
      <c r="A1" t="s">
        <v>136</v>
      </c>
    </row>
    <row r="2" spans="1:17">
      <c r="A2" t="s">
        <v>73</v>
      </c>
    </row>
    <row r="3" spans="1:17">
      <c r="A3" t="s">
        <v>137</v>
      </c>
    </row>
    <row r="4" spans="1:17">
      <c r="A4" t="s">
        <v>74</v>
      </c>
    </row>
    <row r="5" spans="1:17">
      <c r="D5" s="97" t="s">
        <v>138</v>
      </c>
      <c r="E5" s="97" t="s">
        <v>139</v>
      </c>
      <c r="F5" s="97" t="s">
        <v>140</v>
      </c>
      <c r="G5" s="97" t="s">
        <v>141</v>
      </c>
      <c r="H5" s="97" t="s">
        <v>36</v>
      </c>
      <c r="I5" s="97" t="s">
        <v>142</v>
      </c>
      <c r="J5" s="97" t="s">
        <v>143</v>
      </c>
      <c r="K5" s="97" t="s">
        <v>144</v>
      </c>
      <c r="L5" s="97" t="s">
        <v>145</v>
      </c>
      <c r="M5" s="97" t="s">
        <v>146</v>
      </c>
      <c r="N5" s="97" t="s">
        <v>147</v>
      </c>
      <c r="O5" s="97" t="s">
        <v>148</v>
      </c>
      <c r="P5" s="97" t="s">
        <v>61</v>
      </c>
      <c r="Q5" s="97" t="s">
        <v>122</v>
      </c>
    </row>
    <row r="6" spans="1:17">
      <c r="A6" t="s">
        <v>75</v>
      </c>
    </row>
    <row r="7" spans="1:17">
      <c r="B7" t="s">
        <v>116</v>
      </c>
      <c r="D7" s="98">
        <v>268421353.00099999</v>
      </c>
      <c r="E7" s="98">
        <v>248463642.29500002</v>
      </c>
      <c r="F7" s="98">
        <v>272094704.38</v>
      </c>
      <c r="G7" s="98">
        <v>189257389.23899999</v>
      </c>
      <c r="H7" s="98">
        <v>159137014.24200001</v>
      </c>
      <c r="I7" s="98">
        <v>150640891.35699999</v>
      </c>
      <c r="J7" s="98">
        <v>167011451.32800001</v>
      </c>
      <c r="K7" s="98">
        <v>182841597.602</v>
      </c>
      <c r="L7" s="98">
        <v>175504029.74200001</v>
      </c>
      <c r="M7" s="98">
        <v>166990370.697</v>
      </c>
      <c r="N7" s="98">
        <v>197141568.961</v>
      </c>
      <c r="O7" s="98">
        <v>258761011.98699999</v>
      </c>
      <c r="P7" s="57">
        <f t="shared" ref="P7:P12" si="0">SUM(D7:O7)</f>
        <v>2436265024.8310003</v>
      </c>
    </row>
    <row r="8" spans="1:17">
      <c r="B8" t="s">
        <v>76</v>
      </c>
      <c r="D8" s="98">
        <v>59920327.123000003</v>
      </c>
      <c r="E8" s="98">
        <v>57839488.487000003</v>
      </c>
      <c r="F8" s="98">
        <v>61576960.423999995</v>
      </c>
      <c r="G8" s="98">
        <v>49969768.848000005</v>
      </c>
      <c r="H8" s="98">
        <v>45483877.745000005</v>
      </c>
      <c r="I8" s="98">
        <v>45253592.461000003</v>
      </c>
      <c r="J8" s="98">
        <v>48403035.067000002</v>
      </c>
      <c r="K8" s="98">
        <v>51264596.408000007</v>
      </c>
      <c r="L8" s="98">
        <v>51101182.038999997</v>
      </c>
      <c r="M8" s="98">
        <v>46524849.420999996</v>
      </c>
      <c r="N8" s="98">
        <v>49608710.002999999</v>
      </c>
      <c r="O8" s="98">
        <v>60149114.509999998</v>
      </c>
      <c r="P8" s="57">
        <f t="shared" si="0"/>
        <v>627095502.53600001</v>
      </c>
    </row>
    <row r="9" spans="1:17">
      <c r="B9" t="s">
        <v>77</v>
      </c>
      <c r="D9" s="98">
        <v>120581416.625</v>
      </c>
      <c r="E9" s="98">
        <v>113255795.15000001</v>
      </c>
      <c r="F9" s="98">
        <v>119857363.82800001</v>
      </c>
      <c r="G9" s="98">
        <v>108672042.67399999</v>
      </c>
      <c r="H9" s="98">
        <v>107356121.802</v>
      </c>
      <c r="I9" s="98">
        <v>110519103.513</v>
      </c>
      <c r="J9" s="98">
        <v>116480751.57000001</v>
      </c>
      <c r="K9" s="98">
        <v>118121978.582</v>
      </c>
      <c r="L9" s="98">
        <v>117306042.24399999</v>
      </c>
      <c r="M9" s="98">
        <v>113212430.59299999</v>
      </c>
      <c r="N9" s="98">
        <v>107981227.42200001</v>
      </c>
      <c r="O9" s="98">
        <v>122684702.25399999</v>
      </c>
      <c r="P9" s="57">
        <f t="shared" si="0"/>
        <v>1376028976.257</v>
      </c>
    </row>
    <row r="10" spans="1:17">
      <c r="B10" t="s">
        <v>117</v>
      </c>
      <c r="D10" s="98">
        <v>92475540.937000006</v>
      </c>
      <c r="E10" s="98">
        <v>91334911.620000005</v>
      </c>
      <c r="F10" s="98">
        <v>85256588.480000004</v>
      </c>
      <c r="G10" s="98">
        <v>90115026.299999997</v>
      </c>
      <c r="H10" s="98">
        <v>81790111.900000006</v>
      </c>
      <c r="I10" s="98">
        <v>92286223.400000006</v>
      </c>
      <c r="J10" s="98">
        <v>90638942</v>
      </c>
      <c r="K10" s="98">
        <v>96199701.689999998</v>
      </c>
      <c r="L10" s="98">
        <v>98369017.341000006</v>
      </c>
      <c r="M10" s="98">
        <v>91866248.393999994</v>
      </c>
      <c r="N10" s="98">
        <v>93890910.769999996</v>
      </c>
      <c r="O10" s="98">
        <v>82979731.170000002</v>
      </c>
      <c r="P10" s="57">
        <f t="shared" si="0"/>
        <v>1087202954.0019999</v>
      </c>
    </row>
    <row r="11" spans="1:17">
      <c r="B11" t="s">
        <v>121</v>
      </c>
      <c r="D11" s="98">
        <v>4367812.5839999998</v>
      </c>
      <c r="E11" s="98">
        <v>4176908.1949999998</v>
      </c>
      <c r="F11" s="98">
        <v>4399346.9869999997</v>
      </c>
      <c r="G11" s="98">
        <v>4615683.58</v>
      </c>
      <c r="H11" s="98">
        <v>11922026.261</v>
      </c>
      <c r="I11" s="98">
        <v>18540612.465999998</v>
      </c>
      <c r="J11" s="98">
        <v>23327966.862</v>
      </c>
      <c r="K11" s="98">
        <v>25106392.523000002</v>
      </c>
      <c r="L11" s="98">
        <v>24282322.968999997</v>
      </c>
      <c r="M11" s="98">
        <v>10323876.083000001</v>
      </c>
      <c r="N11" s="98">
        <v>4196695.1040000003</v>
      </c>
      <c r="O11" s="98">
        <v>4300335.4280000003</v>
      </c>
      <c r="P11" s="57">
        <f t="shared" si="0"/>
        <v>139559979.042</v>
      </c>
    </row>
    <row r="12" spans="1:17">
      <c r="B12" t="s">
        <v>78</v>
      </c>
      <c r="D12" s="98">
        <v>1588090.1563400002</v>
      </c>
      <c r="E12" s="98">
        <v>1465578.93729</v>
      </c>
      <c r="F12" s="98">
        <v>1457300.8660000002</v>
      </c>
      <c r="G12" s="98">
        <v>1504467.78492</v>
      </c>
      <c r="H12" s="98">
        <v>1481576.6810000001</v>
      </c>
      <c r="I12" s="98">
        <v>1502970.93799</v>
      </c>
      <c r="J12" s="98">
        <v>1517745.8740000001</v>
      </c>
      <c r="K12" s="98">
        <v>1485522.635</v>
      </c>
      <c r="L12" s="98">
        <v>1534874.4569999999</v>
      </c>
      <c r="M12" s="98">
        <v>1490310.2049999998</v>
      </c>
      <c r="N12" s="98">
        <v>1428253.1512200001</v>
      </c>
      <c r="O12" s="98">
        <v>1505231.9742100001</v>
      </c>
      <c r="P12" s="57">
        <f t="shared" si="0"/>
        <v>17961923.65997</v>
      </c>
    </row>
    <row r="13" spans="1:17">
      <c r="A13" t="s">
        <v>79</v>
      </c>
      <c r="D13" s="99">
        <f t="shared" ref="D13:L13" si="1">SUM(D7:D12)</f>
        <v>547354540.42633998</v>
      </c>
      <c r="E13" s="99">
        <f t="shared" si="1"/>
        <v>516536324.68429005</v>
      </c>
      <c r="F13" s="99">
        <f t="shared" si="1"/>
        <v>544642264.96500003</v>
      </c>
      <c r="G13" s="99">
        <f t="shared" si="1"/>
        <v>444134378.42592001</v>
      </c>
      <c r="H13" s="99">
        <f t="shared" si="1"/>
        <v>407170728.63099998</v>
      </c>
      <c r="I13" s="99">
        <f t="shared" si="1"/>
        <v>418743394.13498998</v>
      </c>
      <c r="J13" s="99">
        <f t="shared" si="1"/>
        <v>447379892.70100003</v>
      </c>
      <c r="K13" s="99">
        <f t="shared" si="1"/>
        <v>475019789.44</v>
      </c>
      <c r="L13" s="99">
        <f t="shared" si="1"/>
        <v>468097468.792</v>
      </c>
      <c r="M13" s="99">
        <f>SUM(M7:M12)</f>
        <v>430408085.39299995</v>
      </c>
      <c r="N13" s="99">
        <f>SUM(N7:N12)</f>
        <v>454247365.41121995</v>
      </c>
      <c r="O13" s="99">
        <f>SUM(O7:O12)</f>
        <v>530380127.32321</v>
      </c>
      <c r="P13" s="99">
        <f>SUM(P7:P12)</f>
        <v>5684114360.3279705</v>
      </c>
    </row>
    <row r="14" spans="1:17"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7">
      <c r="A15" t="s">
        <v>80</v>
      </c>
    </row>
    <row r="16" spans="1:17">
      <c r="B16" t="s">
        <v>116</v>
      </c>
      <c r="D16" s="98">
        <v>-744659</v>
      </c>
      <c r="E16" s="98">
        <v>-2683367</v>
      </c>
      <c r="F16" s="98">
        <v>-20846183</v>
      </c>
      <c r="G16" s="98">
        <v>-23671293</v>
      </c>
      <c r="H16" s="98">
        <v>-2222282</v>
      </c>
      <c r="I16" s="98">
        <v>1855413</v>
      </c>
      <c r="J16" s="98">
        <v>12095334</v>
      </c>
      <c r="K16" s="98">
        <v>7754773</v>
      </c>
      <c r="L16" s="98">
        <v>-21671300</v>
      </c>
      <c r="M16" s="98">
        <v>21863253</v>
      </c>
      <c r="N16" s="98">
        <v>22946150</v>
      </c>
      <c r="O16" s="98">
        <v>402730</v>
      </c>
      <c r="P16" s="57">
        <f t="shared" ref="P16:P21" si="2">SUM(D16:O16)</f>
        <v>-4921431</v>
      </c>
      <c r="Q16" s="57">
        <v>-4921431</v>
      </c>
    </row>
    <row r="17" spans="1:17">
      <c r="B17" t="s">
        <v>76</v>
      </c>
      <c r="D17" s="98">
        <v>-1292707</v>
      </c>
      <c r="E17" s="98">
        <v>581461</v>
      </c>
      <c r="F17" s="98">
        <v>-5503135</v>
      </c>
      <c r="G17" s="98">
        <v>-2343069</v>
      </c>
      <c r="H17" s="98">
        <v>1099299</v>
      </c>
      <c r="I17" s="98">
        <v>1707800</v>
      </c>
      <c r="J17" s="98">
        <v>2646801</v>
      </c>
      <c r="K17" s="98">
        <v>1310656</v>
      </c>
      <c r="L17" s="98">
        <v>-5243733</v>
      </c>
      <c r="M17" s="98">
        <v>5116676</v>
      </c>
      <c r="N17" s="98">
        <v>3081066</v>
      </c>
      <c r="O17" s="98">
        <v>-2249056</v>
      </c>
      <c r="P17" s="57">
        <f t="shared" si="2"/>
        <v>-1087941</v>
      </c>
      <c r="Q17" s="57">
        <v>-1087941</v>
      </c>
    </row>
    <row r="18" spans="1:17">
      <c r="B18" t="s">
        <v>77</v>
      </c>
      <c r="D18" s="98">
        <v>-4855163</v>
      </c>
      <c r="E18" s="98">
        <v>-391203</v>
      </c>
      <c r="F18" s="98">
        <v>-10975898</v>
      </c>
      <c r="G18" s="98">
        <v>164290</v>
      </c>
      <c r="H18" s="98">
        <v>6455952</v>
      </c>
      <c r="I18" s="98">
        <v>5885973</v>
      </c>
      <c r="J18" s="98">
        <v>5568586</v>
      </c>
      <c r="K18" s="98">
        <v>341680</v>
      </c>
      <c r="L18" s="98">
        <v>-12220860</v>
      </c>
      <c r="M18" s="98">
        <v>15456139</v>
      </c>
      <c r="N18" s="98">
        <v>-344627</v>
      </c>
      <c r="O18" s="98">
        <v>-8756371</v>
      </c>
      <c r="P18" s="57">
        <f t="shared" si="2"/>
        <v>-3671502</v>
      </c>
      <c r="Q18" s="57">
        <v>-3671502</v>
      </c>
    </row>
    <row r="19" spans="1:17">
      <c r="B19" t="s">
        <v>117</v>
      </c>
      <c r="D19" s="98">
        <v>-1031038</v>
      </c>
      <c r="E19" s="98">
        <v>-6550179</v>
      </c>
      <c r="F19" s="98">
        <v>4553432</v>
      </c>
      <c r="G19" s="98">
        <v>-10032940</v>
      </c>
      <c r="H19" s="98">
        <v>12560606</v>
      </c>
      <c r="I19" s="98">
        <v>-820004</v>
      </c>
      <c r="J19" s="98">
        <v>4580814</v>
      </c>
      <c r="K19" s="98">
        <v>-1007572</v>
      </c>
      <c r="L19" s="98">
        <v>-2841277</v>
      </c>
      <c r="M19" s="98">
        <v>1800578</v>
      </c>
      <c r="N19" s="98">
        <v>-10126123</v>
      </c>
      <c r="O19" s="98">
        <v>7291439</v>
      </c>
      <c r="P19" s="57">
        <f t="shared" si="2"/>
        <v>-1622264</v>
      </c>
    </row>
    <row r="20" spans="1:17">
      <c r="B20" t="s">
        <v>121</v>
      </c>
      <c r="D20" s="98">
        <v>-27568</v>
      </c>
      <c r="E20" s="98">
        <v>68064</v>
      </c>
      <c r="F20" s="98">
        <v>-376525</v>
      </c>
      <c r="G20" s="98">
        <v>201549</v>
      </c>
      <c r="H20" s="98">
        <v>1215463</v>
      </c>
      <c r="I20" s="98">
        <v>2150665</v>
      </c>
      <c r="J20" s="98">
        <v>1965064</v>
      </c>
      <c r="K20" s="98">
        <v>1604802</v>
      </c>
      <c r="L20" s="98">
        <v>-2204896</v>
      </c>
      <c r="M20" s="98">
        <v>-2381165</v>
      </c>
      <c r="N20" s="98">
        <v>-1828420</v>
      </c>
      <c r="O20" s="98">
        <v>-323959</v>
      </c>
      <c r="P20" s="57">
        <f t="shared" si="2"/>
        <v>63074</v>
      </c>
      <c r="Q20" s="57">
        <v>63074</v>
      </c>
    </row>
    <row r="21" spans="1:17">
      <c r="B21" t="s">
        <v>78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57">
        <f t="shared" si="2"/>
        <v>0</v>
      </c>
    </row>
    <row r="22" spans="1:17">
      <c r="A22" t="s">
        <v>81</v>
      </c>
      <c r="D22" s="99">
        <f t="shared" ref="D22:L22" si="3">SUM(D16:D21)</f>
        <v>-7951135</v>
      </c>
      <c r="E22" s="99">
        <f t="shared" si="3"/>
        <v>-8975224</v>
      </c>
      <c r="F22" s="99">
        <f t="shared" si="3"/>
        <v>-33148309</v>
      </c>
      <c r="G22" s="99">
        <f t="shared" si="3"/>
        <v>-35681463</v>
      </c>
      <c r="H22" s="99">
        <f t="shared" si="3"/>
        <v>19109038</v>
      </c>
      <c r="I22" s="99">
        <f t="shared" si="3"/>
        <v>10779847</v>
      </c>
      <c r="J22" s="99">
        <f t="shared" si="3"/>
        <v>26856599</v>
      </c>
      <c r="K22" s="99">
        <f t="shared" si="3"/>
        <v>10004339</v>
      </c>
      <c r="L22" s="99">
        <f t="shared" si="3"/>
        <v>-44182066</v>
      </c>
      <c r="M22" s="99">
        <f>SUM(M16:M21)</f>
        <v>41855481</v>
      </c>
      <c r="N22" s="99">
        <f>SUM(N16:N21)</f>
        <v>13728046</v>
      </c>
      <c r="O22" s="99">
        <f>SUM(O16:O21)</f>
        <v>-3635217</v>
      </c>
      <c r="P22" s="99">
        <f>SUM(P16:P21)</f>
        <v>-11240064</v>
      </c>
    </row>
    <row r="24" spans="1:17" hidden="1">
      <c r="A24" t="s">
        <v>82</v>
      </c>
    </row>
    <row r="25" spans="1:17" hidden="1">
      <c r="B25" t="s">
        <v>76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>
        <f>SUM(D25:O25)</f>
        <v>0</v>
      </c>
    </row>
    <row r="26" spans="1:17" hidden="1">
      <c r="B26" t="s">
        <v>77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>
        <f>SUM(D26:O26)</f>
        <v>0</v>
      </c>
    </row>
    <row r="27" spans="1:17" hidden="1">
      <c r="A27" t="s">
        <v>82</v>
      </c>
      <c r="D27" s="98">
        <f t="shared" ref="D27:L27" si="4">SUM(D25:D26)</f>
        <v>0</v>
      </c>
      <c r="E27" s="98">
        <f t="shared" si="4"/>
        <v>0</v>
      </c>
      <c r="F27" s="98">
        <f t="shared" si="4"/>
        <v>0</v>
      </c>
      <c r="G27" s="98">
        <f t="shared" si="4"/>
        <v>0</v>
      </c>
      <c r="H27" s="98">
        <f t="shared" si="4"/>
        <v>0</v>
      </c>
      <c r="I27" s="98">
        <f t="shared" si="4"/>
        <v>0</v>
      </c>
      <c r="J27" s="98">
        <f t="shared" si="4"/>
        <v>0</v>
      </c>
      <c r="K27" s="98">
        <f t="shared" si="4"/>
        <v>0</v>
      </c>
      <c r="L27" s="98">
        <f t="shared" si="4"/>
        <v>0</v>
      </c>
      <c r="M27" s="98">
        <f>SUM(M25:M26)</f>
        <v>0</v>
      </c>
      <c r="N27" s="98">
        <f>SUM(N25:N26)</f>
        <v>0</v>
      </c>
      <c r="O27" s="98">
        <f>SUM(O25:O26)</f>
        <v>0</v>
      </c>
      <c r="P27" s="98">
        <f>SUM(D27:O27)</f>
        <v>0</v>
      </c>
    </row>
    <row r="28" spans="1:17" hidden="1"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7">
      <c r="A29" t="s">
        <v>83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7">
      <c r="B30" t="s">
        <v>117</v>
      </c>
      <c r="D30" s="98">
        <v>-190141.06699998677</v>
      </c>
      <c r="E30" s="98">
        <v>471855.8599999845</v>
      </c>
      <c r="F30" s="98">
        <v>305005.81999997795</v>
      </c>
      <c r="G30" s="98">
        <v>1708025.599999994</v>
      </c>
      <c r="H30" s="98">
        <v>-2064494.5</v>
      </c>
      <c r="I30" s="98">
        <v>-803849.79999998212</v>
      </c>
      <c r="J30" s="98">
        <v>1096031.5899999887</v>
      </c>
      <c r="K30" s="98">
        <v>3037374.1509999782</v>
      </c>
      <c r="L30" s="98">
        <v>-3661491.9470000118</v>
      </c>
      <c r="M30" s="98">
        <v>224084.37600000203</v>
      </c>
      <c r="N30" s="98">
        <v>-785056.59999999404</v>
      </c>
      <c r="O30" s="98">
        <v>983547.82999999821</v>
      </c>
      <c r="P30" s="98">
        <f>SUM(D30:O30)</f>
        <v>320891.31299994886</v>
      </c>
    </row>
    <row r="32" spans="1:17">
      <c r="A32" t="s">
        <v>84</v>
      </c>
    </row>
    <row r="33" spans="1:17">
      <c r="B33" t="s">
        <v>116</v>
      </c>
      <c r="D33" s="98">
        <v>6683941</v>
      </c>
      <c r="E33" s="98">
        <v>-38586897</v>
      </c>
      <c r="F33" s="98">
        <v>-21820475</v>
      </c>
      <c r="G33" s="98">
        <v>4045887</v>
      </c>
      <c r="H33" s="98">
        <v>11850868</v>
      </c>
      <c r="I33" s="98">
        <v>-5307066</v>
      </c>
      <c r="J33" s="98">
        <v>15150402</v>
      </c>
      <c r="K33" s="98">
        <v>-11998999</v>
      </c>
      <c r="L33" s="98">
        <v>259188</v>
      </c>
      <c r="M33" s="98">
        <v>-16096417</v>
      </c>
      <c r="N33" s="98">
        <v>-1174373</v>
      </c>
      <c r="O33" s="98">
        <v>21135872</v>
      </c>
      <c r="P33" s="57">
        <f t="shared" ref="P33:P38" si="5">SUM(D33:O33)</f>
        <v>-35858069</v>
      </c>
      <c r="Q33" s="57">
        <v>-35858069</v>
      </c>
    </row>
    <row r="34" spans="1:17">
      <c r="B34" t="s">
        <v>76</v>
      </c>
      <c r="D34" s="98">
        <v>725103</v>
      </c>
      <c r="E34" s="98">
        <v>-4189699</v>
      </c>
      <c r="F34" s="98">
        <v>-2358273</v>
      </c>
      <c r="G34" s="98">
        <v>328552</v>
      </c>
      <c r="H34" s="98">
        <v>965607</v>
      </c>
      <c r="I34" s="98">
        <v>-966044</v>
      </c>
      <c r="J34" s="98">
        <v>2098785</v>
      </c>
      <c r="K34" s="98">
        <v>-1659958</v>
      </c>
      <c r="L34" s="98">
        <v>36202</v>
      </c>
      <c r="M34" s="98">
        <v>-1272492</v>
      </c>
      <c r="N34" s="98">
        <v>-93919</v>
      </c>
      <c r="O34" s="98">
        <v>2276728</v>
      </c>
      <c r="P34" s="57">
        <f t="shared" si="5"/>
        <v>-4109408</v>
      </c>
      <c r="Q34" s="57">
        <v>-4109408</v>
      </c>
    </row>
    <row r="35" spans="1:17">
      <c r="B35" t="s">
        <v>77</v>
      </c>
      <c r="D35" s="98">
        <v>397747</v>
      </c>
      <c r="E35" s="98">
        <v>-2259839</v>
      </c>
      <c r="F35" s="98">
        <v>-1299040</v>
      </c>
      <c r="G35" s="98">
        <v>33177</v>
      </c>
      <c r="H35" s="98">
        <v>138665</v>
      </c>
      <c r="I35" s="98">
        <v>-1511718</v>
      </c>
      <c r="J35" s="98">
        <v>2513371</v>
      </c>
      <c r="K35" s="98">
        <v>-1980388</v>
      </c>
      <c r="L35" s="98">
        <v>42496</v>
      </c>
      <c r="M35" s="98">
        <v>-97145</v>
      </c>
      <c r="N35" s="98">
        <v>-9681</v>
      </c>
      <c r="O35" s="98">
        <v>1245007</v>
      </c>
      <c r="P35" s="57">
        <f t="shared" si="5"/>
        <v>-2787348</v>
      </c>
      <c r="Q35" s="57">
        <v>-2787348</v>
      </c>
    </row>
    <row r="36" spans="1:17">
      <c r="B36" t="s">
        <v>117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57">
        <f t="shared" si="5"/>
        <v>0</v>
      </c>
    </row>
    <row r="37" spans="1:17">
      <c r="B37" t="s">
        <v>121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57">
        <f t="shared" si="5"/>
        <v>0</v>
      </c>
    </row>
    <row r="38" spans="1:17">
      <c r="B38" t="s">
        <v>78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57">
        <f t="shared" si="5"/>
        <v>0</v>
      </c>
    </row>
    <row r="39" spans="1:17">
      <c r="A39" t="s">
        <v>85</v>
      </c>
      <c r="D39" s="99">
        <f t="shared" ref="D39:L39" si="6">SUM(D33:D38)</f>
        <v>7806791</v>
      </c>
      <c r="E39" s="99">
        <f t="shared" si="6"/>
        <v>-45036435</v>
      </c>
      <c r="F39" s="99">
        <f t="shared" si="6"/>
        <v>-25477788</v>
      </c>
      <c r="G39" s="99">
        <f t="shared" si="6"/>
        <v>4407616</v>
      </c>
      <c r="H39" s="99">
        <f t="shared" si="6"/>
        <v>12955140</v>
      </c>
      <c r="I39" s="99">
        <f t="shared" si="6"/>
        <v>-7784828</v>
      </c>
      <c r="J39" s="99">
        <f t="shared" si="6"/>
        <v>19762558</v>
      </c>
      <c r="K39" s="99">
        <f t="shared" si="6"/>
        <v>-15639345</v>
      </c>
      <c r="L39" s="99">
        <f t="shared" si="6"/>
        <v>337886</v>
      </c>
      <c r="M39" s="99">
        <f>SUM(M33:M38)</f>
        <v>-17466054</v>
      </c>
      <c r="N39" s="99">
        <f>SUM(N33:N38)</f>
        <v>-1277973</v>
      </c>
      <c r="O39" s="99">
        <f>SUM(O33:O38)</f>
        <v>24657607</v>
      </c>
      <c r="P39" s="99">
        <f>SUM(P33:P38)</f>
        <v>-42754825</v>
      </c>
    </row>
    <row r="41" spans="1:17">
      <c r="A41" t="s">
        <v>86</v>
      </c>
      <c r="Q41" s="97"/>
    </row>
    <row r="42" spans="1:17">
      <c r="B42" t="s">
        <v>116</v>
      </c>
      <c r="D42" s="57">
        <f t="shared" ref="D42:O42" si="7">D7+D16+D33</f>
        <v>274360635.00099999</v>
      </c>
      <c r="E42" s="57">
        <f t="shared" si="7"/>
        <v>207193378.29500002</v>
      </c>
      <c r="F42" s="57">
        <f t="shared" si="7"/>
        <v>229428046.38</v>
      </c>
      <c r="G42" s="57">
        <f t="shared" si="7"/>
        <v>169631983.23899999</v>
      </c>
      <c r="H42" s="57">
        <f t="shared" si="7"/>
        <v>168765600.24200001</v>
      </c>
      <c r="I42" s="57">
        <f t="shared" si="7"/>
        <v>147189238.35699999</v>
      </c>
      <c r="J42" s="57">
        <f t="shared" si="7"/>
        <v>194257187.32800001</v>
      </c>
      <c r="K42" s="57">
        <f t="shared" si="7"/>
        <v>178597371.602</v>
      </c>
      <c r="L42" s="57">
        <f t="shared" si="7"/>
        <v>154091917.74200001</v>
      </c>
      <c r="M42" s="57">
        <f t="shared" si="7"/>
        <v>172757206.697</v>
      </c>
      <c r="N42" s="57">
        <f t="shared" si="7"/>
        <v>218913345.961</v>
      </c>
      <c r="O42" s="57">
        <f t="shared" si="7"/>
        <v>280299613.98699999</v>
      </c>
      <c r="P42" s="57">
        <f t="shared" ref="P42:P47" si="8">SUM(D42:O42)</f>
        <v>2395485524.8310003</v>
      </c>
      <c r="Q42" s="98">
        <v>2395485525</v>
      </c>
    </row>
    <row r="43" spans="1:17">
      <c r="B43" t="s">
        <v>76</v>
      </c>
      <c r="D43" s="57">
        <f t="shared" ref="D43:O44" si="9">D8+D17+D34+D25</f>
        <v>59352723.123000003</v>
      </c>
      <c r="E43" s="57">
        <f t="shared" si="9"/>
        <v>54231250.487000003</v>
      </c>
      <c r="F43" s="57">
        <f t="shared" si="9"/>
        <v>53715552.423999995</v>
      </c>
      <c r="G43" s="57">
        <f t="shared" si="9"/>
        <v>47955251.848000005</v>
      </c>
      <c r="H43" s="57">
        <f t="shared" si="9"/>
        <v>47548783.745000005</v>
      </c>
      <c r="I43" s="57">
        <f t="shared" si="9"/>
        <v>45995348.461000003</v>
      </c>
      <c r="J43" s="57">
        <f t="shared" si="9"/>
        <v>53148621.067000002</v>
      </c>
      <c r="K43" s="57">
        <f t="shared" si="9"/>
        <v>50915294.408000007</v>
      </c>
      <c r="L43" s="57">
        <f t="shared" si="9"/>
        <v>45893651.038999997</v>
      </c>
      <c r="M43" s="57">
        <f t="shared" si="9"/>
        <v>50369033.420999996</v>
      </c>
      <c r="N43" s="57">
        <f t="shared" si="9"/>
        <v>52595857.002999999</v>
      </c>
      <c r="O43" s="57">
        <f t="shared" si="9"/>
        <v>60176786.509999998</v>
      </c>
      <c r="P43" s="57">
        <f t="shared" si="8"/>
        <v>621898153.53600001</v>
      </c>
      <c r="Q43" s="98">
        <v>621898154</v>
      </c>
    </row>
    <row r="44" spans="1:17">
      <c r="B44" t="s">
        <v>77</v>
      </c>
      <c r="D44" s="57">
        <f t="shared" si="9"/>
        <v>116124000.625</v>
      </c>
      <c r="E44" s="57">
        <f t="shared" si="9"/>
        <v>110604753.15000001</v>
      </c>
      <c r="F44" s="57">
        <f t="shared" si="9"/>
        <v>107582425.82800001</v>
      </c>
      <c r="G44" s="57">
        <f t="shared" si="9"/>
        <v>108869509.67399999</v>
      </c>
      <c r="H44" s="57">
        <f t="shared" si="9"/>
        <v>113950738.802</v>
      </c>
      <c r="I44" s="57">
        <f t="shared" si="9"/>
        <v>114893358.513</v>
      </c>
      <c r="J44" s="57">
        <f t="shared" si="9"/>
        <v>124562708.57000001</v>
      </c>
      <c r="K44" s="57">
        <f t="shared" si="9"/>
        <v>116483270.582</v>
      </c>
      <c r="L44" s="57">
        <f t="shared" si="9"/>
        <v>105127678.24399999</v>
      </c>
      <c r="M44" s="57">
        <f t="shared" si="9"/>
        <v>128571424.59299999</v>
      </c>
      <c r="N44" s="57">
        <f t="shared" si="9"/>
        <v>107626919.42200001</v>
      </c>
      <c r="O44" s="57">
        <f t="shared" si="9"/>
        <v>115173338.25399999</v>
      </c>
      <c r="P44" s="57">
        <f t="shared" si="8"/>
        <v>1369570126.257</v>
      </c>
      <c r="Q44" s="98">
        <v>1369570126</v>
      </c>
    </row>
    <row r="45" spans="1:17">
      <c r="B45" t="s">
        <v>117</v>
      </c>
      <c r="D45" s="57">
        <f t="shared" ref="D45:L45" si="10">D10+D19+D30+D36</f>
        <v>91254361.87000002</v>
      </c>
      <c r="E45" s="57">
        <f t="shared" si="10"/>
        <v>85256588.479999989</v>
      </c>
      <c r="F45" s="57">
        <f t="shared" si="10"/>
        <v>90115026.299999982</v>
      </c>
      <c r="G45" s="57">
        <f t="shared" si="10"/>
        <v>81790111.899999991</v>
      </c>
      <c r="H45" s="57">
        <f t="shared" si="10"/>
        <v>92286223.400000006</v>
      </c>
      <c r="I45" s="57">
        <f t="shared" si="10"/>
        <v>90662369.600000024</v>
      </c>
      <c r="J45" s="57">
        <f t="shared" si="10"/>
        <v>96315787.589999989</v>
      </c>
      <c r="K45" s="57">
        <f t="shared" si="10"/>
        <v>98229503.840999976</v>
      </c>
      <c r="L45" s="57">
        <f t="shared" si="10"/>
        <v>91866248.393999994</v>
      </c>
      <c r="M45" s="57">
        <f>M10+M19+M30+M36</f>
        <v>93890910.769999996</v>
      </c>
      <c r="N45" s="57">
        <f>N10+N19+N30+N36</f>
        <v>82979731.170000002</v>
      </c>
      <c r="O45" s="57">
        <f>O10+O19+O30+O36</f>
        <v>91254718</v>
      </c>
      <c r="P45" s="57">
        <f t="shared" si="8"/>
        <v>1085901581.3150001</v>
      </c>
      <c r="Q45" s="98">
        <v>1085901581</v>
      </c>
    </row>
    <row r="46" spans="1:17">
      <c r="B46" t="s">
        <v>118</v>
      </c>
      <c r="D46" s="57">
        <f t="shared" ref="D46:O47" si="11">D11+D20+D37</f>
        <v>4340244.5839999998</v>
      </c>
      <c r="E46" s="57">
        <f t="shared" si="11"/>
        <v>4244972.1950000003</v>
      </c>
      <c r="F46" s="57">
        <f t="shared" si="11"/>
        <v>4022821.9869999997</v>
      </c>
      <c r="G46" s="57">
        <f t="shared" si="11"/>
        <v>4817232.58</v>
      </c>
      <c r="H46" s="57">
        <f t="shared" si="11"/>
        <v>13137489.261</v>
      </c>
      <c r="I46" s="57">
        <f t="shared" si="11"/>
        <v>20691277.465999998</v>
      </c>
      <c r="J46" s="57">
        <f t="shared" si="11"/>
        <v>25293030.862</v>
      </c>
      <c r="K46" s="57">
        <f t="shared" si="11"/>
        <v>26711194.523000002</v>
      </c>
      <c r="L46" s="57">
        <f t="shared" si="11"/>
        <v>22077426.968999997</v>
      </c>
      <c r="M46" s="57">
        <f t="shared" si="11"/>
        <v>7942711.0830000006</v>
      </c>
      <c r="N46" s="57">
        <f t="shared" si="11"/>
        <v>2368275.1040000003</v>
      </c>
      <c r="O46" s="57">
        <f t="shared" si="11"/>
        <v>3976376.4280000003</v>
      </c>
      <c r="P46" s="57">
        <f t="shared" si="8"/>
        <v>139623053.042</v>
      </c>
      <c r="Q46" s="98">
        <v>139623053</v>
      </c>
    </row>
    <row r="47" spans="1:17">
      <c r="B47" t="s">
        <v>78</v>
      </c>
      <c r="D47" s="57">
        <f t="shared" si="11"/>
        <v>1588090.1563400002</v>
      </c>
      <c r="E47" s="57">
        <f t="shared" si="11"/>
        <v>1465578.93729</v>
      </c>
      <c r="F47" s="57">
        <f t="shared" si="11"/>
        <v>1457300.8660000002</v>
      </c>
      <c r="G47" s="57">
        <f t="shared" si="11"/>
        <v>1504467.78492</v>
      </c>
      <c r="H47" s="57">
        <f t="shared" si="11"/>
        <v>1481576.6810000001</v>
      </c>
      <c r="I47" s="57">
        <f t="shared" si="11"/>
        <v>1502970.93799</v>
      </c>
      <c r="J47" s="57">
        <f t="shared" si="11"/>
        <v>1517745.8740000001</v>
      </c>
      <c r="K47" s="57">
        <f t="shared" si="11"/>
        <v>1485522.635</v>
      </c>
      <c r="L47" s="57">
        <f t="shared" si="11"/>
        <v>1534874.4569999999</v>
      </c>
      <c r="M47" s="57">
        <f t="shared" si="11"/>
        <v>1490310.2049999998</v>
      </c>
      <c r="N47" s="57">
        <f t="shared" si="11"/>
        <v>1428253.1512200001</v>
      </c>
      <c r="O47" s="57">
        <f>O12+O21+O38</f>
        <v>1505231.9742100001</v>
      </c>
      <c r="P47" s="57">
        <f t="shared" si="8"/>
        <v>17961923.65997</v>
      </c>
      <c r="Q47" s="98">
        <v>17961924</v>
      </c>
    </row>
    <row r="48" spans="1:17">
      <c r="A48" t="s">
        <v>87</v>
      </c>
      <c r="D48" s="58">
        <f t="shared" ref="D48:L48" si="12">SUM(D42:D47)</f>
        <v>547020055.35934007</v>
      </c>
      <c r="E48" s="58">
        <f t="shared" si="12"/>
        <v>462996521.54429007</v>
      </c>
      <c r="F48" s="58">
        <f t="shared" si="12"/>
        <v>486321173.78500003</v>
      </c>
      <c r="G48" s="58">
        <f t="shared" si="12"/>
        <v>414568557.02591997</v>
      </c>
      <c r="H48" s="58">
        <f t="shared" si="12"/>
        <v>437170412.13099998</v>
      </c>
      <c r="I48" s="58">
        <f t="shared" si="12"/>
        <v>420934563.33499002</v>
      </c>
      <c r="J48" s="58">
        <f t="shared" si="12"/>
        <v>495095081.29100001</v>
      </c>
      <c r="K48" s="58">
        <f t="shared" si="12"/>
        <v>472422157.59099996</v>
      </c>
      <c r="L48" s="58">
        <f t="shared" si="12"/>
        <v>420591796.84499997</v>
      </c>
      <c r="M48" s="58">
        <f>SUM(M42:M47)</f>
        <v>455021596.76899993</v>
      </c>
      <c r="N48" s="58">
        <f>SUM(N42:N47)</f>
        <v>465912381.81121999</v>
      </c>
      <c r="O48" s="58">
        <f>SUM(O42:O47)</f>
        <v>552386065.15320992</v>
      </c>
      <c r="P48" s="58">
        <f>SUM(P42:P47)</f>
        <v>5630440362.6409712</v>
      </c>
      <c r="Q48" s="58">
        <f>SUM(Q42:Q47)</f>
        <v>5630440363</v>
      </c>
    </row>
    <row r="50" spans="1:17">
      <c r="B50" t="s">
        <v>156</v>
      </c>
      <c r="D50" s="57">
        <v>89976453.070000023</v>
      </c>
      <c r="E50" s="57">
        <v>84137574.079999998</v>
      </c>
      <c r="F50" s="57">
        <v>88907190.299999997</v>
      </c>
      <c r="G50" s="57">
        <v>80646023.5</v>
      </c>
      <c r="H50" s="57">
        <v>91050835.400000006</v>
      </c>
      <c r="I50" s="57">
        <v>89419992.800000027</v>
      </c>
      <c r="J50" s="57">
        <v>94953576.389999986</v>
      </c>
      <c r="K50" s="57">
        <v>96798580.640999973</v>
      </c>
      <c r="L50" s="57">
        <v>90648727.194000006</v>
      </c>
      <c r="M50" s="57">
        <v>92712575.569999993</v>
      </c>
      <c r="N50" s="57">
        <v>81800228.370000005</v>
      </c>
      <c r="O50" s="57">
        <v>90165376.600000009</v>
      </c>
      <c r="P50" s="57">
        <f t="shared" ref="P50:P51" si="13">SUM(D50:O50)</f>
        <v>1071217133.915</v>
      </c>
    </row>
    <row r="51" spans="1:17">
      <c r="A51" s="105" t="s">
        <v>157</v>
      </c>
      <c r="B51" s="105"/>
      <c r="C51" s="105"/>
      <c r="D51" s="106">
        <f>D48-D45+D50</f>
        <v>545742146.55934012</v>
      </c>
      <c r="E51" s="106">
        <f t="shared" ref="E51:O51" si="14">E48-E45+E50</f>
        <v>461877507.14429003</v>
      </c>
      <c r="F51" s="106">
        <f t="shared" si="14"/>
        <v>485113337.78500003</v>
      </c>
      <c r="G51" s="106">
        <f t="shared" si="14"/>
        <v>413424468.62592</v>
      </c>
      <c r="H51" s="106">
        <f t="shared" si="14"/>
        <v>435935024.13099992</v>
      </c>
      <c r="I51" s="106">
        <f t="shared" si="14"/>
        <v>419692186.53499001</v>
      </c>
      <c r="J51" s="106">
        <f t="shared" si="14"/>
        <v>493732870.09100002</v>
      </c>
      <c r="K51" s="106">
        <f t="shared" si="14"/>
        <v>470991234.39099997</v>
      </c>
      <c r="L51" s="106">
        <f t="shared" si="14"/>
        <v>419374275.64499998</v>
      </c>
      <c r="M51" s="106">
        <f t="shared" si="14"/>
        <v>453843261.56899995</v>
      </c>
      <c r="N51" s="106">
        <f t="shared" si="14"/>
        <v>464732879.01121998</v>
      </c>
      <c r="O51" s="106">
        <f t="shared" si="14"/>
        <v>551296723.75320995</v>
      </c>
      <c r="P51" s="106">
        <f t="shared" si="13"/>
        <v>5615755915.2409697</v>
      </c>
    </row>
    <row r="53" spans="1:17">
      <c r="B53" t="s">
        <v>88</v>
      </c>
      <c r="D53" s="57">
        <f t="shared" ref="D53:L53" si="15">D42</f>
        <v>274360635.00099999</v>
      </c>
      <c r="E53" s="57">
        <f t="shared" si="15"/>
        <v>207193378.29500002</v>
      </c>
      <c r="F53" s="57">
        <f t="shared" si="15"/>
        <v>229428046.38</v>
      </c>
      <c r="G53" s="57">
        <f t="shared" si="15"/>
        <v>169631983.23899999</v>
      </c>
      <c r="H53" s="57">
        <f t="shared" si="15"/>
        <v>168765600.24200001</v>
      </c>
      <c r="I53" s="57">
        <f t="shared" si="15"/>
        <v>147189238.35699999</v>
      </c>
      <c r="J53" s="57">
        <f t="shared" si="15"/>
        <v>194257187.32800001</v>
      </c>
      <c r="K53" s="57">
        <f t="shared" si="15"/>
        <v>178597371.602</v>
      </c>
      <c r="L53" s="57">
        <f t="shared" si="15"/>
        <v>154091917.74200001</v>
      </c>
      <c r="M53" s="57">
        <f>M42</f>
        <v>172757206.697</v>
      </c>
      <c r="N53" s="57">
        <f>N42</f>
        <v>218913345.961</v>
      </c>
      <c r="O53" s="57">
        <f>O42</f>
        <v>280299613.98699999</v>
      </c>
      <c r="P53" s="57">
        <f>SUM(D53:O53)</f>
        <v>2395485524.8310003</v>
      </c>
    </row>
    <row r="54" spans="1:17">
      <c r="B54" t="s">
        <v>123</v>
      </c>
      <c r="D54" s="57">
        <v>218072</v>
      </c>
      <c r="E54" s="102">
        <v>211902</v>
      </c>
      <c r="F54" s="57">
        <v>222747</v>
      </c>
      <c r="G54" s="57">
        <v>215993</v>
      </c>
      <c r="H54" s="57">
        <v>220087</v>
      </c>
      <c r="I54" s="57">
        <v>217384</v>
      </c>
      <c r="J54" s="57">
        <v>217872</v>
      </c>
      <c r="K54" s="57">
        <v>218567</v>
      </c>
      <c r="L54" s="57">
        <v>212455</v>
      </c>
      <c r="M54" s="57">
        <v>225200</v>
      </c>
      <c r="N54" s="57">
        <v>219433</v>
      </c>
      <c r="O54" s="57">
        <v>219805</v>
      </c>
      <c r="P54" s="57">
        <f>SUM(D54:O54)</f>
        <v>2619517</v>
      </c>
      <c r="Q54" s="57">
        <v>2619517</v>
      </c>
    </row>
    <row r="55" spans="1:17">
      <c r="B55" t="s">
        <v>124</v>
      </c>
      <c r="D55" s="62">
        <f t="shared" ref="D55:L55" si="16">D53/D54</f>
        <v>1258.119497234858</v>
      </c>
      <c r="E55" s="62">
        <f t="shared" si="16"/>
        <v>977.77924840256355</v>
      </c>
      <c r="F55" s="62">
        <f t="shared" si="16"/>
        <v>1029.9938781667092</v>
      </c>
      <c r="G55" s="62">
        <f t="shared" si="16"/>
        <v>785.35870717569549</v>
      </c>
      <c r="H55" s="62">
        <f t="shared" si="16"/>
        <v>766.81312500056799</v>
      </c>
      <c r="I55" s="62">
        <f t="shared" si="16"/>
        <v>677.09324677529162</v>
      </c>
      <c r="J55" s="62">
        <f t="shared" si="16"/>
        <v>891.61153029301613</v>
      </c>
      <c r="K55" s="62">
        <f t="shared" si="16"/>
        <v>817.12871385890821</v>
      </c>
      <c r="L55" s="62">
        <f t="shared" si="16"/>
        <v>725.29202768586299</v>
      </c>
      <c r="M55" s="62">
        <f>M53/M54</f>
        <v>767.12791606127882</v>
      </c>
      <c r="N55" s="62">
        <f>N53/N54</f>
        <v>997.63183277355733</v>
      </c>
      <c r="O55" s="62">
        <f>O53/O54</f>
        <v>1275.2194626464366</v>
      </c>
      <c r="P55" s="62">
        <f>P53/P54</f>
        <v>914.47603693009069</v>
      </c>
    </row>
    <row r="56" spans="1:17">
      <c r="B56" t="s">
        <v>89</v>
      </c>
      <c r="D56" s="57">
        <f t="shared" ref="D56:L56" si="17">D43+D44+D46</f>
        <v>179816968.33199999</v>
      </c>
      <c r="E56" s="57">
        <f t="shared" si="17"/>
        <v>169080975.83200002</v>
      </c>
      <c r="F56" s="57">
        <f t="shared" si="17"/>
        <v>165320800.23899999</v>
      </c>
      <c r="G56" s="57">
        <f t="shared" si="17"/>
        <v>161641994.10200003</v>
      </c>
      <c r="H56" s="57">
        <f t="shared" si="17"/>
        <v>174637011.808</v>
      </c>
      <c r="I56" s="57">
        <f t="shared" si="17"/>
        <v>181579984.44</v>
      </c>
      <c r="J56" s="57">
        <f t="shared" si="17"/>
        <v>203004360.49900001</v>
      </c>
      <c r="K56" s="57">
        <f t="shared" si="17"/>
        <v>194109759.51300001</v>
      </c>
      <c r="L56" s="57">
        <f t="shared" si="17"/>
        <v>173098756.25199997</v>
      </c>
      <c r="M56" s="57">
        <f>M43+M44+M46</f>
        <v>186883169.097</v>
      </c>
      <c r="N56" s="57">
        <f>N43+N44+N46</f>
        <v>162591051.52900001</v>
      </c>
      <c r="O56" s="57">
        <f>O43+O44+O46</f>
        <v>179326501.192</v>
      </c>
      <c r="P56" s="57">
        <f>SUM(D56:O56)</f>
        <v>2131091332.8350003</v>
      </c>
    </row>
    <row r="57" spans="1:17">
      <c r="B57" t="s">
        <v>90</v>
      </c>
      <c r="D57" s="57">
        <v>37058</v>
      </c>
      <c r="E57" s="102">
        <v>36002</v>
      </c>
      <c r="F57" s="57">
        <v>37683</v>
      </c>
      <c r="G57" s="57">
        <v>36937</v>
      </c>
      <c r="H57" s="57">
        <v>37134</v>
      </c>
      <c r="I57" s="57">
        <v>36980</v>
      </c>
      <c r="J57" s="57">
        <v>37030</v>
      </c>
      <c r="K57" s="57">
        <v>37108</v>
      </c>
      <c r="L57" s="57">
        <v>36403</v>
      </c>
      <c r="M57" s="57">
        <v>37917</v>
      </c>
      <c r="N57" s="57">
        <v>36879</v>
      </c>
      <c r="O57" s="57">
        <v>37103</v>
      </c>
      <c r="P57" s="57">
        <f>SUM(D57:O57)</f>
        <v>444234</v>
      </c>
      <c r="Q57" s="98">
        <f>391801+22941+29492</f>
        <v>444234</v>
      </c>
    </row>
    <row r="58" spans="1:17">
      <c r="B58" t="s">
        <v>91</v>
      </c>
      <c r="D58" s="57">
        <f t="shared" ref="D58:L58" si="18">D56/D57</f>
        <v>4852.3117365211283</v>
      </c>
      <c r="E58" s="57">
        <f t="shared" si="18"/>
        <v>4696.4328601744355</v>
      </c>
      <c r="F58" s="57">
        <f t="shared" si="18"/>
        <v>4387.1454034710614</v>
      </c>
      <c r="G58" s="57">
        <f t="shared" si="18"/>
        <v>4376.1538322549213</v>
      </c>
      <c r="H58" s="57">
        <f t="shared" si="18"/>
        <v>4702.8871602305162</v>
      </c>
      <c r="I58" s="57">
        <f t="shared" si="18"/>
        <v>4910.2213207138993</v>
      </c>
      <c r="J58" s="57">
        <f t="shared" si="18"/>
        <v>5482.1593437483125</v>
      </c>
      <c r="K58" s="57">
        <f t="shared" si="18"/>
        <v>5230.9410238493047</v>
      </c>
      <c r="L58" s="57">
        <f t="shared" si="18"/>
        <v>4755.0684353487341</v>
      </c>
      <c r="M58" s="57">
        <f>M56/M57</f>
        <v>4928.7435476699111</v>
      </c>
      <c r="N58" s="57">
        <f>N56/N57</f>
        <v>4408.7706154993357</v>
      </c>
      <c r="O58" s="57">
        <f>O56/O57</f>
        <v>4833.2075894671589</v>
      </c>
      <c r="P58" s="57">
        <f>P56/P57</f>
        <v>4797.2269858565533</v>
      </c>
    </row>
    <row r="60" spans="1:17">
      <c r="B60" t="s">
        <v>92</v>
      </c>
      <c r="D60" s="63">
        <f>D48/$Q48</f>
        <v>9.7154044815755389E-2</v>
      </c>
      <c r="E60" s="63">
        <f t="shared" ref="E60:O60" si="19">E48/$Q48</f>
        <v>8.2230960936348005E-2</v>
      </c>
      <c r="F60" s="63">
        <f t="shared" si="19"/>
        <v>8.6373559159035176E-2</v>
      </c>
      <c r="G60" s="63">
        <f t="shared" si="19"/>
        <v>7.3629863793643016E-2</v>
      </c>
      <c r="H60" s="63">
        <f t="shared" si="19"/>
        <v>7.7644088907118394E-2</v>
      </c>
      <c r="I60" s="63">
        <f t="shared" si="19"/>
        <v>7.4760504720222012E-2</v>
      </c>
      <c r="J60" s="63">
        <f t="shared" si="19"/>
        <v>8.7931857789397563E-2</v>
      </c>
      <c r="K60" s="63">
        <f t="shared" si="19"/>
        <v>8.3905010466940627E-2</v>
      </c>
      <c r="L60" s="63">
        <f t="shared" si="19"/>
        <v>7.4699627334459701E-2</v>
      </c>
      <c r="M60" s="63">
        <f t="shared" si="19"/>
        <v>8.0814566434117455E-2</v>
      </c>
      <c r="N60" s="63">
        <f t="shared" si="19"/>
        <v>8.2748835219519756E-2</v>
      </c>
      <c r="O60" s="63">
        <f t="shared" si="19"/>
        <v>9.8107080359676996E-2</v>
      </c>
      <c r="P60" s="63">
        <f>SUM(D60:O60)</f>
        <v>0.99999999993623401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56C0403-F4B9-489A-89D4-4432BE12769D}"/>
</file>

<file path=customXml/itemProps2.xml><?xml version="1.0" encoding="utf-8"?>
<ds:datastoreItem xmlns:ds="http://schemas.openxmlformats.org/officeDocument/2006/customXml" ds:itemID="{B89B2FD1-C4CB-4A43-A302-FBEEFF720F7C}"/>
</file>

<file path=customXml/itemProps3.xml><?xml version="1.0" encoding="utf-8"?>
<ds:datastoreItem xmlns:ds="http://schemas.openxmlformats.org/officeDocument/2006/customXml" ds:itemID="{66A90E76-E5AF-404D-9BE3-6AAB2170A2F0}"/>
</file>

<file path=customXml/itemProps4.xml><?xml version="1.0" encoding="utf-8"?>
<ds:datastoreItem xmlns:ds="http://schemas.openxmlformats.org/officeDocument/2006/customXml" ds:itemID="{F508B9A4-72AD-4FFA-A2BF-FA6F237CB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Attachment 3, Page 1</vt:lpstr>
      <vt:lpstr>Attachment 3, Page 2</vt:lpstr>
      <vt:lpstr>Attachment 3, Page 3</vt:lpstr>
      <vt:lpstr>Attachment 3, Page 4</vt:lpstr>
      <vt:lpstr>TY Normalized Usage by Month</vt:lpstr>
      <vt:lpstr>'Attachment 3, Page 1'!Print_Area</vt:lpstr>
      <vt:lpstr>'Attachment 3, Page 2'!Print_Area</vt:lpstr>
      <vt:lpstr>'Attachment 3, Page 3'!Print_Area</vt:lpstr>
      <vt:lpstr>'Attachment 3, Page 4'!Print_Area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Garbarino, Marcus</cp:lastModifiedBy>
  <cp:lastPrinted>2021-09-28T19:55:17Z</cp:lastPrinted>
  <dcterms:created xsi:type="dcterms:W3CDTF">2013-02-28T17:31:50Z</dcterms:created>
  <dcterms:modified xsi:type="dcterms:W3CDTF">2021-09-28T19:55:42Z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