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4520" windowHeight="13176" tabRatio="829"/>
  </bookViews>
  <sheets>
    <sheet name="Prod RB TY Lead" sheetId="10" r:id="rId1"/>
    <sheet name="Prd Plt Sept 2016" sheetId="28" r:id="rId2"/>
    <sheet name="NOL September 2016" sheetId="49" r:id="rId3"/>
    <sheet name="DFITAMA" sheetId="53" r:id="rId4"/>
    <sheet name="Acct 406" sheetId="45" r:id="rId5"/>
    <sheet name="Acq Adj" sheetId="46" r:id="rId6"/>
    <sheet name="Colstrip" sheetId="47" r:id="rId7"/>
  </sheets>
  <externalReferences>
    <externalReference r:id="rId8"/>
    <externalReference r:id="rId9"/>
  </externalReferences>
  <calcPr calcId="145621" calcMode="manual" iterate="1" calcCompleted="0" calcOnSave="0"/>
</workbook>
</file>

<file path=xl/calcChain.xml><?xml version="1.0" encoding="utf-8"?>
<calcChain xmlns="http://schemas.openxmlformats.org/spreadsheetml/2006/main">
  <c r="C40" i="28" l="1"/>
  <c r="C39" i="28"/>
  <c r="C6" i="49" l="1" a="1"/>
  <c r="C6" i="49" s="1"/>
  <c r="M6" i="49" l="1"/>
  <c r="I6" i="49"/>
  <c r="E6" i="49"/>
  <c r="N6" i="49"/>
  <c r="J6" i="49"/>
  <c r="F6" i="49"/>
  <c r="L6" i="49"/>
  <c r="H6" i="49"/>
  <c r="D6" i="49"/>
  <c r="O6" i="49"/>
  <c r="K6" i="49"/>
  <c r="G6" i="49"/>
  <c r="O7" i="49" l="1"/>
  <c r="N7" i="49"/>
  <c r="M7" i="49"/>
  <c r="L7" i="49"/>
  <c r="K7" i="49"/>
  <c r="J7" i="49"/>
  <c r="I7" i="49"/>
  <c r="H7" i="49"/>
  <c r="G7" i="49"/>
  <c r="F7" i="49"/>
  <c r="E7" i="49"/>
  <c r="D7" i="49"/>
  <c r="C7" i="49"/>
  <c r="C55" i="28"/>
  <c r="C54" i="28"/>
  <c r="C53" i="28"/>
  <c r="C52" i="28"/>
  <c r="C51" i="28"/>
  <c r="C50" i="28"/>
  <c r="C49" i="28"/>
  <c r="C48" i="28"/>
  <c r="C47" i="28"/>
  <c r="I258" i="47" l="1"/>
  <c r="D2" i="47"/>
  <c r="C2" i="47"/>
  <c r="B2" i="47"/>
  <c r="Q7" i="53" l="1"/>
  <c r="B10" i="10" l="1"/>
  <c r="F34" i="46" l="1"/>
  <c r="F33" i="46"/>
  <c r="F32" i="46"/>
  <c r="F31" i="46"/>
  <c r="F30" i="46"/>
  <c r="F29" i="46"/>
  <c r="F28" i="46"/>
  <c r="F27" i="46"/>
  <c r="F26" i="46"/>
  <c r="F25" i="46"/>
  <c r="F24" i="46"/>
  <c r="F23" i="46"/>
  <c r="F22" i="46"/>
  <c r="B3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5" i="46"/>
  <c r="C18" i="46"/>
  <c r="D18" i="46"/>
  <c r="E18" i="46"/>
  <c r="B16" i="10" l="1"/>
  <c r="Q243" i="53"/>
  <c r="Q241" i="53"/>
  <c r="Q245" i="53" s="1"/>
  <c r="E250" i="53" l="1"/>
  <c r="B250" i="53"/>
  <c r="B247" i="53"/>
  <c r="E247" i="53" s="1"/>
  <c r="B246" i="53"/>
  <c r="E246" i="53" s="1"/>
  <c r="B245" i="53"/>
  <c r="E245" i="53" s="1"/>
  <c r="O238" i="53"/>
  <c r="N238" i="53"/>
  <c r="M238" i="53"/>
  <c r="L238" i="53"/>
  <c r="K238" i="53"/>
  <c r="J238" i="53"/>
  <c r="I238" i="53"/>
  <c r="H238" i="53"/>
  <c r="G238" i="53"/>
  <c r="F238" i="53"/>
  <c r="E238" i="53"/>
  <c r="D238" i="53"/>
  <c r="C238" i="53"/>
  <c r="O237" i="53"/>
  <c r="N237" i="53"/>
  <c r="M237" i="53"/>
  <c r="L237" i="53"/>
  <c r="K237" i="53"/>
  <c r="J237" i="53"/>
  <c r="I237" i="53"/>
  <c r="H237" i="53"/>
  <c r="G237" i="53"/>
  <c r="F237" i="53"/>
  <c r="E237" i="53"/>
  <c r="D237" i="53"/>
  <c r="C237" i="53"/>
  <c r="O236" i="53"/>
  <c r="N236" i="53"/>
  <c r="M236" i="53"/>
  <c r="L236" i="53"/>
  <c r="K236" i="53"/>
  <c r="J236" i="53"/>
  <c r="I236" i="53"/>
  <c r="H236" i="53"/>
  <c r="G236" i="53"/>
  <c r="F236" i="53"/>
  <c r="E236" i="53"/>
  <c r="D236" i="53"/>
  <c r="C236" i="53"/>
  <c r="P237" i="53" s="1"/>
  <c r="O235" i="53"/>
  <c r="N235" i="53"/>
  <c r="M235" i="53"/>
  <c r="L235" i="53"/>
  <c r="K235" i="53"/>
  <c r="J235" i="53"/>
  <c r="I235" i="53"/>
  <c r="H235" i="53"/>
  <c r="G235" i="53"/>
  <c r="F235" i="53"/>
  <c r="E235" i="53"/>
  <c r="D235" i="53"/>
  <c r="P235" i="53" s="1"/>
  <c r="C235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O233" i="53"/>
  <c r="H233" i="53"/>
  <c r="C233" i="53"/>
  <c r="O232" i="53"/>
  <c r="G232" i="53"/>
  <c r="B232" i="53"/>
  <c r="N231" i="53"/>
  <c r="M231" i="53"/>
  <c r="I231" i="53"/>
  <c r="F231" i="53"/>
  <c r="E231" i="53"/>
  <c r="B231" i="53"/>
  <c r="C230" i="53"/>
  <c r="B230" i="53"/>
  <c r="O227" i="53"/>
  <c r="N227" i="53"/>
  <c r="M227" i="53"/>
  <c r="L227" i="53"/>
  <c r="K227" i="53"/>
  <c r="J227" i="53"/>
  <c r="I227" i="53"/>
  <c r="H227" i="53"/>
  <c r="G227" i="53"/>
  <c r="F227" i="53"/>
  <c r="E227" i="53"/>
  <c r="D227" i="53"/>
  <c r="P227" i="53" s="1"/>
  <c r="C227" i="53"/>
  <c r="O226" i="53"/>
  <c r="N226" i="53"/>
  <c r="M226" i="53"/>
  <c r="L226" i="53"/>
  <c r="K226" i="53"/>
  <c r="J226" i="53"/>
  <c r="I226" i="53"/>
  <c r="H226" i="53"/>
  <c r="G226" i="53"/>
  <c r="F226" i="53"/>
  <c r="E226" i="53"/>
  <c r="D226" i="53"/>
  <c r="C226" i="53"/>
  <c r="O225" i="53"/>
  <c r="N225" i="53"/>
  <c r="M225" i="53"/>
  <c r="L225" i="53"/>
  <c r="K225" i="53"/>
  <c r="J225" i="53"/>
  <c r="I225" i="53"/>
  <c r="H225" i="53"/>
  <c r="G225" i="53"/>
  <c r="F225" i="53"/>
  <c r="E225" i="53"/>
  <c r="D225" i="53"/>
  <c r="P225" i="53" s="1"/>
  <c r="C225" i="53"/>
  <c r="O224" i="53"/>
  <c r="N224" i="53"/>
  <c r="M224" i="53"/>
  <c r="L224" i="53"/>
  <c r="K224" i="53"/>
  <c r="J224" i="53"/>
  <c r="I224" i="53"/>
  <c r="H224" i="53"/>
  <c r="G224" i="53"/>
  <c r="F224" i="53"/>
  <c r="E224" i="53"/>
  <c r="D224" i="53"/>
  <c r="C224" i="53"/>
  <c r="O223" i="53"/>
  <c r="N223" i="53"/>
  <c r="M223" i="53"/>
  <c r="L223" i="53"/>
  <c r="K223" i="53"/>
  <c r="J223" i="53"/>
  <c r="I223" i="53"/>
  <c r="H223" i="53"/>
  <c r="G223" i="53"/>
  <c r="F223" i="53"/>
  <c r="E223" i="53"/>
  <c r="D223" i="53"/>
  <c r="C223" i="53"/>
  <c r="O222" i="53"/>
  <c r="N222" i="53"/>
  <c r="M222" i="53"/>
  <c r="K222" i="53"/>
  <c r="J222" i="53"/>
  <c r="I222" i="53"/>
  <c r="G222" i="53"/>
  <c r="F222" i="53"/>
  <c r="E222" i="53"/>
  <c r="C222" i="53"/>
  <c r="O221" i="53"/>
  <c r="G221" i="53"/>
  <c r="C221" i="53"/>
  <c r="B221" i="53"/>
  <c r="L222" i="53" s="1"/>
  <c r="O220" i="53"/>
  <c r="G220" i="53"/>
  <c r="B220" i="53"/>
  <c r="B219" i="53"/>
  <c r="C219" i="53" s="1"/>
  <c r="O216" i="53"/>
  <c r="N216" i="53"/>
  <c r="M216" i="53"/>
  <c r="L216" i="53"/>
  <c r="K216" i="53"/>
  <c r="J216" i="53"/>
  <c r="I216" i="53"/>
  <c r="H216" i="53"/>
  <c r="G216" i="53"/>
  <c r="F216" i="53"/>
  <c r="E216" i="53"/>
  <c r="Q216" i="53" s="1"/>
  <c r="D216" i="53"/>
  <c r="C216" i="53"/>
  <c r="O215" i="53"/>
  <c r="N215" i="53"/>
  <c r="M215" i="53"/>
  <c r="L215" i="53"/>
  <c r="K215" i="53"/>
  <c r="J215" i="53"/>
  <c r="I215" i="53"/>
  <c r="H215" i="53"/>
  <c r="G215" i="53"/>
  <c r="F215" i="53"/>
  <c r="E215" i="53"/>
  <c r="D215" i="53"/>
  <c r="C215" i="53"/>
  <c r="P216" i="53" s="1"/>
  <c r="O214" i="53"/>
  <c r="N214" i="53"/>
  <c r="M214" i="53"/>
  <c r="L214" i="53"/>
  <c r="K214" i="53"/>
  <c r="J214" i="53"/>
  <c r="I214" i="53"/>
  <c r="H214" i="53"/>
  <c r="G214" i="53"/>
  <c r="F214" i="53"/>
  <c r="E214" i="53"/>
  <c r="D214" i="53"/>
  <c r="C214" i="53"/>
  <c r="O213" i="53"/>
  <c r="N213" i="53"/>
  <c r="M213" i="53"/>
  <c r="L213" i="53"/>
  <c r="K213" i="53"/>
  <c r="J213" i="53"/>
  <c r="I213" i="53"/>
  <c r="H213" i="53"/>
  <c r="G213" i="53"/>
  <c r="F213" i="53"/>
  <c r="E213" i="53"/>
  <c r="D213" i="53"/>
  <c r="C213" i="53"/>
  <c r="O212" i="53"/>
  <c r="N212" i="53"/>
  <c r="M212" i="53"/>
  <c r="L212" i="53"/>
  <c r="K212" i="53"/>
  <c r="J212" i="53"/>
  <c r="I212" i="53"/>
  <c r="H212" i="53"/>
  <c r="G212" i="53"/>
  <c r="F212" i="53"/>
  <c r="E212" i="53"/>
  <c r="D212" i="53"/>
  <c r="C212" i="53"/>
  <c r="O211" i="53"/>
  <c r="N211" i="53"/>
  <c r="K211" i="53"/>
  <c r="J211" i="53"/>
  <c r="G211" i="53"/>
  <c r="F211" i="53"/>
  <c r="C211" i="53"/>
  <c r="P212" i="53" s="1"/>
  <c r="M210" i="53"/>
  <c r="L210" i="53"/>
  <c r="I210" i="53"/>
  <c r="H210" i="53"/>
  <c r="E210" i="53"/>
  <c r="D210" i="53"/>
  <c r="B210" i="53"/>
  <c r="M211" i="53" s="1"/>
  <c r="O209" i="53"/>
  <c r="L209" i="53"/>
  <c r="K209" i="53"/>
  <c r="H209" i="53"/>
  <c r="D209" i="53"/>
  <c r="C209" i="53"/>
  <c r="B209" i="53"/>
  <c r="N209" i="53" s="1"/>
  <c r="B208" i="53"/>
  <c r="O205" i="53"/>
  <c r="N205" i="53"/>
  <c r="M205" i="53"/>
  <c r="L205" i="53"/>
  <c r="K205" i="53"/>
  <c r="J205" i="53"/>
  <c r="I205" i="53"/>
  <c r="H205" i="53"/>
  <c r="G205" i="53"/>
  <c r="F205" i="53"/>
  <c r="E205" i="53"/>
  <c r="D205" i="53"/>
  <c r="C205" i="53"/>
  <c r="O204" i="53"/>
  <c r="N204" i="53"/>
  <c r="M204" i="53"/>
  <c r="L204" i="53"/>
  <c r="Q205" i="53" s="1"/>
  <c r="K204" i="53"/>
  <c r="J204" i="53"/>
  <c r="I204" i="53"/>
  <c r="H204" i="53"/>
  <c r="G204" i="53"/>
  <c r="F204" i="53"/>
  <c r="E204" i="53"/>
  <c r="D204" i="53"/>
  <c r="P204" i="53" s="1"/>
  <c r="C204" i="53"/>
  <c r="O203" i="53"/>
  <c r="N203" i="53"/>
  <c r="M203" i="53"/>
  <c r="L203" i="53"/>
  <c r="K203" i="53"/>
  <c r="J203" i="53"/>
  <c r="I203" i="53"/>
  <c r="H203" i="53"/>
  <c r="G203" i="53"/>
  <c r="F203" i="53"/>
  <c r="E203" i="53"/>
  <c r="D203" i="53"/>
  <c r="C203" i="53"/>
  <c r="O202" i="53"/>
  <c r="N202" i="53"/>
  <c r="M202" i="53"/>
  <c r="L202" i="53"/>
  <c r="K202" i="53"/>
  <c r="J202" i="53"/>
  <c r="I202" i="53"/>
  <c r="H202" i="53"/>
  <c r="G202" i="53"/>
  <c r="F202" i="53"/>
  <c r="E202" i="53"/>
  <c r="D202" i="53"/>
  <c r="P202" i="53" s="1"/>
  <c r="C202" i="53"/>
  <c r="O201" i="53"/>
  <c r="N201" i="53"/>
  <c r="M201" i="53"/>
  <c r="L201" i="53"/>
  <c r="K201" i="53"/>
  <c r="J201" i="53"/>
  <c r="I201" i="53"/>
  <c r="H201" i="53"/>
  <c r="G201" i="53"/>
  <c r="F201" i="53"/>
  <c r="E201" i="53"/>
  <c r="D201" i="53"/>
  <c r="C201" i="53"/>
  <c r="O200" i="53"/>
  <c r="G200" i="53"/>
  <c r="C200" i="53"/>
  <c r="M199" i="53"/>
  <c r="E199" i="53"/>
  <c r="B199" i="53"/>
  <c r="K200" i="53" s="1"/>
  <c r="L198" i="53"/>
  <c r="J198" i="53"/>
  <c r="F198" i="53"/>
  <c r="E198" i="53"/>
  <c r="B198" i="53"/>
  <c r="C197" i="53"/>
  <c r="O194" i="53"/>
  <c r="N194" i="53"/>
  <c r="M194" i="53"/>
  <c r="L194" i="53"/>
  <c r="K194" i="53"/>
  <c r="J194" i="53"/>
  <c r="I194" i="53"/>
  <c r="H194" i="53"/>
  <c r="G194" i="53"/>
  <c r="F194" i="53"/>
  <c r="E194" i="53"/>
  <c r="Q194" i="53" s="1"/>
  <c r="D194" i="53"/>
  <c r="C194" i="53"/>
  <c r="O193" i="53"/>
  <c r="N193" i="53"/>
  <c r="M193" i="53"/>
  <c r="L193" i="53"/>
  <c r="K193" i="53"/>
  <c r="J193" i="53"/>
  <c r="I193" i="53"/>
  <c r="H193" i="53"/>
  <c r="G193" i="53"/>
  <c r="F193" i="53"/>
  <c r="E193" i="53"/>
  <c r="D193" i="53"/>
  <c r="C193" i="53"/>
  <c r="O192" i="53"/>
  <c r="N192" i="53"/>
  <c r="M192" i="53"/>
  <c r="L192" i="53"/>
  <c r="K192" i="53"/>
  <c r="J192" i="53"/>
  <c r="I192" i="53"/>
  <c r="H192" i="53"/>
  <c r="G192" i="53"/>
  <c r="F192" i="53"/>
  <c r="E192" i="53"/>
  <c r="D192" i="53"/>
  <c r="C192" i="53"/>
  <c r="P193" i="53" s="1"/>
  <c r="O191" i="53"/>
  <c r="N191" i="53"/>
  <c r="M191" i="53"/>
  <c r="L191" i="53"/>
  <c r="K191" i="53"/>
  <c r="J191" i="53"/>
  <c r="I191" i="53"/>
  <c r="H191" i="53"/>
  <c r="G191" i="53"/>
  <c r="F191" i="53"/>
  <c r="E191" i="53"/>
  <c r="D191" i="53"/>
  <c r="C191" i="53"/>
  <c r="O190" i="53"/>
  <c r="N190" i="53"/>
  <c r="M190" i="53"/>
  <c r="L190" i="53"/>
  <c r="K190" i="53"/>
  <c r="J190" i="53"/>
  <c r="I190" i="53"/>
  <c r="H190" i="53"/>
  <c r="G190" i="53"/>
  <c r="F190" i="53"/>
  <c r="E190" i="53"/>
  <c r="D190" i="53"/>
  <c r="C190" i="53"/>
  <c r="P191" i="53" s="1"/>
  <c r="O189" i="53"/>
  <c r="N189" i="53"/>
  <c r="M189" i="53"/>
  <c r="L189" i="53"/>
  <c r="K189" i="53"/>
  <c r="J189" i="53"/>
  <c r="I189" i="53"/>
  <c r="H189" i="53"/>
  <c r="G189" i="53"/>
  <c r="F189" i="53"/>
  <c r="E189" i="53"/>
  <c r="D189" i="53"/>
  <c r="P189" i="53" s="1"/>
  <c r="C189" i="53"/>
  <c r="O188" i="53"/>
  <c r="N188" i="53"/>
  <c r="M188" i="53"/>
  <c r="L188" i="53"/>
  <c r="K188" i="53"/>
  <c r="J188" i="53"/>
  <c r="I188" i="53"/>
  <c r="H188" i="53"/>
  <c r="G188" i="53"/>
  <c r="F188" i="53"/>
  <c r="E188" i="53"/>
  <c r="D188" i="53"/>
  <c r="C188" i="53"/>
  <c r="O187" i="53"/>
  <c r="N187" i="53"/>
  <c r="M187" i="53"/>
  <c r="L187" i="53"/>
  <c r="K187" i="53"/>
  <c r="J187" i="53"/>
  <c r="I187" i="53"/>
  <c r="H187" i="53"/>
  <c r="G187" i="53"/>
  <c r="F187" i="53"/>
  <c r="E187" i="53"/>
  <c r="D187" i="53"/>
  <c r="P187" i="53" s="1"/>
  <c r="C187" i="53"/>
  <c r="C186" i="53"/>
  <c r="O183" i="53"/>
  <c r="K183" i="53"/>
  <c r="E183" i="53"/>
  <c r="C183" i="53"/>
  <c r="N182" i="53"/>
  <c r="I182" i="53"/>
  <c r="C182" i="53"/>
  <c r="B182" i="53"/>
  <c r="M183" i="53" s="1"/>
  <c r="O181" i="53"/>
  <c r="N181" i="53"/>
  <c r="M181" i="53"/>
  <c r="L181" i="53"/>
  <c r="K181" i="53"/>
  <c r="J181" i="53"/>
  <c r="I181" i="53"/>
  <c r="H181" i="53"/>
  <c r="G181" i="53"/>
  <c r="F181" i="53"/>
  <c r="E181" i="53"/>
  <c r="D181" i="53"/>
  <c r="C181" i="53"/>
  <c r="O180" i="53"/>
  <c r="N180" i="53"/>
  <c r="M180" i="53"/>
  <c r="L180" i="53"/>
  <c r="K180" i="53"/>
  <c r="J180" i="53"/>
  <c r="I180" i="53"/>
  <c r="H180" i="53"/>
  <c r="G180" i="53"/>
  <c r="F180" i="53"/>
  <c r="E180" i="53"/>
  <c r="D180" i="53"/>
  <c r="P180" i="53" s="1"/>
  <c r="C180" i="53"/>
  <c r="O179" i="53"/>
  <c r="N179" i="53"/>
  <c r="M179" i="53"/>
  <c r="L179" i="53"/>
  <c r="K179" i="53"/>
  <c r="J179" i="53"/>
  <c r="I179" i="53"/>
  <c r="H179" i="53"/>
  <c r="G179" i="53"/>
  <c r="F179" i="53"/>
  <c r="E179" i="53"/>
  <c r="D179" i="53"/>
  <c r="C179" i="53"/>
  <c r="O178" i="53"/>
  <c r="K178" i="53"/>
  <c r="F178" i="53"/>
  <c r="C178" i="53"/>
  <c r="P179" i="53" s="1"/>
  <c r="N177" i="53"/>
  <c r="I177" i="53"/>
  <c r="D177" i="53"/>
  <c r="B177" i="53"/>
  <c r="N178" i="53" s="1"/>
  <c r="O176" i="53"/>
  <c r="M176" i="53"/>
  <c r="L176" i="53"/>
  <c r="H176" i="53"/>
  <c r="G176" i="53"/>
  <c r="C176" i="53"/>
  <c r="B176" i="53"/>
  <c r="N176" i="53" s="1"/>
  <c r="B175" i="53"/>
  <c r="K176" i="53" s="1"/>
  <c r="Q172" i="53"/>
  <c r="O172" i="53"/>
  <c r="N172" i="53"/>
  <c r="M172" i="53"/>
  <c r="L172" i="53"/>
  <c r="K172" i="53"/>
  <c r="J172" i="53"/>
  <c r="I172" i="53"/>
  <c r="H172" i="53"/>
  <c r="G172" i="53"/>
  <c r="F172" i="53"/>
  <c r="E172" i="53"/>
  <c r="D172" i="53"/>
  <c r="C172" i="53"/>
  <c r="O171" i="53"/>
  <c r="N171" i="53"/>
  <c r="M171" i="53"/>
  <c r="L171" i="53"/>
  <c r="K171" i="53"/>
  <c r="J171" i="53"/>
  <c r="I171" i="53"/>
  <c r="H171" i="53"/>
  <c r="G171" i="53"/>
  <c r="F171" i="53"/>
  <c r="E171" i="53"/>
  <c r="D171" i="53"/>
  <c r="C171" i="53"/>
  <c r="O170" i="53"/>
  <c r="N170" i="53"/>
  <c r="M170" i="53"/>
  <c r="L170" i="53"/>
  <c r="K170" i="53"/>
  <c r="J170" i="53"/>
  <c r="I170" i="53"/>
  <c r="H170" i="53"/>
  <c r="G170" i="53"/>
  <c r="F170" i="53"/>
  <c r="E170" i="53"/>
  <c r="D170" i="53"/>
  <c r="C170" i="53"/>
  <c r="P171" i="53" s="1"/>
  <c r="O169" i="53"/>
  <c r="N169" i="53"/>
  <c r="M169" i="53"/>
  <c r="L169" i="53"/>
  <c r="K169" i="53"/>
  <c r="J169" i="53"/>
  <c r="I169" i="53"/>
  <c r="H169" i="53"/>
  <c r="G169" i="53"/>
  <c r="F169" i="53"/>
  <c r="E169" i="53"/>
  <c r="D169" i="53"/>
  <c r="C169" i="53"/>
  <c r="O168" i="53"/>
  <c r="N168" i="53"/>
  <c r="M168" i="53"/>
  <c r="L168" i="53"/>
  <c r="K168" i="53"/>
  <c r="J168" i="53"/>
  <c r="I168" i="53"/>
  <c r="H168" i="53"/>
  <c r="G168" i="53"/>
  <c r="F168" i="53"/>
  <c r="E168" i="53"/>
  <c r="D168" i="53"/>
  <c r="C168" i="53"/>
  <c r="O167" i="53"/>
  <c r="K167" i="53"/>
  <c r="E167" i="53"/>
  <c r="C167" i="53"/>
  <c r="N166" i="53"/>
  <c r="I166" i="53"/>
  <c r="C166" i="53"/>
  <c r="B166" i="53"/>
  <c r="M167" i="53" s="1"/>
  <c r="M165" i="53"/>
  <c r="H165" i="53"/>
  <c r="C165" i="53"/>
  <c r="B165" i="53"/>
  <c r="J165" i="53" s="1"/>
  <c r="C164" i="53"/>
  <c r="O161" i="53"/>
  <c r="N161" i="53"/>
  <c r="M161" i="53"/>
  <c r="L161" i="53"/>
  <c r="K161" i="53"/>
  <c r="J161" i="53"/>
  <c r="I161" i="53"/>
  <c r="H161" i="53"/>
  <c r="G161" i="53"/>
  <c r="F161" i="53"/>
  <c r="E161" i="53"/>
  <c r="D161" i="53"/>
  <c r="P161" i="53" s="1"/>
  <c r="C161" i="53"/>
  <c r="O160" i="53"/>
  <c r="N160" i="53"/>
  <c r="M160" i="53"/>
  <c r="L160" i="53"/>
  <c r="K160" i="53"/>
  <c r="J160" i="53"/>
  <c r="I160" i="53"/>
  <c r="H160" i="53"/>
  <c r="G160" i="53"/>
  <c r="F160" i="53"/>
  <c r="E160" i="53"/>
  <c r="D160" i="53"/>
  <c r="C160" i="53"/>
  <c r="O159" i="53"/>
  <c r="N159" i="53"/>
  <c r="M159" i="53"/>
  <c r="L159" i="53"/>
  <c r="K159" i="53"/>
  <c r="J159" i="53"/>
  <c r="I159" i="53"/>
  <c r="H159" i="53"/>
  <c r="G159" i="53"/>
  <c r="F159" i="53"/>
  <c r="E159" i="53"/>
  <c r="D159" i="53"/>
  <c r="P159" i="53" s="1"/>
  <c r="C159" i="53"/>
  <c r="P160" i="53" s="1"/>
  <c r="O158" i="53"/>
  <c r="N158" i="53"/>
  <c r="M158" i="53"/>
  <c r="L158" i="53"/>
  <c r="K158" i="53"/>
  <c r="J158" i="53"/>
  <c r="I158" i="53"/>
  <c r="H158" i="53"/>
  <c r="G158" i="53"/>
  <c r="F158" i="53"/>
  <c r="E158" i="53"/>
  <c r="D158" i="53"/>
  <c r="C158" i="53"/>
  <c r="O157" i="53"/>
  <c r="N157" i="53"/>
  <c r="M157" i="53"/>
  <c r="L157" i="53"/>
  <c r="K157" i="53"/>
  <c r="J157" i="53"/>
  <c r="I157" i="53"/>
  <c r="H157" i="53"/>
  <c r="G157" i="53"/>
  <c r="F157" i="53"/>
  <c r="E157" i="53"/>
  <c r="D157" i="53"/>
  <c r="P157" i="53" s="1"/>
  <c r="C157" i="53"/>
  <c r="O156" i="53"/>
  <c r="N156" i="53"/>
  <c r="M156" i="53"/>
  <c r="L156" i="53"/>
  <c r="K156" i="53"/>
  <c r="J156" i="53"/>
  <c r="I156" i="53"/>
  <c r="H156" i="53"/>
  <c r="G156" i="53"/>
  <c r="F156" i="53"/>
  <c r="E156" i="53"/>
  <c r="D156" i="53"/>
  <c r="C156" i="53"/>
  <c r="C155" i="53"/>
  <c r="P156" i="53" s="1"/>
  <c r="O154" i="53"/>
  <c r="N154" i="53"/>
  <c r="M154" i="53"/>
  <c r="L154" i="53"/>
  <c r="K154" i="53"/>
  <c r="J154" i="53"/>
  <c r="I154" i="53"/>
  <c r="H154" i="53"/>
  <c r="G154" i="53"/>
  <c r="F154" i="53"/>
  <c r="E154" i="53"/>
  <c r="D154" i="53"/>
  <c r="C154" i="53"/>
  <c r="O153" i="53"/>
  <c r="N153" i="53"/>
  <c r="M153" i="53"/>
  <c r="L153" i="53"/>
  <c r="K153" i="53"/>
  <c r="J153" i="53"/>
  <c r="I153" i="53"/>
  <c r="H153" i="53"/>
  <c r="G153" i="53"/>
  <c r="F153" i="53"/>
  <c r="E153" i="53"/>
  <c r="D153" i="53"/>
  <c r="C153" i="53"/>
  <c r="O150" i="53"/>
  <c r="N150" i="53"/>
  <c r="M150" i="53"/>
  <c r="K150" i="53"/>
  <c r="J150" i="53"/>
  <c r="I150" i="53"/>
  <c r="G150" i="53"/>
  <c r="F150" i="53"/>
  <c r="E150" i="53"/>
  <c r="C150" i="53"/>
  <c r="O149" i="53"/>
  <c r="L149" i="53"/>
  <c r="H149" i="53"/>
  <c r="D149" i="53"/>
  <c r="C149" i="53"/>
  <c r="B149" i="53"/>
  <c r="B249" i="53" s="1"/>
  <c r="E249" i="53" s="1"/>
  <c r="O148" i="53"/>
  <c r="K148" i="53"/>
  <c r="G148" i="53"/>
  <c r="C148" i="53"/>
  <c r="B148" i="53"/>
  <c r="K149" i="53" s="1"/>
  <c r="O147" i="53"/>
  <c r="N147" i="53"/>
  <c r="M147" i="53"/>
  <c r="L147" i="53"/>
  <c r="K147" i="53"/>
  <c r="J147" i="53"/>
  <c r="I147" i="53"/>
  <c r="H147" i="53"/>
  <c r="G147" i="53"/>
  <c r="F147" i="53"/>
  <c r="E147" i="53"/>
  <c r="D147" i="53"/>
  <c r="C147" i="53"/>
  <c r="O146" i="53"/>
  <c r="N146" i="53"/>
  <c r="M146" i="53"/>
  <c r="L146" i="53"/>
  <c r="K146" i="53"/>
  <c r="J146" i="53"/>
  <c r="I146" i="53"/>
  <c r="H146" i="53"/>
  <c r="G146" i="53"/>
  <c r="F146" i="53"/>
  <c r="E146" i="53"/>
  <c r="D146" i="53"/>
  <c r="P146" i="53" s="1"/>
  <c r="C146" i="53"/>
  <c r="P147" i="53" s="1"/>
  <c r="O145" i="53"/>
  <c r="N145" i="53"/>
  <c r="M145" i="53"/>
  <c r="K145" i="53"/>
  <c r="J145" i="53"/>
  <c r="I145" i="53"/>
  <c r="G145" i="53"/>
  <c r="F145" i="53"/>
  <c r="E145" i="53"/>
  <c r="C145" i="53"/>
  <c r="O144" i="53"/>
  <c r="L144" i="53"/>
  <c r="H144" i="53"/>
  <c r="D144" i="53"/>
  <c r="C144" i="53"/>
  <c r="B144" i="53"/>
  <c r="L145" i="53" s="1"/>
  <c r="O143" i="53"/>
  <c r="K143" i="53"/>
  <c r="G143" i="53"/>
  <c r="C143" i="53"/>
  <c r="B143" i="53"/>
  <c r="K144" i="53" s="1"/>
  <c r="B142" i="53"/>
  <c r="C142" i="53" s="1"/>
  <c r="Q139" i="53"/>
  <c r="O139" i="53"/>
  <c r="N139" i="53"/>
  <c r="M139" i="53"/>
  <c r="L139" i="53"/>
  <c r="K139" i="53"/>
  <c r="J139" i="53"/>
  <c r="I139" i="53"/>
  <c r="H139" i="53"/>
  <c r="G139" i="53"/>
  <c r="F139" i="53"/>
  <c r="E139" i="53"/>
  <c r="D139" i="53"/>
  <c r="C139" i="53"/>
  <c r="O138" i="53"/>
  <c r="N138" i="53"/>
  <c r="M138" i="53"/>
  <c r="L138" i="53"/>
  <c r="K138" i="53"/>
  <c r="J138" i="53"/>
  <c r="I138" i="53"/>
  <c r="H138" i="53"/>
  <c r="G138" i="53"/>
  <c r="F138" i="53"/>
  <c r="E138" i="53"/>
  <c r="D138" i="53"/>
  <c r="C138" i="53"/>
  <c r="P139" i="53" s="1"/>
  <c r="O137" i="53"/>
  <c r="N137" i="53"/>
  <c r="M137" i="53"/>
  <c r="L137" i="53"/>
  <c r="K137" i="53"/>
  <c r="J137" i="53"/>
  <c r="I137" i="53"/>
  <c r="H137" i="53"/>
  <c r="G137" i="53"/>
  <c r="F137" i="53"/>
  <c r="E137" i="53"/>
  <c r="D137" i="53"/>
  <c r="C137" i="53"/>
  <c r="O136" i="53"/>
  <c r="N136" i="53"/>
  <c r="M136" i="53"/>
  <c r="L136" i="53"/>
  <c r="K136" i="53"/>
  <c r="J136" i="53"/>
  <c r="I136" i="53"/>
  <c r="H136" i="53"/>
  <c r="G136" i="53"/>
  <c r="F136" i="53"/>
  <c r="E136" i="53"/>
  <c r="D136" i="53"/>
  <c r="C136" i="53"/>
  <c r="P137" i="53" s="1"/>
  <c r="O135" i="53"/>
  <c r="N135" i="53"/>
  <c r="M135" i="53"/>
  <c r="L135" i="53"/>
  <c r="K135" i="53"/>
  <c r="J135" i="53"/>
  <c r="I135" i="53"/>
  <c r="H135" i="53"/>
  <c r="G135" i="53"/>
  <c r="F135" i="53"/>
  <c r="E135" i="53"/>
  <c r="D135" i="53"/>
  <c r="C135" i="53"/>
  <c r="O134" i="53"/>
  <c r="N134" i="53"/>
  <c r="K134" i="53"/>
  <c r="J134" i="53"/>
  <c r="G134" i="53"/>
  <c r="F134" i="53"/>
  <c r="C134" i="53"/>
  <c r="P135" i="53" s="1"/>
  <c r="M133" i="53"/>
  <c r="L133" i="53"/>
  <c r="I133" i="53"/>
  <c r="H133" i="53"/>
  <c r="E133" i="53"/>
  <c r="D133" i="53"/>
  <c r="B133" i="53"/>
  <c r="M134" i="53" s="1"/>
  <c r="O132" i="53"/>
  <c r="L132" i="53"/>
  <c r="D132" i="53"/>
  <c r="C132" i="53"/>
  <c r="B132" i="53"/>
  <c r="N132" i="53" s="1"/>
  <c r="B131" i="53"/>
  <c r="O128" i="53"/>
  <c r="N128" i="53"/>
  <c r="M128" i="53"/>
  <c r="L128" i="53"/>
  <c r="K128" i="53"/>
  <c r="J128" i="53"/>
  <c r="I128" i="53"/>
  <c r="H128" i="53"/>
  <c r="G128" i="53"/>
  <c r="F128" i="53"/>
  <c r="E128" i="53"/>
  <c r="D128" i="53"/>
  <c r="C128" i="53"/>
  <c r="O127" i="53"/>
  <c r="N127" i="53"/>
  <c r="M127" i="53"/>
  <c r="L127" i="53"/>
  <c r="Q128" i="53" s="1"/>
  <c r="K127" i="53"/>
  <c r="J127" i="53"/>
  <c r="I127" i="53"/>
  <c r="H127" i="53"/>
  <c r="G127" i="53"/>
  <c r="F127" i="53"/>
  <c r="E127" i="53"/>
  <c r="D127" i="53"/>
  <c r="P127" i="53" s="1"/>
  <c r="C127" i="53"/>
  <c r="P128" i="53" s="1"/>
  <c r="O126" i="53"/>
  <c r="N126" i="53"/>
  <c r="M126" i="53"/>
  <c r="L126" i="53"/>
  <c r="K126" i="53"/>
  <c r="J126" i="53"/>
  <c r="I126" i="53"/>
  <c r="H126" i="53"/>
  <c r="G126" i="53"/>
  <c r="F126" i="53"/>
  <c r="E126" i="53"/>
  <c r="D126" i="53"/>
  <c r="C126" i="53"/>
  <c r="O125" i="53"/>
  <c r="N125" i="53"/>
  <c r="M125" i="53"/>
  <c r="L125" i="53"/>
  <c r="K125" i="53"/>
  <c r="J125" i="53"/>
  <c r="I125" i="53"/>
  <c r="H125" i="53"/>
  <c r="G125" i="53"/>
  <c r="F125" i="53"/>
  <c r="E125" i="53"/>
  <c r="D125" i="53"/>
  <c r="P125" i="53" s="1"/>
  <c r="C125" i="53"/>
  <c r="O124" i="53"/>
  <c r="N124" i="53"/>
  <c r="M124" i="53"/>
  <c r="L124" i="53"/>
  <c r="K124" i="53"/>
  <c r="J124" i="53"/>
  <c r="I124" i="53"/>
  <c r="H124" i="53"/>
  <c r="G124" i="53"/>
  <c r="F124" i="53"/>
  <c r="E124" i="53"/>
  <c r="D124" i="53"/>
  <c r="C124" i="53"/>
  <c r="O123" i="53"/>
  <c r="K123" i="53"/>
  <c r="H123" i="53"/>
  <c r="G123" i="53"/>
  <c r="C123" i="53"/>
  <c r="P124" i="53" s="1"/>
  <c r="N122" i="53"/>
  <c r="M122" i="53"/>
  <c r="I122" i="53"/>
  <c r="F122" i="53"/>
  <c r="E122" i="53"/>
  <c r="B122" i="53"/>
  <c r="M121" i="53"/>
  <c r="L121" i="53"/>
  <c r="I121" i="53"/>
  <c r="H121" i="53"/>
  <c r="E121" i="53"/>
  <c r="D121" i="53"/>
  <c r="B121" i="53"/>
  <c r="O121" i="53" s="1"/>
  <c r="C120" i="53"/>
  <c r="O117" i="53"/>
  <c r="N117" i="53"/>
  <c r="M117" i="53"/>
  <c r="L117" i="53"/>
  <c r="K117" i="53"/>
  <c r="J117" i="53"/>
  <c r="I117" i="53"/>
  <c r="H117" i="53"/>
  <c r="G117" i="53"/>
  <c r="F117" i="53"/>
  <c r="E117" i="53"/>
  <c r="D117" i="53"/>
  <c r="C117" i="53"/>
  <c r="O116" i="53"/>
  <c r="N116" i="53"/>
  <c r="M116" i="53"/>
  <c r="L116" i="53"/>
  <c r="K116" i="53"/>
  <c r="J116" i="53"/>
  <c r="I116" i="53"/>
  <c r="H116" i="53"/>
  <c r="G116" i="53"/>
  <c r="F116" i="53"/>
  <c r="E116" i="53"/>
  <c r="D116" i="53"/>
  <c r="C116" i="53"/>
  <c r="P117" i="53" s="1"/>
  <c r="O115" i="53"/>
  <c r="N115" i="53"/>
  <c r="M115" i="53"/>
  <c r="L115" i="53"/>
  <c r="K115" i="53"/>
  <c r="J115" i="53"/>
  <c r="I115" i="53"/>
  <c r="H115" i="53"/>
  <c r="G115" i="53"/>
  <c r="F115" i="53"/>
  <c r="E115" i="53"/>
  <c r="D115" i="53"/>
  <c r="C115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P114" i="53" s="1"/>
  <c r="C114" i="53"/>
  <c r="O113" i="53"/>
  <c r="N113" i="53"/>
  <c r="M113" i="53"/>
  <c r="L113" i="53"/>
  <c r="K113" i="53"/>
  <c r="J113" i="53"/>
  <c r="I113" i="53"/>
  <c r="H113" i="53"/>
  <c r="G113" i="53"/>
  <c r="F113" i="53"/>
  <c r="E113" i="53"/>
  <c r="D113" i="53"/>
  <c r="C113" i="53"/>
  <c r="O112" i="53"/>
  <c r="K112" i="53"/>
  <c r="H112" i="53"/>
  <c r="E112" i="53"/>
  <c r="C112" i="53"/>
  <c r="N111" i="53"/>
  <c r="I111" i="53"/>
  <c r="C111" i="53"/>
  <c r="B111" i="53"/>
  <c r="B110" i="53"/>
  <c r="B109" i="53"/>
  <c r="C109" i="53" s="1"/>
  <c r="O106" i="53"/>
  <c r="N106" i="53"/>
  <c r="M106" i="53"/>
  <c r="L106" i="53"/>
  <c r="K106" i="53"/>
  <c r="J106" i="53"/>
  <c r="I106" i="53"/>
  <c r="H106" i="53"/>
  <c r="G106" i="53"/>
  <c r="F106" i="53"/>
  <c r="E106" i="53"/>
  <c r="D106" i="53"/>
  <c r="C106" i="53"/>
  <c r="O105" i="53"/>
  <c r="N105" i="53"/>
  <c r="M105" i="53"/>
  <c r="L105" i="53"/>
  <c r="K105" i="53"/>
  <c r="J105" i="53"/>
  <c r="I105" i="53"/>
  <c r="H105" i="53"/>
  <c r="G105" i="53"/>
  <c r="F105" i="53"/>
  <c r="E105" i="53"/>
  <c r="D105" i="53"/>
  <c r="C105" i="53"/>
  <c r="O104" i="53"/>
  <c r="N104" i="53"/>
  <c r="M104" i="53"/>
  <c r="L104" i="53"/>
  <c r="K104" i="53"/>
  <c r="J104" i="53"/>
  <c r="I104" i="53"/>
  <c r="H104" i="53"/>
  <c r="G104" i="53"/>
  <c r="F104" i="53"/>
  <c r="E104" i="53"/>
  <c r="D104" i="53"/>
  <c r="C104" i="53"/>
  <c r="O103" i="53"/>
  <c r="N103" i="53"/>
  <c r="M103" i="53"/>
  <c r="L103" i="53"/>
  <c r="K103" i="53"/>
  <c r="J103" i="53"/>
  <c r="I103" i="53"/>
  <c r="H103" i="53"/>
  <c r="G103" i="53"/>
  <c r="F103" i="53"/>
  <c r="E103" i="53"/>
  <c r="D103" i="53"/>
  <c r="C103" i="53"/>
  <c r="O102" i="53"/>
  <c r="N102" i="53"/>
  <c r="M102" i="53"/>
  <c r="L102" i="53"/>
  <c r="K102" i="53"/>
  <c r="J102" i="53"/>
  <c r="I102" i="53"/>
  <c r="H102" i="53"/>
  <c r="G102" i="53"/>
  <c r="F102" i="53"/>
  <c r="E102" i="53"/>
  <c r="D102" i="53"/>
  <c r="C102" i="53"/>
  <c r="O101" i="53"/>
  <c r="J101" i="53"/>
  <c r="E101" i="53"/>
  <c r="C101" i="53"/>
  <c r="O100" i="53"/>
  <c r="J100" i="53"/>
  <c r="G100" i="53"/>
  <c r="D100" i="53"/>
  <c r="B100" i="53"/>
  <c r="M101" i="53" s="1"/>
  <c r="N99" i="53"/>
  <c r="K99" i="53"/>
  <c r="I99" i="53"/>
  <c r="F99" i="53"/>
  <c r="C99" i="53"/>
  <c r="B99" i="53"/>
  <c r="O99" i="53" s="1"/>
  <c r="C98" i="53"/>
  <c r="B98" i="53"/>
  <c r="O96" i="53"/>
  <c r="O95" i="53"/>
  <c r="N95" i="53"/>
  <c r="M95" i="53"/>
  <c r="L95" i="53"/>
  <c r="K95" i="53"/>
  <c r="J95" i="53"/>
  <c r="I95" i="53"/>
  <c r="H95" i="53"/>
  <c r="G95" i="53"/>
  <c r="F95" i="53"/>
  <c r="E95" i="53"/>
  <c r="D95" i="53"/>
  <c r="P95" i="53" s="1"/>
  <c r="C95" i="53"/>
  <c r="O94" i="53"/>
  <c r="N94" i="53"/>
  <c r="M94" i="53"/>
  <c r="L94" i="53"/>
  <c r="Q95" i="53" s="1"/>
  <c r="K94" i="53"/>
  <c r="J94" i="53"/>
  <c r="I94" i="53"/>
  <c r="H94" i="53"/>
  <c r="G94" i="53"/>
  <c r="F94" i="53"/>
  <c r="E94" i="53"/>
  <c r="D94" i="53"/>
  <c r="P94" i="53" s="1"/>
  <c r="C94" i="53"/>
  <c r="O93" i="53"/>
  <c r="N93" i="53"/>
  <c r="M93" i="53"/>
  <c r="L93" i="53"/>
  <c r="K93" i="53"/>
  <c r="J93" i="53"/>
  <c r="I93" i="53"/>
  <c r="H93" i="53"/>
  <c r="G93" i="53"/>
  <c r="F93" i="53"/>
  <c r="E93" i="53"/>
  <c r="D93" i="53"/>
  <c r="P93" i="53" s="1"/>
  <c r="C93" i="53"/>
  <c r="O92" i="53"/>
  <c r="N92" i="53"/>
  <c r="M92" i="53"/>
  <c r="L92" i="53"/>
  <c r="K92" i="53"/>
  <c r="J92" i="53"/>
  <c r="I92" i="53"/>
  <c r="H92" i="53"/>
  <c r="G92" i="53"/>
  <c r="F92" i="53"/>
  <c r="E92" i="53"/>
  <c r="D92" i="53"/>
  <c r="P92" i="53" s="1"/>
  <c r="C92" i="53"/>
  <c r="O91" i="53"/>
  <c r="N91" i="53"/>
  <c r="M91" i="53"/>
  <c r="L91" i="53"/>
  <c r="K91" i="53"/>
  <c r="J91" i="53"/>
  <c r="I91" i="53"/>
  <c r="H91" i="53"/>
  <c r="G91" i="53"/>
  <c r="F91" i="53"/>
  <c r="E91" i="53"/>
  <c r="D91" i="53"/>
  <c r="C91" i="53"/>
  <c r="O90" i="53"/>
  <c r="N90" i="53"/>
  <c r="K90" i="53"/>
  <c r="H90" i="53"/>
  <c r="F90" i="53"/>
  <c r="C90" i="53"/>
  <c r="P91" i="53" s="1"/>
  <c r="N89" i="53"/>
  <c r="I89" i="53"/>
  <c r="D89" i="53"/>
  <c r="B89" i="53"/>
  <c r="L90" i="53" s="1"/>
  <c r="L88" i="53"/>
  <c r="D88" i="53"/>
  <c r="B88" i="53"/>
  <c r="F89" i="53" s="1"/>
  <c r="B87" i="53"/>
  <c r="C87" i="53" s="1"/>
  <c r="O84" i="53"/>
  <c r="N84" i="53"/>
  <c r="M84" i="53"/>
  <c r="L84" i="53"/>
  <c r="K84" i="53"/>
  <c r="J84" i="53"/>
  <c r="I84" i="53"/>
  <c r="H84" i="53"/>
  <c r="G84" i="53"/>
  <c r="F84" i="53"/>
  <c r="E84" i="53"/>
  <c r="D84" i="53"/>
  <c r="P84" i="53" s="1"/>
  <c r="C84" i="53"/>
  <c r="O83" i="53"/>
  <c r="N83" i="53"/>
  <c r="M83" i="53"/>
  <c r="L83" i="53"/>
  <c r="Q84" i="53" s="1"/>
  <c r="K83" i="53"/>
  <c r="J83" i="53"/>
  <c r="I83" i="53"/>
  <c r="H83" i="53"/>
  <c r="G83" i="53"/>
  <c r="F83" i="53"/>
  <c r="E83" i="53"/>
  <c r="D83" i="53"/>
  <c r="P83" i="53" s="1"/>
  <c r="C83" i="53"/>
  <c r="O82" i="53"/>
  <c r="N82" i="53"/>
  <c r="M82" i="53"/>
  <c r="L82" i="53"/>
  <c r="K82" i="53"/>
  <c r="J82" i="53"/>
  <c r="I82" i="53"/>
  <c r="H82" i="53"/>
  <c r="G82" i="53"/>
  <c r="F82" i="53"/>
  <c r="E82" i="53"/>
  <c r="D82" i="53"/>
  <c r="P82" i="53" s="1"/>
  <c r="C82" i="53"/>
  <c r="O81" i="53"/>
  <c r="N81" i="53"/>
  <c r="M81" i="53"/>
  <c r="L81" i="53"/>
  <c r="K81" i="53"/>
  <c r="J81" i="53"/>
  <c r="I81" i="53"/>
  <c r="H81" i="53"/>
  <c r="G81" i="53"/>
  <c r="F81" i="53"/>
  <c r="E81" i="53"/>
  <c r="D81" i="53"/>
  <c r="P81" i="53" s="1"/>
  <c r="C81" i="53"/>
  <c r="O80" i="53"/>
  <c r="N80" i="53"/>
  <c r="M80" i="53"/>
  <c r="L80" i="53"/>
  <c r="K80" i="53"/>
  <c r="J80" i="53"/>
  <c r="I80" i="53"/>
  <c r="H80" i="53"/>
  <c r="G80" i="53"/>
  <c r="F80" i="53"/>
  <c r="E80" i="53"/>
  <c r="D80" i="53"/>
  <c r="C80" i="53"/>
  <c r="C79" i="53"/>
  <c r="P80" i="53" s="1"/>
  <c r="O77" i="53"/>
  <c r="N77" i="53"/>
  <c r="M77" i="53"/>
  <c r="L77" i="53"/>
  <c r="K77" i="53"/>
  <c r="J77" i="53"/>
  <c r="I77" i="53"/>
  <c r="H77" i="53"/>
  <c r="G77" i="53"/>
  <c r="F77" i="53"/>
  <c r="E77" i="53"/>
  <c r="D77" i="53"/>
  <c r="C77" i="53"/>
  <c r="O76" i="53"/>
  <c r="N76" i="53"/>
  <c r="M76" i="53"/>
  <c r="L76" i="53"/>
  <c r="K76" i="53"/>
  <c r="J76" i="53"/>
  <c r="I76" i="53"/>
  <c r="H76" i="53"/>
  <c r="G76" i="53"/>
  <c r="F76" i="53"/>
  <c r="E76" i="53"/>
  <c r="D76" i="53"/>
  <c r="C76" i="53"/>
  <c r="O73" i="53"/>
  <c r="N73" i="53"/>
  <c r="M73" i="53"/>
  <c r="L73" i="53"/>
  <c r="K73" i="53"/>
  <c r="J73" i="53"/>
  <c r="I73" i="53"/>
  <c r="H73" i="53"/>
  <c r="G73" i="53"/>
  <c r="F73" i="53"/>
  <c r="E73" i="53"/>
  <c r="D73" i="53"/>
  <c r="P73" i="53" s="1"/>
  <c r="C73" i="53"/>
  <c r="O72" i="53"/>
  <c r="N72" i="53"/>
  <c r="M72" i="53"/>
  <c r="L72" i="53"/>
  <c r="K72" i="53"/>
  <c r="J72" i="53"/>
  <c r="I72" i="53"/>
  <c r="H72" i="53"/>
  <c r="G72" i="53"/>
  <c r="F72" i="53"/>
  <c r="E72" i="53"/>
  <c r="D72" i="53"/>
  <c r="P72" i="53" s="1"/>
  <c r="C72" i="53"/>
  <c r="O71" i="53"/>
  <c r="N71" i="53"/>
  <c r="M71" i="53"/>
  <c r="L71" i="53"/>
  <c r="K71" i="53"/>
  <c r="J71" i="53"/>
  <c r="I71" i="53"/>
  <c r="H71" i="53"/>
  <c r="G71" i="53"/>
  <c r="F71" i="53"/>
  <c r="E71" i="53"/>
  <c r="D71" i="53"/>
  <c r="P71" i="53" s="1"/>
  <c r="C71" i="53"/>
  <c r="O70" i="53"/>
  <c r="N70" i="53"/>
  <c r="M70" i="53"/>
  <c r="L70" i="53"/>
  <c r="K70" i="53"/>
  <c r="J70" i="53"/>
  <c r="I70" i="53"/>
  <c r="H70" i="53"/>
  <c r="G70" i="53"/>
  <c r="F70" i="53"/>
  <c r="E70" i="53"/>
  <c r="D70" i="53"/>
  <c r="P70" i="53" s="1"/>
  <c r="C70" i="53"/>
  <c r="O69" i="53"/>
  <c r="N69" i="53"/>
  <c r="M69" i="53"/>
  <c r="L69" i="53"/>
  <c r="K69" i="53"/>
  <c r="J69" i="53"/>
  <c r="I69" i="53"/>
  <c r="H69" i="53"/>
  <c r="G69" i="53"/>
  <c r="F69" i="53"/>
  <c r="E69" i="53"/>
  <c r="D69" i="53"/>
  <c r="P69" i="53" s="1"/>
  <c r="C69" i="53"/>
  <c r="O68" i="53"/>
  <c r="N68" i="53"/>
  <c r="F68" i="53"/>
  <c r="C68" i="53"/>
  <c r="N67" i="53"/>
  <c r="F67" i="53"/>
  <c r="B67" i="53"/>
  <c r="H68" i="53" s="1"/>
  <c r="O66" i="53"/>
  <c r="M66" i="53"/>
  <c r="K66" i="53"/>
  <c r="I66" i="53"/>
  <c r="G66" i="53"/>
  <c r="E66" i="53"/>
  <c r="C66" i="53"/>
  <c r="B66" i="53"/>
  <c r="N66" i="53" s="1"/>
  <c r="C65" i="53"/>
  <c r="B65" i="53"/>
  <c r="O62" i="53"/>
  <c r="N62" i="53"/>
  <c r="M62" i="53"/>
  <c r="L62" i="53"/>
  <c r="K62" i="53"/>
  <c r="J62" i="53"/>
  <c r="I62" i="53"/>
  <c r="H62" i="53"/>
  <c r="G62" i="53"/>
  <c r="F62" i="53"/>
  <c r="E62" i="53"/>
  <c r="Q62" i="53" s="1"/>
  <c r="D62" i="53"/>
  <c r="C62" i="53"/>
  <c r="O61" i="53"/>
  <c r="N61" i="53"/>
  <c r="M61" i="53"/>
  <c r="L61" i="53"/>
  <c r="K61" i="53"/>
  <c r="J61" i="53"/>
  <c r="I61" i="53"/>
  <c r="H61" i="53"/>
  <c r="G61" i="53"/>
  <c r="F61" i="53"/>
  <c r="E61" i="53"/>
  <c r="D61" i="53"/>
  <c r="C61" i="53"/>
  <c r="O60" i="53"/>
  <c r="N60" i="53"/>
  <c r="M60" i="53"/>
  <c r="L60" i="53"/>
  <c r="K60" i="53"/>
  <c r="J60" i="53"/>
  <c r="I60" i="53"/>
  <c r="H60" i="53"/>
  <c r="G60" i="53"/>
  <c r="F60" i="53"/>
  <c r="E60" i="53"/>
  <c r="D60" i="53"/>
  <c r="C60" i="53"/>
  <c r="P61" i="53" s="1"/>
  <c r="O59" i="53"/>
  <c r="N59" i="53"/>
  <c r="M59" i="53"/>
  <c r="L59" i="53"/>
  <c r="K59" i="53"/>
  <c r="J59" i="53"/>
  <c r="I59" i="53"/>
  <c r="H59" i="53"/>
  <c r="G59" i="53"/>
  <c r="F59" i="53"/>
  <c r="E59" i="53"/>
  <c r="D59" i="53"/>
  <c r="C59" i="53"/>
  <c r="O58" i="53"/>
  <c r="N58" i="53"/>
  <c r="M58" i="53"/>
  <c r="L58" i="53"/>
  <c r="K58" i="53"/>
  <c r="J58" i="53"/>
  <c r="I58" i="53"/>
  <c r="H58" i="53"/>
  <c r="G58" i="53"/>
  <c r="F58" i="53"/>
  <c r="E58" i="53"/>
  <c r="D58" i="53"/>
  <c r="C58" i="53"/>
  <c r="P59" i="53" s="1"/>
  <c r="O57" i="53"/>
  <c r="N57" i="53"/>
  <c r="M57" i="53"/>
  <c r="K57" i="53"/>
  <c r="J57" i="53"/>
  <c r="I57" i="53"/>
  <c r="G57" i="53"/>
  <c r="F57" i="53"/>
  <c r="E57" i="53"/>
  <c r="C57" i="53"/>
  <c r="P58" i="53" s="1"/>
  <c r="O56" i="53"/>
  <c r="C56" i="53"/>
  <c r="B56" i="53"/>
  <c r="L57" i="53" s="1"/>
  <c r="B55" i="53"/>
  <c r="K56" i="53" s="1"/>
  <c r="B54" i="53"/>
  <c r="C54" i="53" s="1"/>
  <c r="O52" i="53"/>
  <c r="O51" i="53"/>
  <c r="N51" i="53"/>
  <c r="M51" i="53"/>
  <c r="L51" i="53"/>
  <c r="K51" i="53"/>
  <c r="J51" i="53"/>
  <c r="I51" i="53"/>
  <c r="H51" i="53"/>
  <c r="G51" i="53"/>
  <c r="F51" i="53"/>
  <c r="E51" i="53"/>
  <c r="Q51" i="53" s="1"/>
  <c r="D51" i="53"/>
  <c r="C51" i="53"/>
  <c r="O50" i="53"/>
  <c r="N50" i="53"/>
  <c r="M50" i="53"/>
  <c r="L50" i="53"/>
  <c r="K50" i="53"/>
  <c r="J50" i="53"/>
  <c r="I50" i="53"/>
  <c r="H50" i="53"/>
  <c r="G50" i="53"/>
  <c r="F50" i="53"/>
  <c r="E50" i="53"/>
  <c r="D50" i="53"/>
  <c r="C50" i="53"/>
  <c r="O49" i="53"/>
  <c r="N49" i="53"/>
  <c r="M49" i="53"/>
  <c r="L49" i="53"/>
  <c r="K49" i="53"/>
  <c r="J49" i="53"/>
  <c r="I49" i="53"/>
  <c r="H49" i="53"/>
  <c r="G49" i="53"/>
  <c r="F49" i="53"/>
  <c r="E49" i="53"/>
  <c r="D49" i="53"/>
  <c r="C49" i="53"/>
  <c r="P50" i="53" s="1"/>
  <c r="O48" i="53"/>
  <c r="N48" i="53"/>
  <c r="M48" i="53"/>
  <c r="L48" i="53"/>
  <c r="K48" i="53"/>
  <c r="J48" i="53"/>
  <c r="I48" i="53"/>
  <c r="H48" i="53"/>
  <c r="G48" i="53"/>
  <c r="F48" i="53"/>
  <c r="E48" i="53"/>
  <c r="D48" i="53"/>
  <c r="C48" i="53"/>
  <c r="O47" i="53"/>
  <c r="N47" i="53"/>
  <c r="M47" i="53"/>
  <c r="L47" i="53"/>
  <c r="K47" i="53"/>
  <c r="J47" i="53"/>
  <c r="I47" i="53"/>
  <c r="H47" i="53"/>
  <c r="G47" i="53"/>
  <c r="F47" i="53"/>
  <c r="E47" i="53"/>
  <c r="D47" i="53"/>
  <c r="C47" i="53"/>
  <c r="P48" i="53" s="1"/>
  <c r="O46" i="53"/>
  <c r="M46" i="53"/>
  <c r="K46" i="53"/>
  <c r="I46" i="53"/>
  <c r="G46" i="53"/>
  <c r="E46" i="53"/>
  <c r="C46" i="53"/>
  <c r="O45" i="53"/>
  <c r="K45" i="53"/>
  <c r="G45" i="53"/>
  <c r="C45" i="53"/>
  <c r="B45" i="53"/>
  <c r="L46" i="53" s="1"/>
  <c r="L44" i="53"/>
  <c r="H44" i="53"/>
  <c r="D44" i="53"/>
  <c r="B44" i="53"/>
  <c r="C43" i="53"/>
  <c r="O41" i="53"/>
  <c r="O40" i="53"/>
  <c r="N40" i="53"/>
  <c r="M40" i="53"/>
  <c r="L40" i="53"/>
  <c r="K40" i="53"/>
  <c r="J40" i="53"/>
  <c r="I40" i="53"/>
  <c r="H40" i="53"/>
  <c r="G40" i="53"/>
  <c r="F40" i="53"/>
  <c r="E40" i="53"/>
  <c r="D40" i="53"/>
  <c r="P40" i="53" s="1"/>
  <c r="C40" i="53"/>
  <c r="O39" i="53"/>
  <c r="N39" i="53"/>
  <c r="M39" i="53"/>
  <c r="L39" i="53"/>
  <c r="Q40" i="53" s="1"/>
  <c r="K39" i="53"/>
  <c r="J39" i="53"/>
  <c r="I39" i="53"/>
  <c r="H39" i="53"/>
  <c r="G39" i="53"/>
  <c r="F39" i="53"/>
  <c r="E39" i="53"/>
  <c r="D39" i="53"/>
  <c r="P39" i="53" s="1"/>
  <c r="C39" i="53"/>
  <c r="O38" i="53"/>
  <c r="N38" i="53"/>
  <c r="M38" i="53"/>
  <c r="L38" i="53"/>
  <c r="K38" i="53"/>
  <c r="J38" i="53"/>
  <c r="I38" i="53"/>
  <c r="H38" i="53"/>
  <c r="G38" i="53"/>
  <c r="F38" i="53"/>
  <c r="E38" i="53"/>
  <c r="D38" i="53"/>
  <c r="P38" i="53" s="1"/>
  <c r="C38" i="53"/>
  <c r="O37" i="53"/>
  <c r="N37" i="53"/>
  <c r="M37" i="53"/>
  <c r="L37" i="53"/>
  <c r="K37" i="53"/>
  <c r="J37" i="53"/>
  <c r="I37" i="53"/>
  <c r="H37" i="53"/>
  <c r="G37" i="53"/>
  <c r="F37" i="53"/>
  <c r="E37" i="53"/>
  <c r="D37" i="53"/>
  <c r="P37" i="53" s="1"/>
  <c r="C37" i="53"/>
  <c r="O36" i="53"/>
  <c r="N36" i="53"/>
  <c r="M36" i="53"/>
  <c r="L36" i="53"/>
  <c r="K36" i="53"/>
  <c r="J36" i="53"/>
  <c r="I36" i="53"/>
  <c r="H36" i="53"/>
  <c r="G36" i="53"/>
  <c r="F36" i="53"/>
  <c r="E36" i="53"/>
  <c r="D36" i="53"/>
  <c r="P36" i="53" s="1"/>
  <c r="C36" i="53"/>
  <c r="O35" i="53"/>
  <c r="N35" i="53"/>
  <c r="L35" i="53"/>
  <c r="J35" i="53"/>
  <c r="F35" i="53"/>
  <c r="D35" i="53"/>
  <c r="C35" i="53"/>
  <c r="C34" i="53"/>
  <c r="B34" i="53"/>
  <c r="B33" i="53"/>
  <c r="L34" i="53" s="1"/>
  <c r="C32" i="53"/>
  <c r="B32" i="53"/>
  <c r="O29" i="53"/>
  <c r="N29" i="53"/>
  <c r="M29" i="53"/>
  <c r="L29" i="53"/>
  <c r="Q29" i="53" s="1"/>
  <c r="K29" i="53"/>
  <c r="J29" i="53"/>
  <c r="I29" i="53"/>
  <c r="H29" i="53"/>
  <c r="G29" i="53"/>
  <c r="F29" i="53"/>
  <c r="E29" i="53"/>
  <c r="D29" i="53"/>
  <c r="P29" i="53" s="1"/>
  <c r="C29" i="53"/>
  <c r="O28" i="53"/>
  <c r="N28" i="53"/>
  <c r="M28" i="53"/>
  <c r="L28" i="53"/>
  <c r="K28" i="53"/>
  <c r="J28" i="53"/>
  <c r="I28" i="53"/>
  <c r="H28" i="53"/>
  <c r="G28" i="53"/>
  <c r="F28" i="53"/>
  <c r="E28" i="53"/>
  <c r="D28" i="53"/>
  <c r="C28" i="53"/>
  <c r="O27" i="53"/>
  <c r="P27" i="53" s="1"/>
  <c r="N27" i="53"/>
  <c r="M27" i="53"/>
  <c r="L27" i="53"/>
  <c r="K27" i="53"/>
  <c r="J27" i="53"/>
  <c r="I27" i="53"/>
  <c r="H27" i="53"/>
  <c r="G27" i="53"/>
  <c r="F27" i="53"/>
  <c r="E27" i="53"/>
  <c r="D27" i="53"/>
  <c r="C27" i="53"/>
  <c r="P28" i="53" s="1"/>
  <c r="O26" i="53"/>
  <c r="N26" i="53"/>
  <c r="M26" i="53"/>
  <c r="L26" i="53"/>
  <c r="K26" i="53"/>
  <c r="J26" i="53"/>
  <c r="I26" i="53"/>
  <c r="H26" i="53"/>
  <c r="G26" i="53"/>
  <c r="F26" i="53"/>
  <c r="E26" i="53"/>
  <c r="D26" i="53"/>
  <c r="C26" i="53"/>
  <c r="O25" i="53"/>
  <c r="N25" i="53"/>
  <c r="M25" i="53"/>
  <c r="L25" i="53"/>
  <c r="K25" i="53"/>
  <c r="J25" i="53"/>
  <c r="I25" i="53"/>
  <c r="H25" i="53"/>
  <c r="G25" i="53"/>
  <c r="F25" i="53"/>
  <c r="E25" i="53"/>
  <c r="D25" i="53"/>
  <c r="P25" i="53" s="1"/>
  <c r="C25" i="53"/>
  <c r="O24" i="53"/>
  <c r="J24" i="53"/>
  <c r="E24" i="53"/>
  <c r="C24" i="53"/>
  <c r="M23" i="53"/>
  <c r="H23" i="53"/>
  <c r="D23" i="53"/>
  <c r="B23" i="53"/>
  <c r="K24" i="53" s="1"/>
  <c r="O22" i="53"/>
  <c r="M22" i="53"/>
  <c r="K22" i="53"/>
  <c r="I22" i="53"/>
  <c r="G22" i="53"/>
  <c r="E22" i="53"/>
  <c r="C22" i="53"/>
  <c r="B22" i="53"/>
  <c r="N22" i="53" s="1"/>
  <c r="C21" i="53"/>
  <c r="B21" i="53"/>
  <c r="L22" i="53" s="1"/>
  <c r="O18" i="53"/>
  <c r="N18" i="53"/>
  <c r="M18" i="53"/>
  <c r="L18" i="53"/>
  <c r="K18" i="53"/>
  <c r="J18" i="53"/>
  <c r="I18" i="53"/>
  <c r="H18" i="53"/>
  <c r="G18" i="53"/>
  <c r="F18" i="53"/>
  <c r="E18" i="53"/>
  <c r="Q18" i="53" s="1"/>
  <c r="D18" i="53"/>
  <c r="C18" i="53"/>
  <c r="O17" i="53"/>
  <c r="N17" i="53"/>
  <c r="M17" i="53"/>
  <c r="L17" i="53"/>
  <c r="K17" i="53"/>
  <c r="J17" i="53"/>
  <c r="I17" i="53"/>
  <c r="H17" i="53"/>
  <c r="G17" i="53"/>
  <c r="F17" i="53"/>
  <c r="E17" i="53"/>
  <c r="D17" i="53"/>
  <c r="C17" i="53"/>
  <c r="P18" i="53" s="1"/>
  <c r="O16" i="53"/>
  <c r="N16" i="53"/>
  <c r="M16" i="53"/>
  <c r="L16" i="53"/>
  <c r="K16" i="53"/>
  <c r="J16" i="53"/>
  <c r="I16" i="53"/>
  <c r="H16" i="53"/>
  <c r="G16" i="53"/>
  <c r="F16" i="53"/>
  <c r="E16" i="53"/>
  <c r="D16" i="53"/>
  <c r="C16" i="53"/>
  <c r="P17" i="53" s="1"/>
  <c r="O15" i="53"/>
  <c r="N15" i="53"/>
  <c r="M15" i="53"/>
  <c r="L15" i="53"/>
  <c r="K15" i="53"/>
  <c r="J15" i="53"/>
  <c r="I15" i="53"/>
  <c r="H15" i="53"/>
  <c r="G15" i="53"/>
  <c r="F15" i="53"/>
  <c r="E15" i="53"/>
  <c r="D15" i="53"/>
  <c r="C15" i="53"/>
  <c r="P16" i="53" s="1"/>
  <c r="O14" i="53"/>
  <c r="N14" i="53"/>
  <c r="M14" i="53"/>
  <c r="L14" i="53"/>
  <c r="K14" i="53"/>
  <c r="J14" i="53"/>
  <c r="I14" i="53"/>
  <c r="H14" i="53"/>
  <c r="G14" i="53"/>
  <c r="F14" i="53"/>
  <c r="E14" i="53"/>
  <c r="D14" i="53"/>
  <c r="C14" i="53"/>
  <c r="P15" i="53" s="1"/>
  <c r="O13" i="53"/>
  <c r="M13" i="53"/>
  <c r="K13" i="53"/>
  <c r="I13" i="53"/>
  <c r="G13" i="53"/>
  <c r="E13" i="53"/>
  <c r="C13" i="53"/>
  <c r="P14" i="53" s="1"/>
  <c r="O12" i="53"/>
  <c r="M12" i="53"/>
  <c r="I12" i="53"/>
  <c r="E12" i="53"/>
  <c r="C12" i="53"/>
  <c r="B12" i="53"/>
  <c r="B11" i="53"/>
  <c r="M11" i="53" s="1"/>
  <c r="B10" i="53"/>
  <c r="B242" i="53" s="1"/>
  <c r="E242" i="53" s="1"/>
  <c r="N7" i="53"/>
  <c r="L7" i="53"/>
  <c r="C7" i="53"/>
  <c r="M7" i="53" s="1"/>
  <c r="D11" i="53" l="1"/>
  <c r="L11" i="53"/>
  <c r="G33" i="53"/>
  <c r="J55" i="53"/>
  <c r="J110" i="53"/>
  <c r="O7" i="53"/>
  <c r="C10" i="53"/>
  <c r="E11" i="53"/>
  <c r="I11" i="53"/>
  <c r="B244" i="53"/>
  <c r="E244" i="53" s="1"/>
  <c r="F12" i="53"/>
  <c r="J12" i="53"/>
  <c r="N12" i="53"/>
  <c r="D13" i="53"/>
  <c r="H13" i="53"/>
  <c r="L13" i="53"/>
  <c r="D22" i="53"/>
  <c r="P22" i="53" s="1"/>
  <c r="H22" i="53"/>
  <c r="E23" i="53"/>
  <c r="I23" i="53"/>
  <c r="O23" i="53"/>
  <c r="P23" i="53" s="1"/>
  <c r="F24" i="53"/>
  <c r="P26" i="53"/>
  <c r="C33" i="53"/>
  <c r="I33" i="53"/>
  <c r="N33" i="53"/>
  <c r="D34" i="53"/>
  <c r="M44" i="53"/>
  <c r="I44" i="53"/>
  <c r="E44" i="53"/>
  <c r="O44" i="53"/>
  <c r="K44" i="53"/>
  <c r="G44" i="53"/>
  <c r="C44" i="53"/>
  <c r="J44" i="53"/>
  <c r="I45" i="53"/>
  <c r="P47" i="53"/>
  <c r="P49" i="53"/>
  <c r="D55" i="53"/>
  <c r="L55" i="53"/>
  <c r="P57" i="53"/>
  <c r="P62" i="53"/>
  <c r="H67" i="53"/>
  <c r="P77" i="53"/>
  <c r="P76" i="53"/>
  <c r="F88" i="53"/>
  <c r="N88" i="53"/>
  <c r="P105" i="53"/>
  <c r="P104" i="53"/>
  <c r="O110" i="53"/>
  <c r="K110" i="53"/>
  <c r="G110" i="53"/>
  <c r="C110" i="53"/>
  <c r="N110" i="53"/>
  <c r="I110" i="53"/>
  <c r="D110" i="53"/>
  <c r="P110" i="53" s="1"/>
  <c r="L110" i="53"/>
  <c r="F110" i="53"/>
  <c r="M110" i="53"/>
  <c r="F111" i="53"/>
  <c r="P113" i="53"/>
  <c r="Q117" i="53"/>
  <c r="Q161" i="53"/>
  <c r="H11" i="53"/>
  <c r="L33" i="53"/>
  <c r="H33" i="53"/>
  <c r="D33" i="53"/>
  <c r="M33" i="53"/>
  <c r="L56" i="53"/>
  <c r="H56" i="53"/>
  <c r="D56" i="53"/>
  <c r="O55" i="53"/>
  <c r="P55" i="53" s="1"/>
  <c r="K55" i="53"/>
  <c r="G55" i="53"/>
  <c r="C55" i="53"/>
  <c r="M55" i="53"/>
  <c r="I55" i="53"/>
  <c r="E55" i="53"/>
  <c r="I56" i="53"/>
  <c r="P136" i="53"/>
  <c r="B243" i="53"/>
  <c r="E243" i="53" s="1"/>
  <c r="N11" i="53"/>
  <c r="G12" i="53"/>
  <c r="L24" i="53"/>
  <c r="H24" i="53"/>
  <c r="D24" i="53"/>
  <c r="N23" i="53"/>
  <c r="J23" i="53"/>
  <c r="F23" i="53"/>
  <c r="M24" i="53"/>
  <c r="E33" i="53"/>
  <c r="O33" i="53"/>
  <c r="N34" i="53"/>
  <c r="F55" i="53"/>
  <c r="N55" i="53"/>
  <c r="E56" i="53"/>
  <c r="M56" i="53"/>
  <c r="M68" i="53"/>
  <c r="I68" i="53"/>
  <c r="E68" i="53"/>
  <c r="O67" i="53"/>
  <c r="P67" i="53" s="1"/>
  <c r="K67" i="53"/>
  <c r="G67" i="53"/>
  <c r="C67" i="53"/>
  <c r="K68" i="53"/>
  <c r="G68" i="53"/>
  <c r="M67" i="53"/>
  <c r="I67" i="53"/>
  <c r="E67" i="53"/>
  <c r="J67" i="53"/>
  <c r="J68" i="53"/>
  <c r="Q73" i="53"/>
  <c r="H88" i="53"/>
  <c r="P88" i="53" s="1"/>
  <c r="E110" i="53"/>
  <c r="P116" i="53"/>
  <c r="P138" i="53"/>
  <c r="J34" i="53"/>
  <c r="F11" i="53"/>
  <c r="J11" i="53"/>
  <c r="K12" i="53"/>
  <c r="K23" i="53"/>
  <c r="G24" i="53"/>
  <c r="J33" i="53"/>
  <c r="F34" i="53"/>
  <c r="C11" i="53"/>
  <c r="G11" i="53"/>
  <c r="K11" i="53"/>
  <c r="O11" i="53"/>
  <c r="D12" i="53"/>
  <c r="H12" i="53"/>
  <c r="L12" i="53"/>
  <c r="F13" i="53"/>
  <c r="J13" i="53"/>
  <c r="N13" i="53"/>
  <c r="P13" i="53" s="1"/>
  <c r="F22" i="53"/>
  <c r="J22" i="53"/>
  <c r="C23" i="53"/>
  <c r="G23" i="53"/>
  <c r="L23" i="53"/>
  <c r="I24" i="53"/>
  <c r="N24" i="53"/>
  <c r="P33" i="53"/>
  <c r="F33" i="53"/>
  <c r="K33" i="53"/>
  <c r="M35" i="53"/>
  <c r="I35" i="53"/>
  <c r="E35" i="53"/>
  <c r="P35" i="53" s="1"/>
  <c r="O34" i="53"/>
  <c r="K34" i="53"/>
  <c r="G34" i="53"/>
  <c r="K35" i="53"/>
  <c r="G35" i="53"/>
  <c r="M34" i="53"/>
  <c r="I34" i="53"/>
  <c r="E34" i="53"/>
  <c r="H34" i="53"/>
  <c r="H35" i="53"/>
  <c r="F44" i="53"/>
  <c r="N44" i="53"/>
  <c r="E45" i="53"/>
  <c r="M45" i="53"/>
  <c r="P51" i="53"/>
  <c r="H55" i="53"/>
  <c r="G56" i="53"/>
  <c r="P60" i="53"/>
  <c r="D67" i="53"/>
  <c r="L67" i="53"/>
  <c r="D68" i="53"/>
  <c r="L68" i="53"/>
  <c r="M88" i="53"/>
  <c r="I88" i="53"/>
  <c r="E88" i="53"/>
  <c r="O88" i="53"/>
  <c r="K88" i="53"/>
  <c r="G88" i="53"/>
  <c r="C88" i="53"/>
  <c r="J88" i="53"/>
  <c r="L89" i="53"/>
  <c r="K101" i="53"/>
  <c r="G101" i="53"/>
  <c r="M100" i="53"/>
  <c r="I100" i="53"/>
  <c r="E100" i="53"/>
  <c r="P100" i="53" s="1"/>
  <c r="N101" i="53"/>
  <c r="I101" i="53"/>
  <c r="D101" i="53"/>
  <c r="N100" i="53"/>
  <c r="H100" i="53"/>
  <c r="C100" i="53"/>
  <c r="L101" i="53"/>
  <c r="F101" i="53"/>
  <c r="K100" i="53"/>
  <c r="F100" i="53"/>
  <c r="L100" i="53"/>
  <c r="H101" i="53"/>
  <c r="P103" i="53"/>
  <c r="P102" i="53"/>
  <c r="P106" i="53"/>
  <c r="H110" i="53"/>
  <c r="K111" i="53"/>
  <c r="P238" i="53"/>
  <c r="D45" i="53"/>
  <c r="H45" i="53"/>
  <c r="L45" i="53"/>
  <c r="F46" i="53"/>
  <c r="J46" i="53"/>
  <c r="P46" i="53" s="1"/>
  <c r="N46" i="53"/>
  <c r="F56" i="53"/>
  <c r="J56" i="53"/>
  <c r="N56" i="53"/>
  <c r="D57" i="53"/>
  <c r="H57" i="53"/>
  <c r="D66" i="53"/>
  <c r="P66" i="53" s="1"/>
  <c r="H66" i="53"/>
  <c r="L66" i="53"/>
  <c r="E89" i="53"/>
  <c r="J89" i="53"/>
  <c r="G90" i="53"/>
  <c r="E99" i="53"/>
  <c r="J99" i="53"/>
  <c r="Q106" i="53"/>
  <c r="N112" i="53"/>
  <c r="J112" i="53"/>
  <c r="F112" i="53"/>
  <c r="L111" i="53"/>
  <c r="H111" i="53"/>
  <c r="D111" i="53"/>
  <c r="M112" i="53"/>
  <c r="G111" i="53"/>
  <c r="M111" i="53"/>
  <c r="D112" i="53"/>
  <c r="P112" i="53" s="1"/>
  <c r="I112" i="53"/>
  <c r="K132" i="53"/>
  <c r="G132" i="53"/>
  <c r="M132" i="53"/>
  <c r="I132" i="53"/>
  <c r="E132" i="53"/>
  <c r="C131" i="53"/>
  <c r="H132" i="53"/>
  <c r="P154" i="53"/>
  <c r="P153" i="53"/>
  <c r="P158" i="53"/>
  <c r="P169" i="53"/>
  <c r="P214" i="53"/>
  <c r="P215" i="53"/>
  <c r="P224" i="53"/>
  <c r="P223" i="53"/>
  <c r="F45" i="53"/>
  <c r="J45" i="53"/>
  <c r="N45" i="53"/>
  <c r="D46" i="53"/>
  <c r="H46" i="53"/>
  <c r="F66" i="53"/>
  <c r="J66" i="53"/>
  <c r="M90" i="53"/>
  <c r="I90" i="53"/>
  <c r="E90" i="53"/>
  <c r="O89" i="53"/>
  <c r="K89" i="53"/>
  <c r="G89" i="53"/>
  <c r="C89" i="53"/>
  <c r="P90" i="53" s="1"/>
  <c r="H89" i="53"/>
  <c r="M89" i="53"/>
  <c r="D90" i="53"/>
  <c r="J90" i="53"/>
  <c r="L99" i="53"/>
  <c r="H99" i="53"/>
  <c r="D99" i="53"/>
  <c r="P99" i="53" s="1"/>
  <c r="G99" i="53"/>
  <c r="M99" i="53"/>
  <c r="E111" i="53"/>
  <c r="J111" i="53"/>
  <c r="O111" i="53"/>
  <c r="G112" i="53"/>
  <c r="L112" i="53"/>
  <c r="P115" i="53"/>
  <c r="N123" i="53"/>
  <c r="J123" i="53"/>
  <c r="F123" i="53"/>
  <c r="L122" i="53"/>
  <c r="H122" i="53"/>
  <c r="D122" i="53"/>
  <c r="M123" i="53"/>
  <c r="I123" i="53"/>
  <c r="E123" i="53"/>
  <c r="O122" i="53"/>
  <c r="K122" i="53"/>
  <c r="G122" i="53"/>
  <c r="C122" i="53"/>
  <c r="P123" i="53" s="1"/>
  <c r="J122" i="53"/>
  <c r="D123" i="53"/>
  <c r="L123" i="53"/>
  <c r="P126" i="53"/>
  <c r="P181" i="53"/>
  <c r="P194" i="53"/>
  <c r="F121" i="53"/>
  <c r="P121" i="53" s="1"/>
  <c r="J121" i="53"/>
  <c r="N121" i="53"/>
  <c r="F133" i="53"/>
  <c r="J133" i="53"/>
  <c r="N133" i="53"/>
  <c r="D134" i="53"/>
  <c r="H134" i="53"/>
  <c r="L134" i="53"/>
  <c r="D143" i="53"/>
  <c r="P143" i="53" s="1"/>
  <c r="H143" i="53"/>
  <c r="L143" i="53"/>
  <c r="E144" i="53"/>
  <c r="P144" i="53" s="1"/>
  <c r="I144" i="53"/>
  <c r="M144" i="53"/>
  <c r="D148" i="53"/>
  <c r="H148" i="53"/>
  <c r="L148" i="53"/>
  <c r="E149" i="53"/>
  <c r="P149" i="53" s="1"/>
  <c r="I149" i="53"/>
  <c r="M149" i="53"/>
  <c r="D165" i="53"/>
  <c r="P165" i="53" s="1"/>
  <c r="I165" i="53"/>
  <c r="N165" i="53"/>
  <c r="E166" i="53"/>
  <c r="J166" i="53"/>
  <c r="O166" i="53"/>
  <c r="P166" i="53" s="1"/>
  <c r="G167" i="53"/>
  <c r="L167" i="53"/>
  <c r="P172" i="53"/>
  <c r="D176" i="53"/>
  <c r="I176" i="53"/>
  <c r="E177" i="53"/>
  <c r="J177" i="53"/>
  <c r="G178" i="53"/>
  <c r="L178" i="53"/>
  <c r="E182" i="53"/>
  <c r="J182" i="53"/>
  <c r="O182" i="53"/>
  <c r="G183" i="53"/>
  <c r="L183" i="53"/>
  <c r="P192" i="53"/>
  <c r="O198" i="53"/>
  <c r="K198" i="53"/>
  <c r="G198" i="53"/>
  <c r="C198" i="53"/>
  <c r="N198" i="53"/>
  <c r="H198" i="53"/>
  <c r="M198" i="53"/>
  <c r="F199" i="53"/>
  <c r="N199" i="53"/>
  <c r="H200" i="53"/>
  <c r="P213" i="53"/>
  <c r="M220" i="53"/>
  <c r="I220" i="53"/>
  <c r="E220" i="53"/>
  <c r="M221" i="53"/>
  <c r="I221" i="53"/>
  <c r="E221" i="53"/>
  <c r="L220" i="53"/>
  <c r="H220" i="53"/>
  <c r="D220" i="53"/>
  <c r="P220" i="53" s="1"/>
  <c r="J220" i="53"/>
  <c r="H221" i="53"/>
  <c r="K233" i="53"/>
  <c r="G233" i="53"/>
  <c r="M232" i="53"/>
  <c r="I232" i="53"/>
  <c r="E232" i="53"/>
  <c r="N233" i="53"/>
  <c r="J233" i="53"/>
  <c r="F233" i="53"/>
  <c r="L232" i="53"/>
  <c r="H232" i="53"/>
  <c r="D232" i="53"/>
  <c r="J232" i="53"/>
  <c r="I233" i="53"/>
  <c r="P236" i="53"/>
  <c r="B248" i="53"/>
  <c r="E248" i="53" s="1"/>
  <c r="C121" i="53"/>
  <c r="P122" i="53" s="1"/>
  <c r="G121" i="53"/>
  <c r="K121" i="53"/>
  <c r="F132" i="53"/>
  <c r="J132" i="53"/>
  <c r="C133" i="53"/>
  <c r="G133" i="53"/>
  <c r="K133" i="53"/>
  <c r="O133" i="53"/>
  <c r="P133" i="53" s="1"/>
  <c r="E134" i="53"/>
  <c r="I134" i="53"/>
  <c r="E143" i="53"/>
  <c r="I143" i="53"/>
  <c r="M143" i="53"/>
  <c r="F144" i="53"/>
  <c r="J144" i="53"/>
  <c r="N144" i="53"/>
  <c r="D145" i="53"/>
  <c r="P145" i="53" s="1"/>
  <c r="H145" i="53"/>
  <c r="E148" i="53"/>
  <c r="I148" i="53"/>
  <c r="P148" i="53" s="1"/>
  <c r="M148" i="53"/>
  <c r="F149" i="53"/>
  <c r="J149" i="53"/>
  <c r="N149" i="53"/>
  <c r="D150" i="53"/>
  <c r="P150" i="53" s="1"/>
  <c r="H150" i="53"/>
  <c r="L150" i="53"/>
  <c r="Q150" i="53" s="1"/>
  <c r="E165" i="53"/>
  <c r="F166" i="53"/>
  <c r="K166" i="53"/>
  <c r="P168" i="53"/>
  <c r="H167" i="53"/>
  <c r="P170" i="53"/>
  <c r="C175" i="53"/>
  <c r="E176" i="53"/>
  <c r="F177" i="53"/>
  <c r="L177" i="53"/>
  <c r="H178" i="53"/>
  <c r="F182" i="53"/>
  <c r="K182" i="53"/>
  <c r="H183" i="53"/>
  <c r="P190" i="53"/>
  <c r="D198" i="53"/>
  <c r="P198" i="53" s="1"/>
  <c r="I198" i="53"/>
  <c r="I199" i="53"/>
  <c r="P201" i="53"/>
  <c r="P205" i="53"/>
  <c r="M209" i="53"/>
  <c r="I209" i="53"/>
  <c r="E209" i="53"/>
  <c r="C208" i="53"/>
  <c r="G209" i="53"/>
  <c r="C220" i="53"/>
  <c r="K220" i="53"/>
  <c r="K221" i="53"/>
  <c r="L231" i="53"/>
  <c r="H231" i="53"/>
  <c r="D231" i="53"/>
  <c r="O231" i="53"/>
  <c r="P231" i="53" s="1"/>
  <c r="K231" i="53"/>
  <c r="G231" i="53"/>
  <c r="C231" i="53"/>
  <c r="J231" i="53"/>
  <c r="C232" i="53"/>
  <c r="K232" i="53"/>
  <c r="D233" i="53"/>
  <c r="L233" i="53"/>
  <c r="P234" i="53"/>
  <c r="F143" i="53"/>
  <c r="J143" i="53"/>
  <c r="N143" i="53"/>
  <c r="G144" i="53"/>
  <c r="F148" i="53"/>
  <c r="J148" i="53"/>
  <c r="N148" i="53"/>
  <c r="G149" i="53"/>
  <c r="O165" i="53"/>
  <c r="K165" i="53"/>
  <c r="G165" i="53"/>
  <c r="F165" i="53"/>
  <c r="L165" i="53"/>
  <c r="N167" i="53"/>
  <c r="J167" i="53"/>
  <c r="F167" i="53"/>
  <c r="L166" i="53"/>
  <c r="H166" i="53"/>
  <c r="D166" i="53"/>
  <c r="G166" i="53"/>
  <c r="M166" i="53"/>
  <c r="D167" i="53"/>
  <c r="I167" i="53"/>
  <c r="M178" i="53"/>
  <c r="I178" i="53"/>
  <c r="E178" i="53"/>
  <c r="O177" i="53"/>
  <c r="P177" i="53" s="1"/>
  <c r="K177" i="53"/>
  <c r="G177" i="53"/>
  <c r="C177" i="53"/>
  <c r="H177" i="53"/>
  <c r="M177" i="53"/>
  <c r="D178" i="53"/>
  <c r="J178" i="53"/>
  <c r="N183" i="53"/>
  <c r="J183" i="53"/>
  <c r="F183" i="53"/>
  <c r="L182" i="53"/>
  <c r="H182" i="53"/>
  <c r="D182" i="53"/>
  <c r="P182" i="53" s="1"/>
  <c r="G182" i="53"/>
  <c r="M182" i="53"/>
  <c r="D183" i="53"/>
  <c r="P183" i="53" s="1"/>
  <c r="I183" i="53"/>
  <c r="P188" i="53"/>
  <c r="N200" i="53"/>
  <c r="J200" i="53"/>
  <c r="F200" i="53"/>
  <c r="L199" i="53"/>
  <c r="H199" i="53"/>
  <c r="D199" i="53"/>
  <c r="M200" i="53"/>
  <c r="I200" i="53"/>
  <c r="E200" i="53"/>
  <c r="O199" i="53"/>
  <c r="K199" i="53"/>
  <c r="G199" i="53"/>
  <c r="C199" i="53"/>
  <c r="J199" i="53"/>
  <c r="D200" i="53"/>
  <c r="L200" i="53"/>
  <c r="P203" i="53"/>
  <c r="F220" i="53"/>
  <c r="N220" i="53"/>
  <c r="D221" i="53"/>
  <c r="L221" i="53"/>
  <c r="P226" i="53"/>
  <c r="Q227" i="53"/>
  <c r="F232" i="53"/>
  <c r="N232" i="53"/>
  <c r="E233" i="53"/>
  <c r="M233" i="53"/>
  <c r="Q238" i="53"/>
  <c r="F210" i="53"/>
  <c r="J210" i="53"/>
  <c r="N210" i="53"/>
  <c r="D211" i="53"/>
  <c r="H211" i="53"/>
  <c r="L211" i="53"/>
  <c r="F176" i="53"/>
  <c r="J176" i="53"/>
  <c r="F209" i="53"/>
  <c r="J209" i="53"/>
  <c r="C210" i="53"/>
  <c r="G210" i="53"/>
  <c r="K210" i="53"/>
  <c r="O210" i="53"/>
  <c r="P210" i="53" s="1"/>
  <c r="E211" i="53"/>
  <c r="I211" i="53"/>
  <c r="F221" i="53"/>
  <c r="J221" i="53"/>
  <c r="N221" i="53"/>
  <c r="D222" i="53"/>
  <c r="H222" i="53"/>
  <c r="P222" i="53" s="1"/>
  <c r="P167" i="53" l="1"/>
  <c r="P232" i="53"/>
  <c r="P209" i="53"/>
  <c r="P101" i="53"/>
  <c r="P24" i="53"/>
  <c r="P12" i="53"/>
  <c r="P68" i="53"/>
  <c r="P34" i="53"/>
  <c r="P132" i="53"/>
  <c r="P56" i="53"/>
  <c r="P200" i="53"/>
  <c r="Q183" i="53"/>
  <c r="P178" i="53"/>
  <c r="P176" i="53"/>
  <c r="P89" i="53"/>
  <c r="P44" i="53"/>
  <c r="P11" i="53"/>
  <c r="P211" i="53"/>
  <c r="P233" i="53"/>
  <c r="P221" i="53"/>
  <c r="P134" i="53"/>
  <c r="P199" i="53"/>
  <c r="P111" i="53"/>
  <c r="P45" i="53"/>
  <c r="P7" i="53"/>
  <c r="B19" i="49" l="1"/>
  <c r="I17" i="49"/>
  <c r="B17" i="49"/>
  <c r="E16" i="49"/>
  <c r="C56" i="28" l="1"/>
  <c r="D56" i="28" l="1"/>
  <c r="P7" i="49" l="1"/>
  <c r="P6" i="49"/>
  <c r="J21" i="49"/>
  <c r="H21" i="49"/>
  <c r="G21" i="49"/>
  <c r="F21" i="49"/>
  <c r="D21" i="49"/>
  <c r="C21" i="49"/>
  <c r="N19" i="49"/>
  <c r="K19" i="49"/>
  <c r="L19" i="49"/>
  <c r="M19" i="49" s="1"/>
  <c r="N18" i="49"/>
  <c r="L18" i="49"/>
  <c r="M18" i="49" s="1"/>
  <c r="K18" i="49"/>
  <c r="N17" i="49"/>
  <c r="K17" i="49"/>
  <c r="N16" i="49"/>
  <c r="L16" i="49"/>
  <c r="P8" i="49" l="1"/>
  <c r="B21" i="49"/>
  <c r="I21" i="49"/>
  <c r="K16" i="49"/>
  <c r="K21" i="49" s="1"/>
  <c r="E21" i="49"/>
  <c r="L17" i="49"/>
  <c r="M17" i="49" s="1"/>
  <c r="R17" i="49" s="1"/>
  <c r="T18" i="49"/>
  <c r="R18" i="49"/>
  <c r="Q18" i="49"/>
  <c r="T17" i="49"/>
  <c r="T19" i="49"/>
  <c r="R19" i="49"/>
  <c r="Q19" i="49"/>
  <c r="M16" i="49"/>
  <c r="I22" i="49" l="1"/>
  <c r="Q17" i="49"/>
  <c r="L21" i="49"/>
  <c r="S19" i="49"/>
  <c r="S18" i="49"/>
  <c r="Q16" i="49"/>
  <c r="Q21" i="49" s="1"/>
  <c r="M21" i="49"/>
  <c r="T16" i="49"/>
  <c r="T21" i="49" s="1"/>
  <c r="R16" i="49"/>
  <c r="S17" i="49"/>
  <c r="R21" i="49" l="1"/>
  <c r="S16" i="49"/>
  <c r="S21" i="49" s="1"/>
  <c r="Q23" i="49" s="1"/>
  <c r="T23" i="49" l="1"/>
  <c r="P9" i="49" s="1"/>
  <c r="P10" i="49" s="1"/>
  <c r="B17" i="10" s="1"/>
  <c r="R23" i="49"/>
  <c r="T24" i="49"/>
  <c r="B18" i="10" l="1"/>
  <c r="B41" i="10" l="1"/>
  <c r="B40" i="10"/>
  <c r="B38" i="10"/>
  <c r="B37" i="10"/>
  <c r="E15" i="47" l="1"/>
  <c r="D10" i="47"/>
  <c r="D12" i="47" s="1"/>
  <c r="D13" i="47" s="1"/>
  <c r="D16" i="47" s="1"/>
  <c r="D17" i="47" s="1"/>
  <c r="D18" i="47" s="1"/>
  <c r="D19" i="47" s="1"/>
  <c r="D20" i="47" s="1"/>
  <c r="D21" i="47" s="1"/>
  <c r="D22" i="47" s="1"/>
  <c r="D23" i="47" s="1"/>
  <c r="D24" i="47" s="1"/>
  <c r="D25" i="47" s="1"/>
  <c r="D26" i="47" s="1"/>
  <c r="D27" i="47" s="1"/>
  <c r="D28" i="47" s="1"/>
  <c r="D29" i="47" s="1"/>
  <c r="D30" i="47" s="1"/>
  <c r="D31" i="47" s="1"/>
  <c r="D32" i="47" s="1"/>
  <c r="D33" i="47" s="1"/>
  <c r="D34" i="47" s="1"/>
  <c r="D35" i="47" s="1"/>
  <c r="D36" i="47" s="1"/>
  <c r="D37" i="47" s="1"/>
  <c r="D38" i="47" s="1"/>
  <c r="D39" i="47" s="1"/>
  <c r="D40" i="47" s="1"/>
  <c r="D41" i="47" s="1"/>
  <c r="D42" i="47" s="1"/>
  <c r="D43" i="47" s="1"/>
  <c r="D44" i="47" s="1"/>
  <c r="D45" i="47" s="1"/>
  <c r="D46" i="47" s="1"/>
  <c r="D47" i="47" s="1"/>
  <c r="D48" i="47" s="1"/>
  <c r="D49" i="47" s="1"/>
  <c r="D50" i="47" s="1"/>
  <c r="D51" i="47" s="1"/>
  <c r="D52" i="47" s="1"/>
  <c r="D53" i="47" s="1"/>
  <c r="D54" i="47" s="1"/>
  <c r="D55" i="47" s="1"/>
  <c r="D56" i="47" s="1"/>
  <c r="D57" i="47" s="1"/>
  <c r="D58" i="47" s="1"/>
  <c r="D59" i="47" s="1"/>
  <c r="D60" i="47" s="1"/>
  <c r="D61" i="47" s="1"/>
  <c r="D62" i="47" s="1"/>
  <c r="D63" i="47" s="1"/>
  <c r="D64" i="47" s="1"/>
  <c r="D65" i="47" s="1"/>
  <c r="D66" i="47" s="1"/>
  <c r="D67" i="47" s="1"/>
  <c r="D68" i="47" s="1"/>
  <c r="D69" i="47" s="1"/>
  <c r="D70" i="47" s="1"/>
  <c r="D71" i="47" s="1"/>
  <c r="D72" i="47" s="1"/>
  <c r="D73" i="47" s="1"/>
  <c r="D74" i="47" s="1"/>
  <c r="D75" i="47" s="1"/>
  <c r="D76" i="47" s="1"/>
  <c r="D77" i="47" s="1"/>
  <c r="D78" i="47" s="1"/>
  <c r="D79" i="47" s="1"/>
  <c r="D80" i="47" s="1"/>
  <c r="D81" i="47" s="1"/>
  <c r="D82" i="47" s="1"/>
  <c r="D83" i="47" s="1"/>
  <c r="D84" i="47" s="1"/>
  <c r="D85" i="47" s="1"/>
  <c r="D86" i="47" s="1"/>
  <c r="D87" i="47" s="1"/>
  <c r="D88" i="47" s="1"/>
  <c r="D89" i="47" s="1"/>
  <c r="D90" i="47" s="1"/>
  <c r="D91" i="47" s="1"/>
  <c r="D92" i="47" s="1"/>
  <c r="D93" i="47" s="1"/>
  <c r="D94" i="47" s="1"/>
  <c r="D95" i="47" s="1"/>
  <c r="D96" i="47" s="1"/>
  <c r="D97" i="47" s="1"/>
  <c r="D98" i="47" s="1"/>
  <c r="D99" i="47" s="1"/>
  <c r="D100" i="47" s="1"/>
  <c r="D101" i="47" s="1"/>
  <c r="D102" i="47" s="1"/>
  <c r="D103" i="47" s="1"/>
  <c r="D104" i="47" s="1"/>
  <c r="D105" i="47" s="1"/>
  <c r="D106" i="47" s="1"/>
  <c r="D107" i="47" s="1"/>
  <c r="D108" i="47" s="1"/>
  <c r="D109" i="47" s="1"/>
  <c r="D110" i="47" s="1"/>
  <c r="D111" i="47" s="1"/>
  <c r="D112" i="47" s="1"/>
  <c r="D113" i="47" s="1"/>
  <c r="D114" i="47" s="1"/>
  <c r="D115" i="47" s="1"/>
  <c r="D116" i="47" s="1"/>
  <c r="D117" i="47" s="1"/>
  <c r="D118" i="47" s="1"/>
  <c r="D119" i="47" s="1"/>
  <c r="D120" i="47" s="1"/>
  <c r="D121" i="47" s="1"/>
  <c r="D122" i="47" s="1"/>
  <c r="D123" i="47" s="1"/>
  <c r="D124" i="47" s="1"/>
  <c r="D125" i="47" s="1"/>
  <c r="D126" i="47" s="1"/>
  <c r="D127" i="47" s="1"/>
  <c r="D128" i="47" s="1"/>
  <c r="D129" i="47" s="1"/>
  <c r="D130" i="47" s="1"/>
  <c r="D131" i="47" s="1"/>
  <c r="D132" i="47" s="1"/>
  <c r="D133" i="47" s="1"/>
  <c r="D134" i="47" s="1"/>
  <c r="D135" i="47" s="1"/>
  <c r="D136" i="47" s="1"/>
  <c r="D137" i="47" s="1"/>
  <c r="D138" i="47" s="1"/>
  <c r="D139" i="47" s="1"/>
  <c r="D140" i="47" s="1"/>
  <c r="D141" i="47" s="1"/>
  <c r="D142" i="47" s="1"/>
  <c r="D143" i="47" s="1"/>
  <c r="D144" i="47" s="1"/>
  <c r="D145" i="47" s="1"/>
  <c r="D146" i="47" s="1"/>
  <c r="D147" i="47" s="1"/>
  <c r="D148" i="47" s="1"/>
  <c r="D149" i="47" s="1"/>
  <c r="D150" i="47" s="1"/>
  <c r="D151" i="47" s="1"/>
  <c r="D152" i="47" s="1"/>
  <c r="D153" i="47" s="1"/>
  <c r="D154" i="47" s="1"/>
  <c r="D155" i="47" s="1"/>
  <c r="D156" i="47" s="1"/>
  <c r="D157" i="47" s="1"/>
  <c r="D158" i="47" s="1"/>
  <c r="D159" i="47" s="1"/>
  <c r="D160" i="47" s="1"/>
  <c r="D161" i="47" s="1"/>
  <c r="D162" i="47" s="1"/>
  <c r="D163" i="47" s="1"/>
  <c r="D164" i="47" s="1"/>
  <c r="D165" i="47" s="1"/>
  <c r="D166" i="47" s="1"/>
  <c r="D167" i="47" s="1"/>
  <c r="D168" i="47" s="1"/>
  <c r="D169" i="47" s="1"/>
  <c r="D170" i="47" s="1"/>
  <c r="D171" i="47" s="1"/>
  <c r="D172" i="47" s="1"/>
  <c r="D173" i="47" s="1"/>
  <c r="D174" i="47" s="1"/>
  <c r="D175" i="47" s="1"/>
  <c r="D176" i="47" s="1"/>
  <c r="D177" i="47" s="1"/>
  <c r="D178" i="47" s="1"/>
  <c r="D179" i="47" s="1"/>
  <c r="D180" i="47" s="1"/>
  <c r="D181" i="47" s="1"/>
  <c r="D182" i="47" s="1"/>
  <c r="D183" i="47" s="1"/>
  <c r="D184" i="47" s="1"/>
  <c r="D185" i="47" s="1"/>
  <c r="D186" i="47" s="1"/>
  <c r="D187" i="47" s="1"/>
  <c r="D188" i="47" s="1"/>
  <c r="D189" i="47" s="1"/>
  <c r="D190" i="47" s="1"/>
  <c r="D191" i="47" s="1"/>
  <c r="D192" i="47" s="1"/>
  <c r="D193" i="47" s="1"/>
  <c r="D194" i="47" s="1"/>
  <c r="D195" i="47" s="1"/>
  <c r="D196" i="47" s="1"/>
  <c r="D197" i="47" s="1"/>
  <c r="D198" i="47" s="1"/>
  <c r="D199" i="47" s="1"/>
  <c r="D200" i="47" s="1"/>
  <c r="D201" i="47" s="1"/>
  <c r="D202" i="47" s="1"/>
  <c r="D203" i="47" s="1"/>
  <c r="D204" i="47" s="1"/>
  <c r="D205" i="47" s="1"/>
  <c r="D206" i="47" s="1"/>
  <c r="D207" i="47" s="1"/>
  <c r="D208" i="47" s="1"/>
  <c r="D209" i="47" s="1"/>
  <c r="D210" i="47" s="1"/>
  <c r="D211" i="47" s="1"/>
  <c r="D212" i="47" s="1"/>
  <c r="D213" i="47" s="1"/>
  <c r="D214" i="47" s="1"/>
  <c r="D215" i="47" s="1"/>
  <c r="D216" i="47" s="1"/>
  <c r="D217" i="47" s="1"/>
  <c r="D218" i="47" s="1"/>
  <c r="D219" i="47" s="1"/>
  <c r="D220" i="47" s="1"/>
  <c r="D221" i="47" s="1"/>
  <c r="D222" i="47" s="1"/>
  <c r="D223" i="47" s="1"/>
  <c r="D224" i="47" s="1"/>
  <c r="D225" i="47" s="1"/>
  <c r="D226" i="47" s="1"/>
  <c r="D227" i="47" s="1"/>
  <c r="D228" i="47" s="1"/>
  <c r="D229" i="47" s="1"/>
  <c r="D230" i="47" s="1"/>
  <c r="D231" i="47" s="1"/>
  <c r="D232" i="47" s="1"/>
  <c r="D233" i="47" s="1"/>
  <c r="D234" i="47" s="1"/>
  <c r="D235" i="47" s="1"/>
  <c r="D236" i="47" s="1"/>
  <c r="D237" i="47" s="1"/>
  <c r="D238" i="47" s="1"/>
  <c r="D239" i="47" s="1"/>
  <c r="D240" i="47" s="1"/>
  <c r="D241" i="47" s="1"/>
  <c r="D242" i="47" s="1"/>
  <c r="D243" i="47" s="1"/>
  <c r="D244" i="47" s="1"/>
  <c r="D245" i="47" s="1"/>
  <c r="D246" i="47" s="1"/>
  <c r="D247" i="47" s="1"/>
  <c r="D248" i="47" s="1"/>
  <c r="D249" i="47" s="1"/>
  <c r="D250" i="47" s="1"/>
  <c r="D251" i="47" s="1"/>
  <c r="D252" i="47" s="1"/>
  <c r="D253" i="47" s="1"/>
  <c r="D254" i="47" s="1"/>
  <c r="D255" i="47" s="1"/>
  <c r="D256" i="47" s="1"/>
  <c r="D257" i="47" s="1"/>
  <c r="D258" i="47" s="1"/>
  <c r="C10" i="47"/>
  <c r="C12" i="47" s="1"/>
  <c r="C13" i="47" s="1"/>
  <c r="C16" i="47" s="1"/>
  <c r="B10" i="47"/>
  <c r="B12" i="47" s="1"/>
  <c r="E9" i="47"/>
  <c r="E8" i="47"/>
  <c r="E10" i="47" s="1"/>
  <c r="B13" i="47" l="1"/>
  <c r="B16" i="47" s="1"/>
  <c r="E12" i="47"/>
  <c r="E13" i="47" s="1"/>
  <c r="C17" i="47"/>
  <c r="B17" i="47" l="1"/>
  <c r="E16" i="47"/>
  <c r="C18" i="47"/>
  <c r="C19" i="47" l="1"/>
  <c r="B18" i="47"/>
  <c r="E17" i="47"/>
  <c r="E18" i="47" l="1"/>
  <c r="B19" i="47"/>
  <c r="C20" i="47"/>
  <c r="B20" i="47" l="1"/>
  <c r="E19" i="47"/>
  <c r="C21" i="47"/>
  <c r="B21" i="47" l="1"/>
  <c r="E20" i="47"/>
  <c r="C22" i="47"/>
  <c r="B22" i="47" l="1"/>
  <c r="E21" i="47"/>
  <c r="C23" i="47"/>
  <c r="C24" i="47" l="1"/>
  <c r="E22" i="47"/>
  <c r="B23" i="47"/>
  <c r="B24" i="47" l="1"/>
  <c r="E23" i="47"/>
  <c r="C25" i="47"/>
  <c r="B25" i="47" l="1"/>
  <c r="E24" i="47"/>
  <c r="C26" i="47"/>
  <c r="C27" i="47" l="1"/>
  <c r="B26" i="47"/>
  <c r="E25" i="47"/>
  <c r="C28" i="47" l="1"/>
  <c r="H27" i="47"/>
  <c r="B27" i="47"/>
  <c r="E26" i="47"/>
  <c r="G27" i="47" l="1"/>
  <c r="B28" i="47"/>
  <c r="E27" i="47"/>
  <c r="C29" i="47"/>
  <c r="H28" i="47"/>
  <c r="F27" i="47" l="1"/>
  <c r="B29" i="47"/>
  <c r="E28" i="47"/>
  <c r="G28" i="47"/>
  <c r="C30" i="47"/>
  <c r="H29" i="47"/>
  <c r="F28" i="47" l="1"/>
  <c r="C31" i="47"/>
  <c r="H30" i="47"/>
  <c r="B30" i="47"/>
  <c r="E29" i="47"/>
  <c r="G29" i="47"/>
  <c r="F29" i="47" l="1"/>
  <c r="C32" i="47"/>
  <c r="H31" i="47"/>
  <c r="B31" i="47"/>
  <c r="E30" i="47"/>
  <c r="G30" i="47"/>
  <c r="F30" i="47" l="1"/>
  <c r="C33" i="47"/>
  <c r="H32" i="47"/>
  <c r="B32" i="47"/>
  <c r="E31" i="47"/>
  <c r="G31" i="47"/>
  <c r="F31" i="47" l="1"/>
  <c r="B33" i="47"/>
  <c r="E32" i="47"/>
  <c r="G32" i="47"/>
  <c r="C34" i="47"/>
  <c r="H33" i="47"/>
  <c r="B34" i="47" l="1"/>
  <c r="E33" i="47"/>
  <c r="G33" i="47"/>
  <c r="C35" i="47"/>
  <c r="H34" i="47"/>
  <c r="F32" i="47"/>
  <c r="B35" i="47" l="1"/>
  <c r="E34" i="47"/>
  <c r="G34" i="47"/>
  <c r="C36" i="47"/>
  <c r="H35" i="47"/>
  <c r="F33" i="47"/>
  <c r="C37" i="47" l="1"/>
  <c r="H36" i="47"/>
  <c r="B36" i="47"/>
  <c r="E35" i="47"/>
  <c r="G35" i="47"/>
  <c r="F34" i="47"/>
  <c r="B37" i="47" l="1"/>
  <c r="E36" i="47"/>
  <c r="G36" i="47"/>
  <c r="F35" i="47"/>
  <c r="C38" i="47"/>
  <c r="H37" i="47"/>
  <c r="F36" i="47" l="1"/>
  <c r="C39" i="47"/>
  <c r="H38" i="47"/>
  <c r="B38" i="47"/>
  <c r="E37" i="47"/>
  <c r="G37" i="47"/>
  <c r="F37" i="47" l="1"/>
  <c r="C40" i="47"/>
  <c r="H39" i="47"/>
  <c r="B39" i="47"/>
  <c r="E38" i="47"/>
  <c r="G38" i="47"/>
  <c r="F38" i="47" l="1"/>
  <c r="C41" i="47"/>
  <c r="H40" i="47"/>
  <c r="B40" i="47"/>
  <c r="E39" i="47"/>
  <c r="G39" i="47"/>
  <c r="F39" i="47" l="1"/>
  <c r="B41" i="47"/>
  <c r="E40" i="47"/>
  <c r="G40" i="47"/>
  <c r="C42" i="47"/>
  <c r="H41" i="47"/>
  <c r="F40" i="47" l="1"/>
  <c r="B42" i="47"/>
  <c r="E41" i="47"/>
  <c r="G41" i="47"/>
  <c r="C43" i="47"/>
  <c r="H42" i="47"/>
  <c r="F41" i="47" l="1"/>
  <c r="B43" i="47"/>
  <c r="E42" i="47"/>
  <c r="G42" i="47"/>
  <c r="C44" i="47"/>
  <c r="H43" i="47"/>
  <c r="F42" i="47" l="1"/>
  <c r="B44" i="47"/>
  <c r="E43" i="47"/>
  <c r="G43" i="47"/>
  <c r="C45" i="47"/>
  <c r="H44" i="47"/>
  <c r="C46" i="47" l="1"/>
  <c r="H45" i="47"/>
  <c r="B45" i="47"/>
  <c r="E44" i="47"/>
  <c r="G44" i="47"/>
  <c r="F43" i="47"/>
  <c r="B46" i="47" l="1"/>
  <c r="E45" i="47"/>
  <c r="G45" i="47"/>
  <c r="F44" i="47"/>
  <c r="C47" i="47"/>
  <c r="H46" i="47"/>
  <c r="B47" i="47" l="1"/>
  <c r="E46" i="47"/>
  <c r="G46" i="47"/>
  <c r="C48" i="47"/>
  <c r="H47" i="47"/>
  <c r="F45" i="47"/>
  <c r="C49" i="47" l="1"/>
  <c r="H48" i="47"/>
  <c r="B48" i="47"/>
  <c r="E47" i="47"/>
  <c r="G47" i="47"/>
  <c r="F46" i="47"/>
  <c r="B49" i="47" l="1"/>
  <c r="E48" i="47"/>
  <c r="G48" i="47"/>
  <c r="F47" i="47"/>
  <c r="C50" i="47"/>
  <c r="H49" i="47"/>
  <c r="F48" i="47" l="1"/>
  <c r="C51" i="47"/>
  <c r="H50" i="47"/>
  <c r="B50" i="47"/>
  <c r="E49" i="47"/>
  <c r="G49" i="47"/>
  <c r="F49" i="47" l="1"/>
  <c r="C52" i="47"/>
  <c r="H51" i="47"/>
  <c r="B51" i="47"/>
  <c r="E50" i="47"/>
  <c r="G50" i="47"/>
  <c r="F50" i="47" l="1"/>
  <c r="C53" i="47"/>
  <c r="H52" i="47"/>
  <c r="B52" i="47"/>
  <c r="E51" i="47"/>
  <c r="G51" i="47"/>
  <c r="F51" i="47" l="1"/>
  <c r="B53" i="47"/>
  <c r="E52" i="47"/>
  <c r="G52" i="47"/>
  <c r="C54" i="47"/>
  <c r="H53" i="47"/>
  <c r="B54" i="47" l="1"/>
  <c r="E53" i="47"/>
  <c r="G53" i="47"/>
  <c r="F52" i="47"/>
  <c r="C55" i="47"/>
  <c r="H54" i="47"/>
  <c r="C56" i="47" l="1"/>
  <c r="H55" i="47"/>
  <c r="B55" i="47"/>
  <c r="E54" i="47"/>
  <c r="G54" i="47"/>
  <c r="F53" i="47"/>
  <c r="F54" i="47" l="1"/>
  <c r="B56" i="47"/>
  <c r="E55" i="47"/>
  <c r="G55" i="47"/>
  <c r="C57" i="47"/>
  <c r="H56" i="47"/>
  <c r="B57" i="47" l="1"/>
  <c r="E56" i="47"/>
  <c r="G56" i="47"/>
  <c r="F55" i="47"/>
  <c r="C58" i="47"/>
  <c r="H57" i="47"/>
  <c r="F56" i="47" l="1"/>
  <c r="C59" i="47"/>
  <c r="H58" i="47"/>
  <c r="B58" i="47"/>
  <c r="E57" i="47"/>
  <c r="G57" i="47"/>
  <c r="F57" i="47" l="1"/>
  <c r="C60" i="47"/>
  <c r="H59" i="47"/>
  <c r="B59" i="47"/>
  <c r="E58" i="47"/>
  <c r="G58" i="47"/>
  <c r="D61" i="46"/>
  <c r="D60" i="46"/>
  <c r="D59" i="46"/>
  <c r="D56" i="46"/>
  <c r="D54" i="46"/>
  <c r="F42" i="46"/>
  <c r="F43" i="46" s="1"/>
  <c r="F44" i="46" s="1"/>
  <c r="F45" i="46" s="1"/>
  <c r="F46" i="46" s="1"/>
  <c r="F47" i="46" s="1"/>
  <c r="F48" i="46" s="1"/>
  <c r="F49" i="46" s="1"/>
  <c r="F50" i="46" s="1"/>
  <c r="F51" i="46" s="1"/>
  <c r="F52" i="46" s="1"/>
  <c r="F53" i="46" s="1"/>
  <c r="E35" i="46"/>
  <c r="D35" i="46"/>
  <c r="C35" i="46"/>
  <c r="B18" i="46"/>
  <c r="C116" i="45"/>
  <c r="C101" i="45"/>
  <c r="C86" i="45"/>
  <c r="C72" i="45"/>
  <c r="B39" i="10" s="1"/>
  <c r="C46" i="45"/>
  <c r="C32" i="45"/>
  <c r="G16" i="45"/>
  <c r="C16" i="45"/>
  <c r="E71" i="28"/>
  <c r="B9" i="10" s="1"/>
  <c r="D71" i="28"/>
  <c r="B35" i="10" s="1"/>
  <c r="C71" i="28"/>
  <c r="B8" i="10" s="1"/>
  <c r="E56" i="28"/>
  <c r="E36" i="28"/>
  <c r="D36" i="28"/>
  <c r="C36" i="28"/>
  <c r="E26" i="28"/>
  <c r="D26" i="28"/>
  <c r="C26" i="28"/>
  <c r="E16" i="28"/>
  <c r="D16" i="28"/>
  <c r="C16" i="28"/>
  <c r="F35" i="46" l="1"/>
  <c r="B13" i="10" s="1"/>
  <c r="F18" i="46"/>
  <c r="B12" i="10" s="1"/>
  <c r="F57" i="46"/>
  <c r="F54" i="46"/>
  <c r="H53" i="46"/>
  <c r="C61" i="47"/>
  <c r="H60" i="47"/>
  <c r="F58" i="47"/>
  <c r="B60" i="47"/>
  <c r="E59" i="47"/>
  <c r="G59" i="47"/>
  <c r="F56" i="46" l="1"/>
  <c r="H54" i="46"/>
  <c r="B11" i="10" s="1"/>
  <c r="F59" i="47"/>
  <c r="B61" i="47"/>
  <c r="E60" i="47"/>
  <c r="G60" i="47"/>
  <c r="C62" i="47"/>
  <c r="H61" i="47"/>
  <c r="B62" i="47" l="1"/>
  <c r="E61" i="47"/>
  <c r="G61" i="47"/>
  <c r="F60" i="47"/>
  <c r="C63" i="47"/>
  <c r="H62" i="47"/>
  <c r="F61" i="47" l="1"/>
  <c r="C64" i="47"/>
  <c r="H63" i="47"/>
  <c r="B63" i="47"/>
  <c r="E62" i="47"/>
  <c r="G62" i="47"/>
  <c r="F62" i="47" l="1"/>
  <c r="C65" i="47"/>
  <c r="H64" i="47"/>
  <c r="B64" i="47"/>
  <c r="E63" i="47"/>
  <c r="G63" i="47"/>
  <c r="F63" i="47" l="1"/>
  <c r="C66" i="47"/>
  <c r="H65" i="47"/>
  <c r="B65" i="47"/>
  <c r="E64" i="47"/>
  <c r="G64" i="47"/>
  <c r="F64" i="47" l="1"/>
  <c r="C67" i="47"/>
  <c r="H66" i="47"/>
  <c r="B66" i="47"/>
  <c r="E65" i="47"/>
  <c r="G65" i="47"/>
  <c r="C68" i="47" l="1"/>
  <c r="H67" i="47"/>
  <c r="F65" i="47"/>
  <c r="B67" i="47"/>
  <c r="E66" i="47"/>
  <c r="G66" i="47"/>
  <c r="F66" i="47" l="1"/>
  <c r="B68" i="47"/>
  <c r="E67" i="47"/>
  <c r="G67" i="47"/>
  <c r="C69" i="47"/>
  <c r="H68" i="47"/>
  <c r="B69" i="47" l="1"/>
  <c r="E68" i="47"/>
  <c r="G68" i="47"/>
  <c r="F67" i="47"/>
  <c r="C70" i="47"/>
  <c r="H69" i="47"/>
  <c r="F68" i="47" l="1"/>
  <c r="C71" i="47"/>
  <c r="H70" i="47"/>
  <c r="B70" i="47"/>
  <c r="E69" i="47"/>
  <c r="G69" i="47"/>
  <c r="F69" i="47" l="1"/>
  <c r="B71" i="47"/>
  <c r="E70" i="47"/>
  <c r="G70" i="47"/>
  <c r="C72" i="47"/>
  <c r="H71" i="47"/>
  <c r="B72" i="47" l="1"/>
  <c r="E71" i="47"/>
  <c r="G71" i="47"/>
  <c r="F70" i="47"/>
  <c r="C73" i="47"/>
  <c r="H72" i="47"/>
  <c r="B73" i="47" l="1"/>
  <c r="E72" i="47"/>
  <c r="G72" i="47"/>
  <c r="C74" i="47"/>
  <c r="H73" i="47"/>
  <c r="F71" i="47"/>
  <c r="C75" i="47" l="1"/>
  <c r="H74" i="47"/>
  <c r="B74" i="47"/>
  <c r="E73" i="47"/>
  <c r="G73" i="47"/>
  <c r="F72" i="47"/>
  <c r="B75" i="47" l="1"/>
  <c r="E74" i="47"/>
  <c r="G74" i="47"/>
  <c r="F73" i="47"/>
  <c r="C76" i="47"/>
  <c r="H75" i="47"/>
  <c r="F74" i="47" l="1"/>
  <c r="C77" i="47"/>
  <c r="H76" i="47"/>
  <c r="B76" i="47"/>
  <c r="E75" i="47"/>
  <c r="G75" i="47"/>
  <c r="F75" i="47" l="1"/>
  <c r="C78" i="47"/>
  <c r="H77" i="47"/>
  <c r="B77" i="47"/>
  <c r="E76" i="47"/>
  <c r="G76" i="47"/>
  <c r="F76" i="47" l="1"/>
  <c r="C79" i="47"/>
  <c r="H78" i="47"/>
  <c r="E77" i="47"/>
  <c r="B78" i="47"/>
  <c r="G77" i="47"/>
  <c r="C80" i="47" l="1"/>
  <c r="H79" i="47"/>
  <c r="E78" i="47"/>
  <c r="B79" i="47"/>
  <c r="G78" i="47"/>
  <c r="F77" i="47"/>
  <c r="F78" i="47" l="1"/>
  <c r="B80" i="47"/>
  <c r="E79" i="47"/>
  <c r="G79" i="47"/>
  <c r="C81" i="47"/>
  <c r="H80" i="47"/>
  <c r="F79" i="47" l="1"/>
  <c r="C82" i="47"/>
  <c r="H81" i="47"/>
  <c r="B81" i="47"/>
  <c r="E80" i="47"/>
  <c r="G80" i="47"/>
  <c r="F80" i="47" l="1"/>
  <c r="C83" i="47"/>
  <c r="H82" i="47"/>
  <c r="B82" i="47"/>
  <c r="E81" i="47"/>
  <c r="G81" i="47"/>
  <c r="F81" i="47" l="1"/>
  <c r="B83" i="47"/>
  <c r="E82" i="47"/>
  <c r="G82" i="47"/>
  <c r="C84" i="47"/>
  <c r="H83" i="47"/>
  <c r="D41" i="28" l="1"/>
  <c r="D43" i="28" s="1"/>
  <c r="D58" i="28" s="1"/>
  <c r="D73" i="28" s="1"/>
  <c r="E41" i="28"/>
  <c r="F82" i="47"/>
  <c r="B84" i="47"/>
  <c r="E83" i="47"/>
  <c r="G83" i="47"/>
  <c r="C85" i="47"/>
  <c r="H84" i="47"/>
  <c r="E43" i="28" l="1"/>
  <c r="E58" i="28" s="1"/>
  <c r="E73" i="28" s="1"/>
  <c r="B27" i="10"/>
  <c r="B31" i="10" s="1"/>
  <c r="C86" i="47"/>
  <c r="H85" i="47"/>
  <c r="B85" i="47"/>
  <c r="E84" i="47"/>
  <c r="G84" i="47"/>
  <c r="F83" i="47"/>
  <c r="B7" i="10" l="1"/>
  <c r="F84" i="47"/>
  <c r="E85" i="47"/>
  <c r="B86" i="47"/>
  <c r="G85" i="47"/>
  <c r="C87" i="47"/>
  <c r="H86" i="47"/>
  <c r="F85" i="47" l="1"/>
  <c r="E86" i="47"/>
  <c r="B87" i="47"/>
  <c r="G86" i="47"/>
  <c r="C88" i="47"/>
  <c r="H87" i="47"/>
  <c r="F86" i="47" l="1"/>
  <c r="B88" i="47"/>
  <c r="E87" i="47"/>
  <c r="G87" i="47"/>
  <c r="C89" i="47"/>
  <c r="H88" i="47"/>
  <c r="F87" i="47" l="1"/>
  <c r="C90" i="47"/>
  <c r="H89" i="47"/>
  <c r="B89" i="47"/>
  <c r="E88" i="47"/>
  <c r="G88" i="47"/>
  <c r="C91" i="47" l="1"/>
  <c r="H90" i="47"/>
  <c r="F88" i="47"/>
  <c r="B90" i="47"/>
  <c r="E89" i="47"/>
  <c r="G89" i="47"/>
  <c r="C41" i="28" l="1"/>
  <c r="C43" i="28" s="1"/>
  <c r="C58" i="28" s="1"/>
  <c r="F89" i="47"/>
  <c r="B91" i="47"/>
  <c r="E90" i="47"/>
  <c r="G90" i="47"/>
  <c r="C92" i="47"/>
  <c r="H91" i="47"/>
  <c r="B6" i="10" l="1"/>
  <c r="C73" i="28"/>
  <c r="C75" i="28" s="1"/>
  <c r="C93" i="47"/>
  <c r="H92" i="47"/>
  <c r="F90" i="47"/>
  <c r="B92" i="47"/>
  <c r="E91" i="47"/>
  <c r="G91" i="47"/>
  <c r="C94" i="47" l="1"/>
  <c r="H93" i="47"/>
  <c r="F91" i="47"/>
  <c r="B93" i="47"/>
  <c r="E92" i="47"/>
  <c r="G92" i="47"/>
  <c r="C95" i="47" l="1"/>
  <c r="H94" i="47"/>
  <c r="F92" i="47"/>
  <c r="E93" i="47"/>
  <c r="B94" i="47"/>
  <c r="G93" i="47"/>
  <c r="E94" i="47" l="1"/>
  <c r="B95" i="47"/>
  <c r="G94" i="47"/>
  <c r="F93" i="47"/>
  <c r="C96" i="47"/>
  <c r="H95" i="47"/>
  <c r="C97" i="47" l="1"/>
  <c r="H96" i="47"/>
  <c r="B96" i="47"/>
  <c r="E95" i="47"/>
  <c r="G95" i="47"/>
  <c r="F94" i="47"/>
  <c r="C98" i="47" l="1"/>
  <c r="H97" i="47"/>
  <c r="F95" i="47"/>
  <c r="B97" i="47"/>
  <c r="E96" i="47"/>
  <c r="G96" i="47"/>
  <c r="F96" i="47" l="1"/>
  <c r="C99" i="47"/>
  <c r="H98" i="47"/>
  <c r="B98" i="47"/>
  <c r="E97" i="47"/>
  <c r="G97" i="47"/>
  <c r="F97" i="47" l="1"/>
  <c r="C100" i="47"/>
  <c r="H99" i="47"/>
  <c r="B99" i="47"/>
  <c r="E98" i="47"/>
  <c r="G98" i="47"/>
  <c r="F98" i="47" l="1"/>
  <c r="B100" i="47"/>
  <c r="E99" i="47"/>
  <c r="G99" i="47"/>
  <c r="C101" i="47"/>
  <c r="H100" i="47"/>
  <c r="F99" i="47" l="1"/>
  <c r="B101" i="47"/>
  <c r="E100" i="47"/>
  <c r="G100" i="47"/>
  <c r="C102" i="47"/>
  <c r="H101" i="47"/>
  <c r="F100" i="47" l="1"/>
  <c r="E101" i="47"/>
  <c r="B102" i="47"/>
  <c r="G101" i="47"/>
  <c r="C103" i="47"/>
  <c r="H102" i="47"/>
  <c r="F101" i="47" l="1"/>
  <c r="E102" i="47"/>
  <c r="B103" i="47"/>
  <c r="G102" i="47"/>
  <c r="C104" i="47"/>
  <c r="H103" i="47"/>
  <c r="C105" i="47" l="1"/>
  <c r="H104" i="47"/>
  <c r="B104" i="47"/>
  <c r="E103" i="47"/>
  <c r="G103" i="47"/>
  <c r="F102" i="47"/>
  <c r="F103" i="47" l="1"/>
  <c r="B105" i="47"/>
  <c r="E104" i="47"/>
  <c r="G104" i="47"/>
  <c r="C106" i="47"/>
  <c r="H105" i="47"/>
  <c r="F104" i="47" l="1"/>
  <c r="B106" i="47"/>
  <c r="E105" i="47"/>
  <c r="G105" i="47"/>
  <c r="C107" i="47"/>
  <c r="H106" i="47"/>
  <c r="B107" i="47" l="1"/>
  <c r="E106" i="47"/>
  <c r="G106" i="47"/>
  <c r="F105" i="47"/>
  <c r="C108" i="47"/>
  <c r="H107" i="47"/>
  <c r="F106" i="47" l="1"/>
  <c r="C109" i="47"/>
  <c r="H108" i="47"/>
  <c r="B108" i="47"/>
  <c r="E107" i="47"/>
  <c r="G107" i="47"/>
  <c r="C110" i="47" l="1"/>
  <c r="H109" i="47"/>
  <c r="F107" i="47"/>
  <c r="B109" i="47"/>
  <c r="E108" i="47"/>
  <c r="G108" i="47"/>
  <c r="F108" i="47" l="1"/>
  <c r="E109" i="47"/>
  <c r="B110" i="47"/>
  <c r="G109" i="47"/>
  <c r="C111" i="47"/>
  <c r="H110" i="47"/>
  <c r="F109" i="47" l="1"/>
  <c r="E110" i="47"/>
  <c r="B111" i="47"/>
  <c r="G110" i="47"/>
  <c r="C112" i="47"/>
  <c r="H111" i="47"/>
  <c r="B112" i="47" l="1"/>
  <c r="E111" i="47"/>
  <c r="G111" i="47"/>
  <c r="F110" i="47"/>
  <c r="C113" i="47"/>
  <c r="H112" i="47"/>
  <c r="B113" i="47" l="1"/>
  <c r="E112" i="47"/>
  <c r="G112" i="47"/>
  <c r="C114" i="47"/>
  <c r="H113" i="47"/>
  <c r="F111" i="47"/>
  <c r="F112" i="47" l="1"/>
  <c r="C115" i="47"/>
  <c r="H114" i="47"/>
  <c r="E113" i="47"/>
  <c r="B114" i="47"/>
  <c r="G113" i="47"/>
  <c r="E114" i="47" l="1"/>
  <c r="B115" i="47"/>
  <c r="G114" i="47"/>
  <c r="F113" i="47"/>
  <c r="C116" i="47"/>
  <c r="H115" i="47"/>
  <c r="C117" i="47" l="1"/>
  <c r="H116" i="47"/>
  <c r="B116" i="47"/>
  <c r="E115" i="47"/>
  <c r="G115" i="47"/>
  <c r="F114" i="47"/>
  <c r="C118" i="47" l="1"/>
  <c r="H117" i="47"/>
  <c r="F115" i="47"/>
  <c r="E116" i="47"/>
  <c r="B117" i="47"/>
  <c r="G116" i="47"/>
  <c r="E117" i="47" l="1"/>
  <c r="B118" i="47"/>
  <c r="G117" i="47"/>
  <c r="F116" i="47"/>
  <c r="C119" i="47"/>
  <c r="H118" i="47"/>
  <c r="C120" i="47" l="1"/>
  <c r="H119" i="47"/>
  <c r="E118" i="47"/>
  <c r="B119" i="47"/>
  <c r="G118" i="47"/>
  <c r="F117" i="47"/>
  <c r="B120" i="47" l="1"/>
  <c r="E119" i="47"/>
  <c r="G119" i="47"/>
  <c r="F118" i="47"/>
  <c r="C121" i="47"/>
  <c r="H120" i="47"/>
  <c r="C122" i="47" l="1"/>
  <c r="H121" i="47"/>
  <c r="E120" i="47"/>
  <c r="B121" i="47"/>
  <c r="G120" i="47"/>
  <c r="F119" i="47"/>
  <c r="F120" i="47" l="1"/>
  <c r="C123" i="47"/>
  <c r="H122" i="47"/>
  <c r="E121" i="47"/>
  <c r="B122" i="47"/>
  <c r="G121" i="47"/>
  <c r="B123" i="47" l="1"/>
  <c r="E122" i="47"/>
  <c r="G122" i="47"/>
  <c r="C124" i="47"/>
  <c r="H123" i="47"/>
  <c r="F121" i="47"/>
  <c r="F122" i="47" l="1"/>
  <c r="B124" i="47"/>
  <c r="E123" i="47"/>
  <c r="G123" i="47"/>
  <c r="C125" i="47"/>
  <c r="H124" i="47"/>
  <c r="F123" i="47" l="1"/>
  <c r="C126" i="47"/>
  <c r="H125" i="47"/>
  <c r="E124" i="47"/>
  <c r="B125" i="47"/>
  <c r="G124" i="47"/>
  <c r="B126" i="47" l="1"/>
  <c r="E125" i="47"/>
  <c r="G125" i="47"/>
  <c r="F124" i="47"/>
  <c r="C127" i="47"/>
  <c r="H126" i="47"/>
  <c r="C128" i="47" l="1"/>
  <c r="H127" i="47"/>
  <c r="F125" i="47"/>
  <c r="E126" i="47"/>
  <c r="B127" i="47"/>
  <c r="G126" i="47"/>
  <c r="B128" i="47" l="1"/>
  <c r="E127" i="47"/>
  <c r="G127" i="47"/>
  <c r="F126" i="47"/>
  <c r="C129" i="47"/>
  <c r="H128" i="47"/>
  <c r="B129" i="47" l="1"/>
  <c r="E128" i="47"/>
  <c r="G128" i="47"/>
  <c r="C130" i="47"/>
  <c r="H129" i="47"/>
  <c r="F127" i="47"/>
  <c r="F128" i="47" l="1"/>
  <c r="E129" i="47"/>
  <c r="B130" i="47"/>
  <c r="G129" i="47"/>
  <c r="C131" i="47"/>
  <c r="H130" i="47"/>
  <c r="F129" i="47" l="1"/>
  <c r="E130" i="47"/>
  <c r="B131" i="47"/>
  <c r="G130" i="47"/>
  <c r="C132" i="47"/>
  <c r="H131" i="47"/>
  <c r="B132" i="47" l="1"/>
  <c r="E131" i="47"/>
  <c r="G131" i="47"/>
  <c r="F130" i="47"/>
  <c r="C133" i="47"/>
  <c r="H132" i="47"/>
  <c r="C134" i="47" l="1"/>
  <c r="H133" i="47"/>
  <c r="E132" i="47"/>
  <c r="B133" i="47"/>
  <c r="G132" i="47"/>
  <c r="F131" i="47"/>
  <c r="F132" i="47" l="1"/>
  <c r="E133" i="47"/>
  <c r="B134" i="47"/>
  <c r="G133" i="47"/>
  <c r="C135" i="47"/>
  <c r="H134" i="47"/>
  <c r="E134" i="47" l="1"/>
  <c r="B135" i="47"/>
  <c r="G134" i="47"/>
  <c r="C136" i="47"/>
  <c r="H135" i="47"/>
  <c r="F133" i="47"/>
  <c r="F134" i="47" l="1"/>
  <c r="C137" i="47"/>
  <c r="H136" i="47"/>
  <c r="B136" i="47"/>
  <c r="E135" i="47"/>
  <c r="G135" i="47"/>
  <c r="F135" i="47" l="1"/>
  <c r="C138" i="47"/>
  <c r="H137" i="47"/>
  <c r="E136" i="47"/>
  <c r="B137" i="47"/>
  <c r="G136" i="47"/>
  <c r="C139" i="47" l="1"/>
  <c r="H138" i="47"/>
  <c r="E137" i="47"/>
  <c r="B138" i="47"/>
  <c r="G137" i="47"/>
  <c r="F136" i="47"/>
  <c r="F137" i="47" l="1"/>
  <c r="B139" i="47"/>
  <c r="E138" i="47"/>
  <c r="G138" i="47"/>
  <c r="C140" i="47"/>
  <c r="H139" i="47"/>
  <c r="F138" i="47" l="1"/>
  <c r="C141" i="47"/>
  <c r="H140" i="47"/>
  <c r="B140" i="47"/>
  <c r="E139" i="47"/>
  <c r="G139" i="47"/>
  <c r="C142" i="47" l="1"/>
  <c r="H141" i="47"/>
  <c r="F139" i="47"/>
  <c r="E140" i="47"/>
  <c r="B141" i="47"/>
  <c r="G140" i="47"/>
  <c r="F140" i="47" l="1"/>
  <c r="B142" i="47"/>
  <c r="E141" i="47"/>
  <c r="G141" i="47"/>
  <c r="C143" i="47"/>
  <c r="H142" i="47"/>
  <c r="E142" i="47" l="1"/>
  <c r="B143" i="47"/>
  <c r="G142" i="47"/>
  <c r="F141" i="47"/>
  <c r="C144" i="47"/>
  <c r="H143" i="47"/>
  <c r="C145" i="47" l="1"/>
  <c r="H144" i="47"/>
  <c r="B144" i="47"/>
  <c r="E143" i="47"/>
  <c r="G143" i="47"/>
  <c r="F142" i="47"/>
  <c r="C146" i="47" l="1"/>
  <c r="H145" i="47"/>
  <c r="F143" i="47"/>
  <c r="B145" i="47"/>
  <c r="E144" i="47"/>
  <c r="G144" i="47"/>
  <c r="F144" i="47" l="1"/>
  <c r="E145" i="47"/>
  <c r="B146" i="47"/>
  <c r="G145" i="47"/>
  <c r="C147" i="47"/>
  <c r="H146" i="47"/>
  <c r="F145" i="47" l="1"/>
  <c r="E146" i="47"/>
  <c r="B147" i="47"/>
  <c r="G146" i="47"/>
  <c r="C148" i="47"/>
  <c r="H147" i="47"/>
  <c r="F146" i="47" l="1"/>
  <c r="C149" i="47"/>
  <c r="H148" i="47"/>
  <c r="B148" i="47"/>
  <c r="E147" i="47"/>
  <c r="G147" i="47"/>
  <c r="F147" i="47" l="1"/>
  <c r="C150" i="47"/>
  <c r="H149" i="47"/>
  <c r="E148" i="47"/>
  <c r="B149" i="47"/>
  <c r="G148" i="47"/>
  <c r="E149" i="47" l="1"/>
  <c r="B150" i="47"/>
  <c r="G149" i="47"/>
  <c r="F148" i="47"/>
  <c r="C151" i="47"/>
  <c r="H150" i="47"/>
  <c r="C152" i="47" l="1"/>
  <c r="H151" i="47"/>
  <c r="E150" i="47"/>
  <c r="B151" i="47"/>
  <c r="G150" i="47"/>
  <c r="F149" i="47"/>
  <c r="B152" i="47" l="1"/>
  <c r="E151" i="47"/>
  <c r="G151" i="47"/>
  <c r="F150" i="47"/>
  <c r="C153" i="47"/>
  <c r="H152" i="47"/>
  <c r="E152" i="47" l="1"/>
  <c r="B153" i="47"/>
  <c r="G152" i="47"/>
  <c r="C154" i="47"/>
  <c r="H153" i="47"/>
  <c r="F151" i="47"/>
  <c r="E153" i="47" l="1"/>
  <c r="B154" i="47"/>
  <c r="G153" i="47"/>
  <c r="C155" i="47"/>
  <c r="H154" i="47"/>
  <c r="F152" i="47"/>
  <c r="B155" i="47" l="1"/>
  <c r="E154" i="47"/>
  <c r="G154" i="47"/>
  <c r="C156" i="47"/>
  <c r="H155" i="47"/>
  <c r="F153" i="47"/>
  <c r="B156" i="47" l="1"/>
  <c r="E155" i="47"/>
  <c r="G155" i="47"/>
  <c r="F154" i="47"/>
  <c r="C157" i="47"/>
  <c r="H156" i="47"/>
  <c r="C158" i="47" l="1"/>
  <c r="H157" i="47"/>
  <c r="E156" i="47"/>
  <c r="B157" i="47"/>
  <c r="G156" i="47"/>
  <c r="F155" i="47"/>
  <c r="F156" i="47" l="1"/>
  <c r="C159" i="47"/>
  <c r="H158" i="47"/>
  <c r="B158" i="47"/>
  <c r="E157" i="47"/>
  <c r="G157" i="47"/>
  <c r="F157" i="47" l="1"/>
  <c r="C160" i="47"/>
  <c r="H159" i="47"/>
  <c r="E158" i="47"/>
  <c r="B159" i="47"/>
  <c r="G158" i="47"/>
  <c r="B160" i="47" l="1"/>
  <c r="E159" i="47"/>
  <c r="G159" i="47"/>
  <c r="C161" i="47"/>
  <c r="H160" i="47"/>
  <c r="F158" i="47"/>
  <c r="F159" i="47" l="1"/>
  <c r="C162" i="47"/>
  <c r="H161" i="47"/>
  <c r="B161" i="47"/>
  <c r="E160" i="47"/>
  <c r="G160" i="47"/>
  <c r="F160" i="47" l="1"/>
  <c r="C163" i="47"/>
  <c r="H162" i="47"/>
  <c r="E161" i="47"/>
  <c r="B162" i="47"/>
  <c r="G161" i="47"/>
  <c r="C164" i="47" l="1"/>
  <c r="H163" i="47"/>
  <c r="E162" i="47"/>
  <c r="B163" i="47"/>
  <c r="G162" i="47"/>
  <c r="F161" i="47"/>
  <c r="F162" i="47" l="1"/>
  <c r="B164" i="47"/>
  <c r="E163" i="47"/>
  <c r="G163" i="47"/>
  <c r="C165" i="47"/>
  <c r="H164" i="47"/>
  <c r="C166" i="47" l="1"/>
  <c r="H165" i="47"/>
  <c r="E164" i="47"/>
  <c r="B165" i="47"/>
  <c r="G164" i="47"/>
  <c r="F163" i="47"/>
  <c r="F164" i="47" l="1"/>
  <c r="B166" i="47"/>
  <c r="E165" i="47"/>
  <c r="G165" i="47"/>
  <c r="C167" i="47"/>
  <c r="H166" i="47"/>
  <c r="F165" i="47" l="1"/>
  <c r="C168" i="47"/>
  <c r="H167" i="47"/>
  <c r="B167" i="47"/>
  <c r="E166" i="47"/>
  <c r="G166" i="47"/>
  <c r="F166" i="47" l="1"/>
  <c r="B168" i="47"/>
  <c r="E167" i="47"/>
  <c r="G167" i="47"/>
  <c r="C169" i="47"/>
  <c r="H168" i="47"/>
  <c r="F167" i="47" l="1"/>
  <c r="B169" i="47"/>
  <c r="E168" i="47"/>
  <c r="G168" i="47"/>
  <c r="C170" i="47"/>
  <c r="H169" i="47"/>
  <c r="F168" i="47" l="1"/>
  <c r="B170" i="47"/>
  <c r="E169" i="47"/>
  <c r="G169" i="47"/>
  <c r="C171" i="47"/>
  <c r="H170" i="47"/>
  <c r="C172" i="47" l="1"/>
  <c r="H171" i="47"/>
  <c r="B171" i="47"/>
  <c r="E170" i="47"/>
  <c r="G170" i="47"/>
  <c r="F169" i="47"/>
  <c r="F170" i="47" l="1"/>
  <c r="B172" i="47"/>
  <c r="E171" i="47"/>
  <c r="G171" i="47"/>
  <c r="C173" i="47"/>
  <c r="H172" i="47"/>
  <c r="B173" i="47" l="1"/>
  <c r="E172" i="47"/>
  <c r="G172" i="47"/>
  <c r="F171" i="47"/>
  <c r="C174" i="47"/>
  <c r="H173" i="47"/>
  <c r="C175" i="47" l="1"/>
  <c r="H174" i="47"/>
  <c r="F172" i="47"/>
  <c r="B174" i="47"/>
  <c r="E173" i="47"/>
  <c r="G173" i="47"/>
  <c r="F173" i="47" l="1"/>
  <c r="B175" i="47"/>
  <c r="E174" i="47"/>
  <c r="G174" i="47"/>
  <c r="C176" i="47"/>
  <c r="H175" i="47"/>
  <c r="B176" i="47" l="1"/>
  <c r="E175" i="47"/>
  <c r="G175" i="47"/>
  <c r="F174" i="47"/>
  <c r="C177" i="47"/>
  <c r="H176" i="47"/>
  <c r="C178" i="47" l="1"/>
  <c r="H177" i="47"/>
  <c r="F175" i="47"/>
  <c r="E176" i="47"/>
  <c r="B177" i="47"/>
  <c r="G176" i="47"/>
  <c r="F176" i="47" l="1"/>
  <c r="B178" i="47"/>
  <c r="E177" i="47"/>
  <c r="G177" i="47"/>
  <c r="C179" i="47"/>
  <c r="H178" i="47"/>
  <c r="F177" i="47" l="1"/>
  <c r="C180" i="47"/>
  <c r="H179" i="47"/>
  <c r="B179" i="47"/>
  <c r="E178" i="47"/>
  <c r="G178" i="47"/>
  <c r="F178" i="47" l="1"/>
  <c r="C181" i="47"/>
  <c r="H180" i="47"/>
  <c r="B180" i="47"/>
  <c r="E179" i="47"/>
  <c r="G179" i="47"/>
  <c r="F179" i="47" l="1"/>
  <c r="C182" i="47"/>
  <c r="H181" i="47"/>
  <c r="B181" i="47"/>
  <c r="E180" i="47"/>
  <c r="G180" i="47"/>
  <c r="F180" i="47" l="1"/>
  <c r="B182" i="47"/>
  <c r="E181" i="47"/>
  <c r="G181" i="47"/>
  <c r="C183" i="47"/>
  <c r="H182" i="47"/>
  <c r="C184" i="47" l="1"/>
  <c r="H183" i="47"/>
  <c r="F181" i="47"/>
  <c r="B183" i="47"/>
  <c r="E182" i="47"/>
  <c r="G182" i="47"/>
  <c r="F182" i="47" l="1"/>
  <c r="B184" i="47"/>
  <c r="E183" i="47"/>
  <c r="G183" i="47"/>
  <c r="C185" i="47"/>
  <c r="H184" i="47"/>
  <c r="C186" i="47" l="1"/>
  <c r="H185" i="47"/>
  <c r="B185" i="47"/>
  <c r="E184" i="47"/>
  <c r="G184" i="47"/>
  <c r="F183" i="47"/>
  <c r="F184" i="47" l="1"/>
  <c r="C187" i="47"/>
  <c r="H186" i="47"/>
  <c r="B186" i="47"/>
  <c r="E185" i="47"/>
  <c r="G185" i="47"/>
  <c r="F185" i="47" l="1"/>
  <c r="B187" i="47"/>
  <c r="E186" i="47"/>
  <c r="G186" i="47"/>
  <c r="C188" i="47"/>
  <c r="H187" i="47"/>
  <c r="F186" i="47" l="1"/>
  <c r="C189" i="47"/>
  <c r="H188" i="47"/>
  <c r="B188" i="47"/>
  <c r="E187" i="47"/>
  <c r="G187" i="47"/>
  <c r="C190" i="47" l="1"/>
  <c r="H189" i="47"/>
  <c r="F187" i="47"/>
  <c r="B189" i="47"/>
  <c r="E188" i="47"/>
  <c r="G188" i="47"/>
  <c r="F188" i="47" l="1"/>
  <c r="B190" i="47"/>
  <c r="E189" i="47"/>
  <c r="G189" i="47"/>
  <c r="C191" i="47"/>
  <c r="H190" i="47"/>
  <c r="C192" i="47" l="1"/>
  <c r="H191" i="47"/>
  <c r="B191" i="47"/>
  <c r="E190" i="47"/>
  <c r="G190" i="47"/>
  <c r="F189" i="47"/>
  <c r="F190" i="47" l="1"/>
  <c r="C193" i="47"/>
  <c r="H192" i="47"/>
  <c r="B192" i="47"/>
  <c r="E191" i="47"/>
  <c r="G191" i="47"/>
  <c r="C194" i="47" l="1"/>
  <c r="H193" i="47"/>
  <c r="F191" i="47"/>
  <c r="E192" i="47"/>
  <c r="B193" i="47"/>
  <c r="G192" i="47"/>
  <c r="F192" i="47" l="1"/>
  <c r="E193" i="47"/>
  <c r="B194" i="47"/>
  <c r="G193" i="47"/>
  <c r="C195" i="47"/>
  <c r="H194" i="47"/>
  <c r="C196" i="47" l="1"/>
  <c r="H195" i="47"/>
  <c r="F193" i="47"/>
  <c r="B195" i="47"/>
  <c r="E194" i="47"/>
  <c r="G194" i="47"/>
  <c r="F194" i="47" l="1"/>
  <c r="B196" i="47"/>
  <c r="E195" i="47"/>
  <c r="G195" i="47"/>
  <c r="C197" i="47"/>
  <c r="H196" i="47"/>
  <c r="C198" i="47" l="1"/>
  <c r="H197" i="47"/>
  <c r="F195" i="47"/>
  <c r="B197" i="47"/>
  <c r="E196" i="47"/>
  <c r="G196" i="47"/>
  <c r="F196" i="47" l="1"/>
  <c r="B198" i="47"/>
  <c r="E197" i="47"/>
  <c r="G197" i="47"/>
  <c r="C199" i="47"/>
  <c r="H198" i="47"/>
  <c r="B199" i="47" l="1"/>
  <c r="E198" i="47"/>
  <c r="G198" i="47"/>
  <c r="C200" i="47"/>
  <c r="H199" i="47"/>
  <c r="F197" i="47"/>
  <c r="F198" i="47" l="1"/>
  <c r="C201" i="47"/>
  <c r="H200" i="47"/>
  <c r="B200" i="47"/>
  <c r="E199" i="47"/>
  <c r="G199" i="47"/>
  <c r="C202" i="47" l="1"/>
  <c r="H201" i="47"/>
  <c r="F199" i="47"/>
  <c r="E200" i="47"/>
  <c r="B201" i="47"/>
  <c r="G200" i="47"/>
  <c r="E201" i="47" l="1"/>
  <c r="B202" i="47"/>
  <c r="G201" i="47"/>
  <c r="F200" i="47"/>
  <c r="C203" i="47"/>
  <c r="H202" i="47"/>
  <c r="B203" i="47" l="1"/>
  <c r="E202" i="47"/>
  <c r="G202" i="47"/>
  <c r="C204" i="47"/>
  <c r="H203" i="47"/>
  <c r="F201" i="47"/>
  <c r="C205" i="47" l="1"/>
  <c r="H204" i="47"/>
  <c r="F202" i="47"/>
  <c r="B204" i="47"/>
  <c r="E203" i="47"/>
  <c r="G203" i="47"/>
  <c r="B205" i="47" l="1"/>
  <c r="E204" i="47"/>
  <c r="G204" i="47"/>
  <c r="F203" i="47"/>
  <c r="C206" i="47"/>
  <c r="H205" i="47"/>
  <c r="F204" i="47" l="1"/>
  <c r="C207" i="47"/>
  <c r="H206" i="47"/>
  <c r="B206" i="47"/>
  <c r="E205" i="47"/>
  <c r="G205" i="47"/>
  <c r="F205" i="47" l="1"/>
  <c r="B207" i="47"/>
  <c r="E206" i="47"/>
  <c r="G206" i="47"/>
  <c r="C208" i="47"/>
  <c r="H207" i="47"/>
  <c r="F206" i="47" l="1"/>
  <c r="C209" i="47"/>
  <c r="H208" i="47"/>
  <c r="B208" i="47"/>
  <c r="E207" i="47"/>
  <c r="G207" i="47"/>
  <c r="F207" i="47" l="1"/>
  <c r="C210" i="47"/>
  <c r="H209" i="47"/>
  <c r="B209" i="47"/>
  <c r="E208" i="47"/>
  <c r="G208" i="47"/>
  <c r="C211" i="47" l="1"/>
  <c r="H210" i="47"/>
  <c r="F208" i="47"/>
  <c r="B210" i="47"/>
  <c r="E209" i="47"/>
  <c r="G209" i="47"/>
  <c r="F209" i="47" l="1"/>
  <c r="E210" i="47"/>
  <c r="B211" i="47"/>
  <c r="G210" i="47"/>
  <c r="C212" i="47"/>
  <c r="H211" i="47"/>
  <c r="C213" i="47" l="1"/>
  <c r="H212" i="47"/>
  <c r="F210" i="47"/>
  <c r="B212" i="47"/>
  <c r="E211" i="47"/>
  <c r="G211" i="47"/>
  <c r="F211" i="47" l="1"/>
  <c r="C214" i="47"/>
  <c r="H213" i="47"/>
  <c r="B213" i="47"/>
  <c r="E212" i="47"/>
  <c r="G212" i="47"/>
  <c r="C215" i="47" l="1"/>
  <c r="H214" i="47"/>
  <c r="F212" i="47"/>
  <c r="E213" i="47"/>
  <c r="B214" i="47"/>
  <c r="G213" i="47"/>
  <c r="E214" i="47" l="1"/>
  <c r="B215" i="47"/>
  <c r="G214" i="47"/>
  <c r="F213" i="47"/>
  <c r="C216" i="47"/>
  <c r="H215" i="47"/>
  <c r="F214" i="47" l="1"/>
  <c r="C217" i="47"/>
  <c r="H216" i="47"/>
  <c r="B216" i="47"/>
  <c r="E215" i="47"/>
  <c r="G215" i="47"/>
  <c r="F215" i="47" l="1"/>
  <c r="C218" i="47"/>
  <c r="H217" i="47"/>
  <c r="E216" i="47"/>
  <c r="B217" i="47"/>
  <c r="G216" i="47"/>
  <c r="E217" i="47" l="1"/>
  <c r="B218" i="47"/>
  <c r="G217" i="47"/>
  <c r="F216" i="47"/>
  <c r="C219" i="47"/>
  <c r="H218" i="47"/>
  <c r="C220" i="47" l="1"/>
  <c r="H219" i="47"/>
  <c r="B219" i="47"/>
  <c r="E218" i="47"/>
  <c r="G218" i="47"/>
  <c r="F217" i="47"/>
  <c r="B220" i="47" l="1"/>
  <c r="E219" i="47"/>
  <c r="G219" i="47"/>
  <c r="F218" i="47"/>
  <c r="C221" i="47"/>
  <c r="H220" i="47"/>
  <c r="C222" i="47" l="1"/>
  <c r="H221" i="47"/>
  <c r="F219" i="47"/>
  <c r="E220" i="47"/>
  <c r="B221" i="47"/>
  <c r="G220" i="47"/>
  <c r="F220" i="47" l="1"/>
  <c r="B222" i="47"/>
  <c r="E221" i="47"/>
  <c r="G221" i="47"/>
  <c r="C223" i="47"/>
  <c r="H222" i="47"/>
  <c r="C224" i="47" l="1"/>
  <c r="H223" i="47"/>
  <c r="E222" i="47"/>
  <c r="B223" i="47"/>
  <c r="G222" i="47"/>
  <c r="F221" i="47"/>
  <c r="B224" i="47" l="1"/>
  <c r="E223" i="47"/>
  <c r="G223" i="47"/>
  <c r="C225" i="47"/>
  <c r="H224" i="47"/>
  <c r="F222" i="47"/>
  <c r="C226" i="47" l="1"/>
  <c r="H225" i="47"/>
  <c r="F223" i="47"/>
  <c r="B225" i="47"/>
  <c r="E224" i="47"/>
  <c r="G224" i="47"/>
  <c r="F224" i="47" l="1"/>
  <c r="E225" i="47"/>
  <c r="B226" i="47"/>
  <c r="G225" i="47"/>
  <c r="C227" i="47"/>
  <c r="H226" i="47"/>
  <c r="F225" i="47" l="1"/>
  <c r="E226" i="47"/>
  <c r="B227" i="47"/>
  <c r="G226" i="47"/>
  <c r="C228" i="47"/>
  <c r="H227" i="47"/>
  <c r="C229" i="47" l="1"/>
  <c r="H228" i="47"/>
  <c r="F226" i="47"/>
  <c r="B228" i="47"/>
  <c r="E227" i="47"/>
  <c r="G227" i="47"/>
  <c r="F227" i="47" l="1"/>
  <c r="E228" i="47"/>
  <c r="B229" i="47"/>
  <c r="G228" i="47"/>
  <c r="C230" i="47"/>
  <c r="H229" i="47"/>
  <c r="C231" i="47" l="1"/>
  <c r="H230" i="47"/>
  <c r="E229" i="47"/>
  <c r="B230" i="47"/>
  <c r="G229" i="47"/>
  <c r="F228" i="47"/>
  <c r="F229" i="47" l="1"/>
  <c r="E230" i="47"/>
  <c r="B231" i="47"/>
  <c r="G230" i="47"/>
  <c r="C232" i="47"/>
  <c r="H231" i="47"/>
  <c r="C233" i="47" l="1"/>
  <c r="H232" i="47"/>
  <c r="B232" i="47"/>
  <c r="E231" i="47"/>
  <c r="G231" i="47"/>
  <c r="F230" i="47"/>
  <c r="E232" i="47" l="1"/>
  <c r="B233" i="47"/>
  <c r="G232" i="47"/>
  <c r="F231" i="47"/>
  <c r="C234" i="47"/>
  <c r="H233" i="47"/>
  <c r="C235" i="47" l="1"/>
  <c r="H234" i="47"/>
  <c r="E233" i="47"/>
  <c r="B234" i="47"/>
  <c r="G233" i="47"/>
  <c r="F232" i="47"/>
  <c r="B235" i="47" l="1"/>
  <c r="E234" i="47"/>
  <c r="G234" i="47"/>
  <c r="C236" i="47"/>
  <c r="H235" i="47"/>
  <c r="F233" i="47"/>
  <c r="C237" i="47" l="1"/>
  <c r="H236" i="47"/>
  <c r="B236" i="47"/>
  <c r="E235" i="47"/>
  <c r="G235" i="47"/>
  <c r="F234" i="47"/>
  <c r="F235" i="47" l="1"/>
  <c r="C238" i="47"/>
  <c r="H237" i="47"/>
  <c r="B237" i="47"/>
  <c r="E236" i="47"/>
  <c r="G236" i="47"/>
  <c r="F236" i="47" l="1"/>
  <c r="C239" i="47"/>
  <c r="H238" i="47"/>
  <c r="B238" i="47"/>
  <c r="E237" i="47"/>
  <c r="G237" i="47"/>
  <c r="B239" i="47" l="1"/>
  <c r="E238" i="47"/>
  <c r="G238" i="47"/>
  <c r="F237" i="47"/>
  <c r="C240" i="47"/>
  <c r="H239" i="47"/>
  <c r="B240" i="47" l="1"/>
  <c r="E239" i="47"/>
  <c r="G239" i="47"/>
  <c r="C241" i="47"/>
  <c r="H240" i="47"/>
  <c r="F238" i="47"/>
  <c r="C242" i="47" l="1"/>
  <c r="H241" i="47"/>
  <c r="B241" i="47"/>
  <c r="E240" i="47"/>
  <c r="G240" i="47"/>
  <c r="F239" i="47"/>
  <c r="F240" i="47" l="1"/>
  <c r="C243" i="47"/>
  <c r="H242" i="47"/>
  <c r="B242" i="47"/>
  <c r="E241" i="47"/>
  <c r="G241" i="47"/>
  <c r="B243" i="47" l="1"/>
  <c r="E242" i="47"/>
  <c r="G242" i="47"/>
  <c r="F241" i="47"/>
  <c r="C244" i="47"/>
  <c r="H243" i="47"/>
  <c r="F242" i="47" l="1"/>
  <c r="B244" i="47"/>
  <c r="E243" i="47"/>
  <c r="G243" i="47"/>
  <c r="C245" i="47"/>
  <c r="H244" i="47"/>
  <c r="F243" i="47" l="1"/>
  <c r="E244" i="47"/>
  <c r="F244" i="47" s="1"/>
  <c r="B245" i="47"/>
  <c r="G244" i="47"/>
  <c r="C246" i="47"/>
  <c r="H245" i="47"/>
  <c r="B246" i="47" l="1"/>
  <c r="E245" i="47"/>
  <c r="F245" i="47" s="1"/>
  <c r="G245" i="47"/>
  <c r="C247" i="47"/>
  <c r="H246" i="47"/>
  <c r="G260" i="47" l="1"/>
  <c r="B247" i="47"/>
  <c r="E246" i="47"/>
  <c r="F246" i="47" s="1"/>
  <c r="G246" i="47"/>
  <c r="C248" i="47"/>
  <c r="H247" i="47"/>
  <c r="B248" i="47" l="1"/>
  <c r="E247" i="47"/>
  <c r="F247" i="47" s="1"/>
  <c r="G247" i="47"/>
  <c r="C249" i="47"/>
  <c r="H248" i="47"/>
  <c r="B249" i="47" l="1"/>
  <c r="E248" i="47"/>
  <c r="F248" i="47" s="1"/>
  <c r="G248" i="47"/>
  <c r="C250" i="47"/>
  <c r="H249" i="47"/>
  <c r="B250" i="47" l="1"/>
  <c r="E249" i="47"/>
  <c r="F249" i="47" s="1"/>
  <c r="G249" i="47"/>
  <c r="C251" i="47"/>
  <c r="H250" i="47"/>
  <c r="B251" i="47" l="1"/>
  <c r="E250" i="47"/>
  <c r="F250" i="47" s="1"/>
  <c r="G250" i="47"/>
  <c r="C252" i="47"/>
  <c r="H251" i="47"/>
  <c r="B252" i="47" l="1"/>
  <c r="E251" i="47"/>
  <c r="F251" i="47" s="1"/>
  <c r="G251" i="47"/>
  <c r="C253" i="47"/>
  <c r="H252" i="47"/>
  <c r="B253" i="47" l="1"/>
  <c r="E252" i="47"/>
  <c r="F252" i="47" s="1"/>
  <c r="G252" i="47"/>
  <c r="C254" i="47"/>
  <c r="H253" i="47"/>
  <c r="B254" i="47" l="1"/>
  <c r="E253" i="47"/>
  <c r="F253" i="47" s="1"/>
  <c r="G253" i="47"/>
  <c r="C255" i="47"/>
  <c r="H254" i="47"/>
  <c r="H255" i="47" l="1"/>
  <c r="C256" i="47"/>
  <c r="B255" i="47"/>
  <c r="B256" i="47" s="1"/>
  <c r="E254" i="47"/>
  <c r="F254" i="47" s="1"/>
  <c r="G254" i="47"/>
  <c r="E256" i="47" l="1"/>
  <c r="B257" i="47"/>
  <c r="G256" i="47"/>
  <c r="C257" i="47"/>
  <c r="H256" i="47"/>
  <c r="E255" i="47"/>
  <c r="F255" i="47" s="1"/>
  <c r="G255" i="47"/>
  <c r="C258" i="47" l="1"/>
  <c r="H258" i="47" s="1"/>
  <c r="H257" i="47"/>
  <c r="B258" i="47"/>
  <c r="E257" i="47"/>
  <c r="F257" i="47" s="1"/>
  <c r="G257" i="47"/>
  <c r="F256" i="47"/>
  <c r="B14" i="10"/>
  <c r="B20" i="10" l="1"/>
  <c r="G261" i="47"/>
  <c r="G262" i="47" s="1"/>
  <c r="B36" i="10" s="1"/>
  <c r="B42" i="10" s="1"/>
  <c r="B44" i="10" s="1"/>
  <c r="E258" i="47"/>
  <c r="F258" i="47" s="1"/>
  <c r="G258" i="47"/>
</calcChain>
</file>

<file path=xl/comments1.xml><?xml version="1.0" encoding="utf-8"?>
<comments xmlns="http://schemas.openxmlformats.org/spreadsheetml/2006/main">
  <authors>
    <author>Benjamin Larson (Belars)</author>
  </authors>
  <commentList>
    <comment ref="C7" authorId="0">
      <text>
        <r>
          <rPr>
            <sz val="8"/>
            <color indexed="81"/>
            <rFont val="Tahoma"/>
            <family val="2"/>
          </rPr>
          <t xml:space="preserve">
Depr 1301
Plant</t>
        </r>
      </text>
    </comment>
    <comment ref="D7" authorId="0">
      <text>
        <r>
          <rPr>
            <sz val="8"/>
            <color indexed="81"/>
            <rFont val="Tahoma"/>
            <family val="2"/>
          </rPr>
          <t xml:space="preserve">
Depr 1033
Provision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
Depr 1302
Reserve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G16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actual 2014 NOL utilization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E249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manual adj. to fix LSR.</t>
        </r>
      </text>
    </comment>
  </commentList>
</comments>
</file>

<file path=xl/sharedStrings.xml><?xml version="1.0" encoding="utf-8"?>
<sst xmlns="http://schemas.openxmlformats.org/spreadsheetml/2006/main" count="534" uniqueCount="284">
  <si>
    <t>Puget Sound Energy</t>
  </si>
  <si>
    <t>PUGET SOUND ENERGY</t>
  </si>
  <si>
    <t>PRODUCTION PLANT INFORMATION</t>
  </si>
  <si>
    <t>BEGINNING PRODUCTION PLANT</t>
  </si>
  <si>
    <t>FERC Account or Group Asset #</t>
  </si>
  <si>
    <t>Description</t>
  </si>
  <si>
    <t>DEPRECIABLE PRODUCTION PLANT</t>
  </si>
  <si>
    <t>E311</t>
  </si>
  <si>
    <t>E312</t>
  </si>
  <si>
    <t>Boiler Plant Equipment</t>
  </si>
  <si>
    <t>E314</t>
  </si>
  <si>
    <t>Turbogenerator Units</t>
  </si>
  <si>
    <t>E315</t>
  </si>
  <si>
    <t>Accessory Electric Equip</t>
  </si>
  <si>
    <t>E316</t>
  </si>
  <si>
    <t>Misc Power Plant Equipment</t>
  </si>
  <si>
    <t>E317</t>
  </si>
  <si>
    <t>Asset Retirement Costs</t>
  </si>
  <si>
    <t>TOTAL STEAM PRODUCTION</t>
  </si>
  <si>
    <t>E331</t>
  </si>
  <si>
    <t>Structures &amp; Improvements</t>
  </si>
  <si>
    <t>E332</t>
  </si>
  <si>
    <t>Reservoirs, Dams &amp; Waterways</t>
  </si>
  <si>
    <t>E333</t>
  </si>
  <si>
    <t>Waterwheels, turbines</t>
  </si>
  <si>
    <t>E334</t>
  </si>
  <si>
    <t>E335</t>
  </si>
  <si>
    <t>E336</t>
  </si>
  <si>
    <t>Roads, Trails &amp; Bridges</t>
  </si>
  <si>
    <t>E337</t>
  </si>
  <si>
    <t>E330</t>
  </si>
  <si>
    <t>Easements</t>
  </si>
  <si>
    <t>TOTAL HYDRO PRODUCTION</t>
  </si>
  <si>
    <t>E341</t>
  </si>
  <si>
    <t>E342</t>
  </si>
  <si>
    <t>Fuel Holders &amp; Accessories</t>
  </si>
  <si>
    <t>E344</t>
  </si>
  <si>
    <t>Generators</t>
  </si>
  <si>
    <t>E345</t>
  </si>
  <si>
    <t>E346</t>
  </si>
  <si>
    <t>Other Production</t>
  </si>
  <si>
    <t>E347</t>
  </si>
  <si>
    <t>E340</t>
  </si>
  <si>
    <t>TOTAL OTHER PRODUCTION</t>
  </si>
  <si>
    <t>NON-DEPRECIABLE PRODUCTION PLANT</t>
  </si>
  <si>
    <t>E310</t>
  </si>
  <si>
    <t>Steam Production - Land &amp; Land Rights</t>
  </si>
  <si>
    <t>Hydro Production - Land &amp; Land Rights</t>
  </si>
  <si>
    <t>Other Production - Land &amp; Land Rights</t>
  </si>
  <si>
    <t>E3411</t>
  </si>
  <si>
    <t>E3441</t>
  </si>
  <si>
    <t>Baker River License (E302)</t>
  </si>
  <si>
    <t>Snoqualmie Project License (E302)</t>
  </si>
  <si>
    <t>TOTAL NON-DEPRECIABLE PROD PLANT</t>
  </si>
  <si>
    <t>Total</t>
  </si>
  <si>
    <t xml:space="preserve">PRODUCTION PROPERTY ACCUM DEPR. </t>
  </si>
  <si>
    <t>NON-DEPRECIABLE PRODUCTION PROPERTY</t>
  </si>
  <si>
    <t>PRODUCTION PROPERTY ACCUM AMORT.</t>
  </si>
  <si>
    <t>COLSTRIP COMMON FERC ADJUSTMENT</t>
  </si>
  <si>
    <t>COLSTRIP DEFERRED DEPRECIATION FERC ADJ.</t>
  </si>
  <si>
    <t>ACQUISITION ADJUSTMENTS</t>
  </si>
  <si>
    <t>ACCUMULATED AMORTIZATION ON ACQUISTION ADJ</t>
  </si>
  <si>
    <t>NET PRODUCTION PROPERTY</t>
  </si>
  <si>
    <t>SUBTOTAL</t>
  </si>
  <si>
    <t>TOTAL PRODUCTION PROPERTY RATE BASE</t>
  </si>
  <si>
    <t>COLSTRIP FERC RATE BASE</t>
  </si>
  <si>
    <t>a</t>
  </si>
  <si>
    <t>b</t>
  </si>
  <si>
    <t>c</t>
  </si>
  <si>
    <t>d = a + b + c</t>
  </si>
  <si>
    <t>AMA on d</t>
  </si>
  <si>
    <t>AMA on a</t>
  </si>
  <si>
    <t>AMA on b</t>
  </si>
  <si>
    <t>PRODUCTION</t>
  </si>
  <si>
    <t>TRANSMISSION</t>
  </si>
  <si>
    <t>GENERAL</t>
  </si>
  <si>
    <t>TOTAL</t>
  </si>
  <si>
    <t>BALANCE</t>
  </si>
  <si>
    <t>AMA</t>
  </si>
  <si>
    <t>1987 DEPRECIATION</t>
  </si>
  <si>
    <t>REMAINING YEARS</t>
  </si>
  <si>
    <t>ANNUAL DEPRECIATION</t>
  </si>
  <si>
    <t>MONTHLY DEPRECIATION</t>
  </si>
  <si>
    <t>NOT APPLICABLE</t>
  </si>
  <si>
    <t xml:space="preserve">Encogen </t>
  </si>
  <si>
    <t xml:space="preserve">Mint Farm </t>
  </si>
  <si>
    <t xml:space="preserve">Whitehorn </t>
  </si>
  <si>
    <t>Account</t>
  </si>
  <si>
    <t>Electric - Colstrip</t>
  </si>
  <si>
    <t>Debit</t>
  </si>
  <si>
    <t>Balance</t>
  </si>
  <si>
    <t>Cum. balance</t>
  </si>
  <si>
    <t>Colstrip Def Depr FERC Adj</t>
  </si>
  <si>
    <t>Allocation to Interest</t>
  </si>
  <si>
    <t>Cost element name</t>
  </si>
  <si>
    <t>Depreciation Expense</t>
  </si>
  <si>
    <t>% allocate for Colstrip</t>
  </si>
  <si>
    <t>Balance Sheet Account</t>
  </si>
  <si>
    <t>Assets Retirement Obligations (Recovered in Rates):</t>
  </si>
  <si>
    <t>E317 - 100922 - Colstrip 1 &amp; 2 Ash Pond Capping</t>
  </si>
  <si>
    <t>E317 - 100923 - Colstrip 3 &amp; 4 Ash Pond Capping</t>
  </si>
  <si>
    <t>ARO- Hopkins Ridge</t>
  </si>
  <si>
    <t>ARO-Frederickson</t>
  </si>
  <si>
    <t>ARO-Wild Horse Wind</t>
  </si>
  <si>
    <t>TOTAL DEPRECIABLE</t>
  </si>
  <si>
    <t>Test Year Depreciable Production Property</t>
  </si>
  <si>
    <t>Subtotal Depreciation</t>
  </si>
  <si>
    <t>Colstrip FERC Depreciable Production Property</t>
  </si>
  <si>
    <t>Colstrip Amortization Production Property</t>
  </si>
  <si>
    <t>Production Property Depreciation (FERC 403)</t>
  </si>
  <si>
    <t>Production Property Amortization (FERC 406)</t>
  </si>
  <si>
    <t>Non Depreciable Production Property</t>
  </si>
  <si>
    <t>Encogen Acq. Adjustment</t>
  </si>
  <si>
    <t>Whitehorn Acq. Adjustment</t>
  </si>
  <si>
    <t>Mint Farm Acq. Adjustment</t>
  </si>
  <si>
    <t>Subtotal Property Amortization</t>
  </si>
  <si>
    <t>Total Production Property Depreciation &amp; Amortization</t>
  </si>
  <si>
    <t>DEPRECIATION &amp; AMORT - PRODUCTION (FERC 403)</t>
  </si>
  <si>
    <t>Wild Horse Solar</t>
  </si>
  <si>
    <t>PRODUCTION PROPERTY RATE BASE:</t>
  </si>
  <si>
    <t>Test Year</t>
  </si>
  <si>
    <t xml:space="preserve">LSR, Snoq, Baker - Taxable </t>
  </si>
  <si>
    <t xml:space="preserve">LSR, Snoq, Baker - Non-Taxable </t>
  </si>
  <si>
    <t xml:space="preserve">Production </t>
  </si>
  <si>
    <t>Snoqualmie</t>
  </si>
  <si>
    <t xml:space="preserve">NOL DEFERRED TAX ASSET  PRODUCTION </t>
  </si>
  <si>
    <t>EOY</t>
  </si>
  <si>
    <t>Colstrip 1&amp;2</t>
  </si>
  <si>
    <t>Colstrip 3&amp;4</t>
  </si>
  <si>
    <t>Colstrip Transmission</t>
  </si>
  <si>
    <t>Crystal Mountain</t>
  </si>
  <si>
    <t>Encogen</t>
  </si>
  <si>
    <t>Fredonia</t>
  </si>
  <si>
    <t>Fredrickson</t>
  </si>
  <si>
    <t>Fredrickson #1 - EPCOR</t>
  </si>
  <si>
    <t>Goldendale</t>
  </si>
  <si>
    <t>Hopkins Ridge</t>
  </si>
  <si>
    <t>Lower Baker</t>
  </si>
  <si>
    <t>Mint Farm</t>
  </si>
  <si>
    <t>Sumas</t>
  </si>
  <si>
    <t>Upper Baker</t>
  </si>
  <si>
    <t>Whitehorn</t>
  </si>
  <si>
    <t>Wild Horse</t>
  </si>
  <si>
    <t>Check Totals</t>
  </si>
  <si>
    <t xml:space="preserve"> </t>
  </si>
  <si>
    <t>ARO - Lower Snake River</t>
  </si>
  <si>
    <t>TY</t>
  </si>
  <si>
    <t>Electric</t>
  </si>
  <si>
    <t>Tax Effected</t>
  </si>
  <si>
    <t>Gas</t>
  </si>
  <si>
    <t>2009 NOL</t>
  </si>
  <si>
    <t>2010 NOL</t>
  </si>
  <si>
    <t>2012 NOL</t>
  </si>
  <si>
    <t>SAP Account</t>
  </si>
  <si>
    <t>Lower Snake River</t>
  </si>
  <si>
    <t>Net Production Plant</t>
  </si>
  <si>
    <t>Ferndale</t>
  </si>
  <si>
    <t>Sub Total</t>
  </si>
  <si>
    <t>Structures &amp; Improvements *</t>
  </si>
  <si>
    <t>E3301</t>
  </si>
  <si>
    <t>E3401</t>
  </si>
  <si>
    <t>Rock Island Expansion (E303)</t>
  </si>
  <si>
    <t>Whitehorn 2 &amp; 3 Leasesholds (E303)</t>
  </si>
  <si>
    <t>Total All Production</t>
  </si>
  <si>
    <t>Add Assets Retirements Obligations</t>
  </si>
  <si>
    <t>Crystal Mtn-Generator Site</t>
  </si>
  <si>
    <t>Total Beg Utility Plant In Service -Depreciable &amp; Non Depreciable</t>
  </si>
  <si>
    <t>Period</t>
  </si>
  <si>
    <t xml:space="preserve">     Val.in RC</t>
  </si>
  <si>
    <t>Offst.acct</t>
  </si>
  <si>
    <t>Offset. acct name</t>
  </si>
  <si>
    <t>40600012 Amort Exp-Colstrip Common</t>
  </si>
  <si>
    <t>40600031 Amort of Acquisition Adj</t>
  </si>
  <si>
    <t>Acc Amrt Aq Aj Encog</t>
  </si>
  <si>
    <t>40600041 1150 - MNT - Amort of Ele</t>
  </si>
  <si>
    <t>Amortization Expense</t>
  </si>
  <si>
    <t>Acc Amrt Acq Adj MTF</t>
  </si>
  <si>
    <t>40600051 1150- Whitehorn Elec Plan</t>
  </si>
  <si>
    <t>Acc Amrt Acq Adj WHN</t>
  </si>
  <si>
    <t>40600061 Ferndale - Amort o</t>
  </si>
  <si>
    <t>Acc Amt Acq Adj Fern</t>
  </si>
  <si>
    <t>NOL Carryforward ST</t>
  </si>
  <si>
    <t>NOL Carryforward LT</t>
  </si>
  <si>
    <t>2013 NOL</t>
  </si>
  <si>
    <t>% Electric</t>
  </si>
  <si>
    <t>% Production</t>
  </si>
  <si>
    <t>% Gas</t>
  </si>
  <si>
    <t>TI Allocation</t>
  </si>
  <si>
    <t>Total NOL</t>
  </si>
  <si>
    <t>Ferndale Acq. Adjustment</t>
  </si>
  <si>
    <t>d</t>
  </si>
  <si>
    <t>e</t>
  </si>
  <si>
    <t>a x b</t>
  </si>
  <si>
    <t>a x d</t>
  </si>
  <si>
    <t>a x d x e</t>
  </si>
  <si>
    <t>Production</t>
  </si>
  <si>
    <t>Total Gas &amp; Elect.</t>
  </si>
  <si>
    <t>19002003</t>
  </si>
  <si>
    <t>% of Total</t>
  </si>
  <si>
    <t>% of Electric</t>
  </si>
  <si>
    <t>Baker Treasury Grants</t>
  </si>
  <si>
    <t>Snoq Treasury Grants</t>
  </si>
  <si>
    <t>Total Treasury Grants</t>
  </si>
  <si>
    <t>DEPRECIABLE PRODUCTION PROPERTY &amp; T GRANTS</t>
  </si>
  <si>
    <t>13 Mo. AMA 3/31/2015</t>
  </si>
  <si>
    <t>12 Mo. Depreciation Expense  3/31/2015</t>
  </si>
  <si>
    <t>13 Mo. Accum Depr (AMA)  3/31/2015</t>
  </si>
  <si>
    <t>SNOQ &amp; BAKER TREASURY GRANTS (NEW)</t>
  </si>
  <si>
    <t>AMA - Mar '2015</t>
  </si>
  <si>
    <t>Annualized Accretion Expense 3/31/2015</t>
  </si>
  <si>
    <t>Mar 2015 Accum Depreciation</t>
  </si>
  <si>
    <t>13 Mo. AMA 6/30/2015</t>
  </si>
  <si>
    <t>12 Mo. Depreciation Expense  6/30/2015</t>
  </si>
  <si>
    <t>13 Mo. Accum Depr (AMA)  6/30/2015</t>
  </si>
  <si>
    <t>AMA - June '2015</t>
  </si>
  <si>
    <t>Annualized Accretion Expense 6/30/2015</t>
  </si>
  <si>
    <t>June 2015 Accum Depreciation</t>
  </si>
  <si>
    <t>Less Colstrip Transm. Plant</t>
  </si>
  <si>
    <t>12 months amort. of Colstrip #3 Acq. Adj.</t>
  </si>
  <si>
    <t>13 Mo. AMA 9/30/2015</t>
  </si>
  <si>
    <t>12 Mo. Depreciation Expense  9/30/2015</t>
  </si>
  <si>
    <t>13 Mo. Accum Depr (AMA)  9/30/2015</t>
  </si>
  <si>
    <t>Sept 2015 Accum Depreciation</t>
  </si>
  <si>
    <t>AMA (Sept 15)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</si>
  <si>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</si>
  <si>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</si>
  <si>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</si>
  <si>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</si>
  <si>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</si>
  <si>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</si>
  <si>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</si>
  <si>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</si>
  <si>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</si>
  <si>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</si>
  <si>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</si>
  <si>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</si>
  <si>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Electron</t>
  </si>
  <si>
    <t>Sum Above</t>
  </si>
  <si>
    <t>Per Report</t>
  </si>
  <si>
    <t>Difference</t>
  </si>
  <si>
    <t>AMA Dec to Dec</t>
  </si>
  <si>
    <t>AMA TEST YEAR</t>
  </si>
  <si>
    <t>Analysis of Tax Net Operating Losses and Bonus</t>
  </si>
  <si>
    <t>Utilization</t>
  </si>
  <si>
    <t>Gross NOL Generated</t>
  </si>
  <si>
    <t>Notes:</t>
  </si>
  <si>
    <t>EOP</t>
  </si>
  <si>
    <t>40740181 Baker Grant Amort</t>
  </si>
  <si>
    <t>Amortization Baker TG</t>
  </si>
  <si>
    <t>40740161 Snoq Grant Amort</t>
  </si>
  <si>
    <t>Amortization Snoq TG</t>
  </si>
  <si>
    <t>Calculation of Production Plant 2009,2010, 2011,2012,2013,2014,2015 and 2016 AMA Deferred Tax Balances</t>
  </si>
  <si>
    <t xml:space="preserve">Total </t>
  </si>
  <si>
    <t>PSE's NOLs in 2009, 2010, 2012, and 2013 were caused by Bonus Depreciation.  As a result, the assets triggering bonus depreciation are attributed the NOL.  This schedule allocates the NOL's to production assets based on % of bonus depreciation attributable to productions assets. No NOL after 2013.</t>
  </si>
  <si>
    <t xml:space="preserve">APB PSE trues up the short term nol tax effected calculation to the manual ETR. </t>
  </si>
  <si>
    <t>AMA - June 2016</t>
  </si>
  <si>
    <t>Annualized Accretion Expense PLACEHOLDER 9/30/2015</t>
  </si>
  <si>
    <t>13 Mo. AMA /30/2016 EXCEPT WHERE NOT AVAIL</t>
  </si>
  <si>
    <t>12 Mo. Depreciation Expense  6/30/2016 EXCEPT WHERE NOT AVAIL</t>
  </si>
  <si>
    <t>13 Mo. Accum Depr (AMA)  6/30/2016 EXCEPT WHERE NOT AVAIL</t>
  </si>
  <si>
    <t>E348</t>
  </si>
  <si>
    <t>ARO - Lower Snake River Met Tower</t>
  </si>
  <si>
    <t xml:space="preserve">2017 GRC </t>
  </si>
  <si>
    <t>12ME September 2016</t>
  </si>
  <si>
    <t>12MOE September 30, 2016</t>
  </si>
  <si>
    <t>Remaining NOL @ 9/30/2016</t>
  </si>
  <si>
    <t>Using 2008, 2009, 2010, 2011, 2012, 2013, 2014, 2015 Tax Return Balances</t>
  </si>
  <si>
    <t>CNG</t>
  </si>
  <si>
    <t>DFIT RELATED TO PRODUCTION PLANT</t>
  </si>
  <si>
    <t>13 Mo. AMA 9/30/2016</t>
  </si>
  <si>
    <t xml:space="preserve">12 Mo. Depreciation Expense  9/30/2016 </t>
  </si>
  <si>
    <t>13 Mo. Accum Depr (AMA)  9/30/2016</t>
  </si>
  <si>
    <t>FOR THE TEST YEAR ENDED SEPT 30, 2016</t>
  </si>
  <si>
    <t>Credit</t>
  </si>
  <si>
    <t>12MOE Sept 2016</t>
  </si>
  <si>
    <t>AMA 9/2016</t>
  </si>
  <si>
    <t>12ME September 30, 2016</t>
  </si>
  <si>
    <t>Account 406 Detail: 12ME September 2016</t>
  </si>
  <si>
    <t>AMA - September 2016</t>
  </si>
  <si>
    <t>incl in 22840331</t>
  </si>
  <si>
    <t>incl in 22840341</t>
  </si>
  <si>
    <t>$0 by the rate year</t>
  </si>
  <si>
    <r>
      <t>Annualized Accretion Expense</t>
    </r>
    <r>
      <rPr>
        <b/>
        <sz val="10"/>
        <color rgb="FF00FF00"/>
        <rFont val="Arial"/>
        <family val="2"/>
      </rPr>
      <t xml:space="preserve"> 9/30/2016</t>
    </r>
  </si>
  <si>
    <t>Sept 2016 Accum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</si>
</sst>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_);\(0\)"/>
    <numFmt numFmtId="167" formatCode="[$-409]mmm\-yy;@"/>
    <numFmt numFmtId="168" formatCode="0.0%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name val="Helv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8"/>
      <color indexed="81"/>
      <name val="Tahoma"/>
      <family val="2"/>
    </font>
    <font>
      <b/>
      <u/>
      <sz val="11"/>
      <color theme="1"/>
      <name val="Times New Roman"/>
      <family val="1"/>
    </font>
    <font>
      <sz val="10"/>
      <color rgb="FF0000CC"/>
      <name val="Arial"/>
      <family val="2"/>
    </font>
    <font>
      <b/>
      <sz val="10"/>
      <color rgb="FF0000CC"/>
      <name val="Arial"/>
      <family val="2"/>
    </font>
    <font>
      <b/>
      <sz val="11"/>
      <name val="Helv"/>
    </font>
    <font>
      <b/>
      <sz val="12"/>
      <color indexed="8"/>
      <name val="Calibri"/>
      <family val="2"/>
    </font>
    <font>
      <sz val="9"/>
      <color indexed="81"/>
      <name val="Tahoma"/>
      <family val="2"/>
    </font>
    <font>
      <sz val="8"/>
      <color rgb="FF0000CC"/>
      <name val="Arial"/>
      <family val="2"/>
    </font>
    <font>
      <u val="singleAccounting"/>
      <sz val="8"/>
      <color rgb="FF0000CC"/>
      <name val="Arial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 val="double"/>
      <sz val="11"/>
      <color rgb="FFFF0000"/>
      <name val="Calibri"/>
      <family val="2"/>
      <scheme val="minor"/>
    </font>
    <font>
      <b/>
      <sz val="10"/>
      <color rgb="FF00FF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6" fillId="0" borderId="0" applyFont="0" applyFill="0" applyBorder="0" applyAlignment="0" applyProtection="0"/>
  </cellStyleXfs>
  <cellXfs count="228">
    <xf numFmtId="0" fontId="0" fillId="0" borderId="0" xfId="0"/>
    <xf numFmtId="37" fontId="6" fillId="0" borderId="0" xfId="0" applyNumberFormat="1" applyFont="1" applyFill="1" applyBorder="1"/>
    <xf numFmtId="41" fontId="15" fillId="0" borderId="0" xfId="0" applyNumberFormat="1" applyFont="1" applyFill="1"/>
    <xf numFmtId="37" fontId="11" fillId="0" borderId="0" xfId="0" applyNumberFormat="1" applyFont="1" applyFill="1"/>
    <xf numFmtId="37" fontId="6" fillId="0" borderId="0" xfId="0" applyNumberFormat="1" applyFont="1" applyFill="1"/>
    <xf numFmtId="37" fontId="13" fillId="0" borderId="0" xfId="0" applyNumberFormat="1" applyFont="1" applyFill="1" applyAlignment="1">
      <alignment horizontal="center"/>
    </xf>
    <xf numFmtId="37" fontId="13" fillId="0" borderId="0" xfId="0" applyNumberFormat="1" applyFont="1" applyFill="1" applyAlignment="1">
      <alignment horizontal="left"/>
    </xf>
    <xf numFmtId="166" fontId="13" fillId="0" borderId="0" xfId="0" applyNumberFormat="1" applyFont="1" applyFill="1" applyAlignment="1">
      <alignment horizontal="center"/>
    </xf>
    <xf numFmtId="37" fontId="11" fillId="0" borderId="0" xfId="0" applyNumberFormat="1" applyFont="1" applyFill="1" applyBorder="1"/>
    <xf numFmtId="0" fontId="6" fillId="0" borderId="0" xfId="0" applyNumberFormat="1" applyFont="1" applyFill="1" applyAlignment="1"/>
    <xf numFmtId="165" fontId="14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center" wrapText="1"/>
    </xf>
    <xf numFmtId="37" fontId="11" fillId="0" borderId="0" xfId="0" applyNumberFormat="1" applyFont="1" applyFill="1" applyAlignment="1"/>
    <xf numFmtId="37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left" wrapText="1"/>
    </xf>
    <xf numFmtId="41" fontId="11" fillId="0" borderId="4" xfId="0" applyNumberFormat="1" applyFont="1" applyFill="1" applyBorder="1" applyAlignment="1">
      <alignment horizontal="right" wrapText="1"/>
    </xf>
    <xf numFmtId="164" fontId="0" fillId="0" borderId="0" xfId="0" applyNumberFormat="1" applyFill="1" applyAlignment="1">
      <alignment horizontal="left" wrapText="1"/>
    </xf>
    <xf numFmtId="41" fontId="6" fillId="0" borderId="2" xfId="0" applyNumberFormat="1" applyFont="1" applyFill="1" applyBorder="1" applyAlignment="1">
      <alignment horizontal="right" wrapText="1"/>
    </xf>
    <xf numFmtId="41" fontId="6" fillId="0" borderId="0" xfId="0" applyNumberFormat="1" applyFont="1" applyFill="1" applyBorder="1" applyAlignment="1">
      <alignment horizontal="right" wrapText="1"/>
    </xf>
    <xf numFmtId="165" fontId="6" fillId="0" borderId="0" xfId="0" applyNumberFormat="1" applyFont="1" applyFill="1" applyBorder="1" applyAlignment="1">
      <alignment horizontal="left" wrapText="1"/>
    </xf>
    <xf numFmtId="164" fontId="9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indent="1"/>
    </xf>
    <xf numFmtId="0" fontId="0" fillId="0" borderId="0" xfId="0" applyFill="1"/>
    <xf numFmtId="43" fontId="34" fillId="0" borderId="3" xfId="0" applyNumberFormat="1" applyFont="1" applyFill="1" applyBorder="1" applyAlignment="1">
      <alignment horizontal="center" vertical="center" wrapText="1"/>
    </xf>
    <xf numFmtId="165" fontId="34" fillId="0" borderId="3" xfId="0" applyNumberFormat="1" applyFont="1" applyFill="1" applyBorder="1" applyAlignment="1">
      <alignment horizontal="center" vertical="center" wrapText="1"/>
    </xf>
    <xf numFmtId="37" fontId="33" fillId="0" borderId="0" xfId="0" applyNumberFormat="1" applyFont="1" applyFill="1" applyBorder="1"/>
    <xf numFmtId="41" fontId="33" fillId="0" borderId="2" xfId="0" applyNumberFormat="1" applyFont="1" applyFill="1" applyBorder="1"/>
    <xf numFmtId="37" fontId="33" fillId="0" borderId="0" xfId="0" applyNumberFormat="1" applyFont="1" applyFill="1"/>
    <xf numFmtId="41" fontId="33" fillId="0" borderId="0" xfId="0" applyNumberFormat="1" applyFont="1" applyFill="1"/>
    <xf numFmtId="41" fontId="33" fillId="0" borderId="0" xfId="0" applyNumberFormat="1" applyFont="1" applyFill="1" applyAlignment="1">
      <alignment horizontal="left" wrapText="1"/>
    </xf>
    <xf numFmtId="41" fontId="33" fillId="0" borderId="2" xfId="0" applyNumberFormat="1" applyFont="1" applyFill="1" applyBorder="1" applyAlignment="1">
      <alignment horizontal="left" wrapText="1"/>
    </xf>
    <xf numFmtId="41" fontId="33" fillId="0" borderId="0" xfId="0" applyNumberFormat="1" applyFont="1" applyFill="1" applyBorder="1" applyAlignment="1"/>
    <xf numFmtId="42" fontId="33" fillId="0" borderId="5" xfId="0" applyNumberFormat="1" applyFont="1" applyFill="1" applyBorder="1" applyAlignment="1"/>
    <xf numFmtId="41" fontId="33" fillId="0" borderId="0" xfId="0" applyNumberFormat="1" applyFont="1" applyFill="1" applyBorder="1"/>
    <xf numFmtId="41" fontId="34" fillId="0" borderId="6" xfId="0" applyNumberFormat="1" applyFont="1" applyFill="1" applyBorder="1" applyAlignment="1">
      <alignment horizontal="center"/>
    </xf>
    <xf numFmtId="42" fontId="34" fillId="0" borderId="0" xfId="0" applyNumberFormat="1" applyFont="1" applyFill="1" applyBorder="1" applyAlignment="1">
      <alignment horizontal="left" wrapText="1"/>
    </xf>
    <xf numFmtId="37" fontId="36" fillId="0" borderId="0" xfId="0" applyNumberFormat="1" applyFont="1" applyFill="1"/>
    <xf numFmtId="37" fontId="7" fillId="0" borderId="0" xfId="0" applyNumberFormat="1" applyFont="1" applyFill="1"/>
    <xf numFmtId="37" fontId="8" fillId="0" borderId="0" xfId="0" applyNumberFormat="1" applyFont="1" applyFill="1"/>
    <xf numFmtId="37" fontId="7" fillId="0" borderId="0" xfId="0" applyNumberFormat="1" applyFont="1" applyFill="1" applyBorder="1"/>
    <xf numFmtId="37" fontId="8" fillId="0" borderId="0" xfId="0" applyNumberFormat="1" applyFont="1" applyFill="1" applyAlignment="1">
      <alignment horizontal="center"/>
    </xf>
    <xf numFmtId="39" fontId="7" fillId="0" borderId="0" xfId="0" applyNumberFormat="1" applyFont="1" applyFill="1"/>
    <xf numFmtId="37" fontId="21" fillId="0" borderId="0" xfId="0" applyNumberFormat="1" applyFont="1" applyFill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10" fontId="8" fillId="0" borderId="15" xfId="0" applyNumberFormat="1" applyFont="1" applyFill="1" applyBorder="1"/>
    <xf numFmtId="164" fontId="1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indent="2"/>
    </xf>
    <xf numFmtId="0" fontId="11" fillId="0" borderId="0" xfId="0" applyFont="1" applyFill="1"/>
    <xf numFmtId="41" fontId="38" fillId="0" borderId="0" xfId="0" applyNumberFormat="1" applyFont="1" applyFill="1" applyBorder="1" applyAlignment="1">
      <alignment horizontal="left" wrapText="1"/>
    </xf>
    <xf numFmtId="164" fontId="38" fillId="0" borderId="0" xfId="0" applyNumberFormat="1" applyFont="1" applyFill="1" applyBorder="1" applyAlignment="1">
      <alignment horizontal="left" wrapText="1"/>
    </xf>
    <xf numFmtId="41" fontId="39" fillId="0" borderId="0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37" fontId="5" fillId="0" borderId="0" xfId="0" applyNumberFormat="1" applyFont="1" applyFill="1"/>
    <xf numFmtId="0" fontId="5" fillId="0" borderId="0" xfId="0" applyNumberFormat="1" applyFont="1" applyFill="1" applyAlignment="1">
      <alignment horizontal="center" wrapText="1"/>
    </xf>
    <xf numFmtId="0" fontId="11" fillId="0" borderId="0" xfId="0" applyNumberFormat="1" applyFont="1" applyFill="1" applyAlignment="1">
      <alignment horizontal="center" wrapText="1"/>
    </xf>
    <xf numFmtId="37" fontId="14" fillId="0" borderId="0" xfId="0" applyNumberFormat="1" applyFont="1" applyFill="1" applyAlignment="1">
      <alignment horizontal="center"/>
    </xf>
    <xf numFmtId="37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Alignment="1">
      <alignment horizontal="left" wrapText="1"/>
    </xf>
    <xf numFmtId="164" fontId="11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/>
    <xf numFmtId="165" fontId="33" fillId="0" borderId="0" xfId="0" applyNumberFormat="1" applyFont="1" applyFill="1" applyAlignment="1">
      <alignment horizontal="left" wrapText="1"/>
    </xf>
    <xf numFmtId="37" fontId="6" fillId="0" borderId="0" xfId="0" applyNumberFormat="1" applyFont="1" applyFill="1" applyAlignment="1">
      <alignment horizontal="centerContinuous"/>
    </xf>
    <xf numFmtId="0" fontId="33" fillId="0" borderId="0" xfId="0" applyFont="1" applyFill="1"/>
    <xf numFmtId="42" fontId="0" fillId="0" borderId="0" xfId="0" applyNumberFormat="1" applyFill="1"/>
    <xf numFmtId="0" fontId="6" fillId="0" borderId="0" xfId="0" applyNumberFormat="1" applyFont="1" applyFill="1" applyBorder="1" applyAlignment="1">
      <alignment horizontal="centerContinuous" vertical="center"/>
    </xf>
    <xf numFmtId="49" fontId="12" fillId="0" borderId="5" xfId="0" applyNumberFormat="1" applyFont="1" applyFill="1" applyBorder="1" applyAlignment="1"/>
    <xf numFmtId="0" fontId="12" fillId="0" borderId="5" xfId="0" applyNumberFormat="1" applyFont="1" applyFill="1" applyBorder="1" applyAlignment="1">
      <alignment horizontal="center"/>
    </xf>
    <xf numFmtId="17" fontId="12" fillId="0" borderId="5" xfId="0" applyNumberFormat="1" applyFont="1" applyFill="1" applyBorder="1" applyAlignment="1">
      <alignment horizontal="center"/>
    </xf>
    <xf numFmtId="165" fontId="9" fillId="0" borderId="0" xfId="0" applyNumberFormat="1" applyFont="1" applyFill="1"/>
    <xf numFmtId="37" fontId="7" fillId="0" borderId="0" xfId="0" applyNumberFormat="1" applyFont="1" applyFill="1" applyAlignment="1">
      <alignment wrapText="1"/>
    </xf>
    <xf numFmtId="37" fontId="8" fillId="0" borderId="5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37" fontId="18" fillId="0" borderId="0" xfId="0" applyNumberFormat="1" applyFont="1" applyFill="1"/>
    <xf numFmtId="0" fontId="2" fillId="0" borderId="0" xfId="0" applyNumberFormat="1" applyFont="1" applyFill="1" applyAlignment="1"/>
    <xf numFmtId="0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/>
    <xf numFmtId="0" fontId="22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0" fontId="27" fillId="0" borderId="10" xfId="0" applyNumberFormat="1" applyFont="1" applyFill="1" applyBorder="1" applyAlignment="1">
      <alignment horizontal="center"/>
    </xf>
    <xf numFmtId="0" fontId="27" fillId="0" borderId="1" xfId="0" applyNumberFormat="1" applyFont="1" applyFill="1" applyBorder="1" applyAlignment="1"/>
    <xf numFmtId="0" fontId="35" fillId="0" borderId="1" xfId="0" applyNumberFormat="1" applyFont="1" applyFill="1" applyBorder="1" applyAlignment="1"/>
    <xf numFmtId="0" fontId="20" fillId="0" borderId="1" xfId="0" applyNumberFormat="1" applyFont="1" applyFill="1" applyBorder="1" applyAlignment="1"/>
    <xf numFmtId="0" fontId="5" fillId="0" borderId="7" xfId="0" applyNumberFormat="1" applyFont="1" applyFill="1" applyBorder="1" applyAlignment="1"/>
    <xf numFmtId="0" fontId="5" fillId="0" borderId="8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center"/>
    </xf>
    <xf numFmtId="10" fontId="26" fillId="0" borderId="0" xfId="0" applyNumberFormat="1" applyFont="1" applyFill="1" applyAlignment="1"/>
    <xf numFmtId="0" fontId="11" fillId="0" borderId="0" xfId="0" applyNumberFormat="1" applyFont="1" applyFill="1" applyAlignment="1"/>
    <xf numFmtId="3" fontId="43" fillId="0" borderId="0" xfId="0" applyNumberFormat="1" applyFont="1" applyFill="1" applyAlignment="1"/>
    <xf numFmtId="10" fontId="2" fillId="0" borderId="0" xfId="0" applyNumberFormat="1" applyFont="1" applyFill="1" applyAlignment="1"/>
    <xf numFmtId="43" fontId="5" fillId="0" borderId="0" xfId="0" applyNumberFormat="1" applyFont="1" applyFill="1" applyBorder="1" applyAlignment="1"/>
    <xf numFmtId="0" fontId="20" fillId="0" borderId="0" xfId="0" applyNumberFormat="1" applyFont="1" applyFill="1" applyAlignment="1"/>
    <xf numFmtId="10" fontId="5" fillId="0" borderId="0" xfId="0" applyNumberFormat="1" applyFont="1" applyFill="1" applyBorder="1" applyAlignment="1"/>
    <xf numFmtId="17" fontId="5" fillId="0" borderId="0" xfId="0" applyNumberFormat="1" applyFont="1" applyFill="1" applyAlignment="1">
      <alignment horizontal="center"/>
    </xf>
    <xf numFmtId="43" fontId="5" fillId="0" borderId="0" xfId="0" applyNumberFormat="1" applyFont="1" applyFill="1" applyAlignment="1"/>
    <xf numFmtId="0" fontId="5" fillId="0" borderId="0" xfId="0" applyNumberFormat="1" applyFont="1" applyFill="1" applyAlignment="1"/>
    <xf numFmtId="165" fontId="5" fillId="0" borderId="0" xfId="0" applyNumberFormat="1" applyFont="1" applyFill="1" applyBorder="1" applyAlignment="1"/>
    <xf numFmtId="165" fontId="5" fillId="0" borderId="0" xfId="0" applyNumberFormat="1" applyFont="1" applyFill="1" applyAlignment="1"/>
    <xf numFmtId="17" fontId="11" fillId="0" borderId="0" xfId="0" applyNumberFormat="1" applyFont="1" applyFill="1" applyAlignment="1">
      <alignment horizontal="center"/>
    </xf>
    <xf numFmtId="37" fontId="8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/>
    <xf numFmtId="10" fontId="18" fillId="0" borderId="0" xfId="0" applyNumberFormat="1" applyFont="1" applyFill="1"/>
    <xf numFmtId="37" fontId="18" fillId="0" borderId="0" xfId="0" quotePrefix="1" applyNumberFormat="1" applyFont="1" applyFill="1"/>
    <xf numFmtId="37" fontId="7" fillId="0" borderId="18" xfId="0" applyNumberFormat="1" applyFont="1" applyFill="1" applyBorder="1"/>
    <xf numFmtId="41" fontId="6" fillId="0" borderId="0" xfId="0" applyNumberFormat="1" applyFont="1" applyFill="1" applyAlignment="1">
      <alignment horizontal="left" wrapText="1"/>
    </xf>
    <xf numFmtId="41" fontId="6" fillId="0" borderId="0" xfId="0" applyNumberFormat="1" applyFont="1" applyFill="1"/>
    <xf numFmtId="164" fontId="6" fillId="0" borderId="0" xfId="0" applyNumberFormat="1" applyFont="1" applyFill="1" applyBorder="1" applyAlignment="1">
      <alignment horizontal="left" wrapText="1"/>
    </xf>
    <xf numFmtId="41" fontId="45" fillId="0" borderId="0" xfId="0" applyNumberFormat="1" applyFont="1" applyFill="1"/>
    <xf numFmtId="165" fontId="22" fillId="0" borderId="0" xfId="0" applyNumberFormat="1" applyFont="1" applyFill="1" applyAlignment="1">
      <alignment horizontal="right"/>
    </xf>
    <xf numFmtId="17" fontId="22" fillId="0" borderId="0" xfId="0" applyNumberFormat="1" applyFont="1" applyFill="1" applyAlignment="1">
      <alignment horizontal="center"/>
    </xf>
    <xf numFmtId="0" fontId="1" fillId="0" borderId="0" xfId="0" applyFont="1" applyFill="1"/>
    <xf numFmtId="165" fontId="1" fillId="0" borderId="0" xfId="0" applyNumberFormat="1" applyFont="1" applyFill="1" applyAlignment="1">
      <alignment horizontal="right"/>
    </xf>
    <xf numFmtId="17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0" fillId="0" borderId="0" xfId="0" applyNumberFormat="1" applyFont="1" applyFill="1"/>
    <xf numFmtId="0" fontId="25" fillId="0" borderId="0" xfId="0" applyFont="1" applyFill="1"/>
    <xf numFmtId="164" fontId="6" fillId="0" borderId="0" xfId="0" applyNumberFormat="1" applyFont="1" applyFill="1" applyBorder="1" applyAlignment="1">
      <alignment horizontal="center" wrapText="1"/>
    </xf>
    <xf numFmtId="164" fontId="10" fillId="0" borderId="0" xfId="0" applyNumberFormat="1" applyFont="1" applyFill="1" applyBorder="1" applyAlignment="1">
      <alignment horizontal="center" wrapText="1"/>
    </xf>
    <xf numFmtId="164" fontId="11" fillId="0" borderId="5" xfId="0" applyNumberFormat="1" applyFont="1" applyFill="1" applyBorder="1" applyAlignment="1">
      <alignment horizontal="center" wrapText="1"/>
    </xf>
    <xf numFmtId="41" fontId="6" fillId="0" borderId="5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Alignment="1">
      <alignment horizontal="left" wrapText="1"/>
    </xf>
    <xf numFmtId="165" fontId="6" fillId="0" borderId="5" xfId="0" applyNumberFormat="1" applyFont="1" applyFill="1" applyBorder="1" applyAlignment="1">
      <alignment horizontal="left" wrapText="1"/>
    </xf>
    <xf numFmtId="37" fontId="14" fillId="0" borderId="3" xfId="0" applyNumberFormat="1" applyFont="1" applyFill="1" applyBorder="1" applyAlignment="1">
      <alignment horizontal="center" vertical="center" wrapText="1"/>
    </xf>
    <xf numFmtId="43" fontId="14" fillId="0" borderId="3" xfId="0" applyNumberFormat="1" applyFont="1" applyFill="1" applyBorder="1" applyAlignment="1">
      <alignment horizontal="center" vertical="center" wrapText="1"/>
    </xf>
    <xf numFmtId="41" fontId="6" fillId="0" borderId="2" xfId="0" applyNumberFormat="1" applyFont="1" applyFill="1" applyBorder="1"/>
    <xf numFmtId="41" fontId="6" fillId="0" borderId="0" xfId="0" applyNumberFormat="1" applyFont="1" applyFill="1" applyBorder="1"/>
    <xf numFmtId="41" fontId="6" fillId="0" borderId="2" xfId="0" applyNumberFormat="1" applyFont="1" applyFill="1" applyBorder="1" applyAlignment="1">
      <alignment horizontal="left" wrapText="1"/>
    </xf>
    <xf numFmtId="41" fontId="6" fillId="0" borderId="0" xfId="0" applyNumberFormat="1" applyFont="1" applyFill="1" applyBorder="1" applyAlignment="1"/>
    <xf numFmtId="42" fontId="6" fillId="0" borderId="5" xfId="0" applyNumberFormat="1" applyFont="1" applyFill="1" applyBorder="1" applyAlignment="1"/>
    <xf numFmtId="41" fontId="5" fillId="0" borderId="0" xfId="0" applyNumberFormat="1" applyFont="1" applyFill="1" applyBorder="1"/>
    <xf numFmtId="41" fontId="30" fillId="0" borderId="6" xfId="0" applyNumberFormat="1" applyFont="1" applyFill="1" applyBorder="1" applyAlignment="1">
      <alignment horizontal="center"/>
    </xf>
    <xf numFmtId="42" fontId="11" fillId="0" borderId="0" xfId="0" applyNumberFormat="1" applyFont="1" applyFill="1" applyBorder="1" applyAlignment="1">
      <alignment horizontal="left" wrapText="1"/>
    </xf>
    <xf numFmtId="0" fontId="22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>
      <alignment horizontal="left" wrapText="1"/>
    </xf>
    <xf numFmtId="165" fontId="11" fillId="0" borderId="9" xfId="0" applyNumberFormat="1" applyFont="1" applyFill="1" applyBorder="1" applyAlignment="1">
      <alignment horizontal="left" wrapText="1"/>
    </xf>
    <xf numFmtId="41" fontId="2" fillId="0" borderId="0" xfId="0" applyNumberFormat="1" applyFont="1" applyFill="1" applyAlignment="1"/>
    <xf numFmtId="167" fontId="2" fillId="0" borderId="0" xfId="0" applyNumberFormat="1" applyFont="1" applyFill="1" applyAlignment="1"/>
    <xf numFmtId="165" fontId="18" fillId="0" borderId="0" xfId="0" applyNumberFormat="1" applyFont="1" applyFill="1" applyAlignment="1"/>
    <xf numFmtId="167" fontId="2" fillId="0" borderId="0" xfId="0" applyNumberFormat="1" applyFont="1" applyFill="1" applyBorder="1" applyAlignment="1"/>
    <xf numFmtId="165" fontId="18" fillId="0" borderId="0" xfId="0" applyNumberFormat="1" applyFont="1" applyFill="1" applyBorder="1" applyAlignment="1"/>
    <xf numFmtId="165" fontId="19" fillId="0" borderId="0" xfId="0" applyNumberFormat="1" applyFont="1" applyFill="1" applyAlignment="1"/>
    <xf numFmtId="41" fontId="18" fillId="0" borderId="19" xfId="0" applyNumberFormat="1" applyFont="1" applyFill="1" applyBorder="1" applyAlignment="1">
      <alignment horizontal="left" wrapText="1"/>
    </xf>
    <xf numFmtId="41" fontId="19" fillId="0" borderId="19" xfId="0" applyNumberFormat="1" applyFont="1" applyFill="1" applyBorder="1" applyAlignment="1">
      <alignment horizontal="left" wrapText="1"/>
    </xf>
    <xf numFmtId="4" fontId="0" fillId="0" borderId="0" xfId="0" applyNumberFormat="1" applyFill="1"/>
    <xf numFmtId="41" fontId="2" fillId="0" borderId="0" xfId="0" applyNumberFormat="1" applyFont="1" applyFill="1" applyBorder="1" applyAlignment="1"/>
    <xf numFmtId="4" fontId="5" fillId="0" borderId="0" xfId="0" applyNumberFormat="1" applyFont="1" applyFill="1" applyAlignment="1"/>
    <xf numFmtId="4" fontId="26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41" fontId="26" fillId="0" borderId="0" xfId="0" applyNumberFormat="1" applyFont="1" applyFill="1" applyBorder="1" applyAlignment="1"/>
    <xf numFmtId="3" fontId="26" fillId="0" borderId="12" xfId="0" applyNumberFormat="1" applyFont="1" applyFill="1" applyBorder="1" applyAlignment="1"/>
    <xf numFmtId="49" fontId="11" fillId="0" borderId="8" xfId="0" applyNumberFormat="1" applyFont="1" applyFill="1" applyBorder="1" applyAlignment="1"/>
    <xf numFmtId="37" fontId="26" fillId="0" borderId="12" xfId="0" applyNumberFormat="1" applyFont="1" applyFill="1" applyBorder="1" applyAlignment="1"/>
    <xf numFmtId="41" fontId="26" fillId="0" borderId="5" xfId="0" applyNumberFormat="1" applyFont="1" applyFill="1" applyBorder="1" applyAlignment="1"/>
    <xf numFmtId="37" fontId="26" fillId="0" borderId="13" xfId="0" applyNumberFormat="1" applyFont="1" applyFill="1" applyBorder="1" applyAlignment="1"/>
    <xf numFmtId="3" fontId="22" fillId="0" borderId="3" xfId="0" applyNumberFormat="1" applyFont="1" applyFill="1" applyBorder="1" applyAlignment="1"/>
    <xf numFmtId="49" fontId="42" fillId="0" borderId="8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Alignment="1"/>
    <xf numFmtId="49" fontId="42" fillId="0" borderId="19" xfId="0" applyNumberFormat="1" applyFont="1" applyFill="1" applyBorder="1" applyAlignment="1">
      <alignment horizontal="right"/>
    </xf>
    <xf numFmtId="165" fontId="27" fillId="0" borderId="12" xfId="0" applyNumberFormat="1" applyFont="1" applyFill="1" applyBorder="1" applyAlignment="1"/>
    <xf numFmtId="165" fontId="11" fillId="0" borderId="17" xfId="0" applyNumberFormat="1" applyFont="1" applyFill="1" applyBorder="1" applyAlignment="1"/>
    <xf numFmtId="49" fontId="42" fillId="0" borderId="8" xfId="0" applyNumberFormat="1" applyFont="1" applyFill="1" applyBorder="1" applyAlignment="1"/>
    <xf numFmtId="10" fontId="26" fillId="0" borderId="5" xfId="0" applyNumberFormat="1" applyFont="1" applyFill="1" applyBorder="1" applyAlignment="1"/>
    <xf numFmtId="10" fontId="26" fillId="0" borderId="13" xfId="0" applyNumberFormat="1" applyFont="1" applyFill="1" applyBorder="1" applyAlignment="1"/>
    <xf numFmtId="0" fontId="5" fillId="0" borderId="11" xfId="0" applyNumberFormat="1" applyFont="1" applyFill="1" applyBorder="1" applyAlignment="1"/>
    <xf numFmtId="0" fontId="26" fillId="0" borderId="16" xfId="0" applyNumberFormat="1" applyFont="1" applyFill="1" applyBorder="1" applyAlignment="1"/>
    <xf numFmtId="165" fontId="27" fillId="0" borderId="16" xfId="0" applyNumberFormat="1" applyFont="1" applyFill="1" applyBorder="1" applyAlignment="1"/>
    <xf numFmtId="165" fontId="27" fillId="0" borderId="14" xfId="0" applyNumberFormat="1" applyFont="1" applyFill="1" applyBorder="1" applyAlignment="1"/>
    <xf numFmtId="10" fontId="41" fillId="0" borderId="0" xfId="0" applyNumberFormat="1" applyFont="1" applyFill="1" applyAlignment="1"/>
    <xf numFmtId="165" fontId="2" fillId="0" borderId="0" xfId="0" applyNumberFormat="1" applyFont="1" applyFill="1" applyAlignment="1"/>
    <xf numFmtId="0" fontId="32" fillId="0" borderId="0" xfId="0" applyNumberFormat="1" applyFont="1" applyFill="1" applyAlignment="1"/>
    <xf numFmtId="43" fontId="5" fillId="0" borderId="18" xfId="0" applyNumberFormat="1" applyFont="1" applyFill="1" applyBorder="1" applyAlignment="1"/>
    <xf numFmtId="10" fontId="5" fillId="0" borderId="5" xfId="0" applyNumberFormat="1" applyFont="1" applyFill="1" applyBorder="1" applyAlignment="1"/>
    <xf numFmtId="165" fontId="5" fillId="0" borderId="15" xfId="0" applyNumberFormat="1" applyFont="1" applyFill="1" applyBorder="1" applyAlignment="1"/>
    <xf numFmtId="0" fontId="24" fillId="0" borderId="0" xfId="0" applyFont="1" applyFill="1"/>
    <xf numFmtId="0" fontId="2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/>
    <xf numFmtId="17" fontId="1" fillId="0" borderId="0" xfId="0" applyNumberFormat="1" applyFont="1" applyFill="1"/>
    <xf numFmtId="41" fontId="0" fillId="0" borderId="0" xfId="0" applyNumberFormat="1" applyFont="1" applyFill="1"/>
    <xf numFmtId="43" fontId="1" fillId="0" borderId="0" xfId="0" applyNumberFormat="1" applyFont="1" applyFill="1"/>
    <xf numFmtId="165" fontId="28" fillId="0" borderId="0" xfId="0" applyNumberFormat="1" applyFont="1" applyFill="1"/>
    <xf numFmtId="0" fontId="28" fillId="0" borderId="0" xfId="0" applyFont="1" applyFill="1"/>
    <xf numFmtId="165" fontId="3" fillId="0" borderId="0" xfId="0" applyNumberFormat="1" applyFont="1" applyFill="1"/>
    <xf numFmtId="41" fontId="1" fillId="0" borderId="0" xfId="0" applyNumberFormat="1" applyFont="1" applyFill="1"/>
    <xf numFmtId="0" fontId="4" fillId="0" borderId="0" xfId="0" applyFont="1" applyFill="1"/>
    <xf numFmtId="0" fontId="3" fillId="0" borderId="0" xfId="0" applyFont="1" applyFill="1"/>
    <xf numFmtId="165" fontId="3" fillId="0" borderId="4" xfId="0" applyNumberFormat="1" applyFont="1" applyFill="1" applyBorder="1"/>
    <xf numFmtId="49" fontId="9" fillId="0" borderId="0" xfId="0" applyNumberFormat="1" applyFont="1" applyFill="1" applyAlignment="1">
      <alignment horizontal="left"/>
    </xf>
    <xf numFmtId="0" fontId="9" fillId="0" borderId="0" xfId="0" applyFont="1" applyFill="1"/>
    <xf numFmtId="165" fontId="9" fillId="0" borderId="0" xfId="0" applyNumberFormat="1" applyFont="1" applyFill="1" applyBorder="1"/>
    <xf numFmtId="165" fontId="9" fillId="0" borderId="5" xfId="0" applyNumberFormat="1" applyFont="1" applyFill="1" applyBorder="1"/>
    <xf numFmtId="10" fontId="9" fillId="0" borderId="5" xfId="0" applyNumberFormat="1" applyFont="1" applyFill="1" applyBorder="1"/>
    <xf numFmtId="165" fontId="12" fillId="0" borderId="4" xfId="0" applyNumberFormat="1" applyFont="1" applyFill="1" applyBorder="1"/>
    <xf numFmtId="10" fontId="7" fillId="0" borderId="0" xfId="0" applyNumberFormat="1" applyFont="1" applyFill="1" applyBorder="1"/>
    <xf numFmtId="10" fontId="8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 applyAlignment="1">
      <alignment wrapText="1"/>
    </xf>
    <xf numFmtId="165" fontId="14" fillId="0" borderId="0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>
      <alignment horizontal="left" wrapText="1"/>
    </xf>
    <xf numFmtId="42" fontId="6" fillId="0" borderId="0" xfId="0" applyNumberFormat="1" applyFont="1" applyFill="1" applyBorder="1" applyAlignment="1"/>
    <xf numFmtId="41" fontId="30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168" fontId="5" fillId="0" borderId="0" xfId="1" applyNumberFormat="1" applyFont="1" applyFill="1" applyAlignment="1"/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5" fillId="0" borderId="1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5" xfId="0" applyNumberFormat="1" applyFont="1" applyFill="1" applyBorder="1" applyAlignment="1">
      <alignment horizontal="right"/>
    </xf>
    <xf numFmtId="17" fontId="5" fillId="0" borderId="0" xfId="0" applyNumberFormat="1" applyFont="1" applyFill="1" applyAlignment="1">
      <alignment horizontal="left"/>
    </xf>
    <xf numFmtId="43" fontId="5" fillId="0" borderId="0" xfId="0" applyNumberFormat="1" applyFont="1" applyFill="1" applyBorder="1" applyAlignment="1">
      <alignment horizontal="right"/>
    </xf>
    <xf numFmtId="17" fontId="5" fillId="0" borderId="0" xfId="0" applyNumberFormat="1" applyFont="1" applyFill="1" applyBorder="1" applyAlignment="1">
      <alignment horizontal="center"/>
    </xf>
    <xf numFmtId="44" fontId="5" fillId="0" borderId="0" xfId="0" applyNumberFormat="1" applyFont="1" applyFill="1" applyAlignment="1"/>
    <xf numFmtId="165" fontId="11" fillId="0" borderId="0" xfId="0" applyNumberFormat="1" applyFont="1" applyFill="1" applyAlignment="1"/>
    <xf numFmtId="165" fontId="11" fillId="0" borderId="5" xfId="0" applyNumberFormat="1" applyFont="1" applyFill="1" applyBorder="1" applyAlignment="1"/>
    <xf numFmtId="165" fontId="11" fillId="0" borderId="18" xfId="0" applyNumberFormat="1" applyFont="1" applyFill="1" applyBorder="1" applyAlignment="1"/>
    <xf numFmtId="37" fontId="11" fillId="0" borderId="0" xfId="0" applyNumberFormat="1" applyFont="1" applyFill="1" applyAlignment="1">
      <alignment horizontal="center"/>
    </xf>
    <xf numFmtId="0" fontId="11" fillId="0" borderId="2" xfId="0" applyNumberFormat="1" applyFont="1" applyFill="1" applyBorder="1" applyAlignment="1">
      <alignment horizontal="center" vertical="center"/>
    </xf>
    <xf numFmtId="37" fontId="8" fillId="0" borderId="10" xfId="0" applyNumberFormat="1" applyFont="1" applyFill="1" applyBorder="1" applyAlignment="1">
      <alignment horizontal="center"/>
    </xf>
    <xf numFmtId="37" fontId="8" fillId="0" borderId="1" xfId="0" applyNumberFormat="1" applyFont="1" applyFill="1" applyBorder="1" applyAlignment="1">
      <alignment horizontal="center"/>
    </xf>
    <xf numFmtId="37" fontId="8" fillId="0" borderId="7" xfId="0" applyNumberFormat="1" applyFont="1" applyFill="1" applyBorder="1" applyAlignment="1">
      <alignment horizontal="center"/>
    </xf>
    <xf numFmtId="37" fontId="7" fillId="0" borderId="0" xfId="0" applyNumberFormat="1" applyFont="1" applyFill="1" applyAlignment="1">
      <alignment horizontal="left" vertical="center" wrapText="1"/>
    </xf>
    <xf numFmtId="0" fontId="29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33"/>
      <color rgb="FF00FF00"/>
      <color rgb="FF66FFFF"/>
      <color rgb="FF0000CC"/>
      <color rgb="FFFF0000"/>
      <color rgb="FFEE2E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12E-HydroTreas-Grants-RB-Reclass-17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3%20E&amp;G%20RB%20-%205.04%20E&amp;G%20WC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Snoq Amort Exp"/>
      <sheetName val="Baker Amort Exp"/>
    </sheetNames>
    <sheetDataSet>
      <sheetData sheetId="0">
        <row r="14">
          <cell r="C14">
            <v>-101559498.97984974</v>
          </cell>
        </row>
      </sheetData>
      <sheetData sheetId="1">
        <row r="5">
          <cell r="B5">
            <v>-80241567</v>
          </cell>
        </row>
        <row r="6">
          <cell r="B6">
            <v>-27634237</v>
          </cell>
        </row>
        <row r="7">
          <cell r="B7">
            <v>5149947.0837016562</v>
          </cell>
        </row>
        <row r="8">
          <cell r="B8">
            <v>1166357.9364485983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BS and CWC Recon, p1"/>
      <sheetName val="BS and CWC Recon, p2"/>
      <sheetName val="PPXLSaveData0"/>
      <sheetName val="PPXLFunctions"/>
      <sheetName val="PPXLOpen"/>
    </sheetNames>
    <sheetDataSet>
      <sheetData sheetId="0"/>
      <sheetData sheetId="1"/>
      <sheetData sheetId="2"/>
      <sheetData sheetId="3">
        <row r="1422">
          <cell r="D1422">
            <v>117980225.48999999</v>
          </cell>
          <cell r="E1422">
            <v>108489651.48999999</v>
          </cell>
          <cell r="F1422">
            <v>90514942.719999999</v>
          </cell>
          <cell r="G1422">
            <v>110063449.92</v>
          </cell>
          <cell r="H1422">
            <v>84191979.689999998</v>
          </cell>
          <cell r="I1422">
            <v>72241554.409999996</v>
          </cell>
          <cell r="J1422">
            <v>70651459.560000002</v>
          </cell>
          <cell r="K1422">
            <v>73295807.200000003</v>
          </cell>
          <cell r="L1422">
            <v>72382155.349999994</v>
          </cell>
          <cell r="M1422">
            <v>80898007.719999999</v>
          </cell>
          <cell r="N1422">
            <v>83099388.739999995</v>
          </cell>
          <cell r="O1422">
            <v>86365764.299999997</v>
          </cell>
          <cell r="P1422">
            <v>95845243.400000006</v>
          </cell>
        </row>
        <row r="1634">
          <cell r="Q1634">
            <v>-19091254.050416667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3">
          <cell r="Q1653">
            <v>-1165732.06</v>
          </cell>
        </row>
        <row r="1656">
          <cell r="Q1656">
            <v>-909356.31958333345</v>
          </cell>
        </row>
        <row r="1661">
          <cell r="Q1661">
            <v>-7138934.9266666668</v>
          </cell>
        </row>
      </sheetData>
      <sheetData sheetId="4"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Normal="100" workbookViewId="0">
      <selection activeCell="C14" sqref="C14"/>
    </sheetView>
  </sheetViews>
  <sheetFormatPr defaultColWidth="9.109375" defaultRowHeight="13.2" x14ac:dyDescent="0.25"/>
  <cols>
    <col min="1" max="1" width="48.5546875" style="61" customWidth="1"/>
    <col min="2" max="2" width="27.109375" style="15" customWidth="1"/>
    <col min="3" max="3" width="14.5546875" style="17" bestFit="1" customWidth="1"/>
    <col min="4" max="16384" width="9.109375" style="17"/>
  </cols>
  <sheetData>
    <row r="1" spans="1:5" x14ac:dyDescent="0.25">
      <c r="B1" s="121" t="s">
        <v>146</v>
      </c>
    </row>
    <row r="2" spans="1:5" ht="15" customHeight="1" x14ac:dyDescent="0.3">
      <c r="A2" s="21"/>
      <c r="B2" s="122" t="s">
        <v>262</v>
      </c>
    </row>
    <row r="3" spans="1:5" x14ac:dyDescent="0.25">
      <c r="A3" s="62"/>
      <c r="B3" s="121" t="s">
        <v>120</v>
      </c>
    </row>
    <row r="4" spans="1:5" x14ac:dyDescent="0.25">
      <c r="A4" s="21"/>
      <c r="B4" s="121" t="s">
        <v>123</v>
      </c>
    </row>
    <row r="5" spans="1:5" ht="25.2" customHeight="1" x14ac:dyDescent="0.25">
      <c r="A5" s="63" t="s">
        <v>119</v>
      </c>
      <c r="B5" s="123" t="s">
        <v>263</v>
      </c>
    </row>
    <row r="6" spans="1:5" ht="15" customHeight="1" x14ac:dyDescent="0.25">
      <c r="A6" s="11" t="s">
        <v>203</v>
      </c>
      <c r="B6" s="19">
        <f ca="1">'Prd Plt Sept 2016'!C58</f>
        <v>3770089338.4726501</v>
      </c>
      <c r="C6"/>
      <c r="D6"/>
      <c r="E6"/>
    </row>
    <row r="7" spans="1:5" x14ac:dyDescent="0.25">
      <c r="A7" s="11" t="s">
        <v>55</v>
      </c>
      <c r="B7" s="19">
        <f>-'Prd Plt Sept 2016'!E58</f>
        <v>-1614882573</v>
      </c>
      <c r="C7"/>
      <c r="D7"/>
      <c r="E7"/>
    </row>
    <row r="8" spans="1:5" x14ac:dyDescent="0.25">
      <c r="A8" s="11" t="s">
        <v>56</v>
      </c>
      <c r="B8" s="19">
        <f>'Prd Plt Sept 2016'!C71</f>
        <v>80139253</v>
      </c>
      <c r="C8"/>
      <c r="D8"/>
      <c r="E8"/>
    </row>
    <row r="9" spans="1:5" x14ac:dyDescent="0.25">
      <c r="A9" s="11" t="s">
        <v>57</v>
      </c>
      <c r="B9" s="19">
        <f>-'Prd Plt Sept 2016'!E71</f>
        <v>-9933315</v>
      </c>
      <c r="C9"/>
      <c r="D9"/>
      <c r="E9"/>
    </row>
    <row r="10" spans="1:5" x14ac:dyDescent="0.25">
      <c r="A10" s="11" t="s">
        <v>58</v>
      </c>
      <c r="B10" s="19">
        <f>+Colstrip!G258</f>
        <v>2908282.4799999148</v>
      </c>
      <c r="C10"/>
      <c r="D10"/>
      <c r="E10"/>
    </row>
    <row r="11" spans="1:5" x14ac:dyDescent="0.25">
      <c r="A11" s="11" t="s">
        <v>59</v>
      </c>
      <c r="B11" s="19">
        <f>+'Acq Adj'!H54</f>
        <v>858922.41599999997</v>
      </c>
      <c r="C11"/>
      <c r="D11"/>
      <c r="E11"/>
    </row>
    <row r="12" spans="1:5" x14ac:dyDescent="0.25">
      <c r="A12" s="11" t="s">
        <v>60</v>
      </c>
      <c r="B12" s="19">
        <f>+'Acq Adj'!F18</f>
        <v>281543145</v>
      </c>
      <c r="C12"/>
      <c r="D12"/>
      <c r="E12"/>
    </row>
    <row r="13" spans="1:5" x14ac:dyDescent="0.25">
      <c r="A13" s="11" t="s">
        <v>61</v>
      </c>
      <c r="B13" s="124">
        <f>+'Acq Adj'!F35</f>
        <v>-113037112</v>
      </c>
      <c r="C13"/>
      <c r="D13"/>
      <c r="E13"/>
    </row>
    <row r="14" spans="1:5" x14ac:dyDescent="0.25">
      <c r="A14" s="22" t="s">
        <v>62</v>
      </c>
      <c r="B14" s="19">
        <f ca="1">SUM(B6:B13)</f>
        <v>2397685941.36865</v>
      </c>
      <c r="C14"/>
      <c r="D14"/>
      <c r="E14"/>
    </row>
    <row r="15" spans="1:5" x14ac:dyDescent="0.25">
      <c r="A15" s="22"/>
      <c r="B15" s="19"/>
      <c r="C15"/>
      <c r="D15"/>
      <c r="E15"/>
    </row>
    <row r="16" spans="1:5" x14ac:dyDescent="0.25">
      <c r="A16" s="22" t="s">
        <v>268</v>
      </c>
      <c r="B16" s="19">
        <f>-DFITAMA!Q245</f>
        <v>-512526800.34781253</v>
      </c>
      <c r="C16"/>
      <c r="D16"/>
      <c r="E16"/>
    </row>
    <row r="17" spans="1:5" x14ac:dyDescent="0.25">
      <c r="A17" s="11" t="s">
        <v>125</v>
      </c>
      <c r="B17" s="124">
        <f>+'NOL September 2016'!P10</f>
        <v>48295905.063545831</v>
      </c>
      <c r="C17"/>
      <c r="D17"/>
      <c r="E17"/>
    </row>
    <row r="18" spans="1:5" x14ac:dyDescent="0.25">
      <c r="A18" s="11" t="s">
        <v>63</v>
      </c>
      <c r="B18" s="18">
        <f>SUM(B16:B17)</f>
        <v>-464230895.28426671</v>
      </c>
      <c r="C18"/>
      <c r="D18"/>
      <c r="E18"/>
    </row>
    <row r="19" spans="1:5" x14ac:dyDescent="0.25">
      <c r="A19" s="11"/>
      <c r="B19" s="19"/>
      <c r="C19"/>
      <c r="D19"/>
      <c r="E19"/>
    </row>
    <row r="20" spans="1:5" ht="13.8" thickBot="1" x14ac:dyDescent="0.3">
      <c r="A20" s="11" t="s">
        <v>64</v>
      </c>
      <c r="B20" s="16">
        <f ca="1">B14+B18</f>
        <v>1933455046.0843832</v>
      </c>
      <c r="C20"/>
      <c r="D20"/>
      <c r="E20"/>
    </row>
    <row r="21" spans="1:5" ht="15" thickTop="1" x14ac:dyDescent="0.35">
      <c r="A21" s="52"/>
      <c r="B21" s="53"/>
      <c r="C21"/>
      <c r="D21"/>
      <c r="E21"/>
    </row>
    <row r="22" spans="1:5" x14ac:dyDescent="0.25">
      <c r="A22" s="52"/>
      <c r="B22" s="64"/>
      <c r="C22"/>
      <c r="D22"/>
      <c r="E22"/>
    </row>
    <row r="23" spans="1:5" x14ac:dyDescent="0.25">
      <c r="A23" s="21"/>
      <c r="B23" s="51"/>
      <c r="C23"/>
      <c r="D23"/>
      <c r="E23"/>
    </row>
    <row r="24" spans="1:5" x14ac:dyDescent="0.25">
      <c r="A24" s="21"/>
      <c r="B24" s="52"/>
      <c r="C24"/>
      <c r="D24"/>
      <c r="E24"/>
    </row>
    <row r="25" spans="1:5" ht="18.600000000000001" customHeight="1" x14ac:dyDescent="0.25">
      <c r="A25" s="48" t="s">
        <v>117</v>
      </c>
      <c r="B25" s="60"/>
      <c r="C25"/>
      <c r="D25"/>
      <c r="E25"/>
    </row>
    <row r="26" spans="1:5" x14ac:dyDescent="0.25">
      <c r="A26" s="23" t="s">
        <v>109</v>
      </c>
      <c r="B26" s="111"/>
      <c r="C26"/>
      <c r="D26"/>
      <c r="E26"/>
    </row>
    <row r="27" spans="1:5" x14ac:dyDescent="0.25">
      <c r="A27" s="24" t="s">
        <v>105</v>
      </c>
      <c r="B27" s="20">
        <f>'Prd Plt Sept 2016'!D58</f>
        <v>107924068.66</v>
      </c>
      <c r="C27"/>
      <c r="D27"/>
      <c r="E27"/>
    </row>
    <row r="28" spans="1:5" x14ac:dyDescent="0.25">
      <c r="A28" s="24" t="s">
        <v>121</v>
      </c>
      <c r="B28" s="20">
        <v>0</v>
      </c>
      <c r="C28"/>
      <c r="D28"/>
      <c r="E28"/>
    </row>
    <row r="29" spans="1:5" x14ac:dyDescent="0.25">
      <c r="A29" s="24" t="s">
        <v>122</v>
      </c>
      <c r="B29" s="20">
        <v>0</v>
      </c>
      <c r="C29"/>
      <c r="D29"/>
      <c r="E29"/>
    </row>
    <row r="30" spans="1:5" x14ac:dyDescent="0.25">
      <c r="A30" s="24" t="s">
        <v>118</v>
      </c>
      <c r="B30" s="126">
        <v>0</v>
      </c>
      <c r="C30"/>
      <c r="D30"/>
      <c r="E30"/>
    </row>
    <row r="31" spans="1:5" x14ac:dyDescent="0.25">
      <c r="A31" s="24" t="s">
        <v>106</v>
      </c>
      <c r="B31" s="138">
        <f>SUM(B27:B30)</f>
        <v>107924068.66</v>
      </c>
      <c r="C31"/>
      <c r="D31"/>
      <c r="E31"/>
    </row>
    <row r="32" spans="1:5" x14ac:dyDescent="0.25">
      <c r="A32" s="24"/>
      <c r="B32" s="20"/>
      <c r="C32"/>
      <c r="D32"/>
      <c r="E32"/>
    </row>
    <row r="33" spans="1:5" x14ac:dyDescent="0.25">
      <c r="A33" s="24"/>
      <c r="B33" s="20"/>
      <c r="C33"/>
      <c r="D33"/>
      <c r="E33"/>
    </row>
    <row r="34" spans="1:5" x14ac:dyDescent="0.25">
      <c r="A34" s="23" t="s">
        <v>110</v>
      </c>
      <c r="B34" s="20"/>
      <c r="C34"/>
      <c r="D34"/>
      <c r="E34"/>
    </row>
    <row r="35" spans="1:5" x14ac:dyDescent="0.25">
      <c r="A35" s="24" t="s">
        <v>111</v>
      </c>
      <c r="B35" s="20">
        <f>'Prd Plt Sept 2016'!D71</f>
        <v>1217708.92</v>
      </c>
      <c r="C35"/>
      <c r="D35"/>
      <c r="E35"/>
    </row>
    <row r="36" spans="1:5" x14ac:dyDescent="0.25">
      <c r="A36" s="24" t="s">
        <v>107</v>
      </c>
      <c r="B36" s="20">
        <f>+Colstrip!G262</f>
        <v>354668.75999999978</v>
      </c>
      <c r="C36"/>
      <c r="D36"/>
      <c r="E36"/>
    </row>
    <row r="37" spans="1:5" x14ac:dyDescent="0.25">
      <c r="A37" s="24" t="s">
        <v>108</v>
      </c>
      <c r="B37" s="20">
        <f>+'Acct 406'!G16</f>
        <v>104311.20599999999</v>
      </c>
      <c r="C37"/>
      <c r="D37"/>
      <c r="E37"/>
    </row>
    <row r="38" spans="1:5" x14ac:dyDescent="0.25">
      <c r="A38" s="24" t="s">
        <v>112</v>
      </c>
      <c r="B38" s="20">
        <f>+'Acct 406'!C32</f>
        <v>2652900</v>
      </c>
      <c r="C38"/>
      <c r="D38"/>
      <c r="E38"/>
    </row>
    <row r="39" spans="1:5" x14ac:dyDescent="0.25">
      <c r="A39" s="24" t="s">
        <v>113</v>
      </c>
      <c r="B39" s="20">
        <f>+'Acct 406'!C72</f>
        <v>1727259.93</v>
      </c>
      <c r="C39"/>
      <c r="D39"/>
      <c r="E39"/>
    </row>
    <row r="40" spans="1:5" x14ac:dyDescent="0.25">
      <c r="A40" s="24" t="s">
        <v>114</v>
      </c>
      <c r="B40" s="20">
        <f>+'Acct 406'!C46</f>
        <v>4616499.3600000013</v>
      </c>
      <c r="C40"/>
      <c r="D40"/>
      <c r="E40"/>
    </row>
    <row r="41" spans="1:5" x14ac:dyDescent="0.25">
      <c r="A41" s="24" t="s">
        <v>189</v>
      </c>
      <c r="B41" s="126">
        <f>+'Acct 406'!C86</f>
        <v>1144993.8</v>
      </c>
      <c r="C41"/>
      <c r="D41"/>
      <c r="E41"/>
    </row>
    <row r="42" spans="1:5" x14ac:dyDescent="0.25">
      <c r="A42" s="49" t="s">
        <v>115</v>
      </c>
      <c r="B42" s="20">
        <f>SUM(B35:B41)</f>
        <v>11818341.976000002</v>
      </c>
      <c r="C42"/>
      <c r="D42"/>
      <c r="E42"/>
    </row>
    <row r="43" spans="1:5" x14ac:dyDescent="0.25">
      <c r="A43" s="49"/>
      <c r="B43" s="20"/>
      <c r="C43"/>
      <c r="D43"/>
      <c r="E43"/>
    </row>
    <row r="44" spans="1:5" ht="13.8" thickBot="1" x14ac:dyDescent="0.3">
      <c r="A44" s="23" t="s">
        <v>116</v>
      </c>
      <c r="B44" s="139">
        <f>B31+B42</f>
        <v>119742410.63599999</v>
      </c>
      <c r="C44"/>
      <c r="D44"/>
      <c r="E44"/>
    </row>
    <row r="45" spans="1:5" x14ac:dyDescent="0.25">
      <c r="A45" s="21"/>
      <c r="C45"/>
      <c r="D45"/>
      <c r="E45"/>
    </row>
    <row r="46" spans="1:5" x14ac:dyDescent="0.25">
      <c r="A46" s="21"/>
      <c r="C46"/>
      <c r="D46"/>
      <c r="E46"/>
    </row>
    <row r="47" spans="1:5" x14ac:dyDescent="0.25">
      <c r="C47"/>
      <c r="D47"/>
      <c r="E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zoomScaleNormal="100" workbookViewId="0">
      <pane xSplit="1" ySplit="7" topLeftCell="B60" activePane="bottomRight" state="frozen"/>
      <selection activeCell="A7" sqref="A7"/>
      <selection pane="topRight" activeCell="A7" sqref="A7"/>
      <selection pane="bottomLeft" activeCell="A7" sqref="A7"/>
      <selection pane="bottomRight" activeCell="C34" sqref="C34"/>
    </sheetView>
  </sheetViews>
  <sheetFormatPr defaultColWidth="9.109375" defaultRowHeight="13.2" outlineLevelCol="1" x14ac:dyDescent="0.25"/>
  <cols>
    <col min="1" max="1" width="16" style="25" customWidth="1"/>
    <col min="2" max="2" width="38.44140625" style="25" customWidth="1"/>
    <col min="3" max="3" width="20.33203125" style="25" bestFit="1" customWidth="1"/>
    <col min="4" max="4" width="20" style="25" customWidth="1"/>
    <col min="5" max="5" width="18" style="25" customWidth="1"/>
    <col min="6" max="6" width="1.44140625" style="25" customWidth="1"/>
    <col min="7" max="7" width="16.109375" style="25" customWidth="1" outlineLevel="1"/>
    <col min="8" max="8" width="13.5546875" style="25" customWidth="1" outlineLevel="1"/>
    <col min="9" max="9" width="15.109375" style="25" customWidth="1" outlineLevel="1"/>
    <col min="10" max="10" width="1.44140625" style="25" customWidth="1" outlineLevel="1"/>
    <col min="11" max="11" width="15.109375" style="25" customWidth="1" outlineLevel="1"/>
    <col min="12" max="12" width="13.5546875" style="25" customWidth="1" outlineLevel="1"/>
    <col min="13" max="13" width="15.109375" style="25" customWidth="1" outlineLevel="1"/>
    <col min="14" max="14" width="3.109375" style="25" customWidth="1" outlineLevel="1"/>
    <col min="15" max="15" width="15" style="25" customWidth="1" outlineLevel="1"/>
    <col min="16" max="16" width="13.44140625" style="25" customWidth="1" outlineLevel="1"/>
    <col min="17" max="17" width="15" style="25" customWidth="1" outlineLevel="1"/>
    <col min="18" max="16384" width="9.109375" style="25"/>
  </cols>
  <sheetData>
    <row r="1" spans="1:21" x14ac:dyDescent="0.25">
      <c r="A1" s="220" t="s">
        <v>1</v>
      </c>
      <c r="B1" s="220"/>
      <c r="C1" s="220"/>
      <c r="D1" s="220"/>
      <c r="E1" s="220"/>
      <c r="F1" s="65"/>
      <c r="G1" s="65"/>
      <c r="H1" s="65"/>
      <c r="I1" s="65"/>
      <c r="J1" s="65"/>
      <c r="K1" s="65"/>
      <c r="L1" s="65"/>
      <c r="M1" s="65"/>
    </row>
    <row r="2" spans="1:21" x14ac:dyDescent="0.25">
      <c r="A2" s="220" t="s">
        <v>2</v>
      </c>
      <c r="B2" s="220"/>
      <c r="C2" s="220"/>
      <c r="D2" s="220"/>
      <c r="E2" s="220"/>
      <c r="F2" s="65"/>
      <c r="G2" s="65"/>
      <c r="H2" s="65"/>
      <c r="I2" s="65"/>
      <c r="J2" s="65"/>
      <c r="K2" s="65"/>
      <c r="L2" s="65"/>
      <c r="M2" s="65"/>
    </row>
    <row r="3" spans="1:21" x14ac:dyDescent="0.25">
      <c r="A3" s="220" t="s">
        <v>272</v>
      </c>
      <c r="B3" s="220"/>
      <c r="C3" s="220"/>
      <c r="D3" s="220"/>
      <c r="E3" s="220"/>
      <c r="F3" s="65"/>
      <c r="G3" s="65"/>
      <c r="H3" s="65"/>
      <c r="I3" s="65"/>
      <c r="J3" s="65"/>
      <c r="K3" s="65"/>
      <c r="L3" s="65"/>
      <c r="M3" s="65"/>
    </row>
    <row r="4" spans="1:2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1" x14ac:dyDescent="0.25">
      <c r="A5" s="221" t="s">
        <v>3</v>
      </c>
      <c r="B5" s="221"/>
      <c r="C5" s="221"/>
      <c r="D5" s="221"/>
      <c r="E5" s="221"/>
      <c r="F5" s="68"/>
      <c r="G5" s="68"/>
      <c r="H5" s="68"/>
      <c r="I5" s="68"/>
      <c r="J5" s="68"/>
      <c r="K5" s="68"/>
      <c r="L5" s="68"/>
      <c r="M5" s="68"/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21" ht="92.4" x14ac:dyDescent="0.25">
      <c r="A7" s="127" t="s">
        <v>4</v>
      </c>
      <c r="B7" s="127" t="s">
        <v>5</v>
      </c>
      <c r="C7" s="128" t="s">
        <v>269</v>
      </c>
      <c r="D7" s="128" t="s">
        <v>270</v>
      </c>
      <c r="E7" s="128" t="s">
        <v>271</v>
      </c>
      <c r="F7" s="201"/>
      <c r="G7" s="26" t="s">
        <v>257</v>
      </c>
      <c r="H7" s="27" t="s">
        <v>258</v>
      </c>
      <c r="I7" s="27" t="s">
        <v>259</v>
      </c>
      <c r="K7" s="26" t="s">
        <v>219</v>
      </c>
      <c r="L7" s="27" t="s">
        <v>220</v>
      </c>
      <c r="M7" s="27" t="s">
        <v>221</v>
      </c>
      <c r="N7" s="201"/>
      <c r="O7" s="26" t="s">
        <v>211</v>
      </c>
      <c r="P7" s="27" t="s">
        <v>212</v>
      </c>
      <c r="Q7" s="27" t="s">
        <v>213</v>
      </c>
      <c r="R7" s="201"/>
      <c r="S7" s="26" t="s">
        <v>204</v>
      </c>
      <c r="T7" s="27" t="s">
        <v>205</v>
      </c>
      <c r="U7" s="27" t="s">
        <v>206</v>
      </c>
    </row>
    <row r="8" spans="1:21" x14ac:dyDescent="0.25">
      <c r="A8" s="4"/>
      <c r="B8" s="4"/>
      <c r="C8" s="4"/>
      <c r="D8" s="4"/>
      <c r="E8" s="4"/>
      <c r="F8" s="4"/>
      <c r="G8" s="30"/>
      <c r="H8" s="30"/>
      <c r="I8" s="30"/>
      <c r="K8" s="30"/>
      <c r="L8" s="30"/>
      <c r="M8" s="30"/>
      <c r="N8" s="4"/>
      <c r="O8" s="30"/>
      <c r="P8" s="30"/>
      <c r="Q8" s="30"/>
      <c r="R8" s="4"/>
      <c r="S8" s="30"/>
      <c r="T8" s="30"/>
      <c r="U8" s="30"/>
    </row>
    <row r="9" spans="1:21" x14ac:dyDescent="0.25">
      <c r="A9" s="3" t="s">
        <v>6</v>
      </c>
      <c r="B9" s="4"/>
      <c r="C9" s="4"/>
      <c r="D9" s="1"/>
      <c r="E9" s="4"/>
      <c r="F9" s="4"/>
      <c r="G9" s="30"/>
      <c r="H9" s="28"/>
      <c r="I9" s="30"/>
      <c r="K9" s="30"/>
      <c r="L9" s="28"/>
      <c r="M9" s="30"/>
      <c r="N9" s="4"/>
      <c r="O9" s="30"/>
      <c r="P9" s="28"/>
      <c r="Q9" s="30"/>
      <c r="R9" s="4"/>
      <c r="S9" s="30"/>
      <c r="T9" s="28"/>
      <c r="U9" s="30"/>
    </row>
    <row r="10" spans="1:21" x14ac:dyDescent="0.25">
      <c r="A10" s="5" t="s">
        <v>7</v>
      </c>
      <c r="B10" s="6" t="s">
        <v>158</v>
      </c>
      <c r="C10" s="110">
        <v>176876487</v>
      </c>
      <c r="D10" s="110">
        <v>2263161.9300000002</v>
      </c>
      <c r="E10" s="110">
        <v>128787288</v>
      </c>
      <c r="F10" s="110"/>
      <c r="G10" s="31">
        <v>176685629</v>
      </c>
      <c r="H10" s="31">
        <v>2245934.6199999996</v>
      </c>
      <c r="I10" s="31">
        <v>128294966</v>
      </c>
      <c r="K10" s="31">
        <v>175851884</v>
      </c>
      <c r="L10" s="31">
        <v>2129044</v>
      </c>
      <c r="M10" s="31">
        <v>126915092</v>
      </c>
      <c r="N10" s="110"/>
      <c r="O10" s="31">
        <v>175554482</v>
      </c>
      <c r="P10" s="31">
        <v>2085922.9100000001</v>
      </c>
      <c r="Q10" s="31">
        <v>126468016</v>
      </c>
      <c r="R10" s="110"/>
      <c r="S10" s="31">
        <v>175321757</v>
      </c>
      <c r="T10" s="31">
        <v>2057618.14</v>
      </c>
      <c r="U10" s="31">
        <v>126020058</v>
      </c>
    </row>
    <row r="11" spans="1:21" x14ac:dyDescent="0.25">
      <c r="A11" s="5" t="s">
        <v>8</v>
      </c>
      <c r="B11" s="6" t="s">
        <v>9</v>
      </c>
      <c r="C11" s="110">
        <v>688472347</v>
      </c>
      <c r="D11" s="110">
        <v>11925282.76</v>
      </c>
      <c r="E11" s="110">
        <v>409437389</v>
      </c>
      <c r="F11" s="110"/>
      <c r="G11" s="31">
        <v>686090138</v>
      </c>
      <c r="H11" s="31">
        <v>11891963.780000001</v>
      </c>
      <c r="I11" s="31">
        <v>408228557</v>
      </c>
      <c r="K11" s="31">
        <v>678293986</v>
      </c>
      <c r="L11" s="31">
        <v>11776117</v>
      </c>
      <c r="M11" s="31">
        <v>405032406</v>
      </c>
      <c r="N11" s="110"/>
      <c r="O11" s="31">
        <v>675923577</v>
      </c>
      <c r="P11" s="31">
        <v>11746702.339999998</v>
      </c>
      <c r="Q11" s="31">
        <v>404069041</v>
      </c>
      <c r="R11" s="110"/>
      <c r="S11" s="31">
        <v>673786217</v>
      </c>
      <c r="T11" s="31">
        <v>11724474.550000001</v>
      </c>
      <c r="U11" s="31">
        <v>403194136</v>
      </c>
    </row>
    <row r="12" spans="1:21" x14ac:dyDescent="0.25">
      <c r="A12" s="5" t="s">
        <v>10</v>
      </c>
      <c r="B12" s="6" t="s">
        <v>11</v>
      </c>
      <c r="C12" s="110">
        <v>336625194</v>
      </c>
      <c r="D12" s="110">
        <v>6744336.2800000012</v>
      </c>
      <c r="E12" s="110">
        <v>181905696</v>
      </c>
      <c r="F12" s="110"/>
      <c r="G12" s="31">
        <v>336097107</v>
      </c>
      <c r="H12" s="31">
        <v>6733302.7300000004</v>
      </c>
      <c r="I12" s="31">
        <v>180534476</v>
      </c>
      <c r="K12" s="31">
        <v>337837602</v>
      </c>
      <c r="L12" s="31">
        <v>6758150</v>
      </c>
      <c r="M12" s="31">
        <v>179424584</v>
      </c>
      <c r="N12" s="110"/>
      <c r="O12" s="31">
        <v>340686394</v>
      </c>
      <c r="P12" s="31">
        <v>6810427.3200000003</v>
      </c>
      <c r="Q12" s="31">
        <v>180944866</v>
      </c>
      <c r="R12" s="110"/>
      <c r="S12" s="31">
        <v>343335764</v>
      </c>
      <c r="T12" s="31">
        <v>6861047.8300000001</v>
      </c>
      <c r="U12" s="31">
        <v>181042848</v>
      </c>
    </row>
    <row r="13" spans="1:21" x14ac:dyDescent="0.25">
      <c r="A13" s="5" t="s">
        <v>12</v>
      </c>
      <c r="B13" s="6" t="s">
        <v>13</v>
      </c>
      <c r="C13" s="110">
        <v>47432361</v>
      </c>
      <c r="D13" s="110">
        <v>675642.87999999989</v>
      </c>
      <c r="E13" s="110">
        <v>30933449</v>
      </c>
      <c r="F13" s="110"/>
      <c r="G13" s="31">
        <v>46806647</v>
      </c>
      <c r="H13" s="31">
        <v>668485.97</v>
      </c>
      <c r="I13" s="31">
        <v>30752761</v>
      </c>
      <c r="K13" s="31">
        <v>45837263</v>
      </c>
      <c r="L13" s="31">
        <v>656549</v>
      </c>
      <c r="M13" s="31">
        <v>30212169</v>
      </c>
      <c r="N13" s="110"/>
      <c r="O13" s="31">
        <v>45699092</v>
      </c>
      <c r="P13" s="31">
        <v>654664.54999999993</v>
      </c>
      <c r="Q13" s="31">
        <v>30069354</v>
      </c>
      <c r="R13" s="110"/>
      <c r="S13" s="31">
        <v>45667883</v>
      </c>
      <c r="T13" s="31">
        <v>654299.52999999991</v>
      </c>
      <c r="U13" s="31">
        <v>29938473</v>
      </c>
    </row>
    <row r="14" spans="1:21" x14ac:dyDescent="0.25">
      <c r="A14" s="5" t="s">
        <v>14</v>
      </c>
      <c r="B14" s="6" t="s">
        <v>15</v>
      </c>
      <c r="C14" s="110">
        <v>15682496</v>
      </c>
      <c r="D14" s="110">
        <v>269620.48000000004</v>
      </c>
      <c r="E14" s="110">
        <v>10294074</v>
      </c>
      <c r="F14" s="110"/>
      <c r="G14" s="31">
        <v>15611208</v>
      </c>
      <c r="H14" s="31">
        <v>268153.56</v>
      </c>
      <c r="I14" s="31">
        <v>10228237</v>
      </c>
      <c r="K14" s="31">
        <v>15391183</v>
      </c>
      <c r="L14" s="31">
        <v>263742</v>
      </c>
      <c r="M14" s="31">
        <v>10031627</v>
      </c>
      <c r="N14" s="110"/>
      <c r="O14" s="31">
        <v>15324528</v>
      </c>
      <c r="P14" s="31">
        <v>262370.68999999994</v>
      </c>
      <c r="Q14" s="31">
        <v>9965865</v>
      </c>
      <c r="R14" s="110"/>
      <c r="S14" s="31">
        <v>15263185</v>
      </c>
      <c r="T14" s="31">
        <v>261087.15</v>
      </c>
      <c r="U14" s="31">
        <v>9821063</v>
      </c>
    </row>
    <row r="15" spans="1:21" x14ac:dyDescent="0.25">
      <c r="A15" s="5" t="s">
        <v>16</v>
      </c>
      <c r="B15" s="6" t="s">
        <v>17</v>
      </c>
      <c r="C15" s="110">
        <v>35657241</v>
      </c>
      <c r="D15" s="110">
        <v>1344200.32</v>
      </c>
      <c r="E15" s="110">
        <v>2123525</v>
      </c>
      <c r="F15" s="110"/>
      <c r="G15" s="31">
        <v>34322861</v>
      </c>
      <c r="H15" s="31">
        <v>1291693</v>
      </c>
      <c r="I15" s="31">
        <v>1789321</v>
      </c>
      <c r="K15" s="31">
        <v>8614126</v>
      </c>
      <c r="L15" s="31">
        <v>321755</v>
      </c>
      <c r="M15" s="31">
        <v>1190854</v>
      </c>
      <c r="N15" s="110"/>
      <c r="O15" s="31">
        <v>1419579</v>
      </c>
      <c r="P15" s="31">
        <v>68417.55</v>
      </c>
      <c r="Q15" s="31">
        <v>1146801</v>
      </c>
      <c r="R15" s="110"/>
      <c r="S15" s="31">
        <v>1419579</v>
      </c>
      <c r="T15" s="31">
        <v>96324.319999999992</v>
      </c>
      <c r="U15" s="31">
        <v>1126207</v>
      </c>
    </row>
    <row r="16" spans="1:21" x14ac:dyDescent="0.25">
      <c r="A16" s="58"/>
      <c r="B16" s="59" t="s">
        <v>18</v>
      </c>
      <c r="C16" s="129">
        <f>SUM(C10:C15)</f>
        <v>1300746126</v>
      </c>
      <c r="D16" s="129">
        <f>SUM(D10:D15)</f>
        <v>23222244.649999999</v>
      </c>
      <c r="E16" s="129">
        <f>SUM(E10:E15)</f>
        <v>763481421</v>
      </c>
      <c r="F16" s="130"/>
      <c r="G16" s="29">
        <v>1295613590</v>
      </c>
      <c r="H16" s="29">
        <v>23099533.66</v>
      </c>
      <c r="I16" s="29">
        <v>759828318</v>
      </c>
      <c r="K16" s="29">
        <v>1261826044</v>
      </c>
      <c r="L16" s="29">
        <v>21905357</v>
      </c>
      <c r="M16" s="29">
        <v>752806732</v>
      </c>
      <c r="N16" s="130"/>
      <c r="O16" s="29">
        <v>1254607652</v>
      </c>
      <c r="P16" s="29">
        <v>21628505.360000003</v>
      </c>
      <c r="Q16" s="29">
        <v>752663943</v>
      </c>
      <c r="R16" s="130"/>
      <c r="S16" s="29">
        <v>1254794385</v>
      </c>
      <c r="T16" s="29">
        <v>21654851.520000003</v>
      </c>
      <c r="U16" s="29">
        <v>751142785</v>
      </c>
    </row>
    <row r="17" spans="1:21" x14ac:dyDescent="0.25">
      <c r="A17" s="5"/>
      <c r="B17" s="6"/>
      <c r="C17" s="2">
        <v>0</v>
      </c>
      <c r="D17" s="2">
        <v>0</v>
      </c>
      <c r="E17" s="2">
        <v>0</v>
      </c>
      <c r="F17" s="2"/>
      <c r="G17" s="31">
        <v>0</v>
      </c>
      <c r="H17" s="31">
        <v>0</v>
      </c>
      <c r="I17" s="31">
        <v>0</v>
      </c>
      <c r="K17" s="31">
        <v>0</v>
      </c>
      <c r="L17" s="31">
        <v>0</v>
      </c>
      <c r="M17" s="31">
        <v>0</v>
      </c>
      <c r="N17" s="2"/>
      <c r="O17" s="31">
        <v>0</v>
      </c>
      <c r="P17" s="31">
        <v>0</v>
      </c>
      <c r="Q17" s="31">
        <v>0</v>
      </c>
      <c r="R17" s="2"/>
      <c r="S17" s="31">
        <v>0</v>
      </c>
      <c r="T17" s="31">
        <v>0</v>
      </c>
      <c r="U17" s="31">
        <v>0</v>
      </c>
    </row>
    <row r="18" spans="1:21" x14ac:dyDescent="0.25">
      <c r="A18" s="5" t="s">
        <v>19</v>
      </c>
      <c r="B18" s="6" t="s">
        <v>20</v>
      </c>
      <c r="C18" s="110">
        <v>164143076</v>
      </c>
      <c r="D18" s="110">
        <v>4282698.17</v>
      </c>
      <c r="E18" s="110">
        <v>22166783</v>
      </c>
      <c r="F18" s="110"/>
      <c r="G18" s="31">
        <v>164226058</v>
      </c>
      <c r="H18" s="31">
        <v>4283011.9400000004</v>
      </c>
      <c r="I18" s="31">
        <v>21090864</v>
      </c>
      <c r="K18" s="31">
        <v>165019624</v>
      </c>
      <c r="L18" s="31">
        <v>4313836</v>
      </c>
      <c r="M18" s="31">
        <v>18128169</v>
      </c>
      <c r="N18" s="110"/>
      <c r="O18" s="31">
        <v>165684974</v>
      </c>
      <c r="P18" s="31">
        <v>4368762.8699999992</v>
      </c>
      <c r="Q18" s="31">
        <v>17563821</v>
      </c>
      <c r="R18" s="110"/>
      <c r="S18" s="31">
        <v>165798247</v>
      </c>
      <c r="T18" s="31">
        <v>4409936.580000001</v>
      </c>
      <c r="U18" s="31">
        <v>16983892</v>
      </c>
    </row>
    <row r="19" spans="1:21" x14ac:dyDescent="0.25">
      <c r="A19" s="5" t="s">
        <v>21</v>
      </c>
      <c r="B19" s="6" t="s">
        <v>22</v>
      </c>
      <c r="C19" s="110">
        <v>350262419</v>
      </c>
      <c r="D19" s="110">
        <v>5967957.7100000018</v>
      </c>
      <c r="E19" s="110">
        <v>89833531</v>
      </c>
      <c r="F19" s="110"/>
      <c r="G19" s="31">
        <v>350551937</v>
      </c>
      <c r="H19" s="31">
        <v>5972395.4400000004</v>
      </c>
      <c r="I19" s="31">
        <v>88508898</v>
      </c>
      <c r="K19" s="31">
        <v>358096255</v>
      </c>
      <c r="L19" s="31">
        <v>6486819</v>
      </c>
      <c r="M19" s="31">
        <v>89937642</v>
      </c>
      <c r="N19" s="110"/>
      <c r="O19" s="31">
        <v>372281536</v>
      </c>
      <c r="P19" s="31">
        <v>7535755.2899999991</v>
      </c>
      <c r="Q19" s="31">
        <v>99442028</v>
      </c>
      <c r="R19" s="110"/>
      <c r="S19" s="31">
        <v>386083261</v>
      </c>
      <c r="T19" s="31">
        <v>8576554.3599999994</v>
      </c>
      <c r="U19" s="31">
        <v>108569624</v>
      </c>
    </row>
    <row r="20" spans="1:21" x14ac:dyDescent="0.25">
      <c r="A20" s="5" t="s">
        <v>23</v>
      </c>
      <c r="B20" s="6" t="s">
        <v>24</v>
      </c>
      <c r="C20" s="110">
        <v>124560506</v>
      </c>
      <c r="D20" s="110">
        <v>3135547.5500000003</v>
      </c>
      <c r="E20" s="110">
        <v>22944692</v>
      </c>
      <c r="F20" s="110"/>
      <c r="G20" s="31">
        <v>123267672</v>
      </c>
      <c r="H20" s="31">
        <v>3130767.79</v>
      </c>
      <c r="I20" s="31">
        <v>22448424</v>
      </c>
      <c r="K20" s="31">
        <v>121561249</v>
      </c>
      <c r="L20" s="31">
        <v>3147650</v>
      </c>
      <c r="M20" s="31">
        <v>21817102</v>
      </c>
      <c r="N20" s="110"/>
      <c r="O20" s="31">
        <v>121427980</v>
      </c>
      <c r="P20" s="31">
        <v>3167759.4799999995</v>
      </c>
      <c r="Q20" s="31">
        <v>21798874</v>
      </c>
      <c r="R20" s="110"/>
      <c r="S20" s="31">
        <v>120830379</v>
      </c>
      <c r="T20" s="31">
        <v>3173078.57</v>
      </c>
      <c r="U20" s="31">
        <v>21427406</v>
      </c>
    </row>
    <row r="21" spans="1:21" x14ac:dyDescent="0.25">
      <c r="A21" s="5" t="s">
        <v>25</v>
      </c>
      <c r="B21" s="6" t="s">
        <v>13</v>
      </c>
      <c r="C21" s="110">
        <v>45791702</v>
      </c>
      <c r="D21" s="110">
        <v>1192146.7</v>
      </c>
      <c r="E21" s="110">
        <v>5664917</v>
      </c>
      <c r="F21" s="110"/>
      <c r="G21" s="31">
        <v>45962649</v>
      </c>
      <c r="H21" s="31">
        <v>1192681.42</v>
      </c>
      <c r="I21" s="31">
        <v>5516837</v>
      </c>
      <c r="K21" s="31">
        <v>46411693</v>
      </c>
      <c r="L21" s="31">
        <v>1208596</v>
      </c>
      <c r="M21" s="31">
        <v>4964815</v>
      </c>
      <c r="N21" s="110"/>
      <c r="O21" s="31">
        <v>46804979</v>
      </c>
      <c r="P21" s="31">
        <v>1238072.17</v>
      </c>
      <c r="Q21" s="31">
        <v>4997393</v>
      </c>
      <c r="R21" s="110"/>
      <c r="S21" s="31">
        <v>47157500</v>
      </c>
      <c r="T21" s="31">
        <v>1266699.4999999998</v>
      </c>
      <c r="U21" s="31">
        <v>5023000</v>
      </c>
    </row>
    <row r="22" spans="1:21" x14ac:dyDescent="0.25">
      <c r="A22" s="5" t="s">
        <v>26</v>
      </c>
      <c r="B22" s="6" t="s">
        <v>15</v>
      </c>
      <c r="C22" s="110">
        <v>14363491</v>
      </c>
      <c r="D22" s="110">
        <v>354291.6399999999</v>
      </c>
      <c r="E22" s="110">
        <v>3034079</v>
      </c>
      <c r="F22" s="110"/>
      <c r="G22" s="31">
        <v>14332293</v>
      </c>
      <c r="H22" s="31">
        <v>353607</v>
      </c>
      <c r="I22" s="31">
        <v>2945664</v>
      </c>
      <c r="K22" s="31">
        <v>14107801</v>
      </c>
      <c r="L22" s="31">
        <v>356736</v>
      </c>
      <c r="M22" s="31">
        <v>2756064</v>
      </c>
      <c r="N22" s="110"/>
      <c r="O22" s="31">
        <v>14191894</v>
      </c>
      <c r="P22" s="31">
        <v>376690.46</v>
      </c>
      <c r="Q22" s="31">
        <v>2793181</v>
      </c>
      <c r="R22" s="110"/>
      <c r="S22" s="31">
        <v>14495032</v>
      </c>
      <c r="T22" s="31">
        <v>401703.81000000006</v>
      </c>
      <c r="U22" s="31">
        <v>2825463</v>
      </c>
    </row>
    <row r="23" spans="1:21" x14ac:dyDescent="0.25">
      <c r="A23" s="5" t="s">
        <v>27</v>
      </c>
      <c r="B23" s="6" t="s">
        <v>28</v>
      </c>
      <c r="C23" s="110">
        <v>5031881</v>
      </c>
      <c r="D23" s="110">
        <v>58340.05</v>
      </c>
      <c r="E23" s="110">
        <v>247045</v>
      </c>
      <c r="F23" s="110"/>
      <c r="G23" s="31">
        <v>5031672</v>
      </c>
      <c r="H23" s="31">
        <v>58332.95</v>
      </c>
      <c r="I23" s="31">
        <v>222294</v>
      </c>
      <c r="K23" s="31">
        <v>5218039</v>
      </c>
      <c r="L23" s="31">
        <v>69759</v>
      </c>
      <c r="M23" s="31">
        <v>284028</v>
      </c>
      <c r="N23" s="110"/>
      <c r="O23" s="31">
        <v>5590542</v>
      </c>
      <c r="P23" s="31">
        <v>92617.12000000001</v>
      </c>
      <c r="Q23" s="31">
        <v>476234</v>
      </c>
      <c r="R23" s="110"/>
      <c r="S23" s="31">
        <v>5962231</v>
      </c>
      <c r="T23" s="31">
        <v>115452.24999999999</v>
      </c>
      <c r="U23" s="31">
        <v>662730</v>
      </c>
    </row>
    <row r="24" spans="1:21" x14ac:dyDescent="0.25">
      <c r="A24" s="5" t="s">
        <v>29</v>
      </c>
      <c r="B24" s="6" t="s">
        <v>17</v>
      </c>
      <c r="C24" s="110">
        <v>0</v>
      </c>
      <c r="D24" s="110">
        <v>0</v>
      </c>
      <c r="E24" s="110">
        <v>0</v>
      </c>
      <c r="F24" s="110"/>
      <c r="G24" s="31">
        <v>0</v>
      </c>
      <c r="H24" s="31">
        <v>0</v>
      </c>
      <c r="I24" s="31">
        <v>0</v>
      </c>
      <c r="K24" s="31">
        <v>0</v>
      </c>
      <c r="L24" s="31">
        <v>0</v>
      </c>
      <c r="M24" s="31">
        <v>0</v>
      </c>
      <c r="N24" s="110"/>
      <c r="O24" s="31">
        <v>0</v>
      </c>
      <c r="P24" s="31">
        <v>0</v>
      </c>
      <c r="Q24" s="31">
        <v>0</v>
      </c>
      <c r="R24" s="110"/>
      <c r="S24" s="31">
        <v>0</v>
      </c>
      <c r="T24" s="31">
        <v>0</v>
      </c>
      <c r="U24" s="31">
        <v>0</v>
      </c>
    </row>
    <row r="25" spans="1:21" x14ac:dyDescent="0.25">
      <c r="A25" s="5" t="s">
        <v>159</v>
      </c>
      <c r="B25" s="6" t="s">
        <v>31</v>
      </c>
      <c r="C25" s="110">
        <v>248323</v>
      </c>
      <c r="D25" s="110">
        <v>799.44</v>
      </c>
      <c r="E25" s="110">
        <v>10990</v>
      </c>
      <c r="F25" s="110"/>
      <c r="G25" s="31">
        <v>432973</v>
      </c>
      <c r="H25" s="31">
        <v>799.44</v>
      </c>
      <c r="I25" s="31">
        <v>10790</v>
      </c>
      <c r="K25" s="31">
        <v>771497</v>
      </c>
      <c r="L25" s="31">
        <v>799</v>
      </c>
      <c r="M25" s="31">
        <v>10191</v>
      </c>
      <c r="N25" s="110"/>
      <c r="O25" s="31">
        <v>771497</v>
      </c>
      <c r="P25" s="31">
        <v>799.44</v>
      </c>
      <c r="Q25" s="31">
        <v>9991</v>
      </c>
      <c r="R25" s="110"/>
      <c r="S25" s="31">
        <v>617622</v>
      </c>
      <c r="T25" s="31">
        <v>799.44</v>
      </c>
      <c r="U25" s="31">
        <v>9791</v>
      </c>
    </row>
    <row r="26" spans="1:21" x14ac:dyDescent="0.25">
      <c r="A26" s="58"/>
      <c r="B26" s="59" t="s">
        <v>32</v>
      </c>
      <c r="C26" s="129">
        <f>SUM(C18:C25)</f>
        <v>704401398</v>
      </c>
      <c r="D26" s="129">
        <f>SUM(D18:D25)</f>
        <v>14991781.260000004</v>
      </c>
      <c r="E26" s="129">
        <f>SUM(E18:E25)</f>
        <v>143902037</v>
      </c>
      <c r="F26" s="130"/>
      <c r="G26" s="29">
        <v>703805254</v>
      </c>
      <c r="H26" s="29">
        <v>14991595.98</v>
      </c>
      <c r="I26" s="29">
        <v>140743771</v>
      </c>
      <c r="K26" s="29">
        <v>711186158</v>
      </c>
      <c r="L26" s="29">
        <v>15584195</v>
      </c>
      <c r="M26" s="29">
        <v>137898011</v>
      </c>
      <c r="N26" s="130"/>
      <c r="O26" s="29">
        <v>726753402</v>
      </c>
      <c r="P26" s="29">
        <v>16780456.829999998</v>
      </c>
      <c r="Q26" s="29">
        <v>147081522</v>
      </c>
      <c r="R26" s="130"/>
      <c r="S26" s="29">
        <v>740944272</v>
      </c>
      <c r="T26" s="29">
        <v>17944224.510000002</v>
      </c>
      <c r="U26" s="29">
        <v>155501906</v>
      </c>
    </row>
    <row r="27" spans="1:21" x14ac:dyDescent="0.25">
      <c r="A27" s="5"/>
      <c r="B27" s="6"/>
      <c r="C27" s="2">
        <v>0</v>
      </c>
      <c r="D27" s="2">
        <v>0</v>
      </c>
      <c r="E27" s="2">
        <v>0</v>
      </c>
      <c r="F27" s="2"/>
      <c r="G27" s="31">
        <v>0</v>
      </c>
      <c r="H27" s="31">
        <v>0</v>
      </c>
      <c r="I27" s="31">
        <v>0</v>
      </c>
      <c r="K27" s="31">
        <v>0</v>
      </c>
      <c r="L27" s="31">
        <v>0</v>
      </c>
      <c r="M27" s="31">
        <v>0</v>
      </c>
      <c r="N27" s="2"/>
      <c r="O27" s="31">
        <v>0</v>
      </c>
      <c r="P27" s="31">
        <v>0</v>
      </c>
      <c r="Q27" s="31">
        <v>0</v>
      </c>
      <c r="R27" s="2"/>
      <c r="S27" s="31">
        <v>0</v>
      </c>
      <c r="T27" s="31">
        <v>0</v>
      </c>
      <c r="U27" s="31">
        <v>0</v>
      </c>
    </row>
    <row r="28" spans="1:21" x14ac:dyDescent="0.25">
      <c r="A28" s="5" t="s">
        <v>33</v>
      </c>
      <c r="B28" s="6" t="s">
        <v>158</v>
      </c>
      <c r="C28" s="110">
        <v>128599298</v>
      </c>
      <c r="D28" s="110">
        <v>2367188.3200000003</v>
      </c>
      <c r="E28" s="110">
        <v>58104533</v>
      </c>
      <c r="F28" s="110"/>
      <c r="G28" s="31">
        <v>128613132</v>
      </c>
      <c r="H28" s="31">
        <v>3016292.8300000005</v>
      </c>
      <c r="I28" s="31">
        <v>57661303</v>
      </c>
      <c r="K28" s="31">
        <v>128883757</v>
      </c>
      <c r="L28" s="31">
        <v>3062601</v>
      </c>
      <c r="M28" s="31">
        <v>54415137</v>
      </c>
      <c r="N28" s="110"/>
      <c r="O28" s="31">
        <v>128916158</v>
      </c>
      <c r="P28" s="31">
        <v>2555706.0500000007</v>
      </c>
      <c r="Q28" s="31">
        <v>53684136</v>
      </c>
      <c r="R28" s="110"/>
      <c r="S28" s="31">
        <v>128939087</v>
      </c>
      <c r="T28" s="31">
        <v>2590244.290000001</v>
      </c>
      <c r="U28" s="31">
        <v>53048845</v>
      </c>
    </row>
    <row r="29" spans="1:21" x14ac:dyDescent="0.25">
      <c r="A29" s="5" t="s">
        <v>34</v>
      </c>
      <c r="B29" s="6" t="s">
        <v>35</v>
      </c>
      <c r="C29" s="110">
        <v>25633030</v>
      </c>
      <c r="D29" s="110">
        <v>620187</v>
      </c>
      <c r="E29" s="110">
        <v>19104164</v>
      </c>
      <c r="F29" s="110"/>
      <c r="G29" s="31">
        <v>25633030</v>
      </c>
      <c r="H29" s="31">
        <v>620187.12</v>
      </c>
      <c r="I29" s="31">
        <v>18949116</v>
      </c>
      <c r="K29" s="31">
        <v>25633030</v>
      </c>
      <c r="L29" s="31">
        <v>620187</v>
      </c>
      <c r="M29" s="31">
        <v>18483978</v>
      </c>
      <c r="N29" s="110"/>
      <c r="O29" s="31">
        <v>25633030</v>
      </c>
      <c r="P29" s="31">
        <v>620187.12</v>
      </c>
      <c r="Q29" s="31">
        <v>18328930</v>
      </c>
      <c r="R29" s="110"/>
      <c r="S29" s="31">
        <v>25633030</v>
      </c>
      <c r="T29" s="31">
        <v>620187.12</v>
      </c>
      <c r="U29" s="31">
        <v>18173883</v>
      </c>
    </row>
    <row r="30" spans="1:21" x14ac:dyDescent="0.25">
      <c r="A30" s="5" t="s">
        <v>36</v>
      </c>
      <c r="B30" s="6" t="s">
        <v>37</v>
      </c>
      <c r="C30" s="110">
        <v>1585157270</v>
      </c>
      <c r="D30" s="110">
        <v>56801476.469999999</v>
      </c>
      <c r="E30" s="110">
        <v>569641094</v>
      </c>
      <c r="F30" s="110"/>
      <c r="G30" s="31">
        <v>1588471407</v>
      </c>
      <c r="H30" s="31">
        <v>57252788.740000002</v>
      </c>
      <c r="I30" s="31">
        <v>563929720</v>
      </c>
      <c r="K30" s="31">
        <v>1586307559</v>
      </c>
      <c r="L30" s="31">
        <v>57321872</v>
      </c>
      <c r="M30" s="31">
        <v>501502954</v>
      </c>
      <c r="N30" s="110"/>
      <c r="O30" s="31">
        <v>1584470325</v>
      </c>
      <c r="P30" s="31">
        <v>57245929.249999993</v>
      </c>
      <c r="Q30" s="31">
        <v>488157331</v>
      </c>
      <c r="R30" s="110"/>
      <c r="S30" s="31">
        <v>1581988664</v>
      </c>
      <c r="T30" s="31">
        <v>57169249.649999999</v>
      </c>
      <c r="U30" s="31">
        <v>474057491</v>
      </c>
    </row>
    <row r="31" spans="1:21" x14ac:dyDescent="0.25">
      <c r="A31" s="5" t="s">
        <v>38</v>
      </c>
      <c r="B31" s="6" t="s">
        <v>13</v>
      </c>
      <c r="C31" s="110">
        <v>152571650</v>
      </c>
      <c r="D31" s="110">
        <v>5872016.0500000007</v>
      </c>
      <c r="E31" s="110">
        <v>51966754</v>
      </c>
      <c r="F31" s="110"/>
      <c r="G31" s="31">
        <v>152552033</v>
      </c>
      <c r="H31" s="31">
        <v>5868408.75</v>
      </c>
      <c r="I31" s="31">
        <v>50666226</v>
      </c>
      <c r="K31" s="31">
        <v>152087768</v>
      </c>
      <c r="L31" s="31">
        <v>5841005</v>
      </c>
      <c r="M31" s="31">
        <v>46386595</v>
      </c>
      <c r="N31" s="110"/>
      <c r="O31" s="31">
        <v>152027133</v>
      </c>
      <c r="P31" s="31">
        <v>5838324.7000000011</v>
      </c>
      <c r="Q31" s="31">
        <v>44928779</v>
      </c>
      <c r="R31" s="110"/>
      <c r="S31" s="31">
        <v>151974219</v>
      </c>
      <c r="T31" s="31">
        <v>5836468.5000000009</v>
      </c>
      <c r="U31" s="31">
        <v>43474562</v>
      </c>
    </row>
    <row r="32" spans="1:21" x14ac:dyDescent="0.25">
      <c r="A32" s="5" t="s">
        <v>39</v>
      </c>
      <c r="B32" s="6" t="s">
        <v>40</v>
      </c>
      <c r="C32" s="110">
        <v>14278849</v>
      </c>
      <c r="D32" s="110">
        <v>433322.87999999995</v>
      </c>
      <c r="E32" s="110">
        <v>6017167</v>
      </c>
      <c r="F32" s="110"/>
      <c r="G32" s="31">
        <v>14252729</v>
      </c>
      <c r="H32" s="31">
        <v>432299.46999999991</v>
      </c>
      <c r="I32" s="31">
        <v>5915302</v>
      </c>
      <c r="K32" s="31">
        <v>14086288</v>
      </c>
      <c r="L32" s="31">
        <v>425596</v>
      </c>
      <c r="M32" s="31">
        <v>5598573</v>
      </c>
      <c r="N32" s="110"/>
      <c r="O32" s="31">
        <v>13960944</v>
      </c>
      <c r="P32" s="31">
        <v>420600.47</v>
      </c>
      <c r="Q32" s="31">
        <v>5483150</v>
      </c>
      <c r="R32" s="110"/>
      <c r="S32" s="31">
        <v>13816458</v>
      </c>
      <c r="T32" s="31">
        <v>415097.91</v>
      </c>
      <c r="U32" s="31">
        <v>5369546</v>
      </c>
    </row>
    <row r="33" spans="1:21" x14ac:dyDescent="0.25">
      <c r="A33" s="5" t="s">
        <v>41</v>
      </c>
      <c r="B33" s="6" t="s">
        <v>17</v>
      </c>
      <c r="C33" s="110">
        <v>26563249</v>
      </c>
      <c r="D33" s="110">
        <v>1224653.57</v>
      </c>
      <c r="E33" s="110">
        <v>2453465</v>
      </c>
      <c r="F33" s="110"/>
      <c r="G33" s="31">
        <v>21576466</v>
      </c>
      <c r="H33" s="31">
        <v>593336.22</v>
      </c>
      <c r="I33" s="31">
        <v>2199130</v>
      </c>
      <c r="K33" s="31">
        <v>17720976</v>
      </c>
      <c r="L33" s="31">
        <v>395029</v>
      </c>
      <c r="M33" s="31">
        <v>1917889</v>
      </c>
      <c r="N33" s="110"/>
      <c r="O33" s="31">
        <v>18037737</v>
      </c>
      <c r="P33" s="31">
        <v>739990.99</v>
      </c>
      <c r="Q33" s="31">
        <v>1803098</v>
      </c>
      <c r="R33" s="110"/>
      <c r="S33" s="31">
        <v>17597926</v>
      </c>
      <c r="T33" s="31">
        <v>727052.21</v>
      </c>
      <c r="U33" s="31">
        <v>1619717</v>
      </c>
    </row>
    <row r="34" spans="1:21" x14ac:dyDescent="0.25">
      <c r="A34" s="5" t="s">
        <v>260</v>
      </c>
      <c r="B34" s="6"/>
      <c r="C34" s="110">
        <v>1912707</v>
      </c>
      <c r="D34" s="110">
        <v>95635</v>
      </c>
      <c r="E34" s="110">
        <v>18752</v>
      </c>
      <c r="F34" s="110"/>
      <c r="G34" s="31">
        <v>685788</v>
      </c>
      <c r="H34" s="31">
        <v>34289</v>
      </c>
      <c r="I34" s="31">
        <v>2372</v>
      </c>
      <c r="K34" s="31"/>
      <c r="L34" s="31"/>
      <c r="M34" s="31"/>
      <c r="N34" s="110"/>
      <c r="O34" s="31"/>
      <c r="P34" s="31"/>
      <c r="Q34" s="31"/>
      <c r="R34" s="110"/>
      <c r="S34" s="31"/>
      <c r="T34" s="31"/>
      <c r="U34" s="31"/>
    </row>
    <row r="35" spans="1:21" x14ac:dyDescent="0.25">
      <c r="A35" s="5" t="s">
        <v>160</v>
      </c>
      <c r="B35" s="6" t="s">
        <v>31</v>
      </c>
      <c r="C35" s="110">
        <v>221929</v>
      </c>
      <c r="D35" s="110">
        <v>8477.64</v>
      </c>
      <c r="E35" s="110">
        <v>193186</v>
      </c>
      <c r="F35" s="110"/>
      <c r="G35" s="31">
        <v>221929</v>
      </c>
      <c r="H35" s="31">
        <v>8477.64</v>
      </c>
      <c r="I35" s="31">
        <v>191066</v>
      </c>
      <c r="K35" s="31">
        <v>221929</v>
      </c>
      <c r="L35" s="31">
        <v>8478</v>
      </c>
      <c r="M35" s="31">
        <v>184708</v>
      </c>
      <c r="N35" s="110"/>
      <c r="O35" s="31">
        <v>221929</v>
      </c>
      <c r="P35" s="31">
        <v>8477.64</v>
      </c>
      <c r="Q35" s="31">
        <v>182589</v>
      </c>
      <c r="R35" s="110"/>
      <c r="S35" s="31">
        <v>221929</v>
      </c>
      <c r="T35" s="31">
        <v>8477.64</v>
      </c>
      <c r="U35" s="31">
        <v>180469</v>
      </c>
    </row>
    <row r="36" spans="1:21" x14ac:dyDescent="0.25">
      <c r="A36" s="58"/>
      <c r="B36" s="59" t="s">
        <v>43</v>
      </c>
      <c r="C36" s="129">
        <f>SUM(C28:C35)</f>
        <v>1934937982</v>
      </c>
      <c r="D36" s="129">
        <f>SUM(D28:D35)</f>
        <v>67422956.930000007</v>
      </c>
      <c r="E36" s="129">
        <f>SUM(E28:E35)</f>
        <v>707499115</v>
      </c>
      <c r="F36" s="130"/>
      <c r="G36" s="29">
        <v>1932006514</v>
      </c>
      <c r="H36" s="29">
        <v>67826079.770000011</v>
      </c>
      <c r="I36" s="29">
        <v>699514235</v>
      </c>
      <c r="K36" s="29">
        <v>1924941307</v>
      </c>
      <c r="L36" s="29">
        <v>67674768</v>
      </c>
      <c r="M36" s="29">
        <v>628489834</v>
      </c>
      <c r="N36" s="130"/>
      <c r="O36" s="29">
        <v>1923267256</v>
      </c>
      <c r="P36" s="29">
        <v>67429216.219999999</v>
      </c>
      <c r="Q36" s="29">
        <v>612568013</v>
      </c>
      <c r="R36" s="130"/>
      <c r="S36" s="29">
        <v>1920171313</v>
      </c>
      <c r="T36" s="29">
        <v>67366777.319999993</v>
      </c>
      <c r="U36" s="29">
        <v>595924513</v>
      </c>
    </row>
    <row r="37" spans="1:21" x14ac:dyDescent="0.25">
      <c r="A37" s="58"/>
      <c r="B37" s="59"/>
      <c r="C37" s="130"/>
      <c r="D37" s="130"/>
      <c r="E37" s="130"/>
      <c r="F37" s="130"/>
      <c r="G37" s="36"/>
      <c r="H37" s="36"/>
      <c r="I37" s="36"/>
      <c r="K37" s="36"/>
      <c r="L37" s="36"/>
      <c r="M37" s="36"/>
      <c r="N37" s="130"/>
      <c r="O37" s="36"/>
      <c r="P37" s="36"/>
      <c r="Q37" s="36"/>
      <c r="R37" s="130"/>
      <c r="S37" s="36"/>
      <c r="T37" s="36"/>
      <c r="U37" s="36"/>
    </row>
    <row r="38" spans="1:21" x14ac:dyDescent="0.25">
      <c r="A38" s="3" t="s">
        <v>207</v>
      </c>
      <c r="B38" s="30"/>
      <c r="C38" s="130"/>
      <c r="D38" s="130"/>
      <c r="E38" s="130"/>
      <c r="F38" s="130"/>
      <c r="G38" s="36"/>
      <c r="H38" s="36"/>
      <c r="I38" s="36"/>
      <c r="K38" s="36"/>
      <c r="L38" s="36"/>
      <c r="M38" s="36"/>
      <c r="N38" s="130"/>
      <c r="O38" s="36"/>
      <c r="P38" s="36"/>
      <c r="Q38" s="36"/>
      <c r="R38" s="130"/>
      <c r="S38" s="36"/>
      <c r="T38" s="36"/>
      <c r="U38" s="36"/>
    </row>
    <row r="39" spans="1:21" x14ac:dyDescent="0.25">
      <c r="A39" s="54">
        <v>22840341</v>
      </c>
      <c r="B39" s="55" t="s">
        <v>200</v>
      </c>
      <c r="C39" s="130">
        <f ca="1">+[1]Summary!$B$6+[1]Summary!$B$8</f>
        <v>-26467879.063551404</v>
      </c>
      <c r="D39" s="202" t="s">
        <v>281</v>
      </c>
      <c r="E39" s="202" t="s">
        <v>280</v>
      </c>
      <c r="F39" s="130"/>
      <c r="G39" s="36">
        <v>-27634237</v>
      </c>
      <c r="H39" s="36">
        <v>-619833.35327102803</v>
      </c>
      <c r="I39" s="36">
        <v>1011394.7457943925</v>
      </c>
      <c r="K39" s="36">
        <v>-27634237</v>
      </c>
      <c r="L39" s="36">
        <v>-619833.35327102803</v>
      </c>
      <c r="M39" s="36">
        <v>1011394.7457943925</v>
      </c>
      <c r="N39" s="130"/>
      <c r="O39" s="36">
        <v>-27634237</v>
      </c>
      <c r="P39" s="36"/>
      <c r="Q39" s="36">
        <v>391561.39252336445</v>
      </c>
      <c r="R39" s="130"/>
      <c r="S39" s="36">
        <v>-27634237</v>
      </c>
      <c r="T39" s="36"/>
      <c r="U39" s="36">
        <v>391561.39252336445</v>
      </c>
    </row>
    <row r="40" spans="1:21" x14ac:dyDescent="0.25">
      <c r="A40" s="56">
        <v>22840331</v>
      </c>
      <c r="B40" s="55" t="s">
        <v>201</v>
      </c>
      <c r="C40" s="130">
        <f ca="1">+[1]Summary!$B$5+[1]Summary!$B$7</f>
        <v>-75091619.916298345</v>
      </c>
      <c r="D40" s="202" t="s">
        <v>281</v>
      </c>
      <c r="E40" s="202" t="s">
        <v>279</v>
      </c>
      <c r="F40" s="130"/>
      <c r="G40" s="36">
        <v>-80241567</v>
      </c>
      <c r="H40" s="36">
        <v>-2659941.4475138118</v>
      </c>
      <c r="I40" s="36">
        <v>4484956.8295580102</v>
      </c>
      <c r="K40" s="36">
        <v>-80241567</v>
      </c>
      <c r="L40" s="36">
        <v>-2659941.4475138118</v>
      </c>
      <c r="M40" s="36">
        <v>4484956.8295580102</v>
      </c>
      <c r="N40" s="130"/>
      <c r="O40" s="36">
        <v>-80241567</v>
      </c>
      <c r="P40" s="36"/>
      <c r="Q40" s="36">
        <v>1825015.3820441982</v>
      </c>
      <c r="R40" s="130"/>
      <c r="S40" s="36">
        <v>-76898168.375</v>
      </c>
      <c r="T40" s="36"/>
      <c r="U40" s="36">
        <v>1167110.8828153771</v>
      </c>
    </row>
    <row r="41" spans="1:21" ht="26.4" x14ac:dyDescent="0.25">
      <c r="A41" s="57" t="s">
        <v>202</v>
      </c>
      <c r="B41" s="55"/>
      <c r="C41" s="129">
        <f ca="1">SUM(C38:C40)</f>
        <v>-101559498.97984976</v>
      </c>
      <c r="D41" s="129">
        <f>SUM(D38:D40)</f>
        <v>0</v>
      </c>
      <c r="E41" s="129">
        <f>SUM(E38:E40)</f>
        <v>0</v>
      </c>
      <c r="F41" s="130"/>
      <c r="G41" s="29">
        <v>-107875804</v>
      </c>
      <c r="H41" s="29">
        <v>-3279774.8007848398</v>
      </c>
      <c r="I41" s="29">
        <v>5496351.5753524024</v>
      </c>
      <c r="K41" s="29">
        <v>-107875804</v>
      </c>
      <c r="L41" s="29">
        <v>-3279774.8007848398</v>
      </c>
      <c r="M41" s="29">
        <v>5496351.5753524024</v>
      </c>
      <c r="N41" s="130"/>
      <c r="O41" s="29">
        <v>-107875804</v>
      </c>
      <c r="P41" s="29">
        <v>0</v>
      </c>
      <c r="Q41" s="29">
        <v>2216576.7745675626</v>
      </c>
      <c r="R41" s="130"/>
      <c r="S41" s="29">
        <v>-104532405.375</v>
      </c>
      <c r="T41" s="29">
        <v>0</v>
      </c>
      <c r="U41" s="29">
        <v>1558672.2753387415</v>
      </c>
    </row>
    <row r="42" spans="1:21" x14ac:dyDescent="0.25">
      <c r="A42" s="58"/>
      <c r="B42" s="59"/>
      <c r="C42" s="130"/>
      <c r="D42" s="130"/>
      <c r="E42" s="130"/>
      <c r="F42" s="130"/>
      <c r="G42" s="36"/>
      <c r="H42" s="36"/>
      <c r="I42" s="36"/>
      <c r="K42" s="36"/>
      <c r="L42" s="36"/>
      <c r="M42" s="36"/>
      <c r="N42" s="130"/>
      <c r="O42" s="36"/>
      <c r="P42" s="36"/>
      <c r="Q42" s="36"/>
      <c r="R42" s="130"/>
      <c r="S42" s="36"/>
      <c r="T42" s="36"/>
      <c r="U42" s="36"/>
    </row>
    <row r="43" spans="1:21" x14ac:dyDescent="0.25">
      <c r="A43" s="58"/>
      <c r="B43" s="59" t="s">
        <v>163</v>
      </c>
      <c r="C43" s="130">
        <f ca="1">C16+C26+C36+C41</f>
        <v>3838526007.0201502</v>
      </c>
      <c r="D43" s="130">
        <f>D16+D26+D36+D41</f>
        <v>105636982.84</v>
      </c>
      <c r="E43" s="130">
        <f>E16+E26+E36+E41</f>
        <v>1614882573</v>
      </c>
      <c r="F43" s="130"/>
      <c r="G43" s="36">
        <v>3823549554</v>
      </c>
      <c r="H43" s="36">
        <v>102637434.60921517</v>
      </c>
      <c r="I43" s="36">
        <v>1605582675.5753524</v>
      </c>
      <c r="K43" s="36">
        <v>3790077705</v>
      </c>
      <c r="L43" s="36">
        <v>101884545.19921516</v>
      </c>
      <c r="M43" s="36">
        <v>1524690928.5753524</v>
      </c>
      <c r="N43" s="130"/>
      <c r="O43" s="36">
        <v>3796752506</v>
      </c>
      <c r="P43" s="36">
        <v>105838178.41</v>
      </c>
      <c r="Q43" s="36">
        <v>1514530054.7745676</v>
      </c>
      <c r="R43" s="130"/>
      <c r="S43" s="36">
        <v>3811377564.625</v>
      </c>
      <c r="T43" s="36">
        <v>106965853.34999999</v>
      </c>
      <c r="U43" s="36">
        <v>1504127876.2753386</v>
      </c>
    </row>
    <row r="44" spans="1:21" x14ac:dyDescent="0.25">
      <c r="A44" s="3"/>
      <c r="B44" s="4"/>
      <c r="C44" s="110"/>
      <c r="D44" s="110"/>
      <c r="E44" s="110"/>
      <c r="F44" s="110"/>
      <c r="G44" s="31"/>
      <c r="H44" s="31"/>
      <c r="I44" s="31"/>
      <c r="K44" s="31"/>
      <c r="L44" s="31"/>
      <c r="M44" s="31"/>
      <c r="N44" s="110"/>
      <c r="O44" s="31"/>
      <c r="P44" s="31"/>
      <c r="Q44" s="31"/>
      <c r="R44" s="110"/>
      <c r="S44" s="31"/>
      <c r="T44" s="31"/>
      <c r="U44" s="31"/>
    </row>
    <row r="45" spans="1:21" ht="15.6" x14ac:dyDescent="0.3">
      <c r="A45" s="3" t="s">
        <v>164</v>
      </c>
      <c r="B45" s="4"/>
      <c r="C45" s="110"/>
      <c r="D45" s="112"/>
      <c r="E45" s="110"/>
      <c r="F45" s="110"/>
      <c r="G45" s="31"/>
      <c r="H45" s="31"/>
      <c r="I45" s="31"/>
      <c r="K45" s="31"/>
      <c r="L45" s="31"/>
      <c r="M45" s="31"/>
      <c r="N45" s="110"/>
      <c r="O45" s="31"/>
      <c r="P45" s="31"/>
      <c r="Q45" s="31"/>
      <c r="R45" s="110"/>
      <c r="S45" s="31"/>
      <c r="T45" s="31"/>
      <c r="U45" s="31"/>
    </row>
    <row r="46" spans="1:21" ht="92.4" x14ac:dyDescent="0.25">
      <c r="A46" s="10" t="s">
        <v>97</v>
      </c>
      <c r="B46" s="10" t="s">
        <v>98</v>
      </c>
      <c r="C46" s="10" t="s">
        <v>278</v>
      </c>
      <c r="D46" s="10" t="s">
        <v>282</v>
      </c>
      <c r="E46" s="10" t="s">
        <v>283</v>
      </c>
      <c r="F46" s="201"/>
      <c r="G46" s="27" t="s">
        <v>255</v>
      </c>
      <c r="H46" s="27" t="s">
        <v>256</v>
      </c>
      <c r="I46" s="27" t="s">
        <v>222</v>
      </c>
      <c r="K46" s="27" t="s">
        <v>255</v>
      </c>
      <c r="L46" s="27" t="s">
        <v>256</v>
      </c>
      <c r="M46" s="27" t="s">
        <v>222</v>
      </c>
      <c r="N46" s="201"/>
      <c r="O46" s="27" t="s">
        <v>214</v>
      </c>
      <c r="P46" s="27" t="s">
        <v>215</v>
      </c>
      <c r="Q46" s="27" t="s">
        <v>216</v>
      </c>
      <c r="R46" s="201"/>
      <c r="S46" s="27" t="s">
        <v>208</v>
      </c>
      <c r="T46" s="27" t="s">
        <v>209</v>
      </c>
      <c r="U46" s="27" t="s">
        <v>210</v>
      </c>
    </row>
    <row r="47" spans="1:21" x14ac:dyDescent="0.25">
      <c r="A47" s="12">
        <v>23001021</v>
      </c>
      <c r="B47" s="9" t="s">
        <v>99</v>
      </c>
      <c r="C47" s="109">
        <f>+[2]BS!$Q$1634</f>
        <v>-19091254.050416667</v>
      </c>
      <c r="D47" s="109">
        <v>607848.30000000005</v>
      </c>
      <c r="E47" s="109">
        <v>0</v>
      </c>
      <c r="F47" s="109"/>
      <c r="G47" s="32">
        <v>-18986243.063750003</v>
      </c>
      <c r="H47" s="32">
        <v>561580</v>
      </c>
      <c r="I47" s="32">
        <v>0</v>
      </c>
      <c r="K47" s="32">
        <v>-18986243.063750003</v>
      </c>
      <c r="L47" s="32">
        <v>192924.13</v>
      </c>
      <c r="M47" s="32">
        <v>0</v>
      </c>
      <c r="N47" s="109"/>
      <c r="O47" s="32">
        <v>-2838096.8633333333</v>
      </c>
      <c r="P47" s="32">
        <v>112319.03999999999</v>
      </c>
      <c r="Q47" s="32">
        <v>0</v>
      </c>
      <c r="R47" s="109"/>
      <c r="S47" s="32">
        <v>-2119561.2679166668</v>
      </c>
      <c r="T47" s="32">
        <v>110773.05</v>
      </c>
      <c r="U47" s="32">
        <v>0</v>
      </c>
    </row>
    <row r="48" spans="1:21" x14ac:dyDescent="0.25">
      <c r="A48" s="12">
        <v>23001031</v>
      </c>
      <c r="B48" s="9" t="s">
        <v>100</v>
      </c>
      <c r="C48" s="109">
        <f>+[2]BS!$Q$1636</f>
        <v>-19475859.264583334</v>
      </c>
      <c r="D48" s="109">
        <v>620102.97</v>
      </c>
      <c r="E48" s="109">
        <v>0</v>
      </c>
      <c r="F48" s="109"/>
      <c r="G48" s="32">
        <v>-19370499.552083332</v>
      </c>
      <c r="H48" s="32">
        <v>569318</v>
      </c>
      <c r="I48" s="32">
        <v>0</v>
      </c>
      <c r="K48" s="32">
        <v>-19370499.552083332</v>
      </c>
      <c r="L48" s="32">
        <v>161246.97</v>
      </c>
      <c r="M48" s="32">
        <v>0</v>
      </c>
      <c r="N48" s="109"/>
      <c r="O48" s="32">
        <v>-1917996.1320833333</v>
      </c>
      <c r="P48" s="32">
        <v>72203.94</v>
      </c>
      <c r="Q48" s="32">
        <v>0</v>
      </c>
      <c r="R48" s="109"/>
      <c r="S48" s="32">
        <v>-1151823.6345833333</v>
      </c>
      <c r="T48" s="32">
        <v>71098.25</v>
      </c>
      <c r="U48" s="32">
        <v>0</v>
      </c>
    </row>
    <row r="49" spans="1:21" x14ac:dyDescent="0.25">
      <c r="A49" s="12">
        <v>23001141</v>
      </c>
      <c r="B49" s="9" t="s">
        <v>165</v>
      </c>
      <c r="C49" s="109">
        <f>+[2]BS!$Q$1649</f>
        <v>-557444.59833333339</v>
      </c>
      <c r="D49" s="109">
        <v>10965.29</v>
      </c>
      <c r="E49" s="109">
        <v>0</v>
      </c>
      <c r="F49" s="109"/>
      <c r="G49" s="32">
        <v>-556540.64749999996</v>
      </c>
      <c r="H49" s="32">
        <v>10968</v>
      </c>
      <c r="I49" s="32">
        <v>0</v>
      </c>
      <c r="K49" s="32">
        <v>-556540.64749999996</v>
      </c>
      <c r="L49" s="32">
        <v>11383.15</v>
      </c>
      <c r="M49" s="32">
        <v>0</v>
      </c>
      <c r="N49" s="109"/>
      <c r="O49" s="32">
        <v>-582530.76833333331</v>
      </c>
      <c r="P49" s="32">
        <v>11460.62</v>
      </c>
      <c r="Q49" s="32">
        <v>0</v>
      </c>
      <c r="R49" s="109"/>
      <c r="S49" s="32">
        <v>-579672.64791666681</v>
      </c>
      <c r="T49" s="32">
        <v>11404.39</v>
      </c>
      <c r="U49" s="32">
        <v>0</v>
      </c>
    </row>
    <row r="50" spans="1:21" x14ac:dyDescent="0.25">
      <c r="A50" s="12">
        <v>23001231</v>
      </c>
      <c r="B50" s="22" t="s">
        <v>156</v>
      </c>
      <c r="C50" s="109">
        <f>+[2]BS!$Q$1653</f>
        <v>-1165732.06</v>
      </c>
      <c r="D50" s="109">
        <v>37567.050000000003</v>
      </c>
      <c r="E50" s="109">
        <v>0</v>
      </c>
      <c r="F50" s="109"/>
      <c r="G50" s="32">
        <v>-1177597.9570833335</v>
      </c>
      <c r="H50" s="32">
        <v>32681</v>
      </c>
      <c r="I50" s="32">
        <v>0</v>
      </c>
      <c r="K50" s="32">
        <v>-1177597.9570833335</v>
      </c>
      <c r="L50" s="32">
        <v>30628.58</v>
      </c>
      <c r="M50" s="32">
        <v>0</v>
      </c>
      <c r="N50" s="109"/>
      <c r="O50" s="32">
        <v>-1627438.6974999998</v>
      </c>
      <c r="P50" s="32">
        <v>32147.96</v>
      </c>
      <c r="Q50" s="32">
        <v>0</v>
      </c>
      <c r="R50" s="109"/>
      <c r="S50" s="32">
        <v>-1619421.51875</v>
      </c>
      <c r="T50" s="32">
        <v>31989.59</v>
      </c>
      <c r="U50" s="32">
        <v>0</v>
      </c>
    </row>
    <row r="51" spans="1:21" ht="14.4" customHeight="1" x14ac:dyDescent="0.25">
      <c r="A51" s="12">
        <v>23001041</v>
      </c>
      <c r="B51" s="15" t="s">
        <v>101</v>
      </c>
      <c r="C51" s="109">
        <f>+[2]BS!$Q$1637</f>
        <v>-7829614.4329166664</v>
      </c>
      <c r="D51" s="109">
        <v>266713.8</v>
      </c>
      <c r="E51" s="109">
        <v>0</v>
      </c>
      <c r="F51" s="109"/>
      <c r="G51" s="32">
        <v>-5123106.4658333333</v>
      </c>
      <c r="H51" s="32">
        <v>184865</v>
      </c>
      <c r="I51" s="32">
        <v>0</v>
      </c>
      <c r="K51" s="32">
        <v>-5123106.4658333333</v>
      </c>
      <c r="L51" s="32">
        <v>108857.88</v>
      </c>
      <c r="M51" s="32">
        <v>0</v>
      </c>
      <c r="N51" s="109"/>
      <c r="O51" s="32">
        <v>-2051271.1375000002</v>
      </c>
      <c r="P51" s="32">
        <v>107218.62</v>
      </c>
      <c r="Q51" s="32">
        <v>0</v>
      </c>
      <c r="R51" s="109"/>
      <c r="S51" s="32">
        <v>-1773395.2516666669</v>
      </c>
      <c r="T51" s="32">
        <v>97138.14</v>
      </c>
      <c r="U51" s="32">
        <v>0</v>
      </c>
    </row>
    <row r="52" spans="1:21" ht="13.95" customHeight="1" x14ac:dyDescent="0.25">
      <c r="A52" s="12">
        <v>23002011</v>
      </c>
      <c r="B52" s="15" t="s">
        <v>102</v>
      </c>
      <c r="C52" s="109">
        <f>+[2]BS!$Q$1656</f>
        <v>-909356.31958333345</v>
      </c>
      <c r="D52" s="109">
        <v>55301.75</v>
      </c>
      <c r="E52" s="109">
        <v>0</v>
      </c>
      <c r="F52" s="109"/>
      <c r="G52" s="32">
        <v>-895635.4291666667</v>
      </c>
      <c r="H52" s="32">
        <v>54467</v>
      </c>
      <c r="I52" s="32">
        <v>0</v>
      </c>
      <c r="K52" s="32">
        <v>-895635.4291666667</v>
      </c>
      <c r="L52" s="32">
        <v>52038.64</v>
      </c>
      <c r="M52" s="32">
        <v>0</v>
      </c>
      <c r="N52" s="109"/>
      <c r="O52" s="32">
        <v>-842791.26416666666</v>
      </c>
      <c r="P52" s="32">
        <v>51253.440000000002</v>
      </c>
      <c r="Q52" s="32">
        <v>0</v>
      </c>
      <c r="R52" s="109"/>
      <c r="S52" s="32">
        <v>-830074.79625000001</v>
      </c>
      <c r="T52" s="32">
        <v>50480.05</v>
      </c>
      <c r="U52" s="32">
        <v>0</v>
      </c>
    </row>
    <row r="53" spans="1:21" ht="15" customHeight="1" x14ac:dyDescent="0.25">
      <c r="A53" s="12">
        <v>23002041</v>
      </c>
      <c r="B53" s="15" t="s">
        <v>103</v>
      </c>
      <c r="C53" s="109">
        <f>+[2]BS!$Q$1661</f>
        <v>-7138934.9266666668</v>
      </c>
      <c r="D53" s="109">
        <v>212740.68</v>
      </c>
      <c r="E53" s="109">
        <v>0</v>
      </c>
      <c r="F53" s="109"/>
      <c r="G53" s="32">
        <v>-7163064.0266666664</v>
      </c>
      <c r="H53" s="32">
        <v>187224</v>
      </c>
      <c r="I53" s="32">
        <v>0</v>
      </c>
      <c r="K53" s="32">
        <v>-7163064.0266666664</v>
      </c>
      <c r="L53" s="32">
        <v>165675.32999999999</v>
      </c>
      <c r="M53" s="32">
        <v>0</v>
      </c>
      <c r="N53" s="109"/>
      <c r="O53" s="32">
        <v>-8652983.9312500004</v>
      </c>
      <c r="P53" s="32">
        <v>170669.51</v>
      </c>
      <c r="Q53" s="32">
        <v>0</v>
      </c>
      <c r="R53" s="109"/>
      <c r="S53" s="32">
        <v>-8610421.5666666664</v>
      </c>
      <c r="T53" s="32">
        <v>169830.02</v>
      </c>
      <c r="U53" s="32">
        <v>0</v>
      </c>
    </row>
    <row r="54" spans="1:21" ht="15.6" customHeight="1" x14ac:dyDescent="0.25">
      <c r="A54" s="12">
        <v>23001131</v>
      </c>
      <c r="B54" s="15" t="s">
        <v>145</v>
      </c>
      <c r="C54" s="109">
        <f>+[2]BS!$Q$1648</f>
        <v>-12116038.135416666</v>
      </c>
      <c r="D54" s="109">
        <v>472792.87</v>
      </c>
      <c r="E54" s="109">
        <v>0</v>
      </c>
      <c r="F54" s="109"/>
      <c r="G54" s="32">
        <v>-9512158.6329166684</v>
      </c>
      <c r="H54" s="32">
        <v>382001</v>
      </c>
      <c r="I54" s="32">
        <v>0</v>
      </c>
      <c r="K54" s="32">
        <v>-9512158.6329166684</v>
      </c>
      <c r="L54" s="32">
        <v>312981.33</v>
      </c>
      <c r="M54" s="32">
        <v>0</v>
      </c>
      <c r="N54" s="109"/>
      <c r="O54" s="32">
        <v>-6449676.4058333337</v>
      </c>
      <c r="P54" s="32">
        <v>307085.65999999997</v>
      </c>
      <c r="Q54" s="32">
        <v>0</v>
      </c>
      <c r="R54" s="109"/>
      <c r="S54" s="32">
        <v>-6161812.0554166688</v>
      </c>
      <c r="T54" s="32">
        <v>297475.11</v>
      </c>
      <c r="U54" s="32">
        <v>0</v>
      </c>
    </row>
    <row r="55" spans="1:21" ht="15.6" customHeight="1" x14ac:dyDescent="0.25">
      <c r="A55" s="56">
        <v>23001151</v>
      </c>
      <c r="B55" s="125" t="s">
        <v>261</v>
      </c>
      <c r="C55" s="109">
        <f>+[2]BS!$Q$1650</f>
        <v>-152434.75958333336</v>
      </c>
      <c r="D55" s="109">
        <v>3053.11</v>
      </c>
      <c r="E55" s="109"/>
      <c r="F55" s="109"/>
      <c r="G55" s="32">
        <v>-192792.01333333331</v>
      </c>
      <c r="H55" s="32">
        <v>3812</v>
      </c>
      <c r="I55" s="32"/>
      <c r="K55" s="32"/>
      <c r="L55" s="32"/>
      <c r="M55" s="32"/>
      <c r="N55" s="109"/>
      <c r="O55" s="32"/>
      <c r="P55" s="32"/>
      <c r="Q55" s="32"/>
      <c r="R55" s="109"/>
      <c r="S55" s="32"/>
      <c r="T55" s="32"/>
      <c r="U55" s="32"/>
    </row>
    <row r="56" spans="1:21" x14ac:dyDescent="0.25">
      <c r="A56" s="12"/>
      <c r="B56" s="15"/>
      <c r="C56" s="131">
        <f>SUM(C47:C55)</f>
        <v>-68436668.547500014</v>
      </c>
      <c r="D56" s="131">
        <f>SUM(D47:D55)</f>
        <v>2287085.8199999998</v>
      </c>
      <c r="E56" s="131">
        <f>SUM(E47:E54)</f>
        <v>0</v>
      </c>
      <c r="F56" s="203"/>
      <c r="G56" s="33">
        <v>-62977637.788333341</v>
      </c>
      <c r="H56" s="33">
        <v>1986916</v>
      </c>
      <c r="I56" s="33">
        <v>0</v>
      </c>
      <c r="K56" s="33">
        <v>-62784845.775000006</v>
      </c>
      <c r="L56" s="33">
        <v>1035736.01</v>
      </c>
      <c r="M56" s="33">
        <v>0</v>
      </c>
      <c r="N56" s="203"/>
      <c r="O56" s="33">
        <v>-24962785.199999999</v>
      </c>
      <c r="P56" s="33">
        <v>864358.7899999998</v>
      </c>
      <c r="Q56" s="33">
        <v>0</v>
      </c>
      <c r="R56" s="203"/>
      <c r="S56" s="33">
        <v>-22846182.73916667</v>
      </c>
      <c r="T56" s="33">
        <v>840188.6</v>
      </c>
      <c r="U56" s="33">
        <v>0</v>
      </c>
    </row>
    <row r="57" spans="1:21" x14ac:dyDescent="0.25">
      <c r="A57" s="12"/>
      <c r="B57" s="15"/>
      <c r="C57" s="132"/>
      <c r="D57" s="132"/>
      <c r="E57" s="132"/>
      <c r="F57" s="132"/>
      <c r="G57" s="34"/>
      <c r="H57" s="34"/>
      <c r="I57" s="34"/>
      <c r="K57" s="34"/>
      <c r="L57" s="34"/>
      <c r="M57" s="34"/>
      <c r="N57" s="132"/>
      <c r="O57" s="34"/>
      <c r="P57" s="34"/>
      <c r="Q57" s="34"/>
      <c r="R57" s="132"/>
      <c r="S57" s="34"/>
      <c r="T57" s="34"/>
      <c r="U57" s="34"/>
    </row>
    <row r="58" spans="1:21" x14ac:dyDescent="0.25">
      <c r="A58" s="13" t="s">
        <v>104</v>
      </c>
      <c r="B58" s="14"/>
      <c r="C58" s="133">
        <f ca="1">C43+C56</f>
        <v>3770089338.4726501</v>
      </c>
      <c r="D58" s="133">
        <f>D43+D56</f>
        <v>107924068.66</v>
      </c>
      <c r="E58" s="133">
        <f>E43+E56</f>
        <v>1614882573</v>
      </c>
      <c r="F58" s="204"/>
      <c r="G58" s="35">
        <v>3760571916.2116666</v>
      </c>
      <c r="H58" s="35">
        <v>104624350.60921517</v>
      </c>
      <c r="I58" s="35">
        <v>1605582675.5753524</v>
      </c>
      <c r="K58" s="35">
        <v>3727292859.2249999</v>
      </c>
      <c r="L58" s="35">
        <v>102920281.20921516</v>
      </c>
      <c r="M58" s="35">
        <v>1524690928.5753524</v>
      </c>
      <c r="N58" s="204"/>
      <c r="O58" s="35">
        <v>3771789720.8000002</v>
      </c>
      <c r="P58" s="35">
        <v>106702537.2</v>
      </c>
      <c r="Q58" s="35">
        <v>1514530054.7745676</v>
      </c>
      <c r="R58" s="204"/>
      <c r="S58" s="35">
        <v>3788531381.8858333</v>
      </c>
      <c r="T58" s="35">
        <v>107806041.94999999</v>
      </c>
      <c r="U58" s="35">
        <v>1504127876.2753386</v>
      </c>
    </row>
    <row r="59" spans="1:21" x14ac:dyDescent="0.25">
      <c r="A59" s="3"/>
      <c r="B59" s="4"/>
      <c r="C59" s="110"/>
      <c r="D59" s="110"/>
      <c r="E59" s="110"/>
      <c r="F59" s="110"/>
      <c r="G59" s="31"/>
      <c r="H59" s="31"/>
      <c r="I59" s="31"/>
      <c r="K59" s="31"/>
      <c r="L59" s="31"/>
      <c r="M59" s="31"/>
      <c r="N59" s="110"/>
      <c r="O59" s="31"/>
      <c r="P59" s="31"/>
      <c r="Q59" s="31"/>
      <c r="R59" s="110"/>
      <c r="S59" s="31"/>
      <c r="T59" s="31"/>
      <c r="U59" s="31"/>
    </row>
    <row r="60" spans="1:21" x14ac:dyDescent="0.25">
      <c r="A60" s="3"/>
      <c r="B60" s="4"/>
      <c r="C60" s="110"/>
      <c r="D60" s="110"/>
      <c r="E60" s="110"/>
      <c r="F60" s="110"/>
      <c r="G60" s="31"/>
      <c r="H60" s="31"/>
      <c r="I60" s="31"/>
      <c r="K60" s="31"/>
      <c r="L60" s="31"/>
      <c r="M60" s="31"/>
      <c r="N60" s="110"/>
      <c r="O60" s="31"/>
      <c r="P60" s="31"/>
      <c r="Q60" s="31"/>
      <c r="R60" s="110"/>
      <c r="S60" s="31"/>
      <c r="T60" s="31"/>
      <c r="U60" s="31"/>
    </row>
    <row r="61" spans="1:21" ht="15.6" x14ac:dyDescent="0.3">
      <c r="A61" s="3" t="s">
        <v>44</v>
      </c>
      <c r="B61" s="4"/>
      <c r="C61" s="110"/>
      <c r="D61" s="112"/>
      <c r="E61" s="110"/>
      <c r="F61" s="110"/>
      <c r="G61" s="31"/>
      <c r="H61" s="31"/>
      <c r="I61" s="31"/>
      <c r="K61" s="31"/>
      <c r="L61" s="31"/>
      <c r="M61" s="31"/>
      <c r="N61" s="110"/>
      <c r="O61" s="31"/>
      <c r="P61" s="31"/>
      <c r="Q61" s="31"/>
      <c r="R61" s="110"/>
      <c r="S61" s="31"/>
      <c r="T61" s="31"/>
      <c r="U61" s="31"/>
    </row>
    <row r="62" spans="1:21" x14ac:dyDescent="0.25">
      <c r="A62" s="5" t="s">
        <v>45</v>
      </c>
      <c r="B62" s="6" t="s">
        <v>46</v>
      </c>
      <c r="C62" s="110">
        <v>3795327</v>
      </c>
      <c r="D62" s="110">
        <v>0</v>
      </c>
      <c r="E62" s="110">
        <v>0</v>
      </c>
      <c r="F62" s="110"/>
      <c r="G62" s="31">
        <v>3795358</v>
      </c>
      <c r="H62" s="31">
        <v>0</v>
      </c>
      <c r="I62" s="31">
        <v>0</v>
      </c>
      <c r="K62" s="31">
        <v>3795547</v>
      </c>
      <c r="L62" s="31">
        <v>0</v>
      </c>
      <c r="M62" s="31">
        <v>0</v>
      </c>
      <c r="N62" s="110"/>
      <c r="O62" s="31">
        <v>3795670</v>
      </c>
      <c r="P62" s="31">
        <v>0</v>
      </c>
      <c r="Q62" s="31">
        <v>0</v>
      </c>
      <c r="R62" s="110"/>
      <c r="S62" s="31">
        <v>3795761</v>
      </c>
      <c r="T62" s="31">
        <v>0</v>
      </c>
      <c r="U62" s="31">
        <v>0</v>
      </c>
    </row>
    <row r="63" spans="1:21" x14ac:dyDescent="0.25">
      <c r="A63" s="5" t="s">
        <v>30</v>
      </c>
      <c r="B63" s="6" t="s">
        <v>47</v>
      </c>
      <c r="C63" s="110">
        <v>5854819</v>
      </c>
      <c r="D63" s="110">
        <v>0</v>
      </c>
      <c r="E63" s="110">
        <v>0</v>
      </c>
      <c r="F63" s="110"/>
      <c r="G63" s="31">
        <v>5666329</v>
      </c>
      <c r="H63" s="31">
        <v>0</v>
      </c>
      <c r="I63" s="31">
        <v>0</v>
      </c>
      <c r="K63" s="31">
        <v>5153475</v>
      </c>
      <c r="L63" s="31">
        <v>0</v>
      </c>
      <c r="M63" s="31">
        <v>0</v>
      </c>
      <c r="N63" s="110"/>
      <c r="O63" s="31">
        <v>4991683</v>
      </c>
      <c r="P63" s="31">
        <v>0</v>
      </c>
      <c r="Q63" s="31">
        <v>0</v>
      </c>
      <c r="R63" s="110"/>
      <c r="S63" s="31">
        <v>4829892</v>
      </c>
      <c r="T63" s="31">
        <v>0</v>
      </c>
      <c r="U63" s="31">
        <v>0</v>
      </c>
    </row>
    <row r="64" spans="1:21" x14ac:dyDescent="0.25">
      <c r="A64" s="5" t="s">
        <v>42</v>
      </c>
      <c r="B64" s="6" t="s">
        <v>48</v>
      </c>
      <c r="C64" s="110">
        <v>15797863</v>
      </c>
      <c r="D64" s="110">
        <v>0</v>
      </c>
      <c r="E64" s="110">
        <v>0</v>
      </c>
      <c r="F64" s="110"/>
      <c r="G64" s="31">
        <v>15816050</v>
      </c>
      <c r="H64" s="31">
        <v>0</v>
      </c>
      <c r="I64" s="31">
        <v>0</v>
      </c>
      <c r="K64" s="31">
        <v>15867578</v>
      </c>
      <c r="L64" s="31">
        <v>0</v>
      </c>
      <c r="M64" s="31">
        <v>0</v>
      </c>
      <c r="N64" s="110"/>
      <c r="O64" s="31">
        <v>15867578</v>
      </c>
      <c r="P64" s="31">
        <v>0</v>
      </c>
      <c r="Q64" s="31">
        <v>0</v>
      </c>
      <c r="R64" s="110"/>
      <c r="S64" s="31">
        <v>15867578</v>
      </c>
      <c r="T64" s="31">
        <v>0</v>
      </c>
      <c r="U64" s="31">
        <v>0</v>
      </c>
    </row>
    <row r="65" spans="1:21" x14ac:dyDescent="0.25">
      <c r="A65" s="5" t="s">
        <v>49</v>
      </c>
      <c r="B65" s="6" t="s">
        <v>20</v>
      </c>
      <c r="C65" s="110">
        <v>0</v>
      </c>
      <c r="D65" s="110">
        <v>0</v>
      </c>
      <c r="E65" s="110">
        <v>0</v>
      </c>
      <c r="F65" s="110"/>
      <c r="G65" s="31">
        <v>0</v>
      </c>
      <c r="H65" s="31">
        <v>0</v>
      </c>
      <c r="I65" s="31">
        <v>0</v>
      </c>
      <c r="K65" s="31">
        <v>0</v>
      </c>
      <c r="L65" s="31">
        <v>0</v>
      </c>
      <c r="M65" s="31">
        <v>0</v>
      </c>
      <c r="N65" s="110"/>
      <c r="O65" s="31">
        <v>0</v>
      </c>
      <c r="P65" s="31">
        <v>0</v>
      </c>
      <c r="Q65" s="31">
        <v>0</v>
      </c>
      <c r="R65" s="110"/>
      <c r="S65" s="31">
        <v>0</v>
      </c>
      <c r="T65" s="31">
        <v>0</v>
      </c>
      <c r="U65" s="31">
        <v>0</v>
      </c>
    </row>
    <row r="66" spans="1:21" x14ac:dyDescent="0.25">
      <c r="A66" s="5" t="s">
        <v>50</v>
      </c>
      <c r="B66" s="6" t="s">
        <v>37</v>
      </c>
      <c r="C66" s="110">
        <v>0</v>
      </c>
      <c r="D66" s="110">
        <v>0</v>
      </c>
      <c r="E66" s="110">
        <v>0</v>
      </c>
      <c r="F66" s="110"/>
      <c r="G66" s="31">
        <v>0</v>
      </c>
      <c r="H66" s="31">
        <v>0</v>
      </c>
      <c r="I66" s="31">
        <v>0</v>
      </c>
      <c r="K66" s="31">
        <v>0</v>
      </c>
      <c r="L66" s="31">
        <v>0</v>
      </c>
      <c r="M66" s="31">
        <v>0</v>
      </c>
      <c r="N66" s="110"/>
      <c r="O66" s="31">
        <v>0</v>
      </c>
      <c r="P66" s="31">
        <v>0</v>
      </c>
      <c r="Q66" s="31">
        <v>0</v>
      </c>
      <c r="R66" s="110"/>
      <c r="S66" s="31">
        <v>0</v>
      </c>
      <c r="T66" s="31">
        <v>0</v>
      </c>
      <c r="U66" s="31">
        <v>0</v>
      </c>
    </row>
    <row r="67" spans="1:21" x14ac:dyDescent="0.25">
      <c r="A67" s="7">
        <v>100000</v>
      </c>
      <c r="B67" s="6" t="s">
        <v>161</v>
      </c>
      <c r="C67" s="130">
        <v>0</v>
      </c>
      <c r="D67" s="130">
        <v>0</v>
      </c>
      <c r="E67" s="130">
        <v>0</v>
      </c>
      <c r="F67" s="130"/>
      <c r="G67" s="36">
        <v>0</v>
      </c>
      <c r="H67" s="36">
        <v>0</v>
      </c>
      <c r="I67" s="36">
        <v>0</v>
      </c>
      <c r="K67" s="36">
        <v>0</v>
      </c>
      <c r="L67" s="36">
        <v>0</v>
      </c>
      <c r="M67" s="36">
        <v>0</v>
      </c>
      <c r="N67" s="130"/>
      <c r="O67" s="36">
        <v>0</v>
      </c>
      <c r="P67" s="36">
        <v>0</v>
      </c>
      <c r="Q67" s="36">
        <v>0</v>
      </c>
      <c r="R67" s="130"/>
      <c r="S67" s="36">
        <v>0</v>
      </c>
      <c r="T67" s="36">
        <v>0</v>
      </c>
      <c r="U67" s="36">
        <v>0</v>
      </c>
    </row>
    <row r="68" spans="1:21" x14ac:dyDescent="0.25">
      <c r="A68" s="7">
        <v>100006</v>
      </c>
      <c r="B68" s="6" t="s">
        <v>162</v>
      </c>
      <c r="C68" s="130">
        <v>98622</v>
      </c>
      <c r="D68" s="130">
        <v>19724.47</v>
      </c>
      <c r="E68" s="134">
        <v>25477</v>
      </c>
      <c r="F68" s="130"/>
      <c r="G68" s="36">
        <v>98622</v>
      </c>
      <c r="H68" s="36">
        <v>19724</v>
      </c>
      <c r="I68" s="36">
        <v>20546</v>
      </c>
      <c r="K68" s="36">
        <v>78076</v>
      </c>
      <c r="L68" s="36">
        <v>15615.22</v>
      </c>
      <c r="M68" s="36">
        <v>6198</v>
      </c>
      <c r="N68" s="130"/>
      <c r="O68" s="36">
        <v>53420</v>
      </c>
      <c r="P68" s="36">
        <v>10684.09</v>
      </c>
      <c r="Q68" s="36">
        <v>2911</v>
      </c>
      <c r="R68" s="130"/>
      <c r="S68" s="36">
        <v>28765</v>
      </c>
      <c r="T68" s="36">
        <v>5753</v>
      </c>
      <c r="U68" s="36">
        <v>856</v>
      </c>
    </row>
    <row r="69" spans="1:21" x14ac:dyDescent="0.25">
      <c r="A69" s="7">
        <v>100469</v>
      </c>
      <c r="B69" s="6" t="s">
        <v>51</v>
      </c>
      <c r="C69" s="130">
        <v>39604562</v>
      </c>
      <c r="D69" s="130">
        <v>808842.79</v>
      </c>
      <c r="E69" s="134">
        <v>5810039</v>
      </c>
      <c r="F69" s="130"/>
      <c r="G69" s="36">
        <v>39549202</v>
      </c>
      <c r="H69" s="36">
        <v>803137</v>
      </c>
      <c r="I69" s="36">
        <v>5606975</v>
      </c>
      <c r="K69" s="36">
        <v>39331770</v>
      </c>
      <c r="L69" s="36">
        <v>786489.73</v>
      </c>
      <c r="M69" s="36">
        <v>5008608</v>
      </c>
      <c r="N69" s="130"/>
      <c r="O69" s="36">
        <v>39319203</v>
      </c>
      <c r="P69" s="36">
        <v>786488.76</v>
      </c>
      <c r="Q69" s="36">
        <v>4811985</v>
      </c>
      <c r="R69" s="130"/>
      <c r="S69" s="36">
        <v>39319203</v>
      </c>
      <c r="T69" s="36">
        <v>786488.76</v>
      </c>
      <c r="U69" s="36">
        <v>4615363</v>
      </c>
    </row>
    <row r="70" spans="1:21" x14ac:dyDescent="0.25">
      <c r="A70" s="7">
        <v>101000</v>
      </c>
      <c r="B70" s="6" t="s">
        <v>52</v>
      </c>
      <c r="C70" s="130">
        <v>14988060</v>
      </c>
      <c r="D70" s="130">
        <v>389141.66000000003</v>
      </c>
      <c r="E70" s="134">
        <v>4097799</v>
      </c>
      <c r="F70" s="130"/>
      <c r="G70" s="36">
        <v>14988060</v>
      </c>
      <c r="H70" s="36">
        <v>390398</v>
      </c>
      <c r="I70" s="36">
        <v>4001823</v>
      </c>
      <c r="K70" s="36">
        <v>14988060</v>
      </c>
      <c r="L70" s="36">
        <v>385371.47</v>
      </c>
      <c r="M70" s="36">
        <v>3712846</v>
      </c>
      <c r="N70" s="130"/>
      <c r="O70" s="36">
        <v>14988060</v>
      </c>
      <c r="P70" s="36">
        <v>384114.84</v>
      </c>
      <c r="Q70" s="36">
        <v>3616765</v>
      </c>
      <c r="R70" s="130"/>
      <c r="S70" s="36">
        <v>14988060</v>
      </c>
      <c r="T70" s="36">
        <v>384114.84</v>
      </c>
      <c r="U70" s="36">
        <v>3520737</v>
      </c>
    </row>
    <row r="71" spans="1:21" x14ac:dyDescent="0.25">
      <c r="A71" s="4"/>
      <c r="B71" s="3" t="s">
        <v>53</v>
      </c>
      <c r="C71" s="129">
        <f>SUM(C62:C70)</f>
        <v>80139253</v>
      </c>
      <c r="D71" s="129">
        <f>SUM(D62:D70)</f>
        <v>1217708.92</v>
      </c>
      <c r="E71" s="129">
        <f>SUM(E62:E70)</f>
        <v>9933315</v>
      </c>
      <c r="F71" s="130"/>
      <c r="G71" s="29">
        <v>79913621</v>
      </c>
      <c r="H71" s="29">
        <v>1213259</v>
      </c>
      <c r="I71" s="29">
        <v>9629344</v>
      </c>
      <c r="K71" s="29">
        <v>79214506</v>
      </c>
      <c r="L71" s="29">
        <v>1187476.42</v>
      </c>
      <c r="M71" s="29">
        <v>8727652</v>
      </c>
      <c r="N71" s="130"/>
      <c r="O71" s="29">
        <v>79015614</v>
      </c>
      <c r="P71" s="29">
        <v>1181287.69</v>
      </c>
      <c r="Q71" s="29">
        <v>8431661</v>
      </c>
      <c r="R71" s="130"/>
      <c r="S71" s="29">
        <v>78829259</v>
      </c>
      <c r="T71" s="29">
        <v>1176356.6000000001</v>
      </c>
      <c r="U71" s="29">
        <v>8136956</v>
      </c>
    </row>
    <row r="72" spans="1:21" x14ac:dyDescent="0.25">
      <c r="A72" s="4"/>
      <c r="B72" s="4"/>
      <c r="C72" s="135"/>
      <c r="D72" s="135"/>
      <c r="E72" s="135"/>
      <c r="F72" s="205"/>
      <c r="G72" s="37"/>
      <c r="H72" s="37"/>
      <c r="I72" s="37"/>
      <c r="K72" s="37"/>
      <c r="L72" s="37"/>
      <c r="M72" s="37"/>
      <c r="N72" s="205"/>
      <c r="O72" s="37"/>
      <c r="P72" s="37"/>
      <c r="Q72" s="37"/>
      <c r="R72" s="205"/>
      <c r="S72" s="37"/>
      <c r="T72" s="37"/>
      <c r="U72" s="37"/>
    </row>
    <row r="73" spans="1:21" x14ac:dyDescent="0.25">
      <c r="A73" s="8" t="s">
        <v>166</v>
      </c>
      <c r="B73" s="111"/>
      <c r="C73" s="136">
        <f ca="1">C58+C71</f>
        <v>3850228591.4726501</v>
      </c>
      <c r="D73" s="136">
        <f>D58+D71</f>
        <v>109141777.58</v>
      </c>
      <c r="E73" s="136">
        <f>E58+E71</f>
        <v>1624815888</v>
      </c>
      <c r="F73" s="136"/>
      <c r="G73" s="38">
        <v>3840485537.2116666</v>
      </c>
      <c r="H73" s="38">
        <v>105837609.60921517</v>
      </c>
      <c r="I73" s="38">
        <v>1615212019.5753524</v>
      </c>
      <c r="K73" s="38">
        <v>3806507365.2249999</v>
      </c>
      <c r="L73" s="38">
        <v>104107757.62921517</v>
      </c>
      <c r="M73" s="38">
        <v>1533418580.5753524</v>
      </c>
      <c r="N73" s="136"/>
      <c r="O73" s="38">
        <v>3850805334.8000002</v>
      </c>
      <c r="P73" s="38">
        <v>107883824.89</v>
      </c>
      <c r="Q73" s="38">
        <v>1522961715.7745676</v>
      </c>
      <c r="R73" s="136"/>
      <c r="S73" s="38">
        <v>3867360640.8858333</v>
      </c>
      <c r="T73" s="38">
        <v>108982398.54999998</v>
      </c>
      <c r="U73" s="38">
        <v>1512264832.2753386</v>
      </c>
    </row>
    <row r="74" spans="1:21" x14ac:dyDescent="0.25">
      <c r="K74" s="66"/>
      <c r="L74" s="66"/>
      <c r="M74" s="66"/>
      <c r="O74" s="66"/>
      <c r="P74" s="66"/>
      <c r="Q74" s="66"/>
    </row>
    <row r="75" spans="1:21" x14ac:dyDescent="0.25">
      <c r="C75" s="67">
        <f ca="1">C73-E41</f>
        <v>3850228591.4726501</v>
      </c>
      <c r="E75" s="119"/>
      <c r="K75" s="66"/>
      <c r="L75" s="66"/>
      <c r="M75" s="66"/>
      <c r="O75" s="66"/>
      <c r="P75" s="66"/>
      <c r="Q75" s="66"/>
    </row>
    <row r="76" spans="1:21" x14ac:dyDescent="0.25">
      <c r="E76" s="67"/>
      <c r="K76" s="66"/>
      <c r="L76" s="66"/>
      <c r="M76" s="66"/>
      <c r="O76" s="66"/>
      <c r="P76" s="66"/>
      <c r="Q76" s="66"/>
    </row>
    <row r="77" spans="1:21" x14ac:dyDescent="0.25">
      <c r="K77" s="66"/>
      <c r="L77" s="66"/>
      <c r="M77" s="66"/>
      <c r="O77" s="66"/>
      <c r="P77" s="66"/>
      <c r="Q77" s="66"/>
    </row>
    <row r="78" spans="1:21" x14ac:dyDescent="0.25">
      <c r="K78" s="66"/>
      <c r="L78" s="66"/>
      <c r="M78" s="66"/>
      <c r="O78" s="66"/>
      <c r="P78" s="66"/>
      <c r="Q78" s="66"/>
    </row>
    <row r="79" spans="1:21" x14ac:dyDescent="0.25">
      <c r="K79" s="66"/>
      <c r="L79" s="66"/>
      <c r="M79" s="66"/>
      <c r="O79" s="66"/>
      <c r="P79" s="66"/>
      <c r="Q79" s="66"/>
    </row>
    <row r="80" spans="1:21" x14ac:dyDescent="0.25">
      <c r="K80" s="66"/>
      <c r="L80" s="66"/>
      <c r="M80" s="66"/>
      <c r="O80" s="66"/>
      <c r="P80" s="66"/>
      <c r="Q80" s="66"/>
    </row>
    <row r="81" spans="11:17" x14ac:dyDescent="0.25">
      <c r="K81" s="66"/>
      <c r="L81" s="66"/>
      <c r="M81" s="66"/>
      <c r="O81" s="66"/>
      <c r="P81" s="66"/>
      <c r="Q81" s="66"/>
    </row>
    <row r="82" spans="11:17" x14ac:dyDescent="0.25">
      <c r="K82" s="66"/>
      <c r="L82" s="66"/>
      <c r="M82" s="66"/>
      <c r="O82" s="66"/>
      <c r="P82" s="66"/>
      <c r="Q82" s="66"/>
    </row>
    <row r="83" spans="11:17" x14ac:dyDescent="0.25">
      <c r="K83" s="66"/>
      <c r="L83" s="66"/>
      <c r="M83" s="66"/>
      <c r="O83" s="66"/>
      <c r="P83" s="66"/>
      <c r="Q83" s="66"/>
    </row>
    <row r="84" spans="11:17" x14ac:dyDescent="0.25">
      <c r="K84" s="66"/>
      <c r="L84" s="66"/>
      <c r="M84" s="66"/>
      <c r="O84" s="66"/>
      <c r="P84" s="66"/>
      <c r="Q84" s="66"/>
    </row>
    <row r="85" spans="11:17" x14ac:dyDescent="0.25">
      <c r="K85" s="66"/>
      <c r="L85" s="66"/>
      <c r="M85" s="66"/>
      <c r="O85" s="66"/>
      <c r="P85" s="66"/>
      <c r="Q85" s="66"/>
    </row>
    <row r="86" spans="11:17" x14ac:dyDescent="0.25">
      <c r="K86" s="66"/>
      <c r="L86" s="66"/>
      <c r="M86" s="66"/>
      <c r="O86" s="66"/>
      <c r="P86" s="66"/>
      <c r="Q86" s="66"/>
    </row>
    <row r="87" spans="11:17" x14ac:dyDescent="0.25">
      <c r="K87" s="66"/>
      <c r="L87" s="66"/>
      <c r="M87" s="66"/>
      <c r="O87" s="66"/>
      <c r="P87" s="66"/>
      <c r="Q87" s="66"/>
    </row>
    <row r="88" spans="11:17" x14ac:dyDescent="0.25">
      <c r="K88" s="66"/>
      <c r="L88" s="66"/>
      <c r="M88" s="66"/>
      <c r="O88" s="66"/>
      <c r="P88" s="66"/>
      <c r="Q88" s="66"/>
    </row>
    <row r="89" spans="11:17" x14ac:dyDescent="0.25">
      <c r="K89" s="66"/>
      <c r="L89" s="66"/>
      <c r="M89" s="66"/>
      <c r="O89" s="66"/>
      <c r="P89" s="66"/>
      <c r="Q89" s="66"/>
    </row>
    <row r="90" spans="11:17" x14ac:dyDescent="0.25">
      <c r="K90" s="66"/>
      <c r="L90" s="66"/>
      <c r="M90" s="66"/>
      <c r="O90" s="66"/>
      <c r="P90" s="66"/>
      <c r="Q90" s="66"/>
    </row>
    <row r="91" spans="11:17" x14ac:dyDescent="0.25">
      <c r="K91" s="66"/>
      <c r="L91" s="66"/>
      <c r="M91" s="66"/>
      <c r="O91" s="66"/>
      <c r="P91" s="66"/>
      <c r="Q91" s="66"/>
    </row>
    <row r="92" spans="11:17" x14ac:dyDescent="0.25">
      <c r="K92" s="66"/>
      <c r="L92" s="66"/>
      <c r="M92" s="66"/>
      <c r="O92" s="66"/>
      <c r="P92" s="66"/>
      <c r="Q92" s="66"/>
    </row>
    <row r="93" spans="11:17" x14ac:dyDescent="0.25">
      <c r="K93" s="66"/>
      <c r="L93" s="66"/>
      <c r="M93" s="66"/>
      <c r="O93" s="66"/>
      <c r="P93" s="66"/>
      <c r="Q93" s="66"/>
    </row>
    <row r="94" spans="11:17" x14ac:dyDescent="0.25">
      <c r="K94" s="66"/>
      <c r="L94" s="66"/>
      <c r="M94" s="66"/>
      <c r="O94" s="66"/>
      <c r="P94" s="66"/>
      <c r="Q94" s="66"/>
    </row>
    <row r="95" spans="11:17" x14ac:dyDescent="0.25">
      <c r="K95" s="66"/>
      <c r="L95" s="66"/>
      <c r="M95" s="66"/>
      <c r="O95" s="66"/>
      <c r="P95" s="66"/>
      <c r="Q95" s="66"/>
    </row>
    <row r="96" spans="11:17" x14ac:dyDescent="0.25">
      <c r="K96" s="66"/>
      <c r="L96" s="66"/>
      <c r="M96" s="66"/>
      <c r="O96" s="66"/>
      <c r="P96" s="66"/>
      <c r="Q96" s="66"/>
    </row>
    <row r="97" spans="11:17" x14ac:dyDescent="0.25">
      <c r="K97" s="66"/>
      <c r="L97" s="66"/>
      <c r="M97" s="66"/>
      <c r="O97" s="66"/>
      <c r="P97" s="66"/>
      <c r="Q97" s="66"/>
    </row>
    <row r="98" spans="11:17" x14ac:dyDescent="0.25">
      <c r="K98" s="66"/>
      <c r="L98" s="66"/>
      <c r="M98" s="66"/>
      <c r="O98" s="66"/>
      <c r="P98" s="66"/>
      <c r="Q98" s="66"/>
    </row>
    <row r="99" spans="11:17" x14ac:dyDescent="0.25">
      <c r="K99" s="66"/>
      <c r="L99" s="66"/>
      <c r="M99" s="66"/>
      <c r="O99" s="66"/>
      <c r="P99" s="66"/>
      <c r="Q99" s="66"/>
    </row>
    <row r="100" spans="11:17" x14ac:dyDescent="0.25">
      <c r="K100" s="66"/>
      <c r="L100" s="66"/>
      <c r="M100" s="66"/>
      <c r="O100" s="66"/>
      <c r="P100" s="66"/>
      <c r="Q100" s="66"/>
    </row>
    <row r="101" spans="11:17" x14ac:dyDescent="0.25">
      <c r="K101" s="66"/>
      <c r="L101" s="66"/>
      <c r="M101" s="66"/>
      <c r="O101" s="66"/>
      <c r="P101" s="66"/>
      <c r="Q101" s="66"/>
    </row>
    <row r="102" spans="11:17" x14ac:dyDescent="0.25">
      <c r="K102" s="66"/>
      <c r="L102" s="66"/>
      <c r="M102" s="66"/>
      <c r="O102" s="66"/>
      <c r="P102" s="66"/>
      <c r="Q102" s="66"/>
    </row>
    <row r="103" spans="11:17" x14ac:dyDescent="0.25">
      <c r="K103" s="66"/>
      <c r="L103" s="66"/>
      <c r="M103" s="66"/>
      <c r="O103" s="66"/>
      <c r="P103" s="66"/>
      <c r="Q103" s="66"/>
    </row>
    <row r="104" spans="11:17" x14ac:dyDescent="0.25">
      <c r="K104" s="66"/>
      <c r="L104" s="66"/>
      <c r="M104" s="66"/>
      <c r="O104" s="66"/>
      <c r="P104" s="66"/>
      <c r="Q104" s="66"/>
    </row>
    <row r="105" spans="11:17" x14ac:dyDescent="0.25">
      <c r="K105" s="66"/>
      <c r="L105" s="66"/>
      <c r="M105" s="66"/>
      <c r="O105" s="66"/>
      <c r="P105" s="66"/>
      <c r="Q105" s="66"/>
    </row>
    <row r="106" spans="11:17" x14ac:dyDescent="0.25">
      <c r="K106" s="66"/>
      <c r="L106" s="66"/>
      <c r="M106" s="66"/>
      <c r="O106" s="66"/>
      <c r="P106" s="66"/>
      <c r="Q106" s="66"/>
    </row>
    <row r="107" spans="11:17" x14ac:dyDescent="0.25">
      <c r="K107" s="66"/>
      <c r="L107" s="66"/>
      <c r="M107" s="66"/>
      <c r="O107" s="66"/>
      <c r="P107" s="66"/>
      <c r="Q107" s="66"/>
    </row>
    <row r="108" spans="11:17" x14ac:dyDescent="0.25">
      <c r="K108" s="66"/>
      <c r="L108" s="66"/>
      <c r="M108" s="66"/>
      <c r="O108" s="66"/>
      <c r="P108" s="66"/>
      <c r="Q108" s="66"/>
    </row>
    <row r="109" spans="11:17" x14ac:dyDescent="0.25">
      <c r="K109" s="66"/>
      <c r="L109" s="66"/>
      <c r="M109" s="66"/>
      <c r="O109" s="66"/>
      <c r="P109" s="66"/>
      <c r="Q109" s="66"/>
    </row>
    <row r="110" spans="11:17" x14ac:dyDescent="0.25">
      <c r="K110" s="66"/>
      <c r="L110" s="66"/>
      <c r="M110" s="66"/>
      <c r="O110" s="66"/>
      <c r="P110" s="66"/>
      <c r="Q110" s="66"/>
    </row>
    <row r="111" spans="11:17" x14ac:dyDescent="0.25">
      <c r="K111" s="66"/>
      <c r="L111" s="66"/>
      <c r="M111" s="66"/>
      <c r="O111" s="66"/>
      <c r="P111" s="66"/>
      <c r="Q111" s="66"/>
    </row>
    <row r="112" spans="11:17" x14ac:dyDescent="0.25">
      <c r="K112" s="66"/>
      <c r="L112" s="66"/>
      <c r="M112" s="66"/>
      <c r="O112" s="66"/>
      <c r="P112" s="66"/>
      <c r="Q112" s="66"/>
    </row>
    <row r="113" spans="7:17" x14ac:dyDescent="0.25">
      <c r="K113" s="66"/>
      <c r="L113" s="66"/>
      <c r="M113" s="66"/>
      <c r="O113" s="66"/>
      <c r="P113" s="66"/>
      <c r="Q113" s="66"/>
    </row>
    <row r="114" spans="7:17" x14ac:dyDescent="0.25">
      <c r="K114" s="66"/>
      <c r="L114" s="66"/>
      <c r="M114" s="66"/>
      <c r="O114" s="66"/>
      <c r="P114" s="66"/>
      <c r="Q114" s="66"/>
    </row>
    <row r="115" spans="7:17" x14ac:dyDescent="0.25">
      <c r="K115" s="66"/>
      <c r="L115" s="66"/>
      <c r="M115" s="66"/>
      <c r="O115" s="66"/>
      <c r="P115" s="66"/>
      <c r="Q115" s="66"/>
    </row>
    <row r="116" spans="7:17" x14ac:dyDescent="0.25">
      <c r="K116" s="66"/>
      <c r="L116" s="66"/>
      <c r="M116" s="66"/>
      <c r="O116" s="66"/>
      <c r="P116" s="66"/>
      <c r="Q116" s="66"/>
    </row>
    <row r="117" spans="7:17" x14ac:dyDescent="0.25">
      <c r="K117" s="66"/>
      <c r="L117" s="66"/>
      <c r="M117" s="66"/>
      <c r="O117" s="66"/>
      <c r="P117" s="66"/>
      <c r="Q117" s="66"/>
    </row>
    <row r="118" spans="7:17" x14ac:dyDescent="0.25">
      <c r="K118" s="66"/>
      <c r="L118" s="66"/>
      <c r="M118" s="66"/>
      <c r="O118" s="66"/>
      <c r="P118" s="66"/>
      <c r="Q118" s="66"/>
    </row>
    <row r="119" spans="7:17" x14ac:dyDescent="0.25">
      <c r="K119" s="66"/>
      <c r="L119" s="66"/>
      <c r="M119" s="66"/>
      <c r="O119" s="66"/>
      <c r="P119" s="66"/>
      <c r="Q119" s="66"/>
    </row>
    <row r="120" spans="7:17" x14ac:dyDescent="0.25">
      <c r="K120" s="66"/>
      <c r="L120" s="66"/>
      <c r="M120" s="66"/>
      <c r="O120" s="66"/>
      <c r="P120" s="66"/>
      <c r="Q120" s="66"/>
    </row>
    <row r="121" spans="7:17" x14ac:dyDescent="0.25">
      <c r="K121" s="66"/>
      <c r="L121" s="66"/>
      <c r="M121" s="66"/>
      <c r="O121" s="66"/>
      <c r="P121" s="66"/>
      <c r="Q121" s="66"/>
    </row>
    <row r="122" spans="7:17" x14ac:dyDescent="0.25">
      <c r="K122" s="66"/>
      <c r="L122" s="66"/>
      <c r="M122" s="66"/>
      <c r="O122" s="66"/>
      <c r="P122" s="66"/>
      <c r="Q122" s="66"/>
    </row>
    <row r="123" spans="7:17" x14ac:dyDescent="0.25">
      <c r="G123" s="66"/>
      <c r="H123" s="66"/>
      <c r="I123" s="66"/>
      <c r="K123" s="66"/>
      <c r="L123" s="66"/>
      <c r="M123" s="66"/>
    </row>
    <row r="124" spans="7:17" x14ac:dyDescent="0.25">
      <c r="G124" s="66"/>
      <c r="H124" s="66"/>
      <c r="I124" s="66"/>
      <c r="K124" s="66"/>
      <c r="L124" s="66"/>
      <c r="M124" s="66"/>
    </row>
    <row r="125" spans="7:17" x14ac:dyDescent="0.25">
      <c r="G125" s="66"/>
      <c r="H125" s="66"/>
      <c r="I125" s="66"/>
      <c r="K125" s="66"/>
      <c r="L125" s="66"/>
      <c r="M125" s="66"/>
    </row>
    <row r="126" spans="7:17" x14ac:dyDescent="0.25">
      <c r="G126" s="66"/>
      <c r="H126" s="66"/>
      <c r="I126" s="66"/>
      <c r="K126" s="66"/>
      <c r="L126" s="66"/>
      <c r="M126" s="66"/>
    </row>
    <row r="127" spans="7:17" x14ac:dyDescent="0.25">
      <c r="G127" s="66"/>
      <c r="H127" s="66"/>
      <c r="I127" s="66"/>
      <c r="K127" s="66"/>
      <c r="L127" s="66"/>
      <c r="M127" s="66"/>
    </row>
    <row r="128" spans="7:17" x14ac:dyDescent="0.25">
      <c r="G128" s="66"/>
      <c r="H128" s="66"/>
      <c r="I128" s="66"/>
      <c r="K128" s="66"/>
      <c r="L128" s="66"/>
      <c r="M128" s="66"/>
    </row>
    <row r="129" spans="7:13" x14ac:dyDescent="0.25">
      <c r="G129" s="66"/>
      <c r="H129" s="66"/>
      <c r="I129" s="66"/>
      <c r="K129" s="66"/>
      <c r="L129" s="66"/>
      <c r="M129" s="66"/>
    </row>
    <row r="130" spans="7:13" x14ac:dyDescent="0.25">
      <c r="G130" s="66"/>
      <c r="H130" s="66"/>
      <c r="I130" s="66"/>
      <c r="K130" s="66"/>
      <c r="L130" s="66"/>
      <c r="M130" s="66"/>
    </row>
    <row r="131" spans="7:13" x14ac:dyDescent="0.25">
      <c r="G131" s="66"/>
      <c r="H131" s="66"/>
      <c r="I131" s="66"/>
      <c r="K131" s="66"/>
      <c r="L131" s="66"/>
      <c r="M131" s="66"/>
    </row>
    <row r="132" spans="7:13" x14ac:dyDescent="0.25">
      <c r="G132" s="66"/>
      <c r="H132" s="66"/>
      <c r="I132" s="66"/>
      <c r="K132" s="66"/>
      <c r="L132" s="66"/>
      <c r="M132" s="66"/>
    </row>
    <row r="133" spans="7:13" x14ac:dyDescent="0.25">
      <c r="G133" s="66"/>
      <c r="H133" s="66"/>
      <c r="I133" s="66"/>
      <c r="K133" s="66"/>
      <c r="L133" s="66"/>
      <c r="M133" s="66"/>
    </row>
    <row r="134" spans="7:13" x14ac:dyDescent="0.25">
      <c r="G134" s="66"/>
      <c r="H134" s="66"/>
      <c r="I134" s="66"/>
      <c r="K134" s="66"/>
      <c r="L134" s="66"/>
      <c r="M134" s="66"/>
    </row>
    <row r="135" spans="7:13" x14ac:dyDescent="0.25">
      <c r="G135" s="66"/>
      <c r="H135" s="66"/>
      <c r="I135" s="66"/>
      <c r="K135" s="66"/>
      <c r="L135" s="66"/>
      <c r="M135" s="66"/>
    </row>
    <row r="136" spans="7:13" x14ac:dyDescent="0.25">
      <c r="G136" s="66"/>
      <c r="H136" s="66"/>
      <c r="I136" s="66"/>
      <c r="K136" s="66"/>
      <c r="L136" s="66"/>
      <c r="M136" s="66"/>
    </row>
    <row r="137" spans="7:13" x14ac:dyDescent="0.25">
      <c r="G137" s="66"/>
      <c r="H137" s="66"/>
      <c r="I137" s="66"/>
      <c r="K137" s="66"/>
      <c r="L137" s="66"/>
      <c r="M137" s="66"/>
    </row>
    <row r="138" spans="7:13" x14ac:dyDescent="0.25">
      <c r="G138" s="66"/>
      <c r="H138" s="66"/>
      <c r="I138" s="66"/>
      <c r="K138" s="66"/>
      <c r="L138" s="66"/>
      <c r="M138" s="66"/>
    </row>
    <row r="139" spans="7:13" x14ac:dyDescent="0.25">
      <c r="G139" s="66"/>
      <c r="H139" s="66"/>
      <c r="I139" s="66"/>
      <c r="K139" s="66"/>
      <c r="L139" s="66"/>
      <c r="M139" s="66"/>
    </row>
    <row r="140" spans="7:13" x14ac:dyDescent="0.25">
      <c r="G140" s="66"/>
      <c r="H140" s="66"/>
      <c r="I140" s="66"/>
      <c r="K140" s="66"/>
      <c r="L140" s="66"/>
      <c r="M140" s="66"/>
    </row>
    <row r="141" spans="7:13" x14ac:dyDescent="0.25">
      <c r="G141" s="66"/>
      <c r="H141" s="66"/>
      <c r="I141" s="66"/>
      <c r="K141" s="66"/>
      <c r="L141" s="66"/>
      <c r="M141" s="66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scale="3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zoomScale="85" zoomScaleNormal="85" workbookViewId="0">
      <selection activeCell="G39" sqref="G39"/>
    </sheetView>
  </sheetViews>
  <sheetFormatPr defaultColWidth="9.109375" defaultRowHeight="14.4" outlineLevelCol="1" x14ac:dyDescent="0.3"/>
  <cols>
    <col min="1" max="1" width="11.5546875" style="40" customWidth="1"/>
    <col min="2" max="2" width="16.44140625" style="40" bestFit="1" customWidth="1"/>
    <col min="3" max="3" width="12.5546875" style="40" bestFit="1" customWidth="1"/>
    <col min="4" max="5" width="11.5546875" style="40" bestFit="1" customWidth="1"/>
    <col min="6" max="7" width="10.6640625" style="40" bestFit="1" customWidth="1" outlineLevel="1"/>
    <col min="8" max="8" width="12.5546875" style="40" bestFit="1" customWidth="1"/>
    <col min="9" max="11" width="12.5546875" style="40" customWidth="1" outlineLevel="1"/>
    <col min="12" max="12" width="17.6640625" style="40" customWidth="1"/>
    <col min="13" max="13" width="15.44140625" style="40" customWidth="1"/>
    <col min="14" max="14" width="10.88671875" style="40" bestFit="1" customWidth="1"/>
    <col min="15" max="15" width="11.6640625" style="40" customWidth="1"/>
    <col min="16" max="17" width="12.44140625" style="40" customWidth="1"/>
    <col min="18" max="19" width="12.6640625" style="40" customWidth="1"/>
    <col min="20" max="20" width="13.5546875" style="40" customWidth="1"/>
    <col min="21" max="21" width="16.5546875" style="40" bestFit="1" customWidth="1"/>
    <col min="22" max="22" width="11.88671875" style="40" bestFit="1" customWidth="1"/>
    <col min="23" max="24" width="12.6640625" style="40" customWidth="1"/>
    <col min="25" max="25" width="10.88671875" style="40" bestFit="1" customWidth="1"/>
    <col min="26" max="26" width="7.109375" style="105" bestFit="1" customWidth="1"/>
    <col min="27" max="264" width="12.6640625" style="40" customWidth="1"/>
    <col min="265" max="16384" width="9.109375" style="40"/>
  </cols>
  <sheetData>
    <row r="1" spans="1:26" ht="15.6" x14ac:dyDescent="0.3">
      <c r="A1" s="39" t="s">
        <v>0</v>
      </c>
    </row>
    <row r="2" spans="1:26" x14ac:dyDescent="0.3">
      <c r="A2" s="41" t="s">
        <v>242</v>
      </c>
    </row>
    <row r="3" spans="1:26" x14ac:dyDescent="0.3">
      <c r="A3" s="41" t="s">
        <v>264</v>
      </c>
    </row>
    <row r="5" spans="1:26" x14ac:dyDescent="0.3">
      <c r="A5" s="69" t="s">
        <v>153</v>
      </c>
      <c r="B5" s="70" t="s">
        <v>5</v>
      </c>
      <c r="C5" s="71">
        <v>42248</v>
      </c>
      <c r="D5" s="71">
        <v>42278</v>
      </c>
      <c r="E5" s="71">
        <v>42309</v>
      </c>
      <c r="F5" s="71">
        <v>42339</v>
      </c>
      <c r="G5" s="71">
        <v>42370</v>
      </c>
      <c r="H5" s="71">
        <v>42401</v>
      </c>
      <c r="I5" s="71">
        <v>42430</v>
      </c>
      <c r="J5" s="71">
        <v>42461</v>
      </c>
      <c r="K5" s="71">
        <v>42491</v>
      </c>
      <c r="L5" s="71">
        <v>42522</v>
      </c>
      <c r="M5" s="71">
        <v>42552</v>
      </c>
      <c r="N5" s="71">
        <v>42583</v>
      </c>
      <c r="O5" s="71">
        <v>42614</v>
      </c>
      <c r="P5" s="71" t="s">
        <v>223</v>
      </c>
    </row>
    <row r="6" spans="1:26" x14ac:dyDescent="0.3">
      <c r="A6" s="192">
        <v>19000433</v>
      </c>
      <c r="B6" s="193" t="s">
        <v>182</v>
      </c>
      <c r="C6" s="72">
        <f t="array" ref="C6:O6">TRANSPOSE('[2]NOL Spread'!$I$11:$I$23)</f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194">
        <f>((C6+O6+SUM(D6:N6)*2)/24)</f>
        <v>0</v>
      </c>
    </row>
    <row r="7" spans="1:26" x14ac:dyDescent="0.3">
      <c r="A7" s="192" t="s">
        <v>197</v>
      </c>
      <c r="B7" s="193" t="s">
        <v>181</v>
      </c>
      <c r="C7" s="72">
        <f>+[2]BS!D1422</f>
        <v>117980225.48999999</v>
      </c>
      <c r="D7" s="72">
        <f>+[2]BS!E1422</f>
        <v>108489651.48999999</v>
      </c>
      <c r="E7" s="72">
        <f>+[2]BS!F1422</f>
        <v>90514942.719999999</v>
      </c>
      <c r="F7" s="72">
        <f>+[2]BS!G1422</f>
        <v>110063449.92</v>
      </c>
      <c r="G7" s="72">
        <f>+[2]BS!H1422</f>
        <v>84191979.689999998</v>
      </c>
      <c r="H7" s="72">
        <f>+[2]BS!I1422</f>
        <v>72241554.409999996</v>
      </c>
      <c r="I7" s="72">
        <f>+[2]BS!J1422</f>
        <v>70651459.560000002</v>
      </c>
      <c r="J7" s="72">
        <f>+[2]BS!K1422</f>
        <v>73295807.200000003</v>
      </c>
      <c r="K7" s="72">
        <f>+[2]BS!L1422</f>
        <v>72382155.349999994</v>
      </c>
      <c r="L7" s="72">
        <f>+[2]BS!M1422</f>
        <v>80898007.719999999</v>
      </c>
      <c r="M7" s="72">
        <f>+[2]BS!N1422</f>
        <v>83099388.739999995</v>
      </c>
      <c r="N7" s="72">
        <f>+[2]BS!O1422</f>
        <v>86365764.299999997</v>
      </c>
      <c r="O7" s="72">
        <f>+[2]BS!P1422</f>
        <v>95845243.400000006</v>
      </c>
      <c r="P7" s="195">
        <f>((C7+O7+SUM(D7:N7)*2)/24)</f>
        <v>86592241.295416668</v>
      </c>
    </row>
    <row r="8" spans="1:26" x14ac:dyDescent="0.3"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194">
        <f>SUM(P6:P7)</f>
        <v>86592241.295416668</v>
      </c>
    </row>
    <row r="9" spans="1:26" x14ac:dyDescent="0.3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196">
        <f>+T23</f>
        <v>0.55773940414338408</v>
      </c>
    </row>
    <row r="10" spans="1:26" ht="15" thickBot="1" x14ac:dyDescent="0.35">
      <c r="A10" s="42"/>
      <c r="B10" s="4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197">
        <f>P8*P9</f>
        <v>48295905.063545831</v>
      </c>
    </row>
    <row r="11" spans="1:26" s="42" customFormat="1" ht="15" thickTop="1" x14ac:dyDescent="0.3">
      <c r="R11" s="104"/>
      <c r="S11" s="104"/>
      <c r="U11" s="104"/>
      <c r="Z11" s="198"/>
    </row>
    <row r="12" spans="1:26" s="42" customFormat="1" ht="15" thickBot="1" x14ac:dyDescent="0.35">
      <c r="R12" s="40"/>
      <c r="S12" s="40"/>
      <c r="U12" s="199"/>
      <c r="Z12" s="198"/>
    </row>
    <row r="13" spans="1:26" ht="15" thickBot="1" x14ac:dyDescent="0.35">
      <c r="C13" s="222" t="s">
        <v>243</v>
      </c>
      <c r="D13" s="223"/>
      <c r="E13" s="223"/>
      <c r="F13" s="223"/>
      <c r="G13" s="223"/>
      <c r="H13" s="223"/>
      <c r="I13" s="223"/>
      <c r="J13" s="223"/>
      <c r="K13" s="224"/>
      <c r="M13" s="43" t="s">
        <v>66</v>
      </c>
      <c r="N13" s="43" t="s">
        <v>67</v>
      </c>
      <c r="O13" s="43" t="s">
        <v>190</v>
      </c>
      <c r="P13" s="43" t="s">
        <v>191</v>
      </c>
      <c r="Q13" s="43" t="s">
        <v>192</v>
      </c>
      <c r="R13" s="43" t="s">
        <v>193</v>
      </c>
      <c r="S13" s="43"/>
      <c r="T13" s="43" t="s">
        <v>194</v>
      </c>
    </row>
    <row r="14" spans="1:26" s="73" customFormat="1" ht="28.8" x14ac:dyDescent="0.3">
      <c r="B14" s="74" t="s">
        <v>244</v>
      </c>
      <c r="C14" s="75">
        <v>2009</v>
      </c>
      <c r="D14" s="75">
        <v>2010</v>
      </c>
      <c r="E14" s="75">
        <v>2011</v>
      </c>
      <c r="F14" s="75">
        <v>2012</v>
      </c>
      <c r="G14" s="75">
        <v>2013</v>
      </c>
      <c r="H14" s="75">
        <v>2014</v>
      </c>
      <c r="I14" s="75">
        <v>2015</v>
      </c>
      <c r="J14" s="75">
        <v>2016</v>
      </c>
      <c r="K14" s="75" t="s">
        <v>252</v>
      </c>
      <c r="L14" s="74" t="s">
        <v>265</v>
      </c>
      <c r="M14" s="75" t="s">
        <v>148</v>
      </c>
      <c r="N14" s="75" t="s">
        <v>186</v>
      </c>
      <c r="O14" s="75" t="s">
        <v>184</v>
      </c>
      <c r="P14" s="75" t="s">
        <v>185</v>
      </c>
      <c r="Q14" s="75" t="s">
        <v>149</v>
      </c>
      <c r="R14" s="75" t="s">
        <v>147</v>
      </c>
      <c r="S14" s="75" t="s">
        <v>196</v>
      </c>
      <c r="T14" s="75" t="s">
        <v>195</v>
      </c>
      <c r="Z14" s="200"/>
    </row>
    <row r="15" spans="1:26" x14ac:dyDescent="0.3">
      <c r="M15" s="44"/>
      <c r="O15" s="45" t="s">
        <v>187</v>
      </c>
    </row>
    <row r="16" spans="1:26" x14ac:dyDescent="0.3">
      <c r="A16" s="40" t="s">
        <v>150</v>
      </c>
      <c r="B16" s="40">
        <v>220474791</v>
      </c>
      <c r="C16" s="40">
        <v>-128337622</v>
      </c>
      <c r="E16" s="40">
        <f>-33584725+3011055</f>
        <v>-30573670</v>
      </c>
      <c r="G16" s="40">
        <v>0</v>
      </c>
      <c r="H16" s="40">
        <v>-17228072</v>
      </c>
      <c r="I16" s="40">
        <v>-44335427</v>
      </c>
      <c r="K16" s="40">
        <f>SUM(C16:J16)</f>
        <v>-220474791</v>
      </c>
      <c r="L16" s="40">
        <f>SUM(B16:J16)</f>
        <v>0</v>
      </c>
      <c r="M16" s="40">
        <f>L16*0.35</f>
        <v>0</v>
      </c>
      <c r="N16" s="105">
        <f>1-O16</f>
        <v>0.39460000129574901</v>
      </c>
      <c r="O16" s="105">
        <v>0.60539999870425099</v>
      </c>
      <c r="P16" s="105">
        <v>0.3906</v>
      </c>
      <c r="Q16" s="40">
        <f>M16*N16</f>
        <v>0</v>
      </c>
      <c r="R16" s="40">
        <f>M16*O16</f>
        <v>0</v>
      </c>
      <c r="S16" s="40">
        <f>R16+Q16</f>
        <v>0</v>
      </c>
      <c r="T16" s="40">
        <f>M16*O16*P16</f>
        <v>0</v>
      </c>
    </row>
    <row r="17" spans="1:26" x14ac:dyDescent="0.3">
      <c r="A17" s="40" t="s">
        <v>151</v>
      </c>
      <c r="B17" s="40">
        <f>164604069+592578</f>
        <v>165196647</v>
      </c>
      <c r="D17" s="40">
        <v>-21765873</v>
      </c>
      <c r="H17" s="40">
        <v>0</v>
      </c>
      <c r="I17" s="40">
        <f>-139533000.23-3897774</f>
        <v>-143430774.22999999</v>
      </c>
      <c r="K17" s="40">
        <f>SUM(C17:J17)</f>
        <v>-165196647.22999999</v>
      </c>
      <c r="L17" s="40">
        <f>SUM(B17:J17)</f>
        <v>-0.22999998927116394</v>
      </c>
      <c r="M17" s="40">
        <f>L17*0.35</f>
        <v>-8.0499996244907376E-2</v>
      </c>
      <c r="N17" s="105">
        <f>1-O17</f>
        <v>0.39696250757340334</v>
      </c>
      <c r="O17" s="105">
        <v>0.60303749242659666</v>
      </c>
      <c r="P17" s="105">
        <v>0.2545</v>
      </c>
      <c r="Q17" s="40">
        <f>M17*N17</f>
        <v>-3.1955480369027983E-2</v>
      </c>
      <c r="R17" s="40">
        <f>M17*O17</f>
        <v>-4.8544515875879393E-2</v>
      </c>
      <c r="S17" s="40">
        <f>R17+Q17</f>
        <v>-8.0499996244907376E-2</v>
      </c>
      <c r="T17" s="40">
        <f>M17*O17*P17</f>
        <v>-1.2354579290411305E-2</v>
      </c>
    </row>
    <row r="18" spans="1:26" x14ac:dyDescent="0.3">
      <c r="A18" s="40" t="s">
        <v>152</v>
      </c>
      <c r="B18" s="40">
        <v>232023685</v>
      </c>
      <c r="G18" s="40">
        <v>0</v>
      </c>
      <c r="I18" s="40">
        <v>-5335514.8</v>
      </c>
      <c r="J18" s="40">
        <v>-40623447.200000003</v>
      </c>
      <c r="K18" s="40">
        <f>SUM(C18:J18)</f>
        <v>-45958962</v>
      </c>
      <c r="L18" s="40">
        <f>SUM(B18:J18)</f>
        <v>186064723</v>
      </c>
      <c r="M18" s="40">
        <f>L18*0.35</f>
        <v>65122653.049999997</v>
      </c>
      <c r="N18" s="105">
        <f>1-O18</f>
        <v>8.4086341218746585E-2</v>
      </c>
      <c r="O18" s="105">
        <v>0.91591365878125341</v>
      </c>
      <c r="P18" s="105">
        <v>0.60502842757066144</v>
      </c>
      <c r="Q18" s="40">
        <f>M18*N18</f>
        <v>5475925.6254323479</v>
      </c>
      <c r="R18" s="40">
        <f>M18*O18</f>
        <v>59646727.424567647</v>
      </c>
      <c r="S18" s="40">
        <f>R18+Q18</f>
        <v>65122653.049999997</v>
      </c>
      <c r="T18" s="40">
        <f>M18*O18*P18</f>
        <v>36087965.70342201</v>
      </c>
    </row>
    <row r="19" spans="1:26" s="76" customFormat="1" x14ac:dyDescent="0.3">
      <c r="A19" s="76" t="s">
        <v>183</v>
      </c>
      <c r="B19" s="76">
        <f>83009997+4768832</f>
        <v>87778829</v>
      </c>
      <c r="G19" s="76">
        <v>0</v>
      </c>
      <c r="K19" s="40">
        <f>SUM(C19:J19)</f>
        <v>0</v>
      </c>
      <c r="L19" s="40">
        <f>SUM(B19:J19)</f>
        <v>87778829</v>
      </c>
      <c r="M19" s="76">
        <f>L19*0.35</f>
        <v>30722590.149999999</v>
      </c>
      <c r="N19" s="106">
        <f>1-O19</f>
        <v>0.27654745960335625</v>
      </c>
      <c r="O19" s="106">
        <v>0.72345254039664375</v>
      </c>
      <c r="P19" s="106">
        <v>0.78144698168438043</v>
      </c>
      <c r="Q19" s="76">
        <f>M19*N19</f>
        <v>8496254.2584175952</v>
      </c>
      <c r="R19" s="76">
        <f>M19*O19</f>
        <v>22226335.891582403</v>
      </c>
      <c r="S19" s="76">
        <f>R19+Q19</f>
        <v>30722590.149999999</v>
      </c>
      <c r="T19" s="76">
        <f>M19*O19*P19</f>
        <v>17368703.096380282</v>
      </c>
      <c r="Z19" s="106"/>
    </row>
    <row r="20" spans="1:26" s="76" customFormat="1" x14ac:dyDescent="0.3">
      <c r="A20" s="107"/>
      <c r="N20" s="106"/>
      <c r="O20" s="106"/>
      <c r="P20" s="106"/>
      <c r="Z20" s="106"/>
    </row>
    <row r="21" spans="1:26" ht="15" thickBot="1" x14ac:dyDescent="0.35">
      <c r="A21" s="40" t="s">
        <v>188</v>
      </c>
      <c r="B21" s="108">
        <f t="shared" ref="B21:K21" si="0">SUM(B16:B20)</f>
        <v>705473952</v>
      </c>
      <c r="C21" s="108">
        <f t="shared" si="0"/>
        <v>-128337622</v>
      </c>
      <c r="D21" s="108">
        <f t="shared" si="0"/>
        <v>-21765873</v>
      </c>
      <c r="E21" s="108">
        <f t="shared" si="0"/>
        <v>-30573670</v>
      </c>
      <c r="F21" s="108">
        <f t="shared" si="0"/>
        <v>0</v>
      </c>
      <c r="G21" s="108">
        <f t="shared" si="0"/>
        <v>0</v>
      </c>
      <c r="H21" s="108">
        <f t="shared" si="0"/>
        <v>-17228072</v>
      </c>
      <c r="I21" s="108">
        <f t="shared" si="0"/>
        <v>-193101716.03</v>
      </c>
      <c r="J21" s="108">
        <f t="shared" si="0"/>
        <v>-40623447.200000003</v>
      </c>
      <c r="K21" s="108">
        <f t="shared" si="0"/>
        <v>-431630400.23000002</v>
      </c>
      <c r="L21" s="108">
        <f>SUM(L16:L19)</f>
        <v>273843551.76999998</v>
      </c>
      <c r="M21" s="108">
        <f>SUM(M16:M19)</f>
        <v>95845243.119499996</v>
      </c>
      <c r="N21" s="46"/>
      <c r="P21" s="46"/>
      <c r="Q21" s="108">
        <f>SUM(Q16:Q19)</f>
        <v>13972179.851894462</v>
      </c>
      <c r="R21" s="108">
        <f>SUM(R16:R19)</f>
        <v>81873063.267605528</v>
      </c>
      <c r="S21" s="108">
        <f>SUM(S16:S19)</f>
        <v>95845243.119499996</v>
      </c>
      <c r="T21" s="108">
        <f>SUM(T16:T19)</f>
        <v>53456668.787447706</v>
      </c>
    </row>
    <row r="22" spans="1:26" ht="15.6" thickTop="1" thickBot="1" x14ac:dyDescent="0.35">
      <c r="I22" s="40">
        <f>SUM(B21:I21)</f>
        <v>314466998.97000003</v>
      </c>
      <c r="O22" s="42"/>
      <c r="P22" s="42"/>
      <c r="Q22" s="42"/>
    </row>
    <row r="23" spans="1:26" ht="15" thickBot="1" x14ac:dyDescent="0.35">
      <c r="Q23" s="105">
        <f>+Q21/S21</f>
        <v>0.14577854254565276</v>
      </c>
      <c r="R23" s="105">
        <f>+R21/S21</f>
        <v>0.85422145745434719</v>
      </c>
      <c r="S23" s="105"/>
      <c r="T23" s="47">
        <f>+T21/S21</f>
        <v>0.55773940414338408</v>
      </c>
      <c r="U23" s="40" t="s">
        <v>198</v>
      </c>
    </row>
    <row r="24" spans="1:26" ht="15" thickBot="1" x14ac:dyDescent="0.35">
      <c r="A24" s="41" t="s">
        <v>245</v>
      </c>
      <c r="T24" s="47">
        <f>T21/R21</f>
        <v>0.65292132300854988</v>
      </c>
      <c r="U24" s="40" t="s">
        <v>199</v>
      </c>
    </row>
    <row r="25" spans="1:26" ht="42.75" customHeight="1" x14ac:dyDescent="0.3">
      <c r="A25" s="225" t="s">
        <v>253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</row>
    <row r="27" spans="1:26" x14ac:dyDescent="0.3">
      <c r="A27" s="40" t="s">
        <v>254</v>
      </c>
    </row>
  </sheetData>
  <mergeCells count="2">
    <mergeCell ref="C13:K13"/>
    <mergeCell ref="A25:M25"/>
  </mergeCells>
  <printOptions horizontalCentered="1"/>
  <pageMargins left="0.25" right="0.25" top="0.25" bottom="0.25" header="0" footer="0.25"/>
  <pageSetup paperSize="5" scale="64" orientation="landscape" r:id="rId1"/>
  <headerFooter alignWithMargins="0">
    <oddFooter xml:space="preserve">&amp;L&amp;D
Prep by MROSS&amp;R&amp;Z
&amp;F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50"/>
  <sheetViews>
    <sheetView zoomScale="80" zoomScaleNormal="80" workbookViewId="0">
      <pane xSplit="1" ySplit="5" topLeftCell="B111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09375" defaultRowHeight="14.4" outlineLevelRow="1" outlineLevelCol="1" x14ac:dyDescent="0.3"/>
  <cols>
    <col min="1" max="1" width="22.33203125" style="115" customWidth="1"/>
    <col min="2" max="2" width="15.33203125" style="119" bestFit="1" customWidth="1"/>
    <col min="3" max="3" width="14.44140625" style="115" hidden="1" customWidth="1" outlineLevel="1"/>
    <col min="4" max="4" width="14.44140625" style="115" bestFit="1" customWidth="1" collapsed="1"/>
    <col min="5" max="5" width="14.33203125" style="115" bestFit="1" customWidth="1"/>
    <col min="6" max="15" width="14.44140625" style="115" bestFit="1" customWidth="1"/>
    <col min="16" max="16" width="15.33203125" style="115" bestFit="1" customWidth="1"/>
    <col min="17" max="17" width="15" style="115" bestFit="1" customWidth="1"/>
    <col min="18" max="18" width="14.44140625" style="115" customWidth="1"/>
    <col min="19" max="16384" width="9.109375" style="115"/>
  </cols>
  <sheetData>
    <row r="1" spans="1:18" ht="18" x14ac:dyDescent="0.35">
      <c r="A1" s="178" t="s">
        <v>0</v>
      </c>
    </row>
    <row r="2" spans="1:18" ht="18" x14ac:dyDescent="0.35">
      <c r="A2" s="178" t="s">
        <v>251</v>
      </c>
    </row>
    <row r="3" spans="1:18" ht="18" x14ac:dyDescent="0.35">
      <c r="A3" s="178" t="s">
        <v>266</v>
      </c>
    </row>
    <row r="4" spans="1:18" ht="18" x14ac:dyDescent="0.35">
      <c r="A4" s="178"/>
    </row>
    <row r="5" spans="1:18" x14ac:dyDescent="0.3">
      <c r="B5" s="113" t="s">
        <v>126</v>
      </c>
      <c r="C5" s="114" t="s">
        <v>224</v>
      </c>
      <c r="D5" s="114" t="s">
        <v>225</v>
      </c>
      <c r="E5" s="114" t="s">
        <v>226</v>
      </c>
      <c r="F5" s="114" t="s">
        <v>227</v>
      </c>
      <c r="G5" s="114" t="s">
        <v>228</v>
      </c>
      <c r="H5" s="114" t="s">
        <v>229</v>
      </c>
      <c r="I5" s="114" t="s">
        <v>230</v>
      </c>
      <c r="J5" s="114" t="s">
        <v>231</v>
      </c>
      <c r="K5" s="114" t="s">
        <v>232</v>
      </c>
      <c r="L5" s="114" t="s">
        <v>233</v>
      </c>
      <c r="M5" s="114" t="s">
        <v>234</v>
      </c>
      <c r="N5" s="114" t="s">
        <v>235</v>
      </c>
      <c r="O5" s="114" t="s">
        <v>224</v>
      </c>
      <c r="P5" s="179" t="s">
        <v>240</v>
      </c>
      <c r="Q5" s="114" t="s">
        <v>241</v>
      </c>
    </row>
    <row r="6" spans="1:18" x14ac:dyDescent="0.3">
      <c r="A6" s="120" t="s">
        <v>267</v>
      </c>
      <c r="B6" s="11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80"/>
      <c r="Q6" s="114"/>
    </row>
    <row r="7" spans="1:18" x14ac:dyDescent="0.3">
      <c r="A7" s="115">
        <v>2016</v>
      </c>
      <c r="B7" s="116">
        <v>242145</v>
      </c>
      <c r="C7" s="181">
        <f t="shared" ref="C7" si="0">B7</f>
        <v>242145</v>
      </c>
      <c r="D7" s="117"/>
      <c r="E7" s="117"/>
      <c r="F7" s="117"/>
      <c r="G7" s="117"/>
      <c r="H7" s="117"/>
      <c r="I7" s="117"/>
      <c r="J7" s="117"/>
      <c r="K7" s="117"/>
      <c r="L7" s="118">
        <f>C7</f>
        <v>242145</v>
      </c>
      <c r="M7" s="118">
        <f>C7</f>
        <v>242145</v>
      </c>
      <c r="N7" s="118">
        <f>C7</f>
        <v>242145</v>
      </c>
      <c r="O7" s="118">
        <f>C7</f>
        <v>242145</v>
      </c>
      <c r="P7" s="116">
        <f>O7</f>
        <v>242145</v>
      </c>
      <c r="Q7" s="119">
        <f>((L6+L7)+2*(SUM(D7:K7)+SUM(M6:O6)))/24</f>
        <v>10089.375</v>
      </c>
    </row>
    <row r="8" spans="1:18" x14ac:dyDescent="0.3"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80"/>
      <c r="Q8" s="114"/>
    </row>
    <row r="9" spans="1:18" x14ac:dyDescent="0.3">
      <c r="A9" s="120" t="s">
        <v>127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0"/>
    </row>
    <row r="10" spans="1:18" x14ac:dyDescent="0.3">
      <c r="A10" s="115">
        <v>2008</v>
      </c>
      <c r="B10" s="119">
        <f>105284.96+13277993.74</f>
        <v>13383278.700000001</v>
      </c>
      <c r="C10" s="119">
        <f t="shared" ref="C10:C18" si="1">B10</f>
        <v>13383278.700000001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  <row r="11" spans="1:18" x14ac:dyDescent="0.3">
      <c r="A11" s="115">
        <v>2009</v>
      </c>
      <c r="B11" s="119">
        <f>103637.14+16428984.94</f>
        <v>16532622.08</v>
      </c>
      <c r="C11" s="119">
        <f t="shared" si="1"/>
        <v>16532622.08</v>
      </c>
      <c r="D11" s="119">
        <f>(B11-B10)/12*1+B10</f>
        <v>13645723.981666667</v>
      </c>
      <c r="E11" s="119">
        <f t="shared" ref="E11:E18" si="2">(B11-B10)/12*2+B10</f>
        <v>13908169.263333334</v>
      </c>
      <c r="F11" s="119">
        <f t="shared" ref="F11:F18" si="3">(B11-B10)/12*3+B10</f>
        <v>14170614.545000002</v>
      </c>
      <c r="G11" s="119">
        <f t="shared" ref="G11:G18" si="4">(B11-B10)/12*4+B10</f>
        <v>14433059.826666668</v>
      </c>
      <c r="H11" s="119">
        <f t="shared" ref="H11:H18" si="5">(B11-B10)/12*5+B10</f>
        <v>14695505.108333334</v>
      </c>
      <c r="I11" s="119">
        <f t="shared" ref="I11:I18" si="6">(B11-B10)/12*6+B10</f>
        <v>14957950.390000001</v>
      </c>
      <c r="J11" s="119">
        <f t="shared" ref="J11:J18" si="7">(B11-B10)/12*7+B10</f>
        <v>15220395.671666667</v>
      </c>
      <c r="K11" s="119">
        <f t="shared" ref="K11:K18" si="8">(B11-B10)/12*8+B10</f>
        <v>15482840.953333333</v>
      </c>
      <c r="L11" s="119">
        <f t="shared" ref="L11:L18" si="9">(B11-B10)/12*9+B10</f>
        <v>15745286.234999999</v>
      </c>
      <c r="M11" s="119">
        <f>(B11-B10)/12*10+B10</f>
        <v>16007731.516666666</v>
      </c>
      <c r="N11" s="119">
        <f t="shared" ref="N11:N18" si="10">(B11-B10)/12*11+B10</f>
        <v>16270176.798333334</v>
      </c>
      <c r="O11" s="119">
        <f t="shared" ref="O11:O18" si="11">+B11</f>
        <v>16532622.08</v>
      </c>
      <c r="P11" s="119">
        <f>((C10+O11)+2*(SUM(D11:N11)))/24</f>
        <v>14957950.390000001</v>
      </c>
    </row>
    <row r="12" spans="1:18" x14ac:dyDescent="0.3">
      <c r="A12" s="115">
        <v>2010</v>
      </c>
      <c r="B12" s="119">
        <f>102002+18225441</f>
        <v>18327443</v>
      </c>
      <c r="C12" s="119">
        <f t="shared" si="1"/>
        <v>18327443</v>
      </c>
      <c r="D12" s="119">
        <f t="shared" ref="D12:D17" si="12">(B12-B11)/12*1+B11</f>
        <v>16682190.49</v>
      </c>
      <c r="E12" s="119">
        <f t="shared" si="2"/>
        <v>16831758.899999999</v>
      </c>
      <c r="F12" s="119">
        <f t="shared" si="3"/>
        <v>16981327.309999999</v>
      </c>
      <c r="G12" s="119">
        <f t="shared" si="4"/>
        <v>17130895.719999999</v>
      </c>
      <c r="H12" s="119">
        <f t="shared" si="5"/>
        <v>17280464.129999999</v>
      </c>
      <c r="I12" s="119">
        <f t="shared" si="6"/>
        <v>17430032.539999999</v>
      </c>
      <c r="J12" s="119">
        <f t="shared" si="7"/>
        <v>17579600.949999999</v>
      </c>
      <c r="K12" s="119">
        <f t="shared" si="8"/>
        <v>17729169.359999999</v>
      </c>
      <c r="L12" s="119">
        <f t="shared" si="9"/>
        <v>17878737.77</v>
      </c>
      <c r="M12" s="119">
        <f t="shared" ref="M12:M18" si="13">(B12-B11)/12*10+B11</f>
        <v>18028306.18</v>
      </c>
      <c r="N12" s="119">
        <f t="shared" si="10"/>
        <v>18177874.59</v>
      </c>
      <c r="O12" s="119">
        <f t="shared" si="11"/>
        <v>18327443</v>
      </c>
      <c r="P12" s="119">
        <f t="shared" ref="P12:P15" si="14">((C11+O12)+2*(SUM(D12:N12)))/24</f>
        <v>17430032.540000003</v>
      </c>
    </row>
    <row r="13" spans="1:18" x14ac:dyDescent="0.3">
      <c r="A13" s="115">
        <v>2011</v>
      </c>
      <c r="B13" s="119">
        <v>22239143</v>
      </c>
      <c r="C13" s="119">
        <f t="shared" si="1"/>
        <v>22239143</v>
      </c>
      <c r="D13" s="119">
        <f t="shared" si="12"/>
        <v>18653418</v>
      </c>
      <c r="E13" s="119">
        <f t="shared" si="2"/>
        <v>18979393</v>
      </c>
      <c r="F13" s="119">
        <f t="shared" si="3"/>
        <v>19305368</v>
      </c>
      <c r="G13" s="119">
        <f t="shared" si="4"/>
        <v>19631343</v>
      </c>
      <c r="H13" s="119">
        <f t="shared" si="5"/>
        <v>19957318</v>
      </c>
      <c r="I13" s="119">
        <f t="shared" si="6"/>
        <v>20283293</v>
      </c>
      <c r="J13" s="119">
        <f t="shared" si="7"/>
        <v>20609268</v>
      </c>
      <c r="K13" s="119">
        <f t="shared" si="8"/>
        <v>20935243</v>
      </c>
      <c r="L13" s="119">
        <f t="shared" si="9"/>
        <v>21261218</v>
      </c>
      <c r="M13" s="119">
        <f t="shared" si="13"/>
        <v>21587193</v>
      </c>
      <c r="N13" s="119">
        <f t="shared" si="10"/>
        <v>21913168</v>
      </c>
      <c r="O13" s="119">
        <f t="shared" si="11"/>
        <v>22239143</v>
      </c>
      <c r="P13" s="119">
        <f t="shared" si="14"/>
        <v>20283293</v>
      </c>
      <c r="Q13" s="183"/>
    </row>
    <row r="14" spans="1:18" x14ac:dyDescent="0.3">
      <c r="A14" s="115">
        <v>2012</v>
      </c>
      <c r="B14" s="119">
        <v>25523703</v>
      </c>
      <c r="C14" s="119">
        <f t="shared" si="1"/>
        <v>25523703</v>
      </c>
      <c r="D14" s="119">
        <f t="shared" si="12"/>
        <v>22512856.333333332</v>
      </c>
      <c r="E14" s="119">
        <f t="shared" si="2"/>
        <v>22786569.666666668</v>
      </c>
      <c r="F14" s="119">
        <f t="shared" si="3"/>
        <v>23060283</v>
      </c>
      <c r="G14" s="119">
        <f>(B14-B13)/12*4+B13</f>
        <v>23333996.333333332</v>
      </c>
      <c r="H14" s="119">
        <f t="shared" si="5"/>
        <v>23607709.666666668</v>
      </c>
      <c r="I14" s="119">
        <f t="shared" si="6"/>
        <v>23881423</v>
      </c>
      <c r="J14" s="119">
        <f t="shared" si="7"/>
        <v>24155136.333333332</v>
      </c>
      <c r="K14" s="119">
        <f t="shared" si="8"/>
        <v>24428849.666666668</v>
      </c>
      <c r="L14" s="119">
        <f t="shared" si="9"/>
        <v>24702563</v>
      </c>
      <c r="M14" s="119">
        <f t="shared" si="13"/>
        <v>24976276.333333332</v>
      </c>
      <c r="N14" s="119">
        <f t="shared" si="10"/>
        <v>25249989.666666668</v>
      </c>
      <c r="O14" s="119">
        <f t="shared" si="11"/>
        <v>25523703</v>
      </c>
      <c r="P14" s="119">
        <f t="shared" si="14"/>
        <v>23881423</v>
      </c>
      <c r="Q14" s="183"/>
    </row>
    <row r="15" spans="1:18" x14ac:dyDescent="0.3">
      <c r="A15" s="115">
        <v>2013</v>
      </c>
      <c r="B15" s="119">
        <v>27598934</v>
      </c>
      <c r="C15" s="119">
        <f t="shared" si="1"/>
        <v>27598934</v>
      </c>
      <c r="D15" s="119">
        <f t="shared" si="12"/>
        <v>25696638.916666668</v>
      </c>
      <c r="E15" s="119">
        <f t="shared" si="2"/>
        <v>25869574.833333332</v>
      </c>
      <c r="F15" s="119">
        <f t="shared" si="3"/>
        <v>26042510.75</v>
      </c>
      <c r="G15" s="119">
        <f t="shared" si="4"/>
        <v>26215446.666666668</v>
      </c>
      <c r="H15" s="119">
        <f t="shared" si="5"/>
        <v>26388382.583333332</v>
      </c>
      <c r="I15" s="119">
        <f t="shared" si="6"/>
        <v>26561318.5</v>
      </c>
      <c r="J15" s="119">
        <f t="shared" si="7"/>
        <v>26734254.416666668</v>
      </c>
      <c r="K15" s="119">
        <f t="shared" si="8"/>
        <v>26907190.333333332</v>
      </c>
      <c r="L15" s="119">
        <f t="shared" si="9"/>
        <v>27080126.25</v>
      </c>
      <c r="M15" s="119">
        <f t="shared" si="13"/>
        <v>27253062.166666668</v>
      </c>
      <c r="N15" s="119">
        <f t="shared" si="10"/>
        <v>27425998.083333332</v>
      </c>
      <c r="O15" s="119">
        <f t="shared" si="11"/>
        <v>27598934</v>
      </c>
      <c r="P15" s="119">
        <f t="shared" si="14"/>
        <v>26561318.5</v>
      </c>
      <c r="Q15" s="183"/>
    </row>
    <row r="16" spans="1:18" x14ac:dyDescent="0.3">
      <c r="A16" s="115">
        <v>2014</v>
      </c>
      <c r="B16" s="119">
        <v>29913212.199999999</v>
      </c>
      <c r="C16" s="119">
        <f t="shared" si="1"/>
        <v>29913212.199999999</v>
      </c>
      <c r="D16" s="119">
        <f t="shared" si="12"/>
        <v>27791790.516666666</v>
      </c>
      <c r="E16" s="119">
        <f t="shared" si="2"/>
        <v>27984647.033333331</v>
      </c>
      <c r="F16" s="119">
        <f t="shared" si="3"/>
        <v>28177503.550000001</v>
      </c>
      <c r="G16" s="119">
        <f t="shared" si="4"/>
        <v>28370360.066666666</v>
      </c>
      <c r="H16" s="119">
        <f t="shared" si="5"/>
        <v>28563216.583333332</v>
      </c>
      <c r="I16" s="119">
        <f t="shared" si="6"/>
        <v>28756073.100000001</v>
      </c>
      <c r="J16" s="119">
        <f t="shared" si="7"/>
        <v>28948929.616666667</v>
      </c>
      <c r="K16" s="119">
        <f t="shared" si="8"/>
        <v>29141786.133333333</v>
      </c>
      <c r="L16" s="119">
        <f t="shared" si="9"/>
        <v>29334642.649999999</v>
      </c>
      <c r="M16" s="119">
        <f t="shared" si="13"/>
        <v>29527499.166666664</v>
      </c>
      <c r="N16" s="119">
        <f t="shared" si="10"/>
        <v>29720355.683333334</v>
      </c>
      <c r="O16" s="119">
        <f t="shared" si="11"/>
        <v>29913212.199999999</v>
      </c>
      <c r="P16" s="119">
        <f t="shared" ref="P16" si="15">((C15+O16)+2*(SUM(D16:N16)))/24</f>
        <v>28756073.100000005</v>
      </c>
      <c r="Q16" s="183"/>
      <c r="R16" s="184"/>
    </row>
    <row r="17" spans="1:17" x14ac:dyDescent="0.3">
      <c r="A17" s="115">
        <v>2015</v>
      </c>
      <c r="B17" s="119">
        <v>33016810.43</v>
      </c>
      <c r="C17" s="119">
        <f t="shared" si="1"/>
        <v>33016810.43</v>
      </c>
      <c r="D17" s="119">
        <f t="shared" si="12"/>
        <v>30171845.385833334</v>
      </c>
      <c r="E17" s="119">
        <f t="shared" si="2"/>
        <v>30430478.571666665</v>
      </c>
      <c r="F17" s="119">
        <f t="shared" si="3"/>
        <v>30689111.7575</v>
      </c>
      <c r="G17" s="119">
        <f t="shared" si="4"/>
        <v>30947744.943333331</v>
      </c>
      <c r="H17" s="119">
        <f t="shared" si="5"/>
        <v>31206378.129166666</v>
      </c>
      <c r="I17" s="119">
        <f t="shared" si="6"/>
        <v>31465011.314999998</v>
      </c>
      <c r="J17" s="119">
        <f t="shared" si="7"/>
        <v>31723644.500833333</v>
      </c>
      <c r="K17" s="119">
        <f t="shared" si="8"/>
        <v>31982277.686666667</v>
      </c>
      <c r="L17" s="119">
        <f t="shared" si="9"/>
        <v>32240910.872499999</v>
      </c>
      <c r="M17" s="119">
        <f t="shared" si="13"/>
        <v>32499544.058333334</v>
      </c>
      <c r="N17" s="119">
        <f t="shared" si="10"/>
        <v>32758177.244166665</v>
      </c>
      <c r="O17" s="119">
        <f t="shared" si="11"/>
        <v>33016810.43</v>
      </c>
      <c r="P17" s="119">
        <f>((C16+O17)+2*(SUM(D17:N17)))/24</f>
        <v>31465011.314999998</v>
      </c>
      <c r="Q17" s="183"/>
    </row>
    <row r="18" spans="1:17" x14ac:dyDescent="0.3">
      <c r="A18" s="115">
        <v>2016</v>
      </c>
      <c r="B18" s="119">
        <v>38388388</v>
      </c>
      <c r="C18" s="119">
        <f t="shared" si="1"/>
        <v>38388388</v>
      </c>
      <c r="D18" s="119">
        <f>(B18-B17)/12*1+B17</f>
        <v>33464441.894166667</v>
      </c>
      <c r="E18" s="119">
        <f t="shared" si="2"/>
        <v>33912073.358333334</v>
      </c>
      <c r="F18" s="119">
        <f t="shared" si="3"/>
        <v>34359704.822499998</v>
      </c>
      <c r="G18" s="119">
        <f t="shared" si="4"/>
        <v>34807336.286666669</v>
      </c>
      <c r="H18" s="119">
        <f t="shared" si="5"/>
        <v>35254967.750833333</v>
      </c>
      <c r="I18" s="119">
        <f t="shared" si="6"/>
        <v>35702599.215000004</v>
      </c>
      <c r="J18" s="119">
        <f t="shared" si="7"/>
        <v>36150230.679166667</v>
      </c>
      <c r="K18" s="119">
        <f t="shared" si="8"/>
        <v>36597862.143333331</v>
      </c>
      <c r="L18" s="119">
        <f t="shared" si="9"/>
        <v>37045493.607500002</v>
      </c>
      <c r="M18" s="119">
        <f t="shared" si="13"/>
        <v>37493125.071666665</v>
      </c>
      <c r="N18" s="119">
        <f t="shared" si="10"/>
        <v>37940756.535833329</v>
      </c>
      <c r="O18" s="119">
        <f t="shared" si="11"/>
        <v>38388388</v>
      </c>
      <c r="P18" s="119">
        <f>((C17+O18)+2*(SUM(D18:N18)))/24</f>
        <v>35702599.215000004</v>
      </c>
      <c r="Q18" s="119">
        <f>((L17+L18)+2*(SUM(D18:K18)+SUM(M17:O17)))/24</f>
        <v>34430579.176874995</v>
      </c>
    </row>
    <row r="19" spans="1:17" x14ac:dyDescent="0.3">
      <c r="C19" s="181"/>
      <c r="O19" s="119"/>
    </row>
    <row r="20" spans="1:17" x14ac:dyDescent="0.3">
      <c r="A20" s="120" t="s">
        <v>128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0"/>
    </row>
    <row r="21" spans="1:17" x14ac:dyDescent="0.3">
      <c r="A21" s="115">
        <v>2008</v>
      </c>
      <c r="B21" s="119">
        <f>63527.46+48250116.2+369200.05</f>
        <v>48682843.710000001</v>
      </c>
      <c r="C21" s="119">
        <f t="shared" ref="C21:C29" si="16">B21</f>
        <v>48682843.710000001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</row>
    <row r="22" spans="1:17" x14ac:dyDescent="0.3">
      <c r="A22" s="115">
        <v>2009</v>
      </c>
      <c r="B22" s="119">
        <f>62529.98+49111512.51+184600.03</f>
        <v>49358642.519999996</v>
      </c>
      <c r="C22" s="119">
        <f t="shared" si="16"/>
        <v>49358642.519999996</v>
      </c>
      <c r="D22" s="119">
        <f t="shared" ref="D22:D29" si="17">(B22-B21)/12*1+B21</f>
        <v>48739160.277500004</v>
      </c>
      <c r="E22" s="119">
        <f t="shared" ref="E22:E29" si="18">(B22-B21)/12*2+B21</f>
        <v>48795476.844999999</v>
      </c>
      <c r="F22" s="119">
        <f t="shared" ref="F22:F29" si="19">(B22-B21)/12*3+B21</f>
        <v>48851793.412500001</v>
      </c>
      <c r="G22" s="119">
        <f t="shared" ref="G22:G29" si="20">(B22-B21)/12*4+B21</f>
        <v>48908109.979999997</v>
      </c>
      <c r="H22" s="119">
        <f t="shared" ref="H22:H29" si="21">(B22-B21)/12*5+B21</f>
        <v>48964426.547499999</v>
      </c>
      <c r="I22" s="119">
        <f t="shared" ref="I22:I29" si="22">(B22-B21)/12*6+B21</f>
        <v>49020743.114999995</v>
      </c>
      <c r="J22" s="119">
        <f t="shared" ref="J22:J29" si="23">(B22-B21)/12*7+B21</f>
        <v>49077059.682499997</v>
      </c>
      <c r="K22" s="119">
        <f t="shared" ref="K22:K29" si="24">(B22-B21)/12*8+B21</f>
        <v>49133376.25</v>
      </c>
      <c r="L22" s="119">
        <f t="shared" ref="L22:L29" si="25">(B22-B21)/12*9+B21</f>
        <v>49189692.817499995</v>
      </c>
      <c r="M22" s="119">
        <f t="shared" ref="M22:M29" si="26">(B22-B21)/12*10+B21</f>
        <v>49246009.384999998</v>
      </c>
      <c r="N22" s="119">
        <f t="shared" ref="N22:N29" si="27">(B22-B21)/12*11+B21</f>
        <v>49302325.952499993</v>
      </c>
      <c r="O22" s="119">
        <f t="shared" ref="O22:O27" si="28">+B22</f>
        <v>49358642.519999996</v>
      </c>
      <c r="P22" s="119">
        <f t="shared" ref="P22:P29" si="29">((C21+O22)+2*(SUM(D22:N22)))/24</f>
        <v>49020743.115000002</v>
      </c>
    </row>
    <row r="23" spans="1:17" x14ac:dyDescent="0.3">
      <c r="A23" s="115">
        <v>2010</v>
      </c>
      <c r="B23" s="119">
        <f>61552+49201525</f>
        <v>49263077</v>
      </c>
      <c r="C23" s="119">
        <f t="shared" si="16"/>
        <v>49263077</v>
      </c>
      <c r="D23" s="119">
        <f t="shared" si="17"/>
        <v>49350678.726666659</v>
      </c>
      <c r="E23" s="119">
        <f t="shared" si="18"/>
        <v>49342714.93333333</v>
      </c>
      <c r="F23" s="119">
        <f t="shared" si="19"/>
        <v>49334751.140000001</v>
      </c>
      <c r="G23" s="119">
        <f t="shared" si="20"/>
        <v>49326787.346666664</v>
      </c>
      <c r="H23" s="119">
        <f t="shared" si="21"/>
        <v>49318823.553333327</v>
      </c>
      <c r="I23" s="119">
        <f t="shared" si="22"/>
        <v>49310859.759999998</v>
      </c>
      <c r="J23" s="119">
        <f t="shared" si="23"/>
        <v>49302895.966666669</v>
      </c>
      <c r="K23" s="119">
        <f t="shared" si="24"/>
        <v>49294932.173333332</v>
      </c>
      <c r="L23" s="119">
        <f t="shared" si="25"/>
        <v>49286968.379999995</v>
      </c>
      <c r="M23" s="119">
        <f t="shared" si="26"/>
        <v>49279004.586666666</v>
      </c>
      <c r="N23" s="119">
        <f t="shared" si="27"/>
        <v>49271040.793333337</v>
      </c>
      <c r="O23" s="119">
        <f t="shared" si="28"/>
        <v>49263077</v>
      </c>
      <c r="P23" s="119">
        <f t="shared" si="29"/>
        <v>49310859.75999999</v>
      </c>
    </row>
    <row r="24" spans="1:17" x14ac:dyDescent="0.3">
      <c r="A24" s="115">
        <v>2011</v>
      </c>
      <c r="B24" s="119">
        <v>50557888</v>
      </c>
      <c r="C24" s="119">
        <f t="shared" si="16"/>
        <v>50557888</v>
      </c>
      <c r="D24" s="119">
        <f t="shared" si="17"/>
        <v>49370977.916666664</v>
      </c>
      <c r="E24" s="119">
        <f t="shared" si="18"/>
        <v>49478878.833333336</v>
      </c>
      <c r="F24" s="119">
        <f t="shared" si="19"/>
        <v>49586779.75</v>
      </c>
      <c r="G24" s="119">
        <f t="shared" si="20"/>
        <v>49694680.666666664</v>
      </c>
      <c r="H24" s="119">
        <f t="shared" si="21"/>
        <v>49802581.583333336</v>
      </c>
      <c r="I24" s="119">
        <f t="shared" si="22"/>
        <v>49910482.5</v>
      </c>
      <c r="J24" s="119">
        <f t="shared" si="23"/>
        <v>50018383.416666664</v>
      </c>
      <c r="K24" s="119">
        <f t="shared" si="24"/>
        <v>50126284.333333336</v>
      </c>
      <c r="L24" s="119">
        <f t="shared" si="25"/>
        <v>50234185.25</v>
      </c>
      <c r="M24" s="119">
        <f t="shared" si="26"/>
        <v>50342086.166666664</v>
      </c>
      <c r="N24" s="119">
        <f t="shared" si="27"/>
        <v>50449987.083333336</v>
      </c>
      <c r="O24" s="119">
        <f t="shared" si="28"/>
        <v>50557888</v>
      </c>
      <c r="P24" s="119">
        <f t="shared" si="29"/>
        <v>49910482.5</v>
      </c>
    </row>
    <row r="25" spans="1:17" x14ac:dyDescent="0.3">
      <c r="A25" s="115">
        <v>2012</v>
      </c>
      <c r="B25" s="119">
        <v>50150872</v>
      </c>
      <c r="C25" s="119">
        <f t="shared" si="16"/>
        <v>50150872</v>
      </c>
      <c r="D25" s="119">
        <f t="shared" si="17"/>
        <v>50523970</v>
      </c>
      <c r="E25" s="119">
        <f t="shared" si="18"/>
        <v>50490052</v>
      </c>
      <c r="F25" s="119">
        <f t="shared" si="19"/>
        <v>50456134</v>
      </c>
      <c r="G25" s="119">
        <f t="shared" si="20"/>
        <v>50422216</v>
      </c>
      <c r="H25" s="119">
        <f t="shared" si="21"/>
        <v>50388298</v>
      </c>
      <c r="I25" s="119">
        <f t="shared" si="22"/>
        <v>50354380</v>
      </c>
      <c r="J25" s="119">
        <f t="shared" si="23"/>
        <v>50320462</v>
      </c>
      <c r="K25" s="119">
        <f t="shared" si="24"/>
        <v>50286544</v>
      </c>
      <c r="L25" s="119">
        <f t="shared" si="25"/>
        <v>50252626</v>
      </c>
      <c r="M25" s="119">
        <f t="shared" si="26"/>
        <v>50218708</v>
      </c>
      <c r="N25" s="119">
        <f t="shared" si="27"/>
        <v>50184790</v>
      </c>
      <c r="O25" s="119">
        <f t="shared" si="28"/>
        <v>50150872</v>
      </c>
      <c r="P25" s="119">
        <f t="shared" si="29"/>
        <v>50354380</v>
      </c>
    </row>
    <row r="26" spans="1:17" x14ac:dyDescent="0.3">
      <c r="A26" s="115">
        <v>2013</v>
      </c>
      <c r="B26" s="119">
        <v>51352634</v>
      </c>
      <c r="C26" s="119">
        <f t="shared" si="16"/>
        <v>51352634</v>
      </c>
      <c r="D26" s="119">
        <f t="shared" si="17"/>
        <v>50251018.833333336</v>
      </c>
      <c r="E26" s="119">
        <f t="shared" si="18"/>
        <v>50351165.666666664</v>
      </c>
      <c r="F26" s="119">
        <f t="shared" si="19"/>
        <v>50451312.5</v>
      </c>
      <c r="G26" s="119">
        <f t="shared" si="20"/>
        <v>50551459.333333336</v>
      </c>
      <c r="H26" s="119">
        <f t="shared" si="21"/>
        <v>50651606.166666664</v>
      </c>
      <c r="I26" s="119">
        <f t="shared" si="22"/>
        <v>50751753</v>
      </c>
      <c r="J26" s="119">
        <f t="shared" si="23"/>
        <v>50851899.833333336</v>
      </c>
      <c r="K26" s="119">
        <f t="shared" si="24"/>
        <v>50952046.666666664</v>
      </c>
      <c r="L26" s="119">
        <f t="shared" si="25"/>
        <v>51052193.5</v>
      </c>
      <c r="M26" s="119">
        <f t="shared" si="26"/>
        <v>51152340.333333336</v>
      </c>
      <c r="N26" s="119">
        <f t="shared" si="27"/>
        <v>51252487.166666664</v>
      </c>
      <c r="O26" s="119">
        <f t="shared" si="28"/>
        <v>51352634</v>
      </c>
      <c r="P26" s="119">
        <f t="shared" si="29"/>
        <v>50751753</v>
      </c>
    </row>
    <row r="27" spans="1:17" x14ac:dyDescent="0.3">
      <c r="A27" s="115">
        <v>2014</v>
      </c>
      <c r="B27" s="119">
        <v>51785889.030000001</v>
      </c>
      <c r="C27" s="119">
        <f t="shared" si="16"/>
        <v>51785889.030000001</v>
      </c>
      <c r="D27" s="119">
        <f t="shared" si="17"/>
        <v>51388738.585833333</v>
      </c>
      <c r="E27" s="119">
        <f t="shared" si="18"/>
        <v>51424843.171666667</v>
      </c>
      <c r="F27" s="119">
        <f t="shared" si="19"/>
        <v>51460947.7575</v>
      </c>
      <c r="G27" s="119">
        <f t="shared" si="20"/>
        <v>51497052.343333334</v>
      </c>
      <c r="H27" s="119">
        <f t="shared" si="21"/>
        <v>51533156.929166667</v>
      </c>
      <c r="I27" s="119">
        <f t="shared" si="22"/>
        <v>51569261.515000001</v>
      </c>
      <c r="J27" s="119">
        <f t="shared" si="23"/>
        <v>51605366.100833334</v>
      </c>
      <c r="K27" s="119">
        <f t="shared" si="24"/>
        <v>51641470.686666667</v>
      </c>
      <c r="L27" s="119">
        <f t="shared" si="25"/>
        <v>51677575.272500001</v>
      </c>
      <c r="M27" s="119">
        <f t="shared" si="26"/>
        <v>51713679.858333334</v>
      </c>
      <c r="N27" s="119">
        <f t="shared" si="27"/>
        <v>51749784.444166668</v>
      </c>
      <c r="O27" s="119">
        <f t="shared" si="28"/>
        <v>51785889.030000001</v>
      </c>
      <c r="P27" s="119">
        <f t="shared" si="29"/>
        <v>51569261.515000008</v>
      </c>
    </row>
    <row r="28" spans="1:17" x14ac:dyDescent="0.3">
      <c r="A28" s="115">
        <v>2015</v>
      </c>
      <c r="B28" s="119">
        <v>51323351.329999998</v>
      </c>
      <c r="C28" s="119">
        <f t="shared" si="16"/>
        <v>51323351.329999998</v>
      </c>
      <c r="D28" s="119">
        <f t="shared" si="17"/>
        <v>51747344.221666664</v>
      </c>
      <c r="E28" s="119">
        <f t="shared" si="18"/>
        <v>51708799.413333334</v>
      </c>
      <c r="F28" s="119">
        <f t="shared" si="19"/>
        <v>51670254.605000004</v>
      </c>
      <c r="G28" s="119">
        <f t="shared" si="20"/>
        <v>51631709.796666667</v>
      </c>
      <c r="H28" s="119">
        <f t="shared" si="21"/>
        <v>51593164.98833333</v>
      </c>
      <c r="I28" s="119">
        <f t="shared" si="22"/>
        <v>51554620.18</v>
      </c>
      <c r="J28" s="119">
        <f t="shared" si="23"/>
        <v>51516075.37166667</v>
      </c>
      <c r="K28" s="119">
        <f t="shared" si="24"/>
        <v>51477530.563333333</v>
      </c>
      <c r="L28" s="119">
        <f t="shared" si="25"/>
        <v>51438985.754999995</v>
      </c>
      <c r="M28" s="119">
        <f t="shared" si="26"/>
        <v>51400440.946666665</v>
      </c>
      <c r="N28" s="119">
        <f t="shared" si="27"/>
        <v>51361896.138333336</v>
      </c>
      <c r="O28" s="119">
        <f>+B28</f>
        <v>51323351.329999998</v>
      </c>
      <c r="P28" s="119">
        <f t="shared" si="29"/>
        <v>51554620.18</v>
      </c>
    </row>
    <row r="29" spans="1:17" x14ac:dyDescent="0.3">
      <c r="A29" s="115">
        <v>2016</v>
      </c>
      <c r="B29" s="119">
        <v>51105687</v>
      </c>
      <c r="C29" s="119">
        <f t="shared" si="16"/>
        <v>51105687</v>
      </c>
      <c r="D29" s="119">
        <f t="shared" si="17"/>
        <v>51305212.63583333</v>
      </c>
      <c r="E29" s="119">
        <f t="shared" si="18"/>
        <v>51287073.941666663</v>
      </c>
      <c r="F29" s="119">
        <f t="shared" si="19"/>
        <v>51268935.247500002</v>
      </c>
      <c r="G29" s="119">
        <f t="shared" si="20"/>
        <v>51250796.553333335</v>
      </c>
      <c r="H29" s="119">
        <f t="shared" si="21"/>
        <v>51232657.859166667</v>
      </c>
      <c r="I29" s="119">
        <f t="shared" si="22"/>
        <v>51214519.164999999</v>
      </c>
      <c r="J29" s="119">
        <f t="shared" si="23"/>
        <v>51196380.470833331</v>
      </c>
      <c r="K29" s="119">
        <f t="shared" si="24"/>
        <v>51178241.776666664</v>
      </c>
      <c r="L29" s="119">
        <f t="shared" si="25"/>
        <v>51160103.082499996</v>
      </c>
      <c r="M29" s="119">
        <f t="shared" si="26"/>
        <v>51141964.388333336</v>
      </c>
      <c r="N29" s="119">
        <f t="shared" si="27"/>
        <v>51123825.694166668</v>
      </c>
      <c r="O29" s="119">
        <f>+B29</f>
        <v>51105687</v>
      </c>
      <c r="P29" s="119">
        <f t="shared" si="29"/>
        <v>51214519.164999992</v>
      </c>
      <c r="Q29" s="119">
        <f>((L28+L29)+2*(SUM(D29:K29)+SUM(M28:O28)))/24</f>
        <v>51276587.540312506</v>
      </c>
    </row>
    <row r="30" spans="1:17" x14ac:dyDescent="0.3">
      <c r="C30" s="119"/>
      <c r="O30" s="119"/>
    </row>
    <row r="31" spans="1:17" x14ac:dyDescent="0.3">
      <c r="A31" s="120" t="s">
        <v>129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0"/>
    </row>
    <row r="32" spans="1:17" x14ac:dyDescent="0.3">
      <c r="A32" s="115">
        <v>2008</v>
      </c>
      <c r="B32" s="119">
        <f>30778.79+9228412.46</f>
        <v>9259191.25</v>
      </c>
      <c r="C32" s="119">
        <f t="shared" ref="C32:C40" si="30">B32</f>
        <v>9259191.25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</row>
    <row r="33" spans="1:17" x14ac:dyDescent="0.3">
      <c r="A33" s="115">
        <v>2009</v>
      </c>
      <c r="B33" s="119">
        <f>30142.31+8812425.28</f>
        <v>8842567.5899999999</v>
      </c>
      <c r="C33" s="119">
        <f t="shared" si="30"/>
        <v>8842567.5899999999</v>
      </c>
      <c r="D33" s="119">
        <f t="shared" ref="D33:D40" si="31">(B33-B32)/12*1+B32</f>
        <v>9224472.6116666663</v>
      </c>
      <c r="E33" s="119">
        <f t="shared" ref="E33:E40" si="32">(B33-B32)/12*2+B32</f>
        <v>9189753.9733333327</v>
      </c>
      <c r="F33" s="119">
        <f t="shared" ref="F33:F40" si="33">(B33-B32)/12*3+B32</f>
        <v>9155035.3350000009</v>
      </c>
      <c r="G33" s="119">
        <f t="shared" ref="G33:G40" si="34">(B33-B32)/12*4+B32</f>
        <v>9120316.6966666672</v>
      </c>
      <c r="H33" s="119">
        <f t="shared" ref="H33:H40" si="35">(B33-B32)/12*5+B32</f>
        <v>9085598.0583333336</v>
      </c>
      <c r="I33" s="119">
        <f t="shared" ref="I33:I40" si="36">(B33-B32)/12*6+B32</f>
        <v>9050879.4199999999</v>
      </c>
      <c r="J33" s="119">
        <f t="shared" ref="J33:J40" si="37">(B33-B32)/12*7+B32</f>
        <v>9016160.7816666663</v>
      </c>
      <c r="K33" s="119">
        <f t="shared" ref="K33:K40" si="38">(B33-B32)/12*8+B32</f>
        <v>8981442.1433333326</v>
      </c>
      <c r="L33" s="119">
        <f t="shared" ref="L33:L40" si="39">(B33-B32)/12*9+B32</f>
        <v>8946723.504999999</v>
      </c>
      <c r="M33" s="119">
        <f t="shared" ref="M33:M40" si="40">(B33-B32)/12*10+B32</f>
        <v>8912004.8666666672</v>
      </c>
      <c r="N33" s="119">
        <f t="shared" ref="N33:N40" si="41">(B33-B32)/12*11+B32</f>
        <v>8877286.2283333335</v>
      </c>
      <c r="O33" s="119">
        <f t="shared" ref="O33:O41" si="42">+B33</f>
        <v>8842567.5899999999</v>
      </c>
      <c r="P33" s="119">
        <f t="shared" ref="P33:P40" si="43">((C32+O33)+2*(SUM(D33:N33)))/24</f>
        <v>9050879.4199999999</v>
      </c>
    </row>
    <row r="34" spans="1:17" x14ac:dyDescent="0.3">
      <c r="A34" s="115">
        <v>2010</v>
      </c>
      <c r="B34" s="119">
        <f>29501+8398579</f>
        <v>8428080</v>
      </c>
      <c r="C34" s="119">
        <f t="shared" si="30"/>
        <v>8428080</v>
      </c>
      <c r="D34" s="119">
        <f t="shared" si="31"/>
        <v>8808026.9574999996</v>
      </c>
      <c r="E34" s="119">
        <f t="shared" si="32"/>
        <v>8773486.3249999993</v>
      </c>
      <c r="F34" s="119">
        <f t="shared" si="33"/>
        <v>8738945.692499999</v>
      </c>
      <c r="G34" s="119">
        <f t="shared" si="34"/>
        <v>8704405.0600000005</v>
      </c>
      <c r="H34" s="119">
        <f t="shared" si="35"/>
        <v>8669864.4275000002</v>
      </c>
      <c r="I34" s="119">
        <f t="shared" si="36"/>
        <v>8635323.7949999999</v>
      </c>
      <c r="J34" s="119">
        <f t="shared" si="37"/>
        <v>8600783.1624999996</v>
      </c>
      <c r="K34" s="119">
        <f t="shared" si="38"/>
        <v>8566242.5299999993</v>
      </c>
      <c r="L34" s="119">
        <f t="shared" si="39"/>
        <v>8531701.8975000009</v>
      </c>
      <c r="M34" s="119">
        <f t="shared" si="40"/>
        <v>8497161.2650000006</v>
      </c>
      <c r="N34" s="119">
        <f t="shared" si="41"/>
        <v>8462620.6325000003</v>
      </c>
      <c r="O34" s="119">
        <f t="shared" si="42"/>
        <v>8428080</v>
      </c>
      <c r="P34" s="119">
        <f t="shared" si="43"/>
        <v>8635323.7949999999</v>
      </c>
    </row>
    <row r="35" spans="1:17" x14ac:dyDescent="0.3">
      <c r="A35" s="115">
        <v>2011</v>
      </c>
      <c r="B35" s="119">
        <v>7919903</v>
      </c>
      <c r="C35" s="119">
        <f t="shared" si="30"/>
        <v>7919903</v>
      </c>
      <c r="D35" s="119">
        <f t="shared" si="31"/>
        <v>8385731.916666667</v>
      </c>
      <c r="E35" s="119">
        <f t="shared" si="32"/>
        <v>8343383.833333333</v>
      </c>
      <c r="F35" s="119">
        <f t="shared" si="33"/>
        <v>8301035.75</v>
      </c>
      <c r="G35" s="119">
        <f t="shared" si="34"/>
        <v>8258687.666666667</v>
      </c>
      <c r="H35" s="119">
        <f t="shared" si="35"/>
        <v>8216339.583333333</v>
      </c>
      <c r="I35" s="119">
        <f t="shared" si="36"/>
        <v>8173991.5</v>
      </c>
      <c r="J35" s="119">
        <f t="shared" si="37"/>
        <v>8131643.416666667</v>
      </c>
      <c r="K35" s="119">
        <f t="shared" si="38"/>
        <v>8089295.333333333</v>
      </c>
      <c r="L35" s="119">
        <f t="shared" si="39"/>
        <v>8046947.25</v>
      </c>
      <c r="M35" s="119">
        <f t="shared" si="40"/>
        <v>8004599.166666667</v>
      </c>
      <c r="N35" s="119">
        <f t="shared" si="41"/>
        <v>7962251.083333333</v>
      </c>
      <c r="O35" s="119">
        <f t="shared" si="42"/>
        <v>7919903</v>
      </c>
      <c r="P35" s="119">
        <f t="shared" si="43"/>
        <v>8173991.5</v>
      </c>
    </row>
    <row r="36" spans="1:17" x14ac:dyDescent="0.3">
      <c r="A36" s="115">
        <v>2012</v>
      </c>
      <c r="B36" s="119">
        <v>7419632</v>
      </c>
      <c r="C36" s="119">
        <f t="shared" si="30"/>
        <v>7419632</v>
      </c>
      <c r="D36" s="119">
        <f t="shared" si="31"/>
        <v>7878213.75</v>
      </c>
      <c r="E36" s="119">
        <f t="shared" si="32"/>
        <v>7836524.5</v>
      </c>
      <c r="F36" s="119">
        <f t="shared" si="33"/>
        <v>7794835.25</v>
      </c>
      <c r="G36" s="119">
        <f t="shared" si="34"/>
        <v>7753146</v>
      </c>
      <c r="H36" s="119">
        <f t="shared" si="35"/>
        <v>7711456.75</v>
      </c>
      <c r="I36" s="119">
        <f t="shared" si="36"/>
        <v>7669767.5</v>
      </c>
      <c r="J36" s="119">
        <f t="shared" si="37"/>
        <v>7628078.25</v>
      </c>
      <c r="K36" s="119">
        <f t="shared" si="38"/>
        <v>7586389</v>
      </c>
      <c r="L36" s="119">
        <f t="shared" si="39"/>
        <v>7544699.75</v>
      </c>
      <c r="M36" s="119">
        <f t="shared" si="40"/>
        <v>7503010.5</v>
      </c>
      <c r="N36" s="119">
        <f t="shared" si="41"/>
        <v>7461321.25</v>
      </c>
      <c r="O36" s="119">
        <f t="shared" si="42"/>
        <v>7419632</v>
      </c>
      <c r="P36" s="119">
        <f t="shared" si="43"/>
        <v>7669767.5</v>
      </c>
    </row>
    <row r="37" spans="1:17" x14ac:dyDescent="0.3">
      <c r="A37" s="115">
        <v>2013</v>
      </c>
      <c r="B37" s="119">
        <v>6904682</v>
      </c>
      <c r="C37" s="119">
        <f t="shared" si="30"/>
        <v>6904682</v>
      </c>
      <c r="D37" s="119">
        <f t="shared" si="31"/>
        <v>7376719.5</v>
      </c>
      <c r="E37" s="119">
        <f t="shared" si="32"/>
        <v>7333807</v>
      </c>
      <c r="F37" s="119">
        <f t="shared" si="33"/>
        <v>7290894.5</v>
      </c>
      <c r="G37" s="119">
        <f t="shared" si="34"/>
        <v>7247982</v>
      </c>
      <c r="H37" s="119">
        <f t="shared" si="35"/>
        <v>7205069.5</v>
      </c>
      <c r="I37" s="119">
        <f t="shared" si="36"/>
        <v>7162157</v>
      </c>
      <c r="J37" s="119">
        <f t="shared" si="37"/>
        <v>7119244.5</v>
      </c>
      <c r="K37" s="119">
        <f t="shared" si="38"/>
        <v>7076332</v>
      </c>
      <c r="L37" s="119">
        <f t="shared" si="39"/>
        <v>7033419.5</v>
      </c>
      <c r="M37" s="119">
        <f t="shared" si="40"/>
        <v>6990507</v>
      </c>
      <c r="N37" s="119">
        <f t="shared" si="41"/>
        <v>6947594.5</v>
      </c>
      <c r="O37" s="119">
        <f t="shared" si="42"/>
        <v>6904682</v>
      </c>
      <c r="P37" s="119">
        <f t="shared" si="43"/>
        <v>7162157</v>
      </c>
    </row>
    <row r="38" spans="1:17" x14ac:dyDescent="0.3">
      <c r="A38" s="115">
        <v>2014</v>
      </c>
      <c r="B38" s="119">
        <v>6388142</v>
      </c>
      <c r="C38" s="119">
        <f t="shared" si="30"/>
        <v>6388142</v>
      </c>
      <c r="D38" s="119">
        <f t="shared" si="31"/>
        <v>6861637</v>
      </c>
      <c r="E38" s="119">
        <f t="shared" si="32"/>
        <v>6818592</v>
      </c>
      <c r="F38" s="119">
        <f t="shared" si="33"/>
        <v>6775547</v>
      </c>
      <c r="G38" s="119">
        <f t="shared" si="34"/>
        <v>6732502</v>
      </c>
      <c r="H38" s="119">
        <f t="shared" si="35"/>
        <v>6689457</v>
      </c>
      <c r="I38" s="119">
        <f t="shared" si="36"/>
        <v>6646412</v>
      </c>
      <c r="J38" s="119">
        <f t="shared" si="37"/>
        <v>6603367</v>
      </c>
      <c r="K38" s="119">
        <f t="shared" si="38"/>
        <v>6560322</v>
      </c>
      <c r="L38" s="119">
        <f t="shared" si="39"/>
        <v>6517277</v>
      </c>
      <c r="M38" s="119">
        <f t="shared" si="40"/>
        <v>6474232</v>
      </c>
      <c r="N38" s="119">
        <f t="shared" si="41"/>
        <v>6431187</v>
      </c>
      <c r="O38" s="119">
        <f t="shared" si="42"/>
        <v>6388142</v>
      </c>
      <c r="P38" s="119">
        <f t="shared" si="43"/>
        <v>6646412</v>
      </c>
    </row>
    <row r="39" spans="1:17" x14ac:dyDescent="0.3">
      <c r="A39" s="115">
        <v>2015</v>
      </c>
      <c r="B39" s="119">
        <v>5869361.1399999997</v>
      </c>
      <c r="C39" s="119">
        <f t="shared" si="30"/>
        <v>5869361.1399999997</v>
      </c>
      <c r="D39" s="119">
        <f t="shared" si="31"/>
        <v>6344910.2616666667</v>
      </c>
      <c r="E39" s="119">
        <f t="shared" si="32"/>
        <v>6301678.5233333334</v>
      </c>
      <c r="F39" s="119">
        <f t="shared" si="33"/>
        <v>6258446.7850000001</v>
      </c>
      <c r="G39" s="119">
        <f t="shared" si="34"/>
        <v>6215215.0466666669</v>
      </c>
      <c r="H39" s="119">
        <f t="shared" si="35"/>
        <v>6171983.3083333336</v>
      </c>
      <c r="I39" s="119">
        <f t="shared" si="36"/>
        <v>6128751.5700000003</v>
      </c>
      <c r="J39" s="119">
        <f t="shared" si="37"/>
        <v>6085519.8316666661</v>
      </c>
      <c r="K39" s="119">
        <f t="shared" si="38"/>
        <v>6042288.0933333328</v>
      </c>
      <c r="L39" s="119">
        <f t="shared" si="39"/>
        <v>5999056.3549999995</v>
      </c>
      <c r="M39" s="119">
        <f t="shared" si="40"/>
        <v>5955824.6166666662</v>
      </c>
      <c r="N39" s="119">
        <f t="shared" si="41"/>
        <v>5912592.8783333329</v>
      </c>
      <c r="O39" s="119">
        <f t="shared" si="42"/>
        <v>5869361.1399999997</v>
      </c>
      <c r="P39" s="119">
        <f t="shared" si="43"/>
        <v>6128751.5700000003</v>
      </c>
    </row>
    <row r="40" spans="1:17" x14ac:dyDescent="0.3">
      <c r="A40" s="115">
        <v>2016</v>
      </c>
      <c r="B40" s="119">
        <v>5439167</v>
      </c>
      <c r="C40" s="119">
        <f t="shared" si="30"/>
        <v>5439167</v>
      </c>
      <c r="D40" s="119">
        <f t="shared" si="31"/>
        <v>5833511.6283333329</v>
      </c>
      <c r="E40" s="119">
        <f t="shared" si="32"/>
        <v>5797662.1166666662</v>
      </c>
      <c r="F40" s="119">
        <f t="shared" si="33"/>
        <v>5761812.6049999995</v>
      </c>
      <c r="G40" s="119">
        <f t="shared" si="34"/>
        <v>5725963.0933333328</v>
      </c>
      <c r="H40" s="119">
        <f t="shared" si="35"/>
        <v>5690113.5816666661</v>
      </c>
      <c r="I40" s="119">
        <f t="shared" si="36"/>
        <v>5654264.0700000003</v>
      </c>
      <c r="J40" s="119">
        <f t="shared" si="37"/>
        <v>5618414.5583333336</v>
      </c>
      <c r="K40" s="119">
        <f t="shared" si="38"/>
        <v>5582565.0466666669</v>
      </c>
      <c r="L40" s="119">
        <f t="shared" si="39"/>
        <v>5546715.5350000001</v>
      </c>
      <c r="M40" s="119">
        <f t="shared" si="40"/>
        <v>5510866.0233333334</v>
      </c>
      <c r="N40" s="119">
        <f t="shared" si="41"/>
        <v>5475016.5116666667</v>
      </c>
      <c r="O40" s="119">
        <f t="shared" si="42"/>
        <v>5439167</v>
      </c>
      <c r="P40" s="119">
        <f t="shared" si="43"/>
        <v>5654264.0700000003</v>
      </c>
      <c r="Q40" s="119">
        <f>((L39+L40)+2*(SUM(D40:K40)+SUM(M39:O39)))/24</f>
        <v>5764580.9400000004</v>
      </c>
    </row>
    <row r="41" spans="1:17" x14ac:dyDescent="0.3">
      <c r="C41" s="119"/>
      <c r="O41" s="119">
        <f t="shared" si="42"/>
        <v>0</v>
      </c>
    </row>
    <row r="42" spans="1:17" x14ac:dyDescent="0.3">
      <c r="A42" s="120" t="s">
        <v>130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0"/>
    </row>
    <row r="43" spans="1:17" x14ac:dyDescent="0.3">
      <c r="A43" s="115">
        <v>2008</v>
      </c>
      <c r="B43" s="119">
        <v>71962.53</v>
      </c>
      <c r="C43" s="119">
        <f t="shared" ref="C43:C51" si="44">B43</f>
        <v>71962.53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</row>
    <row r="44" spans="1:17" x14ac:dyDescent="0.3">
      <c r="A44" s="115">
        <v>2009</v>
      </c>
      <c r="B44" s="119">
        <f>52148.84+105862.07</f>
        <v>158010.91</v>
      </c>
      <c r="C44" s="119">
        <f t="shared" si="44"/>
        <v>158010.91</v>
      </c>
      <c r="D44" s="119">
        <f t="shared" ref="D44:D51" si="45">(B44-B43)/12*1+B43</f>
        <v>79133.228333333333</v>
      </c>
      <c r="E44" s="119">
        <f t="shared" ref="E44:E51" si="46">(B44-B43)/12*2+B43</f>
        <v>86303.926666666666</v>
      </c>
      <c r="F44" s="119">
        <f t="shared" ref="F44:F51" si="47">(B44-B43)/12*3+B43</f>
        <v>93474.625</v>
      </c>
      <c r="G44" s="119">
        <f t="shared" ref="G44:G51" si="48">(B44-B43)/12*4+B43</f>
        <v>100645.32333333333</v>
      </c>
      <c r="H44" s="119">
        <f t="shared" ref="H44:H51" si="49">(B44-B43)/12*5+B43</f>
        <v>107816.02166666667</v>
      </c>
      <c r="I44" s="119">
        <f t="shared" ref="I44:I51" si="50">(B44-B43)/12*6+B43</f>
        <v>114986.72</v>
      </c>
      <c r="J44" s="119">
        <f t="shared" ref="J44:J51" si="51">(B44-B43)/12*7+B43</f>
        <v>122157.41833333333</v>
      </c>
      <c r="K44" s="119">
        <f t="shared" ref="K44:K51" si="52">(B44-B43)/12*8+B43</f>
        <v>129328.11666666667</v>
      </c>
      <c r="L44" s="119">
        <f t="shared" ref="L44:L51" si="53">(B44-B43)/12*9+B43</f>
        <v>136498.815</v>
      </c>
      <c r="M44" s="119">
        <f t="shared" ref="M44:M51" si="54">(B44-B43)/12*10+B43</f>
        <v>143669.51333333334</v>
      </c>
      <c r="N44" s="119">
        <f t="shared" ref="N44:N51" si="55">(B44-B43)/12*11+B43</f>
        <v>150840.21166666667</v>
      </c>
      <c r="O44" s="119">
        <f t="shared" ref="O44:O52" si="56">+B44</f>
        <v>158010.91</v>
      </c>
      <c r="P44" s="119">
        <f t="shared" ref="P44:P51" si="57">((C43+O44)+2*(SUM(D44:N44)))/24</f>
        <v>114986.72000000002</v>
      </c>
    </row>
    <row r="45" spans="1:17" x14ac:dyDescent="0.3">
      <c r="A45" s="115">
        <v>2010</v>
      </c>
      <c r="B45" s="119">
        <f>49068+128197</f>
        <v>177265</v>
      </c>
      <c r="C45" s="119">
        <f t="shared" si="44"/>
        <v>177265</v>
      </c>
      <c r="D45" s="119">
        <f t="shared" si="45"/>
        <v>159615.41750000001</v>
      </c>
      <c r="E45" s="119">
        <f t="shared" si="46"/>
        <v>161219.92499999999</v>
      </c>
      <c r="F45" s="119">
        <f t="shared" si="47"/>
        <v>162824.4325</v>
      </c>
      <c r="G45" s="119">
        <f t="shared" si="48"/>
        <v>164428.94</v>
      </c>
      <c r="H45" s="119">
        <f t="shared" si="49"/>
        <v>166033.44750000001</v>
      </c>
      <c r="I45" s="119">
        <f t="shared" si="50"/>
        <v>167637.95500000002</v>
      </c>
      <c r="J45" s="119">
        <f t="shared" si="51"/>
        <v>169242.46249999999</v>
      </c>
      <c r="K45" s="119">
        <f t="shared" si="52"/>
        <v>170846.97</v>
      </c>
      <c r="L45" s="119">
        <f t="shared" si="53"/>
        <v>172451.47750000001</v>
      </c>
      <c r="M45" s="119">
        <f t="shared" si="54"/>
        <v>174055.98499999999</v>
      </c>
      <c r="N45" s="119">
        <f t="shared" si="55"/>
        <v>175660.49249999999</v>
      </c>
      <c r="O45" s="119">
        <f t="shared" si="56"/>
        <v>177265</v>
      </c>
      <c r="P45" s="119">
        <f t="shared" si="57"/>
        <v>167637.95500000002</v>
      </c>
    </row>
    <row r="46" spans="1:17" x14ac:dyDescent="0.3">
      <c r="A46" s="115">
        <v>2011</v>
      </c>
      <c r="B46" s="119">
        <v>186653</v>
      </c>
      <c r="C46" s="119">
        <f t="shared" si="44"/>
        <v>186653</v>
      </c>
      <c r="D46" s="119">
        <f t="shared" si="45"/>
        <v>178047.33333333334</v>
      </c>
      <c r="E46" s="119">
        <f t="shared" si="46"/>
        <v>178829.66666666666</v>
      </c>
      <c r="F46" s="119">
        <f t="shared" si="47"/>
        <v>179612</v>
      </c>
      <c r="G46" s="119">
        <f t="shared" si="48"/>
        <v>180394.33333333334</v>
      </c>
      <c r="H46" s="119">
        <f t="shared" si="49"/>
        <v>181176.66666666666</v>
      </c>
      <c r="I46" s="119">
        <f t="shared" si="50"/>
        <v>181959</v>
      </c>
      <c r="J46" s="119">
        <f t="shared" si="51"/>
        <v>182741.33333333334</v>
      </c>
      <c r="K46" s="119">
        <f t="shared" si="52"/>
        <v>183523.66666666666</v>
      </c>
      <c r="L46" s="119">
        <f t="shared" si="53"/>
        <v>184306</v>
      </c>
      <c r="M46" s="119">
        <f t="shared" si="54"/>
        <v>185088.33333333334</v>
      </c>
      <c r="N46" s="119">
        <f t="shared" si="55"/>
        <v>185870.66666666666</v>
      </c>
      <c r="O46" s="119">
        <f t="shared" si="56"/>
        <v>186653</v>
      </c>
      <c r="P46" s="119">
        <f t="shared" si="57"/>
        <v>181959</v>
      </c>
    </row>
    <row r="47" spans="1:17" x14ac:dyDescent="0.3">
      <c r="A47" s="115">
        <v>2012</v>
      </c>
      <c r="B47" s="119">
        <v>191624</v>
      </c>
      <c r="C47" s="119">
        <f t="shared" si="44"/>
        <v>191624</v>
      </c>
      <c r="D47" s="119">
        <f t="shared" si="45"/>
        <v>187067.25</v>
      </c>
      <c r="E47" s="119">
        <f t="shared" si="46"/>
        <v>187481.5</v>
      </c>
      <c r="F47" s="119">
        <f t="shared" si="47"/>
        <v>187895.75</v>
      </c>
      <c r="G47" s="119">
        <f t="shared" si="48"/>
        <v>188310</v>
      </c>
      <c r="H47" s="119">
        <f t="shared" si="49"/>
        <v>188724.25</v>
      </c>
      <c r="I47" s="119">
        <f t="shared" si="50"/>
        <v>189138.5</v>
      </c>
      <c r="J47" s="119">
        <f t="shared" si="51"/>
        <v>189552.75</v>
      </c>
      <c r="K47" s="119">
        <f t="shared" si="52"/>
        <v>189967</v>
      </c>
      <c r="L47" s="119">
        <f t="shared" si="53"/>
        <v>190381.25</v>
      </c>
      <c r="M47" s="119">
        <f t="shared" si="54"/>
        <v>190795.5</v>
      </c>
      <c r="N47" s="119">
        <f t="shared" si="55"/>
        <v>191209.75</v>
      </c>
      <c r="O47" s="119">
        <f t="shared" si="56"/>
        <v>191624</v>
      </c>
      <c r="P47" s="119">
        <f t="shared" si="57"/>
        <v>189138.5</v>
      </c>
    </row>
    <row r="48" spans="1:17" x14ac:dyDescent="0.3">
      <c r="A48" s="115">
        <v>2013</v>
      </c>
      <c r="B48" s="119">
        <v>192826</v>
      </c>
      <c r="C48" s="119">
        <f t="shared" si="44"/>
        <v>192826</v>
      </c>
      <c r="D48" s="119">
        <f t="shared" si="45"/>
        <v>191724.16666666666</v>
      </c>
      <c r="E48" s="119">
        <f t="shared" si="46"/>
        <v>191824.33333333334</v>
      </c>
      <c r="F48" s="119">
        <f t="shared" si="47"/>
        <v>191924.5</v>
      </c>
      <c r="G48" s="119">
        <f t="shared" si="48"/>
        <v>192024.66666666666</v>
      </c>
      <c r="H48" s="119">
        <f t="shared" si="49"/>
        <v>192124.83333333334</v>
      </c>
      <c r="I48" s="119">
        <f t="shared" si="50"/>
        <v>192225</v>
      </c>
      <c r="J48" s="119">
        <f t="shared" si="51"/>
        <v>192325.16666666666</v>
      </c>
      <c r="K48" s="119">
        <f t="shared" si="52"/>
        <v>192425.33333333334</v>
      </c>
      <c r="L48" s="119">
        <f t="shared" si="53"/>
        <v>192525.5</v>
      </c>
      <c r="M48" s="119">
        <f t="shared" si="54"/>
        <v>192625.66666666666</v>
      </c>
      <c r="N48" s="119">
        <f t="shared" si="55"/>
        <v>192725.83333333334</v>
      </c>
      <c r="O48" s="119">
        <f t="shared" si="56"/>
        <v>192826</v>
      </c>
      <c r="P48" s="119">
        <f t="shared" si="57"/>
        <v>192225</v>
      </c>
    </row>
    <row r="49" spans="1:17" x14ac:dyDescent="0.3">
      <c r="A49" s="115">
        <v>2014</v>
      </c>
      <c r="B49" s="119">
        <v>192733.39</v>
      </c>
      <c r="C49" s="119">
        <f t="shared" si="44"/>
        <v>192733.39</v>
      </c>
      <c r="D49" s="119">
        <f t="shared" si="45"/>
        <v>192818.2825</v>
      </c>
      <c r="E49" s="119">
        <f t="shared" si="46"/>
        <v>192810.565</v>
      </c>
      <c r="F49" s="119">
        <f t="shared" si="47"/>
        <v>192802.8475</v>
      </c>
      <c r="G49" s="119">
        <f t="shared" si="48"/>
        <v>192795.13</v>
      </c>
      <c r="H49" s="119">
        <f t="shared" si="49"/>
        <v>192787.41250000001</v>
      </c>
      <c r="I49" s="119">
        <f t="shared" si="50"/>
        <v>192779.69500000001</v>
      </c>
      <c r="J49" s="119">
        <f t="shared" si="51"/>
        <v>192771.97750000001</v>
      </c>
      <c r="K49" s="119">
        <f t="shared" si="52"/>
        <v>192764.26</v>
      </c>
      <c r="L49" s="119">
        <f t="shared" si="53"/>
        <v>192756.54250000001</v>
      </c>
      <c r="M49" s="119">
        <f t="shared" si="54"/>
        <v>192748.82500000001</v>
      </c>
      <c r="N49" s="119">
        <f t="shared" si="55"/>
        <v>192741.10750000001</v>
      </c>
      <c r="O49" s="119">
        <f t="shared" si="56"/>
        <v>192733.39</v>
      </c>
      <c r="P49" s="119">
        <f t="shared" si="57"/>
        <v>192779.69499999998</v>
      </c>
    </row>
    <row r="50" spans="1:17" x14ac:dyDescent="0.3">
      <c r="A50" s="115">
        <v>2015</v>
      </c>
      <c r="B50" s="119">
        <v>192318.68</v>
      </c>
      <c r="C50" s="119">
        <f t="shared" si="44"/>
        <v>192318.68</v>
      </c>
      <c r="D50" s="119">
        <f t="shared" si="45"/>
        <v>192698.83083333334</v>
      </c>
      <c r="E50" s="119">
        <f t="shared" si="46"/>
        <v>192664.27166666667</v>
      </c>
      <c r="F50" s="119">
        <f t="shared" si="47"/>
        <v>192629.71250000002</v>
      </c>
      <c r="G50" s="119">
        <f t="shared" si="48"/>
        <v>192595.15333333335</v>
      </c>
      <c r="H50" s="119">
        <f t="shared" si="49"/>
        <v>192560.59416666668</v>
      </c>
      <c r="I50" s="119">
        <f t="shared" si="50"/>
        <v>192526.035</v>
      </c>
      <c r="J50" s="119">
        <f t="shared" si="51"/>
        <v>192491.47583333333</v>
      </c>
      <c r="K50" s="119">
        <f t="shared" si="52"/>
        <v>192456.91666666666</v>
      </c>
      <c r="L50" s="119">
        <f t="shared" si="53"/>
        <v>192422.35749999998</v>
      </c>
      <c r="M50" s="119">
        <f t="shared" si="54"/>
        <v>192387.79833333334</v>
      </c>
      <c r="N50" s="119">
        <f t="shared" si="55"/>
        <v>192353.23916666667</v>
      </c>
      <c r="O50" s="119">
        <f t="shared" si="56"/>
        <v>192318.68</v>
      </c>
      <c r="P50" s="119">
        <f t="shared" si="57"/>
        <v>192526.035</v>
      </c>
    </row>
    <row r="51" spans="1:17" x14ac:dyDescent="0.3">
      <c r="A51" s="115">
        <v>2016</v>
      </c>
      <c r="B51" s="119">
        <v>191187</v>
      </c>
      <c r="C51" s="119">
        <f t="shared" si="44"/>
        <v>191187</v>
      </c>
      <c r="D51" s="119">
        <f t="shared" si="45"/>
        <v>192224.37333333332</v>
      </c>
      <c r="E51" s="119">
        <f t="shared" si="46"/>
        <v>192130.06666666665</v>
      </c>
      <c r="F51" s="119">
        <f t="shared" si="47"/>
        <v>192035.76</v>
      </c>
      <c r="G51" s="119">
        <f t="shared" si="48"/>
        <v>191941.45333333334</v>
      </c>
      <c r="H51" s="119">
        <f t="shared" si="49"/>
        <v>191847.14666666667</v>
      </c>
      <c r="I51" s="119">
        <f t="shared" si="50"/>
        <v>191752.84</v>
      </c>
      <c r="J51" s="119">
        <f t="shared" si="51"/>
        <v>191658.53333333333</v>
      </c>
      <c r="K51" s="119">
        <f t="shared" si="52"/>
        <v>191564.22666666665</v>
      </c>
      <c r="L51" s="119">
        <f t="shared" si="53"/>
        <v>191469.91999999998</v>
      </c>
      <c r="M51" s="119">
        <f t="shared" si="54"/>
        <v>191375.61333333334</v>
      </c>
      <c r="N51" s="119">
        <f t="shared" si="55"/>
        <v>191281.30666666667</v>
      </c>
      <c r="O51" s="119">
        <f t="shared" si="56"/>
        <v>191187</v>
      </c>
      <c r="P51" s="119">
        <f t="shared" si="57"/>
        <v>191752.83999999997</v>
      </c>
      <c r="Q51" s="119">
        <f>((L50+L51)+2*(SUM(D51:K51)+SUM(M50:O50)))/24</f>
        <v>192013.35468749996</v>
      </c>
    </row>
    <row r="52" spans="1:17" x14ac:dyDescent="0.3">
      <c r="C52" s="119"/>
      <c r="O52" s="119">
        <f t="shared" si="56"/>
        <v>0</v>
      </c>
    </row>
    <row r="53" spans="1:17" x14ac:dyDescent="0.3">
      <c r="A53" s="120" t="s">
        <v>236</v>
      </c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0"/>
    </row>
    <row r="54" spans="1:17" x14ac:dyDescent="0.3">
      <c r="A54" s="115">
        <v>2008</v>
      </c>
      <c r="B54" s="119">
        <f>19496.74+6980357.56</f>
        <v>6999854.2999999998</v>
      </c>
      <c r="C54" s="119">
        <f t="shared" ref="C54:C62" si="58">B54</f>
        <v>6999854.2999999998</v>
      </c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</row>
    <row r="55" spans="1:17" x14ac:dyDescent="0.3">
      <c r="A55" s="115">
        <v>2009</v>
      </c>
      <c r="B55" s="119">
        <f>529517.38+6388126.72</f>
        <v>6917644.0999999996</v>
      </c>
      <c r="C55" s="119">
        <f t="shared" si="58"/>
        <v>6917644.0999999996</v>
      </c>
      <c r="D55" s="119">
        <f t="shared" ref="D55:D62" si="59">(B55-B54)/12*1+B54</f>
        <v>6993003.4500000002</v>
      </c>
      <c r="E55" s="119">
        <f t="shared" ref="E55:E62" si="60">(B55-B54)/12*2+B54</f>
        <v>6986152.5999999996</v>
      </c>
      <c r="F55" s="119">
        <f t="shared" ref="F55:F62" si="61">(B55-B54)/12*3+B54</f>
        <v>6979301.75</v>
      </c>
      <c r="G55" s="119">
        <f t="shared" ref="G55:G62" si="62">(B55-B54)/12*4+B54</f>
        <v>6972450.8999999994</v>
      </c>
      <c r="H55" s="119">
        <f t="shared" ref="H55:H62" si="63">(B55-B54)/12*5+B54</f>
        <v>6965600.0499999998</v>
      </c>
      <c r="I55" s="119">
        <f t="shared" ref="I55:I62" si="64">(B55-B54)/12*6+B54</f>
        <v>6958749.1999999993</v>
      </c>
      <c r="J55" s="119">
        <f t="shared" ref="J55:J62" si="65">(B55-B54)/12*7+B54</f>
        <v>6951898.3499999996</v>
      </c>
      <c r="K55" s="119">
        <f t="shared" ref="K55:K62" si="66">(B55-B54)/12*8+B54</f>
        <v>6945047.5</v>
      </c>
      <c r="L55" s="119">
        <f t="shared" ref="L55:L62" si="67">(B55-B54)/12*9+B54</f>
        <v>6938196.6499999994</v>
      </c>
      <c r="M55" s="119">
        <f t="shared" ref="M55:M62" si="68">(B55-B54)/12*10+B54</f>
        <v>6931345.7999999998</v>
      </c>
      <c r="N55" s="119">
        <f t="shared" ref="N55:N62" si="69">(B55-B54)/12*11+B54</f>
        <v>6924494.9499999993</v>
      </c>
      <c r="O55" s="119">
        <f t="shared" ref="O55:O62" si="70">+B55</f>
        <v>6917644.0999999996</v>
      </c>
      <c r="P55" s="119">
        <f t="shared" ref="P55:P62" si="71">((C54+O55)+2*(SUM(D55:N55)))/24</f>
        <v>6958749.2000000002</v>
      </c>
    </row>
    <row r="56" spans="1:17" x14ac:dyDescent="0.3">
      <c r="A56" s="115">
        <v>2010</v>
      </c>
      <c r="B56" s="119">
        <f>492246+5015538</f>
        <v>5507784</v>
      </c>
      <c r="C56" s="119">
        <f t="shared" si="58"/>
        <v>5507784</v>
      </c>
      <c r="D56" s="119">
        <f t="shared" si="59"/>
        <v>6800155.7583333328</v>
      </c>
      <c r="E56" s="119">
        <f t="shared" si="60"/>
        <v>6682667.416666666</v>
      </c>
      <c r="F56" s="119">
        <f t="shared" si="61"/>
        <v>6565179.0749999993</v>
      </c>
      <c r="G56" s="119">
        <f t="shared" si="62"/>
        <v>6447690.7333333334</v>
      </c>
      <c r="H56" s="119">
        <f t="shared" si="63"/>
        <v>6330202.3916666666</v>
      </c>
      <c r="I56" s="119">
        <f t="shared" si="64"/>
        <v>6212714.0499999998</v>
      </c>
      <c r="J56" s="119">
        <f t="shared" si="65"/>
        <v>6095225.708333333</v>
      </c>
      <c r="K56" s="119">
        <f t="shared" si="66"/>
        <v>5977737.3666666662</v>
      </c>
      <c r="L56" s="119">
        <f t="shared" si="67"/>
        <v>5860249.0250000004</v>
      </c>
      <c r="M56" s="119">
        <f t="shared" si="68"/>
        <v>5742760.6833333336</v>
      </c>
      <c r="N56" s="119">
        <f t="shared" si="69"/>
        <v>5625272.3416666668</v>
      </c>
      <c r="O56" s="119">
        <f t="shared" si="70"/>
        <v>5507784</v>
      </c>
      <c r="P56" s="119">
        <f t="shared" si="71"/>
        <v>6212714.0499999998</v>
      </c>
    </row>
    <row r="57" spans="1:17" x14ac:dyDescent="0.3">
      <c r="A57" s="115">
        <v>2011</v>
      </c>
      <c r="B57" s="119">
        <v>5398894</v>
      </c>
      <c r="C57" s="119">
        <f t="shared" si="58"/>
        <v>5398894</v>
      </c>
      <c r="D57" s="119">
        <f t="shared" si="59"/>
        <v>5498709.833333333</v>
      </c>
      <c r="E57" s="119">
        <f t="shared" si="60"/>
        <v>5489635.666666667</v>
      </c>
      <c r="F57" s="119">
        <f t="shared" si="61"/>
        <v>5480561.5</v>
      </c>
      <c r="G57" s="119">
        <f t="shared" si="62"/>
        <v>5471487.333333333</v>
      </c>
      <c r="H57" s="119">
        <f t="shared" si="63"/>
        <v>5462413.166666667</v>
      </c>
      <c r="I57" s="119">
        <f t="shared" si="64"/>
        <v>5453339</v>
      </c>
      <c r="J57" s="119">
        <f t="shared" si="65"/>
        <v>5444264.833333333</v>
      </c>
      <c r="K57" s="119">
        <f t="shared" si="66"/>
        <v>5435190.666666667</v>
      </c>
      <c r="L57" s="119">
        <f t="shared" si="67"/>
        <v>5426116.5</v>
      </c>
      <c r="M57" s="119">
        <f t="shared" si="68"/>
        <v>5417042.333333333</v>
      </c>
      <c r="N57" s="119">
        <f t="shared" si="69"/>
        <v>5407968.166666667</v>
      </c>
      <c r="O57" s="119">
        <f t="shared" si="70"/>
        <v>5398894</v>
      </c>
      <c r="P57" s="119">
        <f t="shared" si="71"/>
        <v>5453339</v>
      </c>
    </row>
    <row r="58" spans="1:17" x14ac:dyDescent="0.3">
      <c r="A58" s="115">
        <v>2012</v>
      </c>
      <c r="B58" s="119">
        <v>4417640</v>
      </c>
      <c r="C58" s="119">
        <f t="shared" si="58"/>
        <v>4417640</v>
      </c>
      <c r="D58" s="119">
        <f t="shared" si="59"/>
        <v>5317122.833333333</v>
      </c>
      <c r="E58" s="119">
        <f t="shared" si="60"/>
        <v>5235351.666666667</v>
      </c>
      <c r="F58" s="119">
        <f t="shared" si="61"/>
        <v>5153580.5</v>
      </c>
      <c r="G58" s="119">
        <f t="shared" si="62"/>
        <v>5071809.333333333</v>
      </c>
      <c r="H58" s="119">
        <f t="shared" si="63"/>
        <v>4990038.166666667</v>
      </c>
      <c r="I58" s="119">
        <f t="shared" si="64"/>
        <v>4908267</v>
      </c>
      <c r="J58" s="119">
        <f t="shared" si="65"/>
        <v>4826495.833333333</v>
      </c>
      <c r="K58" s="119">
        <f t="shared" si="66"/>
        <v>4744724.666666667</v>
      </c>
      <c r="L58" s="119">
        <f t="shared" si="67"/>
        <v>4662953.5</v>
      </c>
      <c r="M58" s="119">
        <f t="shared" si="68"/>
        <v>4581182.333333333</v>
      </c>
      <c r="N58" s="119">
        <f t="shared" si="69"/>
        <v>4499411.166666667</v>
      </c>
      <c r="O58" s="119">
        <f t="shared" si="70"/>
        <v>4417640</v>
      </c>
      <c r="P58" s="119">
        <f t="shared" si="71"/>
        <v>4908267</v>
      </c>
    </row>
    <row r="59" spans="1:17" x14ac:dyDescent="0.3">
      <c r="A59" s="115">
        <v>2013</v>
      </c>
      <c r="B59" s="119">
        <v>3475808</v>
      </c>
      <c r="C59" s="119">
        <f t="shared" si="58"/>
        <v>3475808</v>
      </c>
      <c r="D59" s="119">
        <f t="shared" si="59"/>
        <v>4339154</v>
      </c>
      <c r="E59" s="119">
        <f t="shared" si="60"/>
        <v>4260668</v>
      </c>
      <c r="F59" s="119">
        <f t="shared" si="61"/>
        <v>4182182</v>
      </c>
      <c r="G59" s="119">
        <f t="shared" si="62"/>
        <v>4103696</v>
      </c>
      <c r="H59" s="119">
        <f t="shared" si="63"/>
        <v>4025210</v>
      </c>
      <c r="I59" s="119">
        <f t="shared" si="64"/>
        <v>3946724</v>
      </c>
      <c r="J59" s="119">
        <f t="shared" si="65"/>
        <v>3868238</v>
      </c>
      <c r="K59" s="119">
        <f t="shared" si="66"/>
        <v>3789752</v>
      </c>
      <c r="L59" s="119">
        <f t="shared" si="67"/>
        <v>3711266</v>
      </c>
      <c r="M59" s="119">
        <f t="shared" si="68"/>
        <v>3632780</v>
      </c>
      <c r="N59" s="119">
        <f t="shared" si="69"/>
        <v>3554294</v>
      </c>
      <c r="O59" s="119">
        <f t="shared" si="70"/>
        <v>3475808</v>
      </c>
      <c r="P59" s="119">
        <f t="shared" si="71"/>
        <v>3946724</v>
      </c>
    </row>
    <row r="60" spans="1:17" x14ac:dyDescent="0.3">
      <c r="A60" s="115">
        <v>2014</v>
      </c>
      <c r="B60" s="119">
        <v>0</v>
      </c>
      <c r="C60" s="119">
        <f t="shared" si="58"/>
        <v>0</v>
      </c>
      <c r="D60" s="119">
        <f t="shared" si="59"/>
        <v>3186157.3333333335</v>
      </c>
      <c r="E60" s="119">
        <f t="shared" si="60"/>
        <v>2896506.6666666665</v>
      </c>
      <c r="F60" s="119">
        <f t="shared" si="61"/>
        <v>2606856</v>
      </c>
      <c r="G60" s="119">
        <f t="shared" si="62"/>
        <v>2317205.333333333</v>
      </c>
      <c r="H60" s="119">
        <f t="shared" si="63"/>
        <v>2027554.6666666665</v>
      </c>
      <c r="I60" s="119">
        <f t="shared" si="64"/>
        <v>1737904</v>
      </c>
      <c r="J60" s="119">
        <f t="shared" si="65"/>
        <v>1448253.3333333333</v>
      </c>
      <c r="K60" s="119">
        <f t="shared" si="66"/>
        <v>1158602.6666666665</v>
      </c>
      <c r="L60" s="119">
        <f t="shared" si="67"/>
        <v>868952</v>
      </c>
      <c r="M60" s="119">
        <f t="shared" si="68"/>
        <v>579301.33333333302</v>
      </c>
      <c r="N60" s="119">
        <f t="shared" si="69"/>
        <v>289650.66666666651</v>
      </c>
      <c r="O60" s="119">
        <f t="shared" si="70"/>
        <v>0</v>
      </c>
      <c r="P60" s="119">
        <f t="shared" si="71"/>
        <v>1737904</v>
      </c>
    </row>
    <row r="61" spans="1:17" x14ac:dyDescent="0.3">
      <c r="A61" s="115">
        <v>2015</v>
      </c>
      <c r="B61" s="119">
        <v>0</v>
      </c>
      <c r="C61" s="119">
        <f t="shared" si="58"/>
        <v>0</v>
      </c>
      <c r="D61" s="119">
        <f t="shared" si="59"/>
        <v>0</v>
      </c>
      <c r="E61" s="119">
        <f t="shared" si="60"/>
        <v>0</v>
      </c>
      <c r="F61" s="119">
        <f t="shared" si="61"/>
        <v>0</v>
      </c>
      <c r="G61" s="119">
        <f t="shared" si="62"/>
        <v>0</v>
      </c>
      <c r="H61" s="119">
        <f t="shared" si="63"/>
        <v>0</v>
      </c>
      <c r="I61" s="119">
        <f t="shared" si="64"/>
        <v>0</v>
      </c>
      <c r="J61" s="119">
        <f t="shared" si="65"/>
        <v>0</v>
      </c>
      <c r="K61" s="119">
        <f t="shared" si="66"/>
        <v>0</v>
      </c>
      <c r="L61" s="119">
        <f t="shared" si="67"/>
        <v>0</v>
      </c>
      <c r="M61" s="119">
        <f t="shared" si="68"/>
        <v>0</v>
      </c>
      <c r="N61" s="119">
        <f t="shared" si="69"/>
        <v>0</v>
      </c>
      <c r="O61" s="119">
        <f t="shared" si="70"/>
        <v>0</v>
      </c>
      <c r="P61" s="119">
        <f t="shared" si="71"/>
        <v>0</v>
      </c>
    </row>
    <row r="62" spans="1:17" x14ac:dyDescent="0.3">
      <c r="A62" s="115">
        <v>2016</v>
      </c>
      <c r="B62" s="119">
        <v>0</v>
      </c>
      <c r="C62" s="119">
        <f t="shared" si="58"/>
        <v>0</v>
      </c>
      <c r="D62" s="119">
        <f t="shared" si="59"/>
        <v>0</v>
      </c>
      <c r="E62" s="119">
        <f t="shared" si="60"/>
        <v>0</v>
      </c>
      <c r="F62" s="119">
        <f t="shared" si="61"/>
        <v>0</v>
      </c>
      <c r="G62" s="119">
        <f t="shared" si="62"/>
        <v>0</v>
      </c>
      <c r="H62" s="119">
        <f t="shared" si="63"/>
        <v>0</v>
      </c>
      <c r="I62" s="119">
        <f t="shared" si="64"/>
        <v>0</v>
      </c>
      <c r="J62" s="119">
        <f t="shared" si="65"/>
        <v>0</v>
      </c>
      <c r="K62" s="119">
        <f t="shared" si="66"/>
        <v>0</v>
      </c>
      <c r="L62" s="119">
        <f t="shared" si="67"/>
        <v>0</v>
      </c>
      <c r="M62" s="119">
        <f t="shared" si="68"/>
        <v>0</v>
      </c>
      <c r="N62" s="119">
        <f t="shared" si="69"/>
        <v>0</v>
      </c>
      <c r="O62" s="119">
        <f t="shared" si="70"/>
        <v>0</v>
      </c>
      <c r="P62" s="119">
        <f t="shared" si="71"/>
        <v>0</v>
      </c>
      <c r="Q62" s="119">
        <f>((L61+L62)+2*(SUM(D62:K62)+SUM(M61:O61)))/24</f>
        <v>0</v>
      </c>
    </row>
    <row r="63" spans="1:17" x14ac:dyDescent="0.3">
      <c r="C63" s="119"/>
      <c r="O63" s="119"/>
    </row>
    <row r="64" spans="1:17" x14ac:dyDescent="0.3">
      <c r="A64" s="120" t="s">
        <v>131</v>
      </c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0"/>
    </row>
    <row r="65" spans="1:17" x14ac:dyDescent="0.3">
      <c r="A65" s="115">
        <v>2008</v>
      </c>
      <c r="B65" s="119">
        <f>10822.6+6756305.92</f>
        <v>6767128.5199999996</v>
      </c>
      <c r="C65" s="119">
        <f t="shared" ref="C65:C73" si="72">B65</f>
        <v>6767128.5199999996</v>
      </c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</row>
    <row r="66" spans="1:17" x14ac:dyDescent="0.3">
      <c r="A66" s="115">
        <v>2009</v>
      </c>
      <c r="B66" s="119">
        <f>19270.67+8093712.49</f>
        <v>8112983.1600000001</v>
      </c>
      <c r="C66" s="119">
        <f t="shared" si="72"/>
        <v>8112983.1600000001</v>
      </c>
      <c r="D66" s="119">
        <f t="shared" ref="D66:D73" si="73">(B66-B65)/12*1+B65</f>
        <v>6879283.0733333332</v>
      </c>
      <c r="E66" s="119">
        <f t="shared" ref="E66:E73" si="74">(B66-B65)/12*2+B65</f>
        <v>6991437.626666666</v>
      </c>
      <c r="F66" s="119">
        <f t="shared" ref="F66:F73" si="75">(B66-B65)/12*3+B65</f>
        <v>7103592.1799999997</v>
      </c>
      <c r="G66" s="119">
        <f t="shared" ref="G66:G73" si="76">(B66-B65)/12*4+B65</f>
        <v>7215746.7333333334</v>
      </c>
      <c r="H66" s="119">
        <f t="shared" ref="H66:H73" si="77">(B66-B65)/12*5+B65</f>
        <v>7327901.2866666662</v>
      </c>
      <c r="I66" s="119">
        <f t="shared" ref="I66:I73" si="78">(B66-B65)/12*6+B65</f>
        <v>7440055.8399999999</v>
      </c>
      <c r="J66" s="119">
        <f t="shared" ref="J66:J73" si="79">(B66-B65)/12*7+B65</f>
        <v>7552210.3933333335</v>
      </c>
      <c r="K66" s="119">
        <f t="shared" ref="K66:K73" si="80">(B66-B65)/12*8+B65</f>
        <v>7664364.9466666663</v>
      </c>
      <c r="L66" s="119">
        <f t="shared" ref="L66:L73" si="81">(B66-B65)/12*9+B65</f>
        <v>7776519.5</v>
      </c>
      <c r="M66" s="119">
        <f t="shared" ref="M66:M73" si="82">(B66-B65)/12*10+B65</f>
        <v>7888674.0533333337</v>
      </c>
      <c r="N66" s="119">
        <f t="shared" ref="N66:N73" si="83">(B66-B65)/12*11+B65</f>
        <v>8000828.6066666674</v>
      </c>
      <c r="O66" s="119">
        <f t="shared" ref="O66:O73" si="84">+B66</f>
        <v>8112983.1600000001</v>
      </c>
      <c r="P66" s="119">
        <f t="shared" ref="P66:P73" si="85">((C65+O66)+2*(SUM(D66:N66)))/24</f>
        <v>7440055.8399999999</v>
      </c>
    </row>
    <row r="67" spans="1:17" x14ac:dyDescent="0.3">
      <c r="A67" s="115">
        <v>2010</v>
      </c>
      <c r="B67" s="119">
        <f>18733+9634744</f>
        <v>9653477</v>
      </c>
      <c r="C67" s="119">
        <f t="shared" si="72"/>
        <v>9653477</v>
      </c>
      <c r="D67" s="119">
        <f t="shared" si="73"/>
        <v>8241357.6466666665</v>
      </c>
      <c r="E67" s="119">
        <f t="shared" si="74"/>
        <v>8369732.1333333338</v>
      </c>
      <c r="F67" s="119">
        <f t="shared" si="75"/>
        <v>8498106.620000001</v>
      </c>
      <c r="G67" s="119">
        <f t="shared" si="76"/>
        <v>8626481.1066666674</v>
      </c>
      <c r="H67" s="119">
        <f t="shared" si="77"/>
        <v>8754855.5933333337</v>
      </c>
      <c r="I67" s="119">
        <f t="shared" si="78"/>
        <v>8883230.0800000001</v>
      </c>
      <c r="J67" s="119">
        <f t="shared" si="79"/>
        <v>9011604.5666666664</v>
      </c>
      <c r="K67" s="119">
        <f t="shared" si="80"/>
        <v>9139979.0533333328</v>
      </c>
      <c r="L67" s="119">
        <f t="shared" si="81"/>
        <v>9268353.5399999991</v>
      </c>
      <c r="M67" s="119">
        <f t="shared" si="82"/>
        <v>9396728.0266666673</v>
      </c>
      <c r="N67" s="119">
        <f t="shared" si="83"/>
        <v>9525102.5133333337</v>
      </c>
      <c r="O67" s="119">
        <f t="shared" si="84"/>
        <v>9653477</v>
      </c>
      <c r="P67" s="119">
        <f t="shared" si="85"/>
        <v>8883230.0800000001</v>
      </c>
    </row>
    <row r="68" spans="1:17" x14ac:dyDescent="0.3">
      <c r="A68" s="115">
        <v>2011</v>
      </c>
      <c r="B68" s="119">
        <v>10169094</v>
      </c>
      <c r="C68" s="119">
        <f t="shared" si="72"/>
        <v>10169094</v>
      </c>
      <c r="D68" s="119">
        <f t="shared" si="73"/>
        <v>9696445.083333334</v>
      </c>
      <c r="E68" s="119">
        <f t="shared" si="74"/>
        <v>9739413.166666666</v>
      </c>
      <c r="F68" s="119">
        <f t="shared" si="75"/>
        <v>9782381.25</v>
      </c>
      <c r="G68" s="119">
        <f t="shared" si="76"/>
        <v>9825349.333333334</v>
      </c>
      <c r="H68" s="119">
        <f t="shared" si="77"/>
        <v>9868317.416666666</v>
      </c>
      <c r="I68" s="119">
        <f t="shared" si="78"/>
        <v>9911285.5</v>
      </c>
      <c r="J68" s="119">
        <f t="shared" si="79"/>
        <v>9954253.583333334</v>
      </c>
      <c r="K68" s="119">
        <f t="shared" si="80"/>
        <v>9997221.666666666</v>
      </c>
      <c r="L68" s="119">
        <f t="shared" si="81"/>
        <v>10040189.75</v>
      </c>
      <c r="M68" s="119">
        <f t="shared" si="82"/>
        <v>10083157.833333334</v>
      </c>
      <c r="N68" s="119">
        <f t="shared" si="83"/>
        <v>10126125.916666666</v>
      </c>
      <c r="O68" s="119">
        <f t="shared" si="84"/>
        <v>10169094</v>
      </c>
      <c r="P68" s="119">
        <f t="shared" si="85"/>
        <v>9911285.5</v>
      </c>
    </row>
    <row r="69" spans="1:17" x14ac:dyDescent="0.3">
      <c r="A69" s="115">
        <v>2012</v>
      </c>
      <c r="B69" s="119">
        <v>10903462</v>
      </c>
      <c r="C69" s="119">
        <f t="shared" si="72"/>
        <v>10903462</v>
      </c>
      <c r="D69" s="119">
        <f t="shared" si="73"/>
        <v>10230291.333333334</v>
      </c>
      <c r="E69" s="119">
        <f t="shared" si="74"/>
        <v>10291488.666666666</v>
      </c>
      <c r="F69" s="119">
        <f t="shared" si="75"/>
        <v>10352686</v>
      </c>
      <c r="G69" s="119">
        <f t="shared" si="76"/>
        <v>10413883.333333334</v>
      </c>
      <c r="H69" s="119">
        <f t="shared" si="77"/>
        <v>10475080.666666666</v>
      </c>
      <c r="I69" s="119">
        <f t="shared" si="78"/>
        <v>10536278</v>
      </c>
      <c r="J69" s="119">
        <f t="shared" si="79"/>
        <v>10597475.333333334</v>
      </c>
      <c r="K69" s="119">
        <f t="shared" si="80"/>
        <v>10658672.666666666</v>
      </c>
      <c r="L69" s="119">
        <f t="shared" si="81"/>
        <v>10719870</v>
      </c>
      <c r="M69" s="119">
        <f t="shared" si="82"/>
        <v>10781067.333333334</v>
      </c>
      <c r="N69" s="119">
        <f t="shared" si="83"/>
        <v>10842264.666666666</v>
      </c>
      <c r="O69" s="119">
        <f t="shared" si="84"/>
        <v>10903462</v>
      </c>
      <c r="P69" s="119">
        <f t="shared" si="85"/>
        <v>10536278</v>
      </c>
    </row>
    <row r="70" spans="1:17" x14ac:dyDescent="0.3">
      <c r="A70" s="115">
        <v>2013</v>
      </c>
      <c r="B70" s="119">
        <v>11455267</v>
      </c>
      <c r="C70" s="119">
        <f t="shared" si="72"/>
        <v>11455267</v>
      </c>
      <c r="D70" s="119">
        <f t="shared" si="73"/>
        <v>10949445.75</v>
      </c>
      <c r="E70" s="119">
        <f t="shared" si="74"/>
        <v>10995429.5</v>
      </c>
      <c r="F70" s="119">
        <f t="shared" si="75"/>
        <v>11041413.25</v>
      </c>
      <c r="G70" s="119">
        <f t="shared" si="76"/>
        <v>11087397</v>
      </c>
      <c r="H70" s="119">
        <f t="shared" si="77"/>
        <v>11133380.75</v>
      </c>
      <c r="I70" s="119">
        <f t="shared" si="78"/>
        <v>11179364.5</v>
      </c>
      <c r="J70" s="119">
        <f t="shared" si="79"/>
        <v>11225348.25</v>
      </c>
      <c r="K70" s="119">
        <f t="shared" si="80"/>
        <v>11271332</v>
      </c>
      <c r="L70" s="119">
        <f t="shared" si="81"/>
        <v>11317315.75</v>
      </c>
      <c r="M70" s="119">
        <f t="shared" si="82"/>
        <v>11363299.5</v>
      </c>
      <c r="N70" s="119">
        <f t="shared" si="83"/>
        <v>11409283.25</v>
      </c>
      <c r="O70" s="119">
        <f t="shared" si="84"/>
        <v>11455267</v>
      </c>
      <c r="P70" s="119">
        <f t="shared" si="85"/>
        <v>11179364.5</v>
      </c>
    </row>
    <row r="71" spans="1:17" x14ac:dyDescent="0.3">
      <c r="A71" s="115">
        <v>2014</v>
      </c>
      <c r="B71" s="119">
        <v>11968094</v>
      </c>
      <c r="C71" s="119">
        <f t="shared" si="72"/>
        <v>11968094</v>
      </c>
      <c r="D71" s="119">
        <f t="shared" si="73"/>
        <v>11498002.583333334</v>
      </c>
      <c r="E71" s="119">
        <f t="shared" si="74"/>
        <v>11540738.166666666</v>
      </c>
      <c r="F71" s="119">
        <f t="shared" si="75"/>
        <v>11583473.75</v>
      </c>
      <c r="G71" s="119">
        <f t="shared" si="76"/>
        <v>11626209.333333334</v>
      </c>
      <c r="H71" s="119">
        <f t="shared" si="77"/>
        <v>11668944.916666666</v>
      </c>
      <c r="I71" s="119">
        <f t="shared" si="78"/>
        <v>11711680.5</v>
      </c>
      <c r="J71" s="119">
        <f t="shared" si="79"/>
        <v>11754416.083333334</v>
      </c>
      <c r="K71" s="119">
        <f t="shared" si="80"/>
        <v>11797151.666666666</v>
      </c>
      <c r="L71" s="119">
        <f t="shared" si="81"/>
        <v>11839887.25</v>
      </c>
      <c r="M71" s="119">
        <f t="shared" si="82"/>
        <v>11882622.833333334</v>
      </c>
      <c r="N71" s="119">
        <f t="shared" si="83"/>
        <v>11925358.416666666</v>
      </c>
      <c r="O71" s="119">
        <f t="shared" si="84"/>
        <v>11968094</v>
      </c>
      <c r="P71" s="119">
        <f t="shared" si="85"/>
        <v>11711680.5</v>
      </c>
    </row>
    <row r="72" spans="1:17" x14ac:dyDescent="0.3">
      <c r="A72" s="115">
        <v>2015</v>
      </c>
      <c r="B72" s="119">
        <v>12500069.98</v>
      </c>
      <c r="C72" s="119">
        <f t="shared" si="72"/>
        <v>12500069.98</v>
      </c>
      <c r="D72" s="119">
        <f t="shared" si="73"/>
        <v>12012425.331666667</v>
      </c>
      <c r="E72" s="119">
        <f t="shared" si="74"/>
        <v>12056756.663333334</v>
      </c>
      <c r="F72" s="119">
        <f t="shared" si="75"/>
        <v>12101087.995000001</v>
      </c>
      <c r="G72" s="119">
        <f t="shared" si="76"/>
        <v>12145419.326666666</v>
      </c>
      <c r="H72" s="119">
        <f t="shared" si="77"/>
        <v>12189750.658333333</v>
      </c>
      <c r="I72" s="119">
        <f t="shared" si="78"/>
        <v>12234081.99</v>
      </c>
      <c r="J72" s="119">
        <f t="shared" si="79"/>
        <v>12278413.321666667</v>
      </c>
      <c r="K72" s="119">
        <f t="shared" si="80"/>
        <v>12322744.653333334</v>
      </c>
      <c r="L72" s="119">
        <f t="shared" si="81"/>
        <v>12367075.984999999</v>
      </c>
      <c r="M72" s="119">
        <f t="shared" si="82"/>
        <v>12411407.316666666</v>
      </c>
      <c r="N72" s="119">
        <f t="shared" si="83"/>
        <v>12455738.648333333</v>
      </c>
      <c r="O72" s="119">
        <f t="shared" si="84"/>
        <v>12500069.98</v>
      </c>
      <c r="P72" s="119">
        <f t="shared" si="85"/>
        <v>12234081.990000002</v>
      </c>
    </row>
    <row r="73" spans="1:17" x14ac:dyDescent="0.3">
      <c r="A73" s="115">
        <v>2016</v>
      </c>
      <c r="B73" s="119">
        <v>12675640</v>
      </c>
      <c r="C73" s="183">
        <f t="shared" si="72"/>
        <v>12675640</v>
      </c>
      <c r="D73" s="119">
        <f t="shared" si="73"/>
        <v>12514700.815000001</v>
      </c>
      <c r="E73" s="119">
        <f t="shared" si="74"/>
        <v>12529331.65</v>
      </c>
      <c r="F73" s="119">
        <f t="shared" si="75"/>
        <v>12543962.484999999</v>
      </c>
      <c r="G73" s="119">
        <f t="shared" si="76"/>
        <v>12558593.32</v>
      </c>
      <c r="H73" s="119">
        <f t="shared" si="77"/>
        <v>12573224.155000001</v>
      </c>
      <c r="I73" s="119">
        <f t="shared" si="78"/>
        <v>12587854.99</v>
      </c>
      <c r="J73" s="119">
        <f t="shared" si="79"/>
        <v>12602485.824999999</v>
      </c>
      <c r="K73" s="119">
        <f t="shared" si="80"/>
        <v>12617116.66</v>
      </c>
      <c r="L73" s="119">
        <f t="shared" si="81"/>
        <v>12631747.495000001</v>
      </c>
      <c r="M73" s="119">
        <f t="shared" si="82"/>
        <v>12646378.33</v>
      </c>
      <c r="N73" s="119">
        <f t="shared" si="83"/>
        <v>12661009.164999999</v>
      </c>
      <c r="O73" s="183">
        <f t="shared" si="84"/>
        <v>12675640</v>
      </c>
      <c r="P73" s="119">
        <f t="shared" si="85"/>
        <v>12587854.990000002</v>
      </c>
      <c r="Q73" s="119">
        <f>((L72+L73)+2*(SUM(D73:K73)+SUM(M72:O72)))/24</f>
        <v>12532824.79875</v>
      </c>
    </row>
    <row r="74" spans="1:17" x14ac:dyDescent="0.3"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</row>
    <row r="75" spans="1:17" x14ac:dyDescent="0.3">
      <c r="A75" s="120" t="s">
        <v>156</v>
      </c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</row>
    <row r="76" spans="1:17" x14ac:dyDescent="0.3">
      <c r="A76" s="115">
        <v>2008</v>
      </c>
      <c r="C76" s="119">
        <f>B76</f>
        <v>0</v>
      </c>
      <c r="D76" s="119">
        <f>(B76-B75)/12*1+B75</f>
        <v>0</v>
      </c>
      <c r="E76" s="119">
        <f>(B76-B75)/12*2+B75</f>
        <v>0</v>
      </c>
      <c r="F76" s="119">
        <f>(B76-B75)/12*3+B75</f>
        <v>0</v>
      </c>
      <c r="G76" s="119">
        <f>(B76-B75)/12*4+B75</f>
        <v>0</v>
      </c>
      <c r="H76" s="119">
        <f>(B76-B75)/12*5+B75</f>
        <v>0</v>
      </c>
      <c r="I76" s="119">
        <f>(B76-B75)/12*6+B75</f>
        <v>0</v>
      </c>
      <c r="J76" s="119">
        <f>(B76-B75)/12*7+B75</f>
        <v>0</v>
      </c>
      <c r="K76" s="119">
        <f>(B76-B75)/12*8+B75</f>
        <v>0</v>
      </c>
      <c r="L76" s="119">
        <f>(B76-B75)/12*9+B75</f>
        <v>0</v>
      </c>
      <c r="M76" s="119">
        <f>(B76-B75)/12*10+B75</f>
        <v>0</v>
      </c>
      <c r="N76" s="119">
        <f>(B76-B75)/12*11+B75</f>
        <v>0</v>
      </c>
      <c r="O76" s="119">
        <f>+B76</f>
        <v>0</v>
      </c>
      <c r="P76" s="119">
        <f>((C75+O76)+2*(SUM(D76:N76)))/24</f>
        <v>0</v>
      </c>
    </row>
    <row r="77" spans="1:17" x14ac:dyDescent="0.3">
      <c r="A77" s="115">
        <v>2009</v>
      </c>
      <c r="C77" s="119">
        <f>B77</f>
        <v>0</v>
      </c>
      <c r="D77" s="119">
        <f>(B77-B76)/12*1+B76</f>
        <v>0</v>
      </c>
      <c r="E77" s="119">
        <f>(B77-B76)/12*2+B76</f>
        <v>0</v>
      </c>
      <c r="F77" s="119">
        <f>(B77-B76)/12*3+B76</f>
        <v>0</v>
      </c>
      <c r="G77" s="119">
        <f>(B77-B76)/12*4+B76</f>
        <v>0</v>
      </c>
      <c r="H77" s="119">
        <f>(B77-B76)/12*5+B76</f>
        <v>0</v>
      </c>
      <c r="I77" s="119">
        <f>(B77-B76)/12*6+B76</f>
        <v>0</v>
      </c>
      <c r="J77" s="119">
        <f>(B77-B76)/12*7+B76</f>
        <v>0</v>
      </c>
      <c r="K77" s="119">
        <f>(B77-B76)/12*8+B76</f>
        <v>0</v>
      </c>
      <c r="L77" s="119">
        <f>(B77-B76)/12*9+B76</f>
        <v>0</v>
      </c>
      <c r="M77" s="119">
        <f>(B77-B76)/12*10+B76</f>
        <v>0</v>
      </c>
      <c r="N77" s="119">
        <f>(B77-B76)/12*11+B76</f>
        <v>0</v>
      </c>
      <c r="O77" s="119">
        <f>+B77</f>
        <v>0</v>
      </c>
      <c r="P77" s="119">
        <f>((C76+O77)+2*(SUM(D77:N77)))/24</f>
        <v>0</v>
      </c>
    </row>
    <row r="78" spans="1:17" x14ac:dyDescent="0.3">
      <c r="A78" s="115">
        <v>2010</v>
      </c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</row>
    <row r="79" spans="1:17" x14ac:dyDescent="0.3">
      <c r="A79" s="115">
        <v>2011</v>
      </c>
      <c r="B79" s="119">
        <v>0</v>
      </c>
      <c r="C79" s="119">
        <f t="shared" ref="C79:C84" si="86">B79</f>
        <v>0</v>
      </c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</row>
    <row r="80" spans="1:17" x14ac:dyDescent="0.3">
      <c r="A80" s="115">
        <v>2012</v>
      </c>
      <c r="B80" s="119">
        <v>0</v>
      </c>
      <c r="C80" s="119">
        <f t="shared" si="86"/>
        <v>0</v>
      </c>
      <c r="D80" s="119">
        <f>(B80-B79)/12*1+B79</f>
        <v>0</v>
      </c>
      <c r="E80" s="119">
        <f>(B80-B79)/12*2+B79</f>
        <v>0</v>
      </c>
      <c r="F80" s="119">
        <f>(B80-B79)/12*3+B79</f>
        <v>0</v>
      </c>
      <c r="G80" s="119">
        <f>(B80-B79)/12*4+B79</f>
        <v>0</v>
      </c>
      <c r="H80" s="119">
        <f>(B80-B79)/12*5+B79</f>
        <v>0</v>
      </c>
      <c r="I80" s="119">
        <f>(B80-B79)/12*6+B79</f>
        <v>0</v>
      </c>
      <c r="J80" s="119">
        <f>(B80-B79)/12*7+B79</f>
        <v>0</v>
      </c>
      <c r="K80" s="119">
        <f>(B80-B79)/12*8+B79</f>
        <v>0</v>
      </c>
      <c r="L80" s="119">
        <f>(B80-B79)/12*9+B79</f>
        <v>0</v>
      </c>
      <c r="M80" s="119">
        <f>(B80-B79)/12*10+B79</f>
        <v>0</v>
      </c>
      <c r="N80" s="119">
        <f>(B80-B79)/12*11+B79</f>
        <v>0</v>
      </c>
      <c r="O80" s="119">
        <f>+B80</f>
        <v>0</v>
      </c>
      <c r="P80" s="119">
        <f>((C79+O80)+2*(SUM(D80:N80)))/24</f>
        <v>0</v>
      </c>
    </row>
    <row r="81" spans="1:17" x14ac:dyDescent="0.3">
      <c r="A81" s="115">
        <v>2013</v>
      </c>
      <c r="B81" s="119">
        <v>3553931</v>
      </c>
      <c r="C81" s="119">
        <f t="shared" si="86"/>
        <v>3553931</v>
      </c>
      <c r="D81" s="119">
        <f>(B81-B80)/12*1+B80</f>
        <v>296160.91666666669</v>
      </c>
      <c r="E81" s="119">
        <f>(B81-B80)/12*2+B80</f>
        <v>592321.83333333337</v>
      </c>
      <c r="F81" s="119">
        <f>(B81-B80)/12*3+B80</f>
        <v>888482.75</v>
      </c>
      <c r="G81" s="119">
        <f>(B81-B80)/12*4+B80</f>
        <v>1184643.6666666667</v>
      </c>
      <c r="H81" s="119">
        <f>(B81-B80)/12*5+B80</f>
        <v>1480804.5833333335</v>
      </c>
      <c r="I81" s="119">
        <f>(B81-B80)/12*6+B80</f>
        <v>1776965.5</v>
      </c>
      <c r="J81" s="119">
        <f>(B81-B80)/12*7+B80</f>
        <v>2073126.4166666667</v>
      </c>
      <c r="K81" s="119">
        <f>(B81-B80)/12*8+B80</f>
        <v>2369287.3333333335</v>
      </c>
      <c r="L81" s="119">
        <f>(B81-B80)/12*9+B80</f>
        <v>2665448.25</v>
      </c>
      <c r="M81" s="119">
        <f>(B81-B80)/12*10+B80</f>
        <v>2961609.166666667</v>
      </c>
      <c r="N81" s="119">
        <f>(B81-B80)/12*11+B80</f>
        <v>3257770.0833333335</v>
      </c>
      <c r="O81" s="119">
        <f>+B81</f>
        <v>3553931</v>
      </c>
      <c r="P81" s="119">
        <f>((C80+O81)+2*(SUM(D81:N81)))/24</f>
        <v>1776965.5</v>
      </c>
    </row>
    <row r="82" spans="1:17" x14ac:dyDescent="0.3">
      <c r="A82" s="115">
        <v>2014</v>
      </c>
      <c r="B82" s="119">
        <v>4274933.33</v>
      </c>
      <c r="C82" s="119">
        <f t="shared" si="86"/>
        <v>4274933.33</v>
      </c>
      <c r="D82" s="119">
        <f>(B82-B81)/12*1+B81</f>
        <v>3614014.5274999999</v>
      </c>
      <c r="E82" s="119">
        <f>(B82-B81)/12*2+B81</f>
        <v>3674098.0550000002</v>
      </c>
      <c r="F82" s="119">
        <f>(B82-B81)/12*3+B81</f>
        <v>3734181.5825</v>
      </c>
      <c r="G82" s="119">
        <f>(B82-B81)/12*4+B81</f>
        <v>3794265.11</v>
      </c>
      <c r="H82" s="119">
        <f>(B82-B81)/12*5+B81</f>
        <v>3854348.6375000002</v>
      </c>
      <c r="I82" s="119">
        <f>(B82-B81)/12*6+B81</f>
        <v>3914432.165</v>
      </c>
      <c r="J82" s="119">
        <f>(B82-B81)/12*7+B81</f>
        <v>3974515.6924999999</v>
      </c>
      <c r="K82" s="119">
        <f>(B82-B81)/12*8+B81</f>
        <v>4034599.22</v>
      </c>
      <c r="L82" s="119">
        <f>(B82-B81)/12*9+B81</f>
        <v>4094682.7475000001</v>
      </c>
      <c r="M82" s="119">
        <f>(B82-B81)/12*10+B81</f>
        <v>4154766.2749999999</v>
      </c>
      <c r="N82" s="119">
        <f>(B82-B81)/12*11+B81</f>
        <v>4214849.8025000002</v>
      </c>
      <c r="O82" s="119">
        <f>+B82</f>
        <v>4274933.33</v>
      </c>
      <c r="P82" s="119">
        <f>((C81+O82)+2*(SUM(D82:N82)))/24</f>
        <v>3914432.1649999996</v>
      </c>
    </row>
    <row r="83" spans="1:17" x14ac:dyDescent="0.3">
      <c r="A83" s="115">
        <v>2015</v>
      </c>
      <c r="B83" s="119">
        <v>5603938.54</v>
      </c>
      <c r="C83" s="119">
        <f t="shared" si="86"/>
        <v>5603938.54</v>
      </c>
      <c r="D83" s="119">
        <f>(B83-B82)/12*1+B82</f>
        <v>4385683.7641666671</v>
      </c>
      <c r="E83" s="119">
        <f>(B83-B82)/12*2+B82</f>
        <v>4496434.1983333332</v>
      </c>
      <c r="F83" s="119">
        <f>(B83-B82)/12*3+B82</f>
        <v>4607184.6325000003</v>
      </c>
      <c r="G83" s="119">
        <f>(B83-B82)/12*4+B82</f>
        <v>4717935.0666666664</v>
      </c>
      <c r="H83" s="119">
        <f>(B83-B82)/12*5+B82</f>
        <v>4828685.5008333335</v>
      </c>
      <c r="I83" s="119">
        <f>(B83-B82)/12*6+B82</f>
        <v>4939435.9350000005</v>
      </c>
      <c r="J83" s="119">
        <f>(B83-B82)/12*7+B82</f>
        <v>5050186.3691666666</v>
      </c>
      <c r="K83" s="119">
        <f>(B83-B82)/12*8+B82</f>
        <v>5160936.8033333337</v>
      </c>
      <c r="L83" s="119">
        <f>(B83-B82)/12*9+B82</f>
        <v>5271687.2374999998</v>
      </c>
      <c r="M83" s="119">
        <f>(B83-B82)/12*10+B82</f>
        <v>5382437.6716666669</v>
      </c>
      <c r="N83" s="119">
        <f>(B83-B82)/12*11+B82</f>
        <v>5493188.105833333</v>
      </c>
      <c r="O83" s="119">
        <f>+B83</f>
        <v>5603938.54</v>
      </c>
      <c r="P83" s="119">
        <f>((C82+O83)+2*(SUM(D83:N83)))/24</f>
        <v>4939435.9349999996</v>
      </c>
    </row>
    <row r="84" spans="1:17" x14ac:dyDescent="0.3">
      <c r="A84" s="115">
        <v>2016</v>
      </c>
      <c r="B84" s="119">
        <v>6523688</v>
      </c>
      <c r="C84" s="119">
        <f t="shared" si="86"/>
        <v>6523688</v>
      </c>
      <c r="D84" s="119">
        <f>(B84-B83)/12*1+B83</f>
        <v>5680584.3283333331</v>
      </c>
      <c r="E84" s="119">
        <f>(B84-B83)/12*2+B83</f>
        <v>5757230.1166666672</v>
      </c>
      <c r="F84" s="119">
        <f>(B84-B83)/12*3+B83</f>
        <v>5833875.9050000003</v>
      </c>
      <c r="G84" s="119">
        <f>(B84-B83)/12*4+B83</f>
        <v>5910521.6933333334</v>
      </c>
      <c r="H84" s="119">
        <f>(B84-B83)/12*5+B83</f>
        <v>5987167.4816666665</v>
      </c>
      <c r="I84" s="119">
        <f>(B84-B83)/12*6+B83</f>
        <v>6063813.2699999996</v>
      </c>
      <c r="J84" s="119">
        <f>(B84-B83)/12*7+B83</f>
        <v>6140459.0583333336</v>
      </c>
      <c r="K84" s="119">
        <f>(B84-B83)/12*8+B83</f>
        <v>6217104.8466666667</v>
      </c>
      <c r="L84" s="119">
        <f>(B84-B83)/12*9+B83</f>
        <v>6293750.6349999998</v>
      </c>
      <c r="M84" s="119">
        <f>(B84-B83)/12*10+B83</f>
        <v>6370396.4233333338</v>
      </c>
      <c r="N84" s="119">
        <f>(B84-B83)/12*11+B83</f>
        <v>6447042.2116666669</v>
      </c>
      <c r="O84" s="119">
        <f>+B84</f>
        <v>6523688</v>
      </c>
      <c r="P84" s="119">
        <f>((C83+O84)+2*(SUM(D84:N84)))/24</f>
        <v>6063813.2699999996</v>
      </c>
      <c r="Q84" s="119">
        <f>((L83+L84)+2*(SUM(D84:K84)+SUM(M83:O83)))/24</f>
        <v>5821086.6628125003</v>
      </c>
    </row>
    <row r="85" spans="1:17" x14ac:dyDescent="0.3"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</row>
    <row r="86" spans="1:17" x14ac:dyDescent="0.3">
      <c r="A86" s="120" t="s">
        <v>132</v>
      </c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0"/>
    </row>
    <row r="87" spans="1:17" x14ac:dyDescent="0.3">
      <c r="A87" s="115">
        <v>2008</v>
      </c>
      <c r="B87" s="119">
        <f>639.8+6172190.86</f>
        <v>6172830.6600000001</v>
      </c>
      <c r="C87" s="119">
        <f t="shared" ref="C87:C95" si="87">B87</f>
        <v>6172830.6600000001</v>
      </c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</row>
    <row r="88" spans="1:17" x14ac:dyDescent="0.3">
      <c r="A88" s="115">
        <v>2009</v>
      </c>
      <c r="B88" s="119">
        <f>571.42+9130167.17</f>
        <v>9130738.5899999999</v>
      </c>
      <c r="C88" s="119">
        <f t="shared" si="87"/>
        <v>9130738.5899999999</v>
      </c>
      <c r="D88" s="119">
        <f t="shared" ref="D88:D95" si="88">(B88-B87)/12*1+B87</f>
        <v>6419322.9874999998</v>
      </c>
      <c r="E88" s="119">
        <f t="shared" ref="E88:E95" si="89">(B88-B87)/12*2+B87</f>
        <v>6665815.3150000004</v>
      </c>
      <c r="F88" s="119">
        <f t="shared" ref="F88:F95" si="90">(B88-B87)/12*3+B87</f>
        <v>6912307.6425000001</v>
      </c>
      <c r="G88" s="119">
        <f t="shared" ref="G88:G95" si="91">(B88-B87)/12*4+B87</f>
        <v>7158799.9699999997</v>
      </c>
      <c r="H88" s="119">
        <f t="shared" ref="H88:H95" si="92">(B88-B87)/12*5+B87</f>
        <v>7405292.2975000003</v>
      </c>
      <c r="I88" s="119">
        <f t="shared" ref="I88:I95" si="93">(B88-B87)/12*6+B87</f>
        <v>7651784.625</v>
      </c>
      <c r="J88" s="119">
        <f t="shared" ref="J88:J95" si="94">(B88-B87)/12*7+B87</f>
        <v>7898276.9525000006</v>
      </c>
      <c r="K88" s="119">
        <f t="shared" ref="K88:K95" si="95">(B88-B87)/12*8+B87</f>
        <v>8144769.2800000003</v>
      </c>
      <c r="L88" s="119">
        <f t="shared" ref="L88:L95" si="96">(B88-B87)/12*9+B87</f>
        <v>8391261.6074999999</v>
      </c>
      <c r="M88" s="119">
        <f t="shared" ref="M88:M95" si="97">(B88-B87)/12*10+B87</f>
        <v>8637753.9350000005</v>
      </c>
      <c r="N88" s="119">
        <f t="shared" ref="N88:N95" si="98">(B88-B87)/12*11+B87</f>
        <v>8884246.2624999993</v>
      </c>
      <c r="O88" s="119">
        <f t="shared" ref="O88:O96" si="99">+B88</f>
        <v>9130738.5899999999</v>
      </c>
      <c r="P88" s="119">
        <f t="shared" ref="P88:P95" si="100">((C87+O88)+2*(SUM(D88:N88)))/24</f>
        <v>7651784.625</v>
      </c>
    </row>
    <row r="89" spans="1:17" x14ac:dyDescent="0.3">
      <c r="A89" s="115">
        <v>2010</v>
      </c>
      <c r="B89" s="119">
        <f>429+3623252</f>
        <v>3623681</v>
      </c>
      <c r="C89" s="119">
        <f t="shared" si="87"/>
        <v>3623681</v>
      </c>
      <c r="D89" s="119">
        <f t="shared" si="88"/>
        <v>8671817.1241666675</v>
      </c>
      <c r="E89" s="119">
        <f t="shared" si="89"/>
        <v>8212895.6583333332</v>
      </c>
      <c r="F89" s="119">
        <f t="shared" si="90"/>
        <v>7753974.1924999999</v>
      </c>
      <c r="G89" s="119">
        <f t="shared" si="91"/>
        <v>7295052.7266666666</v>
      </c>
      <c r="H89" s="119">
        <f t="shared" si="92"/>
        <v>6836131.2608333332</v>
      </c>
      <c r="I89" s="119">
        <f t="shared" si="93"/>
        <v>6377209.7949999999</v>
      </c>
      <c r="J89" s="119">
        <f t="shared" si="94"/>
        <v>5918288.3291666666</v>
      </c>
      <c r="K89" s="119">
        <f t="shared" si="95"/>
        <v>5459366.8633333333</v>
      </c>
      <c r="L89" s="119">
        <f t="shared" si="96"/>
        <v>5000445.3975</v>
      </c>
      <c r="M89" s="119">
        <f t="shared" si="97"/>
        <v>4541523.9316666666</v>
      </c>
      <c r="N89" s="119">
        <f t="shared" si="98"/>
        <v>4082602.4658333333</v>
      </c>
      <c r="O89" s="119">
        <f t="shared" si="99"/>
        <v>3623681</v>
      </c>
      <c r="P89" s="119">
        <f t="shared" si="100"/>
        <v>6377209.7950000009</v>
      </c>
    </row>
    <row r="90" spans="1:17" x14ac:dyDescent="0.3">
      <c r="A90" s="115">
        <v>2011</v>
      </c>
      <c r="B90" s="119">
        <v>4392436</v>
      </c>
      <c r="C90" s="119">
        <f t="shared" si="87"/>
        <v>4392436</v>
      </c>
      <c r="D90" s="119">
        <f t="shared" si="88"/>
        <v>3687743.9166666665</v>
      </c>
      <c r="E90" s="119">
        <f t="shared" si="89"/>
        <v>3751806.8333333335</v>
      </c>
      <c r="F90" s="119">
        <f t="shared" si="90"/>
        <v>3815869.75</v>
      </c>
      <c r="G90" s="119">
        <f t="shared" si="91"/>
        <v>3879932.6666666665</v>
      </c>
      <c r="H90" s="119">
        <f t="shared" si="92"/>
        <v>3943995.5833333335</v>
      </c>
      <c r="I90" s="119">
        <f t="shared" si="93"/>
        <v>4008058.5</v>
      </c>
      <c r="J90" s="119">
        <f t="shared" si="94"/>
        <v>4072121.4166666665</v>
      </c>
      <c r="K90" s="119">
        <f t="shared" si="95"/>
        <v>4136184.3333333335</v>
      </c>
      <c r="L90" s="119">
        <f t="shared" si="96"/>
        <v>4200247.25</v>
      </c>
      <c r="M90" s="119">
        <f t="shared" si="97"/>
        <v>4264310.166666667</v>
      </c>
      <c r="N90" s="119">
        <f t="shared" si="98"/>
        <v>4328373.083333333</v>
      </c>
      <c r="O90" s="119">
        <f t="shared" si="99"/>
        <v>4392436</v>
      </c>
      <c r="P90" s="119">
        <f t="shared" si="100"/>
        <v>4008058.5</v>
      </c>
    </row>
    <row r="91" spans="1:17" x14ac:dyDescent="0.3">
      <c r="A91" s="115">
        <v>2012</v>
      </c>
      <c r="B91" s="119">
        <v>5875841</v>
      </c>
      <c r="C91" s="119">
        <f t="shared" si="87"/>
        <v>5875841</v>
      </c>
      <c r="D91" s="119">
        <f t="shared" si="88"/>
        <v>4516053.083333333</v>
      </c>
      <c r="E91" s="119">
        <f t="shared" si="89"/>
        <v>4639670.166666667</v>
      </c>
      <c r="F91" s="119">
        <f t="shared" si="90"/>
        <v>4763287.25</v>
      </c>
      <c r="G91" s="119">
        <f t="shared" si="91"/>
        <v>4886904.333333333</v>
      </c>
      <c r="H91" s="119">
        <f t="shared" si="92"/>
        <v>5010521.416666667</v>
      </c>
      <c r="I91" s="119">
        <f t="shared" si="93"/>
        <v>5134138.5</v>
      </c>
      <c r="J91" s="119">
        <f t="shared" si="94"/>
        <v>5257755.583333333</v>
      </c>
      <c r="K91" s="119">
        <f t="shared" si="95"/>
        <v>5381372.666666667</v>
      </c>
      <c r="L91" s="119">
        <f t="shared" si="96"/>
        <v>5504989.75</v>
      </c>
      <c r="M91" s="119">
        <f t="shared" si="97"/>
        <v>5628606.833333333</v>
      </c>
      <c r="N91" s="119">
        <f t="shared" si="98"/>
        <v>5752223.916666666</v>
      </c>
      <c r="O91" s="119">
        <f t="shared" si="99"/>
        <v>5875841</v>
      </c>
      <c r="P91" s="119">
        <f t="shared" si="100"/>
        <v>5134138.5</v>
      </c>
    </row>
    <row r="92" spans="1:17" x14ac:dyDescent="0.3">
      <c r="A92" s="115">
        <v>2013</v>
      </c>
      <c r="B92" s="119">
        <v>6947281</v>
      </c>
      <c r="C92" s="119">
        <f t="shared" si="87"/>
        <v>6947281</v>
      </c>
      <c r="D92" s="119">
        <f t="shared" si="88"/>
        <v>5965127.666666667</v>
      </c>
      <c r="E92" s="119">
        <f t="shared" si="89"/>
        <v>6054414.333333333</v>
      </c>
      <c r="F92" s="119">
        <f t="shared" si="90"/>
        <v>6143701</v>
      </c>
      <c r="G92" s="119">
        <f t="shared" si="91"/>
        <v>6232987.666666667</v>
      </c>
      <c r="H92" s="119">
        <f t="shared" si="92"/>
        <v>6322274.333333333</v>
      </c>
      <c r="I92" s="119">
        <f t="shared" si="93"/>
        <v>6411561</v>
      </c>
      <c r="J92" s="119">
        <f t="shared" si="94"/>
        <v>6500847.666666667</v>
      </c>
      <c r="K92" s="119">
        <f t="shared" si="95"/>
        <v>6590134.333333333</v>
      </c>
      <c r="L92" s="119">
        <f t="shared" si="96"/>
        <v>6679421</v>
      </c>
      <c r="M92" s="119">
        <f t="shared" si="97"/>
        <v>6768707.666666667</v>
      </c>
      <c r="N92" s="119">
        <f t="shared" si="98"/>
        <v>6857994.333333333</v>
      </c>
      <c r="O92" s="119">
        <f t="shared" si="99"/>
        <v>6947281</v>
      </c>
      <c r="P92" s="119">
        <f t="shared" si="100"/>
        <v>6411561</v>
      </c>
    </row>
    <row r="93" spans="1:17" x14ac:dyDescent="0.3">
      <c r="A93" s="115">
        <v>2014</v>
      </c>
      <c r="B93" s="119">
        <v>7566658.4299999997</v>
      </c>
      <c r="C93" s="119">
        <f t="shared" si="87"/>
        <v>7566658.4299999997</v>
      </c>
      <c r="D93" s="119">
        <f t="shared" si="88"/>
        <v>6998895.7858333336</v>
      </c>
      <c r="E93" s="119">
        <f t="shared" si="89"/>
        <v>7050510.5716666663</v>
      </c>
      <c r="F93" s="119">
        <f t="shared" si="90"/>
        <v>7102125.3574999999</v>
      </c>
      <c r="G93" s="119">
        <f t="shared" si="91"/>
        <v>7153740.1433333335</v>
      </c>
      <c r="H93" s="119">
        <f t="shared" si="92"/>
        <v>7205354.9291666662</v>
      </c>
      <c r="I93" s="119">
        <f t="shared" si="93"/>
        <v>7256969.7149999999</v>
      </c>
      <c r="J93" s="119">
        <f t="shared" si="94"/>
        <v>7308584.5008333335</v>
      </c>
      <c r="K93" s="119">
        <f t="shared" si="95"/>
        <v>7360199.2866666662</v>
      </c>
      <c r="L93" s="119">
        <f t="shared" si="96"/>
        <v>7411814.0724999998</v>
      </c>
      <c r="M93" s="119">
        <f t="shared" si="97"/>
        <v>7463428.8583333334</v>
      </c>
      <c r="N93" s="119">
        <f t="shared" si="98"/>
        <v>7515043.6441666661</v>
      </c>
      <c r="O93" s="119">
        <f t="shared" si="99"/>
        <v>7566658.4299999997</v>
      </c>
      <c r="P93" s="119">
        <f t="shared" si="100"/>
        <v>7256969.7149999999</v>
      </c>
    </row>
    <row r="94" spans="1:17" x14ac:dyDescent="0.3">
      <c r="A94" s="115">
        <v>2015</v>
      </c>
      <c r="B94" s="119">
        <v>8154448.7300000004</v>
      </c>
      <c r="C94" s="119">
        <f t="shared" si="87"/>
        <v>8154448.7300000004</v>
      </c>
      <c r="D94" s="119">
        <f t="shared" si="88"/>
        <v>7615640.9550000001</v>
      </c>
      <c r="E94" s="119">
        <f t="shared" si="89"/>
        <v>7664623.4799999995</v>
      </c>
      <c r="F94" s="119">
        <f t="shared" si="90"/>
        <v>7713606.0049999999</v>
      </c>
      <c r="G94" s="119">
        <f t="shared" si="91"/>
        <v>7762588.5300000003</v>
      </c>
      <c r="H94" s="119">
        <f t="shared" si="92"/>
        <v>7811571.0549999997</v>
      </c>
      <c r="I94" s="119">
        <f t="shared" si="93"/>
        <v>7860553.5800000001</v>
      </c>
      <c r="J94" s="119">
        <f t="shared" si="94"/>
        <v>7909536.1050000004</v>
      </c>
      <c r="K94" s="119">
        <f t="shared" si="95"/>
        <v>7958518.6299999999</v>
      </c>
      <c r="L94" s="119">
        <f t="shared" si="96"/>
        <v>8007501.1550000003</v>
      </c>
      <c r="M94" s="119">
        <f t="shared" si="97"/>
        <v>8056483.6800000006</v>
      </c>
      <c r="N94" s="119">
        <f t="shared" si="98"/>
        <v>8105466.2050000001</v>
      </c>
      <c r="O94" s="119">
        <f t="shared" si="99"/>
        <v>8154448.7300000004</v>
      </c>
      <c r="P94" s="119">
        <f t="shared" si="100"/>
        <v>7860553.5799999991</v>
      </c>
    </row>
    <row r="95" spans="1:17" x14ac:dyDescent="0.3">
      <c r="A95" s="115">
        <v>2016</v>
      </c>
      <c r="B95" s="119">
        <v>8027733</v>
      </c>
      <c r="C95" s="119">
        <f t="shared" si="87"/>
        <v>8027733</v>
      </c>
      <c r="D95" s="119">
        <f t="shared" si="88"/>
        <v>8143889.0858333334</v>
      </c>
      <c r="E95" s="119">
        <f t="shared" si="89"/>
        <v>8133329.4416666673</v>
      </c>
      <c r="F95" s="119">
        <f t="shared" si="90"/>
        <v>8122769.7975000003</v>
      </c>
      <c r="G95" s="119">
        <f t="shared" si="91"/>
        <v>8112210.1533333333</v>
      </c>
      <c r="H95" s="119">
        <f t="shared" si="92"/>
        <v>8101650.5091666672</v>
      </c>
      <c r="I95" s="119">
        <f t="shared" si="93"/>
        <v>8091090.8650000002</v>
      </c>
      <c r="J95" s="119">
        <f t="shared" si="94"/>
        <v>8080531.2208333332</v>
      </c>
      <c r="K95" s="119">
        <f t="shared" si="95"/>
        <v>8069971.5766666671</v>
      </c>
      <c r="L95" s="119">
        <f t="shared" si="96"/>
        <v>8059411.9325000001</v>
      </c>
      <c r="M95" s="119">
        <f t="shared" si="97"/>
        <v>8048852.2883333331</v>
      </c>
      <c r="N95" s="119">
        <f t="shared" si="98"/>
        <v>8038292.644166667</v>
      </c>
      <c r="O95" s="119">
        <f t="shared" si="99"/>
        <v>8027733</v>
      </c>
      <c r="P95" s="119">
        <f t="shared" si="100"/>
        <v>8091090.8649999984</v>
      </c>
      <c r="Q95" s="119">
        <f>((L94+L95)+2*(SUM(D95:K95)+SUM(M94:O94)))/24</f>
        <v>8100441.4840625003</v>
      </c>
    </row>
    <row r="96" spans="1:17" x14ac:dyDescent="0.3">
      <c r="C96" s="119"/>
      <c r="O96" s="119">
        <f t="shared" si="99"/>
        <v>0</v>
      </c>
    </row>
    <row r="97" spans="1:17" x14ac:dyDescent="0.3">
      <c r="A97" s="120" t="s">
        <v>133</v>
      </c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0"/>
    </row>
    <row r="98" spans="1:17" x14ac:dyDescent="0.3">
      <c r="A98" s="115">
        <v>2008</v>
      </c>
      <c r="B98" s="119">
        <f>4091.28+1876414.72</f>
        <v>1880506</v>
      </c>
      <c r="C98" s="119">
        <f t="shared" ref="C98:C106" si="101">B98</f>
        <v>1880506</v>
      </c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</row>
    <row r="99" spans="1:17" x14ac:dyDescent="0.3">
      <c r="A99" s="115">
        <v>2009</v>
      </c>
      <c r="B99" s="119">
        <f>187470.25+1813338.64</f>
        <v>2000808.89</v>
      </c>
      <c r="C99" s="119">
        <f t="shared" si="101"/>
        <v>2000808.89</v>
      </c>
      <c r="D99" s="119">
        <f t="shared" ref="D99:D106" si="102">(B99-B98)/12*1+B98</f>
        <v>1890531.2408333332</v>
      </c>
      <c r="E99" s="119">
        <f t="shared" ref="E99:E106" si="103">(B99-B98)/12*2+B98</f>
        <v>1900556.4816666667</v>
      </c>
      <c r="F99" s="119">
        <f t="shared" ref="F99:F106" si="104">(B99-B98)/12*3+B98</f>
        <v>1910581.7224999999</v>
      </c>
      <c r="G99" s="119">
        <f t="shared" ref="G99:G106" si="105">(B99-B98)/12*4+B98</f>
        <v>1920606.9633333334</v>
      </c>
      <c r="H99" s="119">
        <f t="shared" ref="H99:H106" si="106">(B99-B98)/12*5+B98</f>
        <v>1930632.2041666666</v>
      </c>
      <c r="I99" s="119">
        <f t="shared" ref="I99:I106" si="107">(B99-B98)/12*6+B98</f>
        <v>1940657.4449999998</v>
      </c>
      <c r="J99" s="119">
        <f t="shared" ref="J99:J106" si="108">(B99-B98)/12*7+B98</f>
        <v>1950682.6858333333</v>
      </c>
      <c r="K99" s="119">
        <f t="shared" ref="K99:K106" si="109">(B99-B98)/12*8+B98</f>
        <v>1960707.9266666665</v>
      </c>
      <c r="L99" s="119">
        <f t="shared" ref="L99:L106" si="110">(B99-B98)/12*9+B98</f>
        <v>1970733.1675</v>
      </c>
      <c r="M99" s="119">
        <f t="shared" ref="M99:M106" si="111">(B99-B98)/12*10+B98</f>
        <v>1980758.4083333332</v>
      </c>
      <c r="N99" s="119">
        <f t="shared" ref="N99:N106" si="112">(B99-B98)/12*11+B98</f>
        <v>1990783.6491666667</v>
      </c>
      <c r="O99" s="119">
        <f t="shared" ref="O99:O106" si="113">+B99</f>
        <v>2000808.89</v>
      </c>
      <c r="P99" s="119">
        <f t="shared" ref="P99:P106" si="114">((C98+O99)+2*(SUM(D99:N99)))/24</f>
        <v>1940657.4449999996</v>
      </c>
    </row>
    <row r="100" spans="1:17" x14ac:dyDescent="0.3">
      <c r="A100" s="115">
        <v>2010</v>
      </c>
      <c r="B100" s="119">
        <f>182311+2060253</f>
        <v>2242564</v>
      </c>
      <c r="C100" s="119">
        <f t="shared" si="101"/>
        <v>2242564</v>
      </c>
      <c r="D100" s="119">
        <f t="shared" si="102"/>
        <v>2020955.1491666667</v>
      </c>
      <c r="E100" s="119">
        <f t="shared" si="103"/>
        <v>2041101.4083333332</v>
      </c>
      <c r="F100" s="119">
        <f t="shared" si="104"/>
        <v>2061247.6675</v>
      </c>
      <c r="G100" s="119">
        <f t="shared" si="105"/>
        <v>2081393.9266666665</v>
      </c>
      <c r="H100" s="119">
        <f t="shared" si="106"/>
        <v>2101540.1858333331</v>
      </c>
      <c r="I100" s="119">
        <f t="shared" si="107"/>
        <v>2121686.4449999998</v>
      </c>
      <c r="J100" s="119">
        <f t="shared" si="108"/>
        <v>2141832.7041666666</v>
      </c>
      <c r="K100" s="119">
        <f t="shared" si="109"/>
        <v>2161978.9633333334</v>
      </c>
      <c r="L100" s="119">
        <f t="shared" si="110"/>
        <v>2182125.2225000001</v>
      </c>
      <c r="M100" s="119">
        <f t="shared" si="111"/>
        <v>2202271.4816666665</v>
      </c>
      <c r="N100" s="119">
        <f t="shared" si="112"/>
        <v>2222417.7408333332</v>
      </c>
      <c r="O100" s="119">
        <f t="shared" si="113"/>
        <v>2242564</v>
      </c>
      <c r="P100" s="119">
        <f t="shared" si="114"/>
        <v>2121686.4449999998</v>
      </c>
    </row>
    <row r="101" spans="1:17" x14ac:dyDescent="0.3">
      <c r="A101" s="115">
        <v>2011</v>
      </c>
      <c r="B101" s="119">
        <v>2593396</v>
      </c>
      <c r="C101" s="119">
        <f t="shared" si="101"/>
        <v>2593396</v>
      </c>
      <c r="D101" s="119">
        <f t="shared" si="102"/>
        <v>2271800</v>
      </c>
      <c r="E101" s="119">
        <f t="shared" si="103"/>
        <v>2301036</v>
      </c>
      <c r="F101" s="119">
        <f t="shared" si="104"/>
        <v>2330272</v>
      </c>
      <c r="G101" s="119">
        <f t="shared" si="105"/>
        <v>2359508</v>
      </c>
      <c r="H101" s="119">
        <f t="shared" si="106"/>
        <v>2388744</v>
      </c>
      <c r="I101" s="119">
        <f t="shared" si="107"/>
        <v>2417980</v>
      </c>
      <c r="J101" s="119">
        <f t="shared" si="108"/>
        <v>2447216</v>
      </c>
      <c r="K101" s="119">
        <f t="shared" si="109"/>
        <v>2476452</v>
      </c>
      <c r="L101" s="119">
        <f t="shared" si="110"/>
        <v>2505688</v>
      </c>
      <c r="M101" s="119">
        <f t="shared" si="111"/>
        <v>2534924</v>
      </c>
      <c r="N101" s="119">
        <f t="shared" si="112"/>
        <v>2564160</v>
      </c>
      <c r="O101" s="119">
        <f t="shared" si="113"/>
        <v>2593396</v>
      </c>
      <c r="P101" s="119">
        <f t="shared" si="114"/>
        <v>2417980</v>
      </c>
    </row>
    <row r="102" spans="1:17" x14ac:dyDescent="0.3">
      <c r="A102" s="115">
        <v>2012</v>
      </c>
      <c r="B102" s="119">
        <v>2462129</v>
      </c>
      <c r="C102" s="119">
        <f t="shared" si="101"/>
        <v>2462129</v>
      </c>
      <c r="D102" s="119">
        <f t="shared" si="102"/>
        <v>2582457.0833333335</v>
      </c>
      <c r="E102" s="119">
        <f t="shared" si="103"/>
        <v>2571518.1666666665</v>
      </c>
      <c r="F102" s="119">
        <f t="shared" si="104"/>
        <v>2560579.25</v>
      </c>
      <c r="G102" s="119">
        <f t="shared" si="105"/>
        <v>2549640.3333333335</v>
      </c>
      <c r="H102" s="119">
        <f t="shared" si="106"/>
        <v>2538701.4166666665</v>
      </c>
      <c r="I102" s="119">
        <f t="shared" si="107"/>
        <v>2527762.5</v>
      </c>
      <c r="J102" s="119">
        <f t="shared" si="108"/>
        <v>2516823.5833333335</v>
      </c>
      <c r="K102" s="119">
        <f t="shared" si="109"/>
        <v>2505884.6666666665</v>
      </c>
      <c r="L102" s="119">
        <f t="shared" si="110"/>
        <v>2494945.75</v>
      </c>
      <c r="M102" s="119">
        <f t="shared" si="111"/>
        <v>2484006.8333333335</v>
      </c>
      <c r="N102" s="119">
        <f t="shared" si="112"/>
        <v>2473067.9166666665</v>
      </c>
      <c r="O102" s="119">
        <f t="shared" si="113"/>
        <v>2462129</v>
      </c>
      <c r="P102" s="119">
        <f t="shared" si="114"/>
        <v>2527762.5</v>
      </c>
    </row>
    <row r="103" spans="1:17" x14ac:dyDescent="0.3">
      <c r="A103" s="115">
        <v>2013</v>
      </c>
      <c r="B103" s="119">
        <v>2369262</v>
      </c>
      <c r="C103" s="119">
        <f t="shared" si="101"/>
        <v>2369262</v>
      </c>
      <c r="D103" s="119">
        <f t="shared" si="102"/>
        <v>2454390.0833333335</v>
      </c>
      <c r="E103" s="119">
        <f t="shared" si="103"/>
        <v>2446651.1666666665</v>
      </c>
      <c r="F103" s="119">
        <f t="shared" si="104"/>
        <v>2438912.25</v>
      </c>
      <c r="G103" s="119">
        <f t="shared" si="105"/>
        <v>2431173.3333333335</v>
      </c>
      <c r="H103" s="119">
        <f t="shared" si="106"/>
        <v>2423434.4166666665</v>
      </c>
      <c r="I103" s="119">
        <f t="shared" si="107"/>
        <v>2415695.5</v>
      </c>
      <c r="J103" s="119">
        <f t="shared" si="108"/>
        <v>2407956.5833333335</v>
      </c>
      <c r="K103" s="119">
        <f t="shared" si="109"/>
        <v>2400217.6666666665</v>
      </c>
      <c r="L103" s="119">
        <f t="shared" si="110"/>
        <v>2392478.75</v>
      </c>
      <c r="M103" s="119">
        <f t="shared" si="111"/>
        <v>2384739.8333333335</v>
      </c>
      <c r="N103" s="119">
        <f t="shared" si="112"/>
        <v>2377000.9166666665</v>
      </c>
      <c r="O103" s="119">
        <f t="shared" si="113"/>
        <v>2369262</v>
      </c>
      <c r="P103" s="119">
        <f t="shared" si="114"/>
        <v>2415695.5</v>
      </c>
    </row>
    <row r="104" spans="1:17" x14ac:dyDescent="0.3">
      <c r="A104" s="115">
        <v>2014</v>
      </c>
      <c r="B104" s="119">
        <v>2090721.92</v>
      </c>
      <c r="C104" s="119">
        <f t="shared" si="101"/>
        <v>2090721.92</v>
      </c>
      <c r="D104" s="119">
        <f t="shared" si="102"/>
        <v>2346050.3266666667</v>
      </c>
      <c r="E104" s="119">
        <f t="shared" si="103"/>
        <v>2322838.6533333333</v>
      </c>
      <c r="F104" s="119">
        <f t="shared" si="104"/>
        <v>2299626.98</v>
      </c>
      <c r="G104" s="119">
        <f t="shared" si="105"/>
        <v>2276415.3066666666</v>
      </c>
      <c r="H104" s="119">
        <f t="shared" si="106"/>
        <v>2253203.6333333333</v>
      </c>
      <c r="I104" s="119">
        <f t="shared" si="107"/>
        <v>2229991.96</v>
      </c>
      <c r="J104" s="119">
        <f t="shared" si="108"/>
        <v>2206780.2866666666</v>
      </c>
      <c r="K104" s="119">
        <f t="shared" si="109"/>
        <v>2183568.6133333333</v>
      </c>
      <c r="L104" s="119">
        <f t="shared" si="110"/>
        <v>2160356.94</v>
      </c>
      <c r="M104" s="119">
        <f t="shared" si="111"/>
        <v>2137145.2666666666</v>
      </c>
      <c r="N104" s="119">
        <f t="shared" si="112"/>
        <v>2113933.5933333333</v>
      </c>
      <c r="O104" s="119">
        <f t="shared" si="113"/>
        <v>2090721.92</v>
      </c>
      <c r="P104" s="119">
        <f t="shared" si="114"/>
        <v>2229991.96</v>
      </c>
    </row>
    <row r="105" spans="1:17" x14ac:dyDescent="0.3">
      <c r="A105" s="115">
        <v>2015</v>
      </c>
      <c r="B105" s="119">
        <v>1923751.31</v>
      </c>
      <c r="C105" s="119">
        <f t="shared" si="101"/>
        <v>1923751.31</v>
      </c>
      <c r="D105" s="119">
        <f t="shared" si="102"/>
        <v>2076807.7024999999</v>
      </c>
      <c r="E105" s="119">
        <f t="shared" si="103"/>
        <v>2062893.4849999999</v>
      </c>
      <c r="F105" s="119">
        <f t="shared" si="104"/>
        <v>2048979.2675000001</v>
      </c>
      <c r="G105" s="119">
        <f t="shared" si="105"/>
        <v>2035065.05</v>
      </c>
      <c r="H105" s="119">
        <f t="shared" si="106"/>
        <v>2021150.8325</v>
      </c>
      <c r="I105" s="119">
        <f t="shared" si="107"/>
        <v>2007236.615</v>
      </c>
      <c r="J105" s="119">
        <f t="shared" si="108"/>
        <v>1993322.3975</v>
      </c>
      <c r="K105" s="119">
        <f t="shared" si="109"/>
        <v>1979408.18</v>
      </c>
      <c r="L105" s="119">
        <f t="shared" si="110"/>
        <v>1965493.9624999999</v>
      </c>
      <c r="M105" s="119">
        <f t="shared" si="111"/>
        <v>1951579.7450000001</v>
      </c>
      <c r="N105" s="119">
        <f t="shared" si="112"/>
        <v>1937665.5275000001</v>
      </c>
      <c r="O105" s="119">
        <f t="shared" si="113"/>
        <v>1923751.31</v>
      </c>
      <c r="P105" s="119">
        <f t="shared" si="114"/>
        <v>2007236.615</v>
      </c>
    </row>
    <row r="106" spans="1:17" x14ac:dyDescent="0.3">
      <c r="A106" s="115">
        <v>2016</v>
      </c>
      <c r="B106" s="119">
        <v>1955421</v>
      </c>
      <c r="C106" s="119">
        <f t="shared" si="101"/>
        <v>1955421</v>
      </c>
      <c r="D106" s="119">
        <f t="shared" si="102"/>
        <v>1926390.4508333334</v>
      </c>
      <c r="E106" s="119">
        <f t="shared" si="103"/>
        <v>1929029.5916666668</v>
      </c>
      <c r="F106" s="119">
        <f t="shared" si="104"/>
        <v>1931668.7324999999</v>
      </c>
      <c r="G106" s="119">
        <f t="shared" si="105"/>
        <v>1934307.8733333333</v>
      </c>
      <c r="H106" s="119">
        <f t="shared" si="106"/>
        <v>1936947.0141666667</v>
      </c>
      <c r="I106" s="119">
        <f t="shared" si="107"/>
        <v>1939586.155</v>
      </c>
      <c r="J106" s="119">
        <f t="shared" si="108"/>
        <v>1942225.2958333334</v>
      </c>
      <c r="K106" s="119">
        <f t="shared" si="109"/>
        <v>1944864.4366666668</v>
      </c>
      <c r="L106" s="119">
        <f t="shared" si="110"/>
        <v>1947503.5775000001</v>
      </c>
      <c r="M106" s="119">
        <f t="shared" si="111"/>
        <v>1950142.7183333333</v>
      </c>
      <c r="N106" s="119">
        <f t="shared" si="112"/>
        <v>1952781.8591666666</v>
      </c>
      <c r="O106" s="119">
        <f t="shared" si="113"/>
        <v>1955421</v>
      </c>
      <c r="P106" s="119">
        <f t="shared" si="114"/>
        <v>1939586.1550000003</v>
      </c>
      <c r="Q106" s="119">
        <f>((L105+L106)+2*(SUM(D106:K106)+SUM(M105:O105)))/24</f>
        <v>1937876.2418750001</v>
      </c>
    </row>
    <row r="107" spans="1:17" x14ac:dyDescent="0.3">
      <c r="C107" s="119"/>
      <c r="O107" s="119"/>
    </row>
    <row r="108" spans="1:17" x14ac:dyDescent="0.3">
      <c r="A108" s="120" t="s">
        <v>134</v>
      </c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0"/>
    </row>
    <row r="109" spans="1:17" x14ac:dyDescent="0.3">
      <c r="A109" s="115">
        <v>2008</v>
      </c>
      <c r="B109" s="119">
        <f>380.74+3598271.75</f>
        <v>3598652.49</v>
      </c>
      <c r="C109" s="119">
        <f t="shared" ref="C109:C117" si="115">B109</f>
        <v>3598652.49</v>
      </c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</row>
    <row r="110" spans="1:17" x14ac:dyDescent="0.3">
      <c r="A110" s="115">
        <v>2009</v>
      </c>
      <c r="B110" s="119">
        <f>644755.97+6810645.5</f>
        <v>7455401.4699999997</v>
      </c>
      <c r="C110" s="119">
        <f t="shared" si="115"/>
        <v>7455401.4699999997</v>
      </c>
      <c r="D110" s="119">
        <f t="shared" ref="D110:D117" si="116">(B110-B109)/12*1+B109</f>
        <v>3920048.2383333333</v>
      </c>
      <c r="E110" s="119">
        <f t="shared" ref="E110:E117" si="117">(B110-B109)/12*2+B109</f>
        <v>4241443.9866666663</v>
      </c>
      <c r="F110" s="119">
        <f t="shared" ref="F110:F117" si="118">(B110-B109)/12*3+B109</f>
        <v>4562839.7350000003</v>
      </c>
      <c r="G110" s="119">
        <f t="shared" ref="G110:G117" si="119">(B110-B109)/12*4+B109</f>
        <v>4884235.4833333334</v>
      </c>
      <c r="H110" s="119">
        <f t="shared" ref="H110:H117" si="120">(B110-B109)/12*5+B109</f>
        <v>5205631.2316666665</v>
      </c>
      <c r="I110" s="119">
        <f t="shared" ref="I110:I117" si="121">(B110-B109)/12*6+B109</f>
        <v>5527026.9800000004</v>
      </c>
      <c r="J110" s="119">
        <f t="shared" ref="J110:J117" si="122">(B110-B109)/12*7+B109</f>
        <v>5848422.7283333335</v>
      </c>
      <c r="K110" s="119">
        <f t="shared" ref="K110:K117" si="123">(B110-B109)/12*8+B109</f>
        <v>6169818.4766666666</v>
      </c>
      <c r="L110" s="119">
        <f t="shared" ref="L110:L117" si="124">(B110-B109)/12*9+B109</f>
        <v>6491214.2249999996</v>
      </c>
      <c r="M110" s="119">
        <f t="shared" ref="M110:M117" si="125">(B110-B109)/12*10+B109</f>
        <v>6812609.9733333327</v>
      </c>
      <c r="N110" s="119">
        <f t="shared" ref="N110:N117" si="126">(B110-B109)/12*11+B109</f>
        <v>7134005.7216666667</v>
      </c>
      <c r="O110" s="119">
        <f t="shared" ref="O110:O117" si="127">+B110</f>
        <v>7455401.4699999997</v>
      </c>
      <c r="P110" s="119">
        <f t="shared" ref="P110:P117" si="128">((C109+O110)+2*(SUM(D110:N110)))/24</f>
        <v>5527026.9800000004</v>
      </c>
    </row>
    <row r="111" spans="1:17" x14ac:dyDescent="0.3">
      <c r="A111" s="115">
        <v>2010</v>
      </c>
      <c r="B111" s="119">
        <f>626034+7268032</f>
        <v>7894066</v>
      </c>
      <c r="C111" s="119">
        <f t="shared" si="115"/>
        <v>7894066</v>
      </c>
      <c r="D111" s="119">
        <f t="shared" si="116"/>
        <v>7491956.8475000001</v>
      </c>
      <c r="E111" s="119">
        <f t="shared" si="117"/>
        <v>7528512.2249999996</v>
      </c>
      <c r="F111" s="119">
        <f t="shared" si="118"/>
        <v>7565067.6025</v>
      </c>
      <c r="G111" s="119">
        <f t="shared" si="119"/>
        <v>7601622.9799999995</v>
      </c>
      <c r="H111" s="119">
        <f t="shared" si="120"/>
        <v>7638178.3574999999</v>
      </c>
      <c r="I111" s="119">
        <f t="shared" si="121"/>
        <v>7674733.7349999994</v>
      </c>
      <c r="J111" s="119">
        <f t="shared" si="122"/>
        <v>7711289.1124999998</v>
      </c>
      <c r="K111" s="119">
        <f t="shared" si="123"/>
        <v>7747844.4900000002</v>
      </c>
      <c r="L111" s="119">
        <f t="shared" si="124"/>
        <v>7784399.8674999997</v>
      </c>
      <c r="M111" s="119">
        <f t="shared" si="125"/>
        <v>7820955.2450000001</v>
      </c>
      <c r="N111" s="119">
        <f t="shared" si="126"/>
        <v>7857510.6224999996</v>
      </c>
      <c r="O111" s="119">
        <f t="shared" si="127"/>
        <v>7894066</v>
      </c>
      <c r="P111" s="119">
        <f t="shared" si="128"/>
        <v>7674733.7350000003</v>
      </c>
    </row>
    <row r="112" spans="1:17" x14ac:dyDescent="0.3">
      <c r="A112" s="115">
        <v>2011</v>
      </c>
      <c r="B112" s="119">
        <v>8265945</v>
      </c>
      <c r="C112" s="119">
        <f t="shared" si="115"/>
        <v>8265945</v>
      </c>
      <c r="D112" s="119">
        <f t="shared" si="116"/>
        <v>7925055.916666667</v>
      </c>
      <c r="E112" s="119">
        <f t="shared" si="117"/>
        <v>7956045.833333333</v>
      </c>
      <c r="F112" s="119">
        <f t="shared" si="118"/>
        <v>7987035.75</v>
      </c>
      <c r="G112" s="119">
        <f t="shared" si="119"/>
        <v>8018025.666666667</v>
      </c>
      <c r="H112" s="119">
        <f t="shared" si="120"/>
        <v>8049015.583333333</v>
      </c>
      <c r="I112" s="119">
        <f t="shared" si="121"/>
        <v>8080005.5</v>
      </c>
      <c r="J112" s="119">
        <f t="shared" si="122"/>
        <v>8110995.416666667</v>
      </c>
      <c r="K112" s="119">
        <f t="shared" si="123"/>
        <v>8141985.333333333</v>
      </c>
      <c r="L112" s="119">
        <f t="shared" si="124"/>
        <v>8172975.25</v>
      </c>
      <c r="M112" s="119">
        <f t="shared" si="125"/>
        <v>8203965.166666667</v>
      </c>
      <c r="N112" s="119">
        <f t="shared" si="126"/>
        <v>8234955.083333333</v>
      </c>
      <c r="O112" s="119">
        <f t="shared" si="127"/>
        <v>8265945</v>
      </c>
      <c r="P112" s="119">
        <f t="shared" si="128"/>
        <v>8080005.5</v>
      </c>
    </row>
    <row r="113" spans="1:17" x14ac:dyDescent="0.3">
      <c r="A113" s="115">
        <v>2012</v>
      </c>
      <c r="B113" s="119">
        <v>8505546</v>
      </c>
      <c r="C113" s="119">
        <f t="shared" si="115"/>
        <v>8505546</v>
      </c>
      <c r="D113" s="119">
        <f t="shared" si="116"/>
        <v>8285911.75</v>
      </c>
      <c r="E113" s="119">
        <f t="shared" si="117"/>
        <v>8305878.5</v>
      </c>
      <c r="F113" s="119">
        <f t="shared" si="118"/>
        <v>8325845.25</v>
      </c>
      <c r="G113" s="119">
        <f t="shared" si="119"/>
        <v>8345812</v>
      </c>
      <c r="H113" s="119">
        <f t="shared" si="120"/>
        <v>8365778.75</v>
      </c>
      <c r="I113" s="119">
        <f t="shared" si="121"/>
        <v>8385745.5</v>
      </c>
      <c r="J113" s="119">
        <f t="shared" si="122"/>
        <v>8405712.25</v>
      </c>
      <c r="K113" s="119">
        <f t="shared" si="123"/>
        <v>8425679</v>
      </c>
      <c r="L113" s="119">
        <f t="shared" si="124"/>
        <v>8445645.75</v>
      </c>
      <c r="M113" s="119">
        <f t="shared" si="125"/>
        <v>8465612.5</v>
      </c>
      <c r="N113" s="119">
        <f t="shared" si="126"/>
        <v>8485579.25</v>
      </c>
      <c r="O113" s="119">
        <f t="shared" si="127"/>
        <v>8505546</v>
      </c>
      <c r="P113" s="119">
        <f t="shared" si="128"/>
        <v>8385745.5</v>
      </c>
    </row>
    <row r="114" spans="1:17" x14ac:dyDescent="0.3">
      <c r="A114" s="115">
        <v>2013</v>
      </c>
      <c r="B114" s="119">
        <v>8773306</v>
      </c>
      <c r="C114" s="119">
        <f t="shared" si="115"/>
        <v>8773306</v>
      </c>
      <c r="D114" s="119">
        <f t="shared" si="116"/>
        <v>8527859.333333334</v>
      </c>
      <c r="E114" s="119">
        <f t="shared" si="117"/>
        <v>8550172.666666666</v>
      </c>
      <c r="F114" s="119">
        <f t="shared" si="118"/>
        <v>8572486</v>
      </c>
      <c r="G114" s="119">
        <f t="shared" si="119"/>
        <v>8594799.333333334</v>
      </c>
      <c r="H114" s="119">
        <f t="shared" si="120"/>
        <v>8617112.666666666</v>
      </c>
      <c r="I114" s="119">
        <f t="shared" si="121"/>
        <v>8639426</v>
      </c>
      <c r="J114" s="119">
        <f t="shared" si="122"/>
        <v>8661739.333333334</v>
      </c>
      <c r="K114" s="119">
        <f t="shared" si="123"/>
        <v>8684052.666666666</v>
      </c>
      <c r="L114" s="119">
        <f t="shared" si="124"/>
        <v>8706366</v>
      </c>
      <c r="M114" s="119">
        <f t="shared" si="125"/>
        <v>8728679.333333334</v>
      </c>
      <c r="N114" s="119">
        <f t="shared" si="126"/>
        <v>8750992.666666666</v>
      </c>
      <c r="O114" s="119">
        <f t="shared" si="127"/>
        <v>8773306</v>
      </c>
      <c r="P114" s="119">
        <f t="shared" si="128"/>
        <v>8639426</v>
      </c>
    </row>
    <row r="115" spans="1:17" x14ac:dyDescent="0.3">
      <c r="A115" s="115">
        <v>2014</v>
      </c>
      <c r="B115" s="119">
        <v>9051106.9000000004</v>
      </c>
      <c r="C115" s="119">
        <f t="shared" si="115"/>
        <v>9051106.9000000004</v>
      </c>
      <c r="D115" s="119">
        <f t="shared" si="116"/>
        <v>8796456.0749999993</v>
      </c>
      <c r="E115" s="119">
        <f t="shared" si="117"/>
        <v>8819606.1500000004</v>
      </c>
      <c r="F115" s="119">
        <f t="shared" si="118"/>
        <v>8842756.2249999996</v>
      </c>
      <c r="G115" s="119">
        <f t="shared" si="119"/>
        <v>8865906.3000000007</v>
      </c>
      <c r="H115" s="119">
        <f t="shared" si="120"/>
        <v>8889056.375</v>
      </c>
      <c r="I115" s="119">
        <f t="shared" si="121"/>
        <v>8912206.4499999993</v>
      </c>
      <c r="J115" s="119">
        <f t="shared" si="122"/>
        <v>8935356.5250000004</v>
      </c>
      <c r="K115" s="119">
        <f t="shared" si="123"/>
        <v>8958506.5999999996</v>
      </c>
      <c r="L115" s="119">
        <f t="shared" si="124"/>
        <v>8981656.6750000007</v>
      </c>
      <c r="M115" s="119">
        <f t="shared" si="125"/>
        <v>9004806.75</v>
      </c>
      <c r="N115" s="119">
        <f t="shared" si="126"/>
        <v>9027956.8250000011</v>
      </c>
      <c r="O115" s="119">
        <f t="shared" si="127"/>
        <v>9051106.9000000004</v>
      </c>
      <c r="P115" s="119">
        <f t="shared" si="128"/>
        <v>8912206.4500000011</v>
      </c>
    </row>
    <row r="116" spans="1:17" x14ac:dyDescent="0.3">
      <c r="A116" s="115">
        <v>2015</v>
      </c>
      <c r="B116" s="119">
        <v>9342097.8399999999</v>
      </c>
      <c r="C116" s="119">
        <f t="shared" si="115"/>
        <v>9342097.8399999999</v>
      </c>
      <c r="D116" s="119">
        <f t="shared" si="116"/>
        <v>9075356.1449999996</v>
      </c>
      <c r="E116" s="119">
        <f t="shared" si="117"/>
        <v>9099605.3900000006</v>
      </c>
      <c r="F116" s="119">
        <f t="shared" si="118"/>
        <v>9123854.6349999998</v>
      </c>
      <c r="G116" s="119">
        <f t="shared" si="119"/>
        <v>9148103.8800000008</v>
      </c>
      <c r="H116" s="119">
        <f t="shared" si="120"/>
        <v>9172353.125</v>
      </c>
      <c r="I116" s="119">
        <f t="shared" si="121"/>
        <v>9196602.370000001</v>
      </c>
      <c r="J116" s="119">
        <f t="shared" si="122"/>
        <v>9220851.6150000002</v>
      </c>
      <c r="K116" s="119">
        <f t="shared" si="123"/>
        <v>9245100.8599999994</v>
      </c>
      <c r="L116" s="119">
        <f t="shared" si="124"/>
        <v>9269350.1050000004</v>
      </c>
      <c r="M116" s="119">
        <f t="shared" si="125"/>
        <v>9293599.3499999996</v>
      </c>
      <c r="N116" s="119">
        <f t="shared" si="126"/>
        <v>9317848.5950000007</v>
      </c>
      <c r="O116" s="119">
        <f t="shared" si="127"/>
        <v>9342097.8399999999</v>
      </c>
      <c r="P116" s="119">
        <f t="shared" si="128"/>
        <v>9196602.370000001</v>
      </c>
    </row>
    <row r="117" spans="1:17" x14ac:dyDescent="0.3">
      <c r="A117" s="115">
        <v>2016</v>
      </c>
      <c r="B117" s="119">
        <v>9629558</v>
      </c>
      <c r="C117" s="119">
        <f t="shared" si="115"/>
        <v>9629558</v>
      </c>
      <c r="D117" s="119">
        <f t="shared" si="116"/>
        <v>9366052.8533333335</v>
      </c>
      <c r="E117" s="119">
        <f t="shared" si="117"/>
        <v>9390007.8666666672</v>
      </c>
      <c r="F117" s="119">
        <f t="shared" si="118"/>
        <v>9413962.879999999</v>
      </c>
      <c r="G117" s="119">
        <f t="shared" si="119"/>
        <v>9437917.8933333326</v>
      </c>
      <c r="H117" s="119">
        <f t="shared" si="120"/>
        <v>9461872.9066666663</v>
      </c>
      <c r="I117" s="119">
        <f t="shared" si="121"/>
        <v>9485827.9199999999</v>
      </c>
      <c r="J117" s="119">
        <f t="shared" si="122"/>
        <v>9509782.9333333336</v>
      </c>
      <c r="K117" s="119">
        <f t="shared" si="123"/>
        <v>9533737.9466666672</v>
      </c>
      <c r="L117" s="119">
        <f t="shared" si="124"/>
        <v>9557692.9600000009</v>
      </c>
      <c r="M117" s="119">
        <f t="shared" si="125"/>
        <v>9581647.9733333327</v>
      </c>
      <c r="N117" s="119">
        <f t="shared" si="126"/>
        <v>9605602.9866666663</v>
      </c>
      <c r="O117" s="119">
        <f t="shared" si="127"/>
        <v>9629558</v>
      </c>
      <c r="P117" s="119">
        <f t="shared" si="128"/>
        <v>9485827.9199999999</v>
      </c>
      <c r="Q117" s="119">
        <f>((L116+L117)+2*(SUM(D117:K117)+SUM(M116:O116)))/24</f>
        <v>9413852.5431249999</v>
      </c>
    </row>
    <row r="118" spans="1:17" x14ac:dyDescent="0.3">
      <c r="C118" s="119"/>
      <c r="O118" s="119"/>
    </row>
    <row r="119" spans="1:17" x14ac:dyDescent="0.3">
      <c r="A119" s="120" t="s">
        <v>135</v>
      </c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0"/>
    </row>
    <row r="120" spans="1:17" x14ac:dyDescent="0.3">
      <c r="A120" s="115">
        <v>2008</v>
      </c>
      <c r="B120" s="119">
        <v>1054801.06</v>
      </c>
      <c r="C120" s="119">
        <f t="shared" ref="C120:C128" si="129">B120</f>
        <v>1054801.06</v>
      </c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</row>
    <row r="121" spans="1:17" x14ac:dyDescent="0.3">
      <c r="A121" s="115">
        <v>2009</v>
      </c>
      <c r="B121" s="119">
        <f>706515.36+702478.98</f>
        <v>1408994.3399999999</v>
      </c>
      <c r="C121" s="119">
        <f t="shared" si="129"/>
        <v>1408994.3399999999</v>
      </c>
      <c r="D121" s="119">
        <f t="shared" ref="D121:D128" si="130">(B121-B120)/12*1+B120</f>
        <v>1084317.1666666667</v>
      </c>
      <c r="E121" s="119">
        <f t="shared" ref="E121:E128" si="131">(B121-B120)/12*2+B120</f>
        <v>1113833.2733333334</v>
      </c>
      <c r="F121" s="119">
        <f t="shared" ref="F121:F128" si="132">(B121-B120)/12*3+B120</f>
        <v>1143349.3799999999</v>
      </c>
      <c r="G121" s="119">
        <f t="shared" ref="G121:G128" si="133">(B121-B120)/12*4+B120</f>
        <v>1172865.4866666666</v>
      </c>
      <c r="H121" s="119">
        <f t="shared" ref="H121:H128" si="134">(B121-B120)/12*5+B120</f>
        <v>1202381.5933333333</v>
      </c>
      <c r="I121" s="119">
        <f t="shared" ref="I121:I128" si="135">(B121-B120)/12*6+B120</f>
        <v>1231897.7</v>
      </c>
      <c r="J121" s="119">
        <f t="shared" ref="J121:J128" si="136">(B121-B120)/12*7+B120</f>
        <v>1261413.8066666666</v>
      </c>
      <c r="K121" s="119">
        <f t="shared" ref="K121:K128" si="137">(B121-B120)/12*8+B120</f>
        <v>1290929.9133333333</v>
      </c>
      <c r="L121" s="119">
        <f t="shared" ref="L121:L128" si="138">(B121-B120)/12*9+B120</f>
        <v>1320446.02</v>
      </c>
      <c r="M121" s="119">
        <f t="shared" ref="M121:M128" si="139">(B121-B120)/12*10+B120</f>
        <v>1349962.1266666665</v>
      </c>
      <c r="N121" s="119">
        <f t="shared" ref="N121:N128" si="140">(B121-B120)/12*11+B120</f>
        <v>1379478.2333333332</v>
      </c>
      <c r="O121" s="119">
        <f t="shared" ref="O121:O128" si="141">+B121</f>
        <v>1408994.3399999999</v>
      </c>
      <c r="P121" s="119">
        <f t="shared" ref="P121:P128" si="142">((C120+O121)+2*(SUM(D121:N121)))/24</f>
        <v>1231897.7</v>
      </c>
    </row>
    <row r="122" spans="1:17" x14ac:dyDescent="0.3">
      <c r="A122" s="115">
        <v>2010</v>
      </c>
      <c r="B122" s="119">
        <f>683391+1821066</f>
        <v>2504457</v>
      </c>
      <c r="C122" s="119">
        <f t="shared" si="129"/>
        <v>2504457</v>
      </c>
      <c r="D122" s="119">
        <f t="shared" si="130"/>
        <v>1500282.8949999998</v>
      </c>
      <c r="E122" s="119">
        <f t="shared" si="131"/>
        <v>1591571.45</v>
      </c>
      <c r="F122" s="119">
        <f t="shared" si="132"/>
        <v>1682860.0049999999</v>
      </c>
      <c r="G122" s="119">
        <f t="shared" si="133"/>
        <v>1774148.5599999998</v>
      </c>
      <c r="H122" s="119">
        <f t="shared" si="134"/>
        <v>1865437.1149999998</v>
      </c>
      <c r="I122" s="119">
        <f t="shared" si="135"/>
        <v>1956725.67</v>
      </c>
      <c r="J122" s="119">
        <f t="shared" si="136"/>
        <v>2048014.2249999999</v>
      </c>
      <c r="K122" s="119">
        <f t="shared" si="137"/>
        <v>2139302.7799999998</v>
      </c>
      <c r="L122" s="119">
        <f t="shared" si="138"/>
        <v>2230591.335</v>
      </c>
      <c r="M122" s="119">
        <f t="shared" si="139"/>
        <v>2321879.8899999997</v>
      </c>
      <c r="N122" s="119">
        <f t="shared" si="140"/>
        <v>2413168.4449999998</v>
      </c>
      <c r="O122" s="119">
        <f t="shared" si="141"/>
        <v>2504457</v>
      </c>
      <c r="P122" s="119">
        <f t="shared" si="142"/>
        <v>1956725.67</v>
      </c>
    </row>
    <row r="123" spans="1:17" x14ac:dyDescent="0.3">
      <c r="A123" s="115">
        <v>2011</v>
      </c>
      <c r="B123" s="119">
        <v>10197344</v>
      </c>
      <c r="C123" s="119">
        <f t="shared" si="129"/>
        <v>10197344</v>
      </c>
      <c r="D123" s="119">
        <f t="shared" si="130"/>
        <v>3145530.9166666665</v>
      </c>
      <c r="E123" s="119">
        <f t="shared" si="131"/>
        <v>3786604.833333333</v>
      </c>
      <c r="F123" s="119">
        <f t="shared" si="132"/>
        <v>4427678.75</v>
      </c>
      <c r="G123" s="119">
        <f t="shared" si="133"/>
        <v>5068752.666666666</v>
      </c>
      <c r="H123" s="119">
        <f t="shared" si="134"/>
        <v>5709826.583333333</v>
      </c>
      <c r="I123" s="119">
        <f t="shared" si="135"/>
        <v>6350900.5</v>
      </c>
      <c r="J123" s="119">
        <f t="shared" si="136"/>
        <v>6991974.416666666</v>
      </c>
      <c r="K123" s="119">
        <f t="shared" si="137"/>
        <v>7633048.333333333</v>
      </c>
      <c r="L123" s="119">
        <f t="shared" si="138"/>
        <v>8274122.25</v>
      </c>
      <c r="M123" s="119">
        <f t="shared" si="139"/>
        <v>8915196.166666666</v>
      </c>
      <c r="N123" s="119">
        <f t="shared" si="140"/>
        <v>9556270.0833333321</v>
      </c>
      <c r="O123" s="119">
        <f t="shared" si="141"/>
        <v>10197344</v>
      </c>
      <c r="P123" s="119">
        <f t="shared" si="142"/>
        <v>6350900.5</v>
      </c>
    </row>
    <row r="124" spans="1:17" x14ac:dyDescent="0.3">
      <c r="A124" s="115">
        <v>2012</v>
      </c>
      <c r="B124" s="119">
        <v>9296748</v>
      </c>
      <c r="C124" s="119">
        <f t="shared" si="129"/>
        <v>9296748</v>
      </c>
      <c r="D124" s="119">
        <f t="shared" si="130"/>
        <v>10122294.333333334</v>
      </c>
      <c r="E124" s="119">
        <f t="shared" si="131"/>
        <v>10047244.666666666</v>
      </c>
      <c r="F124" s="119">
        <f t="shared" si="132"/>
        <v>9972195</v>
      </c>
      <c r="G124" s="119">
        <f t="shared" si="133"/>
        <v>9897145.333333334</v>
      </c>
      <c r="H124" s="119">
        <f t="shared" si="134"/>
        <v>9822095.666666666</v>
      </c>
      <c r="I124" s="119">
        <f t="shared" si="135"/>
        <v>9747046</v>
      </c>
      <c r="J124" s="119">
        <f t="shared" si="136"/>
        <v>9671996.333333334</v>
      </c>
      <c r="K124" s="119">
        <f t="shared" si="137"/>
        <v>9596946.666666666</v>
      </c>
      <c r="L124" s="119">
        <f t="shared" si="138"/>
        <v>9521897</v>
      </c>
      <c r="M124" s="119">
        <f t="shared" si="139"/>
        <v>9446847.333333334</v>
      </c>
      <c r="N124" s="119">
        <f t="shared" si="140"/>
        <v>9371797.666666666</v>
      </c>
      <c r="O124" s="119">
        <f t="shared" si="141"/>
        <v>9296748</v>
      </c>
      <c r="P124" s="119">
        <f t="shared" si="142"/>
        <v>9747046</v>
      </c>
    </row>
    <row r="125" spans="1:17" x14ac:dyDescent="0.3">
      <c r="A125" s="115">
        <v>2013</v>
      </c>
      <c r="B125" s="119">
        <v>8984611</v>
      </c>
      <c r="C125" s="119">
        <f t="shared" si="129"/>
        <v>8984611</v>
      </c>
      <c r="D125" s="119">
        <f t="shared" si="130"/>
        <v>9270736.583333334</v>
      </c>
      <c r="E125" s="119">
        <f t="shared" si="131"/>
        <v>9244725.166666666</v>
      </c>
      <c r="F125" s="119">
        <f t="shared" si="132"/>
        <v>9218713.75</v>
      </c>
      <c r="G125" s="119">
        <f t="shared" si="133"/>
        <v>9192702.333333334</v>
      </c>
      <c r="H125" s="119">
        <f t="shared" si="134"/>
        <v>9166690.916666666</v>
      </c>
      <c r="I125" s="119">
        <f t="shared" si="135"/>
        <v>9140679.5</v>
      </c>
      <c r="J125" s="119">
        <f t="shared" si="136"/>
        <v>9114668.083333334</v>
      </c>
      <c r="K125" s="119">
        <f t="shared" si="137"/>
        <v>9088656.666666666</v>
      </c>
      <c r="L125" s="119">
        <f t="shared" si="138"/>
        <v>9062645.25</v>
      </c>
      <c r="M125" s="119">
        <f t="shared" si="139"/>
        <v>9036633.833333334</v>
      </c>
      <c r="N125" s="119">
        <f t="shared" si="140"/>
        <v>9010622.416666666</v>
      </c>
      <c r="O125" s="119">
        <f t="shared" si="141"/>
        <v>8984611</v>
      </c>
      <c r="P125" s="119">
        <f t="shared" si="142"/>
        <v>9140679.5</v>
      </c>
    </row>
    <row r="126" spans="1:17" x14ac:dyDescent="0.3">
      <c r="A126" s="115">
        <v>2014</v>
      </c>
      <c r="B126" s="119">
        <v>9305292.4700000007</v>
      </c>
      <c r="C126" s="119">
        <f t="shared" si="129"/>
        <v>9305292.4700000007</v>
      </c>
      <c r="D126" s="119">
        <f t="shared" si="130"/>
        <v>9011334.4558333326</v>
      </c>
      <c r="E126" s="119">
        <f t="shared" si="131"/>
        <v>9038057.9116666671</v>
      </c>
      <c r="F126" s="119">
        <f t="shared" si="132"/>
        <v>9064781.3674999997</v>
      </c>
      <c r="G126" s="119">
        <f t="shared" si="133"/>
        <v>9091504.8233333342</v>
      </c>
      <c r="H126" s="119">
        <f t="shared" si="134"/>
        <v>9118228.2791666668</v>
      </c>
      <c r="I126" s="119">
        <f t="shared" si="135"/>
        <v>9144951.7349999994</v>
      </c>
      <c r="J126" s="119">
        <f t="shared" si="136"/>
        <v>9171675.1908333339</v>
      </c>
      <c r="K126" s="119">
        <f t="shared" si="137"/>
        <v>9198398.6466666665</v>
      </c>
      <c r="L126" s="119">
        <f t="shared" si="138"/>
        <v>9225122.102500001</v>
      </c>
      <c r="M126" s="119">
        <f t="shared" si="139"/>
        <v>9251845.5583333336</v>
      </c>
      <c r="N126" s="119">
        <f t="shared" si="140"/>
        <v>9278569.0141666681</v>
      </c>
      <c r="O126" s="119">
        <f t="shared" si="141"/>
        <v>9305292.4700000007</v>
      </c>
      <c r="P126" s="119">
        <f t="shared" si="142"/>
        <v>9144951.7350000013</v>
      </c>
    </row>
    <row r="127" spans="1:17" x14ac:dyDescent="0.3">
      <c r="A127" s="115">
        <v>2015</v>
      </c>
      <c r="B127" s="119">
        <v>9529895.3200000003</v>
      </c>
      <c r="C127" s="119">
        <f t="shared" si="129"/>
        <v>9529895.3200000003</v>
      </c>
      <c r="D127" s="119">
        <f t="shared" si="130"/>
        <v>9324009.3741666675</v>
      </c>
      <c r="E127" s="119">
        <f t="shared" si="131"/>
        <v>9342726.2783333343</v>
      </c>
      <c r="F127" s="119">
        <f t="shared" si="132"/>
        <v>9361443.182500001</v>
      </c>
      <c r="G127" s="119">
        <f t="shared" si="133"/>
        <v>9380160.0866666678</v>
      </c>
      <c r="H127" s="119">
        <f t="shared" si="134"/>
        <v>9398876.9908333346</v>
      </c>
      <c r="I127" s="119">
        <f t="shared" si="135"/>
        <v>9417593.8949999996</v>
      </c>
      <c r="J127" s="119">
        <f t="shared" si="136"/>
        <v>9436310.7991666663</v>
      </c>
      <c r="K127" s="119">
        <f t="shared" si="137"/>
        <v>9455027.7033333331</v>
      </c>
      <c r="L127" s="119">
        <f t="shared" si="138"/>
        <v>9473744.6074999999</v>
      </c>
      <c r="M127" s="119">
        <f t="shared" si="139"/>
        <v>9492461.5116666667</v>
      </c>
      <c r="N127" s="119">
        <f t="shared" si="140"/>
        <v>9511178.4158333335</v>
      </c>
      <c r="O127" s="119">
        <f t="shared" si="141"/>
        <v>9529895.3200000003</v>
      </c>
      <c r="P127" s="119">
        <f t="shared" si="142"/>
        <v>9417593.8950000014</v>
      </c>
    </row>
    <row r="128" spans="1:17" x14ac:dyDescent="0.3">
      <c r="A128" s="115">
        <v>2016</v>
      </c>
      <c r="B128" s="119">
        <v>14875022</v>
      </c>
      <c r="C128" s="119">
        <f t="shared" si="129"/>
        <v>14875022</v>
      </c>
      <c r="D128" s="119">
        <f t="shared" si="130"/>
        <v>9975322.543333333</v>
      </c>
      <c r="E128" s="119">
        <f t="shared" si="131"/>
        <v>10420749.766666668</v>
      </c>
      <c r="F128" s="119">
        <f t="shared" si="132"/>
        <v>10866176.99</v>
      </c>
      <c r="G128" s="119">
        <f t="shared" si="133"/>
        <v>11311604.213333333</v>
      </c>
      <c r="H128" s="119">
        <f t="shared" si="134"/>
        <v>11757031.436666667</v>
      </c>
      <c r="I128" s="119">
        <f t="shared" si="135"/>
        <v>12202458.66</v>
      </c>
      <c r="J128" s="119">
        <f t="shared" si="136"/>
        <v>12647885.883333333</v>
      </c>
      <c r="K128" s="119">
        <f t="shared" si="137"/>
        <v>13093313.106666667</v>
      </c>
      <c r="L128" s="119">
        <f t="shared" si="138"/>
        <v>13538740.33</v>
      </c>
      <c r="M128" s="119">
        <f t="shared" si="139"/>
        <v>13984167.553333335</v>
      </c>
      <c r="N128" s="119">
        <f t="shared" si="140"/>
        <v>14429594.776666667</v>
      </c>
      <c r="O128" s="119">
        <f t="shared" si="141"/>
        <v>14875022</v>
      </c>
      <c r="P128" s="119">
        <f t="shared" si="142"/>
        <v>12202458.660000002</v>
      </c>
      <c r="Q128" s="119">
        <f>((L127+L128)+2*(SUM(D128:K128)+SUM(M127:O127)))/24</f>
        <v>11026193.359687502</v>
      </c>
    </row>
    <row r="129" spans="1:17" x14ac:dyDescent="0.3">
      <c r="C129" s="119"/>
      <c r="O129" s="119" t="s">
        <v>144</v>
      </c>
    </row>
    <row r="130" spans="1:17" x14ac:dyDescent="0.3">
      <c r="A130" s="120" t="s">
        <v>136</v>
      </c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0"/>
    </row>
    <row r="131" spans="1:17" x14ac:dyDescent="0.3">
      <c r="A131" s="115">
        <v>2008</v>
      </c>
      <c r="B131" s="119">
        <f>57430.59+35180617.33</f>
        <v>35238047.920000002</v>
      </c>
      <c r="C131" s="119">
        <f t="shared" ref="C131:C139" si="143">B131</f>
        <v>35238047.920000002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</row>
    <row r="132" spans="1:17" x14ac:dyDescent="0.3">
      <c r="A132" s="115">
        <v>2009</v>
      </c>
      <c r="B132" s="119">
        <f>126709.23+40384189.52</f>
        <v>40510898.75</v>
      </c>
      <c r="C132" s="119">
        <f t="shared" si="143"/>
        <v>40510898.75</v>
      </c>
      <c r="D132" s="119">
        <f t="shared" ref="D132:D139" si="144">(B132-B131)/12*1+B131</f>
        <v>35677452.155833334</v>
      </c>
      <c r="E132" s="119">
        <f t="shared" ref="E132:E139" si="145">(B132-B131)/12*2+B131</f>
        <v>36116856.391666666</v>
      </c>
      <c r="F132" s="119">
        <f t="shared" ref="F132:F139" si="146">(B132-B131)/12*3+B131</f>
        <v>36556260.627499998</v>
      </c>
      <c r="G132" s="119">
        <f t="shared" ref="G132:G139" si="147">(B132-B131)/12*4+B131</f>
        <v>36995664.863333337</v>
      </c>
      <c r="H132" s="119">
        <f t="shared" ref="H132:H139" si="148">(B132-B131)/12*5+B131</f>
        <v>37435069.099166669</v>
      </c>
      <c r="I132" s="119">
        <f t="shared" ref="I132:I139" si="149">(B132-B131)/12*6+B131</f>
        <v>37874473.335000001</v>
      </c>
      <c r="J132" s="119">
        <f t="shared" ref="J132:J139" si="150">(B132-B131)/12*7+B131</f>
        <v>38313877.570833333</v>
      </c>
      <c r="K132" s="119">
        <f t="shared" ref="K132:K139" si="151">(B132-B131)/12*8+B131</f>
        <v>38753281.806666665</v>
      </c>
      <c r="L132" s="119">
        <f t="shared" ref="L132:L139" si="152">(B132-B131)/12*9+B131</f>
        <v>39192686.042500004</v>
      </c>
      <c r="M132" s="119">
        <f t="shared" ref="M132:M139" si="153">(B132-B131)/12*10+B131</f>
        <v>39632090.278333336</v>
      </c>
      <c r="N132" s="119">
        <f t="shared" ref="N132:N139" si="154">(B132-B131)/12*11+B131</f>
        <v>40071494.514166668</v>
      </c>
      <c r="O132" s="119">
        <f t="shared" ref="O132:O139" si="155">+B132</f>
        <v>40510898.75</v>
      </c>
      <c r="P132" s="119">
        <f t="shared" ref="P132:P139" si="156">((C131+O132)+2*(SUM(D132:N132)))/24</f>
        <v>37874473.335000001</v>
      </c>
    </row>
    <row r="133" spans="1:17" x14ac:dyDescent="0.3">
      <c r="A133" s="115">
        <v>2010</v>
      </c>
      <c r="B133" s="119">
        <f>121236+43010725</f>
        <v>43131961</v>
      </c>
      <c r="C133" s="119">
        <f t="shared" si="143"/>
        <v>43131961</v>
      </c>
      <c r="D133" s="119">
        <f t="shared" si="144"/>
        <v>40729320.604166664</v>
      </c>
      <c r="E133" s="119">
        <f t="shared" si="145"/>
        <v>40947742.458333336</v>
      </c>
      <c r="F133" s="119">
        <f t="shared" si="146"/>
        <v>41166164.3125</v>
      </c>
      <c r="G133" s="119">
        <f t="shared" si="147"/>
        <v>41384586.166666664</v>
      </c>
      <c r="H133" s="119">
        <f t="shared" si="148"/>
        <v>41603008.020833336</v>
      </c>
      <c r="I133" s="119">
        <f t="shared" si="149"/>
        <v>41821429.875</v>
      </c>
      <c r="J133" s="119">
        <f t="shared" si="150"/>
        <v>42039851.729166664</v>
      </c>
      <c r="K133" s="119">
        <f t="shared" si="151"/>
        <v>42258273.583333336</v>
      </c>
      <c r="L133" s="119">
        <f t="shared" si="152"/>
        <v>42476695.4375</v>
      </c>
      <c r="M133" s="119">
        <f t="shared" si="153"/>
        <v>42695117.291666664</v>
      </c>
      <c r="N133" s="119">
        <f t="shared" si="154"/>
        <v>42913539.145833336</v>
      </c>
      <c r="O133" s="119">
        <f t="shared" si="155"/>
        <v>43131961</v>
      </c>
      <c r="P133" s="119">
        <f t="shared" si="156"/>
        <v>41821429.875</v>
      </c>
    </row>
    <row r="134" spans="1:17" x14ac:dyDescent="0.3">
      <c r="A134" s="115">
        <v>2011</v>
      </c>
      <c r="B134" s="119">
        <v>41034024</v>
      </c>
      <c r="C134" s="119">
        <f t="shared" si="143"/>
        <v>41034024</v>
      </c>
      <c r="D134" s="119">
        <f t="shared" si="144"/>
        <v>42957132.916666664</v>
      </c>
      <c r="E134" s="119">
        <f t="shared" si="145"/>
        <v>42782304.833333336</v>
      </c>
      <c r="F134" s="119">
        <f t="shared" si="146"/>
        <v>42607476.75</v>
      </c>
      <c r="G134" s="119">
        <f t="shared" si="147"/>
        <v>42432648.666666664</v>
      </c>
      <c r="H134" s="119">
        <f t="shared" si="148"/>
        <v>42257820.583333336</v>
      </c>
      <c r="I134" s="119">
        <f t="shared" si="149"/>
        <v>42082992.5</v>
      </c>
      <c r="J134" s="119">
        <f t="shared" si="150"/>
        <v>41908164.416666664</v>
      </c>
      <c r="K134" s="119">
        <f t="shared" si="151"/>
        <v>41733336.333333336</v>
      </c>
      <c r="L134" s="119">
        <f t="shared" si="152"/>
        <v>41558508.25</v>
      </c>
      <c r="M134" s="119">
        <f t="shared" si="153"/>
        <v>41383680.166666664</v>
      </c>
      <c r="N134" s="119">
        <f t="shared" si="154"/>
        <v>41208852.083333336</v>
      </c>
      <c r="O134" s="119">
        <f t="shared" si="155"/>
        <v>41034024</v>
      </c>
      <c r="P134" s="119">
        <f t="shared" si="156"/>
        <v>42082992.5</v>
      </c>
    </row>
    <row r="135" spans="1:17" x14ac:dyDescent="0.3">
      <c r="A135" s="115">
        <v>2012</v>
      </c>
      <c r="B135" s="119">
        <v>38912289</v>
      </c>
      <c r="C135" s="119">
        <f t="shared" si="143"/>
        <v>38912289</v>
      </c>
      <c r="D135" s="119">
        <f t="shared" si="144"/>
        <v>40857212.75</v>
      </c>
      <c r="E135" s="119">
        <f t="shared" si="145"/>
        <v>40680401.5</v>
      </c>
      <c r="F135" s="119">
        <f t="shared" si="146"/>
        <v>40503590.25</v>
      </c>
      <c r="G135" s="119">
        <f t="shared" si="147"/>
        <v>40326779</v>
      </c>
      <c r="H135" s="119">
        <f t="shared" si="148"/>
        <v>40149967.75</v>
      </c>
      <c r="I135" s="119">
        <f t="shared" si="149"/>
        <v>39973156.5</v>
      </c>
      <c r="J135" s="119">
        <f t="shared" si="150"/>
        <v>39796345.25</v>
      </c>
      <c r="K135" s="119">
        <f t="shared" si="151"/>
        <v>39619534</v>
      </c>
      <c r="L135" s="119">
        <f t="shared" si="152"/>
        <v>39442722.75</v>
      </c>
      <c r="M135" s="119">
        <f t="shared" si="153"/>
        <v>39265911.5</v>
      </c>
      <c r="N135" s="119">
        <f t="shared" si="154"/>
        <v>39089100.25</v>
      </c>
      <c r="O135" s="119">
        <f t="shared" si="155"/>
        <v>38912289</v>
      </c>
      <c r="P135" s="119">
        <f t="shared" si="156"/>
        <v>39973156.5</v>
      </c>
    </row>
    <row r="136" spans="1:17" x14ac:dyDescent="0.3">
      <c r="A136" s="115">
        <v>2013</v>
      </c>
      <c r="B136" s="119">
        <v>37669587</v>
      </c>
      <c r="C136" s="119">
        <f t="shared" si="143"/>
        <v>37669587</v>
      </c>
      <c r="D136" s="119">
        <f t="shared" si="144"/>
        <v>38808730.5</v>
      </c>
      <c r="E136" s="119">
        <f t="shared" si="145"/>
        <v>38705172</v>
      </c>
      <c r="F136" s="119">
        <f t="shared" si="146"/>
        <v>38601613.5</v>
      </c>
      <c r="G136" s="119">
        <f t="shared" si="147"/>
        <v>38498055</v>
      </c>
      <c r="H136" s="119">
        <f t="shared" si="148"/>
        <v>38394496.5</v>
      </c>
      <c r="I136" s="119">
        <f t="shared" si="149"/>
        <v>38290938</v>
      </c>
      <c r="J136" s="119">
        <f t="shared" si="150"/>
        <v>38187379.5</v>
      </c>
      <c r="K136" s="119">
        <f t="shared" si="151"/>
        <v>38083821</v>
      </c>
      <c r="L136" s="119">
        <f t="shared" si="152"/>
        <v>37980262.5</v>
      </c>
      <c r="M136" s="119">
        <f t="shared" si="153"/>
        <v>37876704</v>
      </c>
      <c r="N136" s="119">
        <f t="shared" si="154"/>
        <v>37773145.5</v>
      </c>
      <c r="O136" s="119">
        <f t="shared" si="155"/>
        <v>37669587</v>
      </c>
      <c r="P136" s="119">
        <f t="shared" si="156"/>
        <v>38290938</v>
      </c>
    </row>
    <row r="137" spans="1:17" x14ac:dyDescent="0.3">
      <c r="A137" s="115">
        <v>2014</v>
      </c>
      <c r="B137" s="119">
        <v>35561671.909999996</v>
      </c>
      <c r="C137" s="119">
        <f t="shared" si="143"/>
        <v>35561671.909999996</v>
      </c>
      <c r="D137" s="119">
        <f t="shared" si="144"/>
        <v>37493927.409166664</v>
      </c>
      <c r="E137" s="119">
        <f t="shared" si="145"/>
        <v>37318267.818333335</v>
      </c>
      <c r="F137" s="119">
        <f t="shared" si="146"/>
        <v>37142608.227499999</v>
      </c>
      <c r="G137" s="119">
        <f t="shared" si="147"/>
        <v>36966948.636666663</v>
      </c>
      <c r="H137" s="119">
        <f t="shared" si="148"/>
        <v>36791289.045833334</v>
      </c>
      <c r="I137" s="119">
        <f t="shared" si="149"/>
        <v>36615629.454999998</v>
      </c>
      <c r="J137" s="119">
        <f t="shared" si="150"/>
        <v>36439969.864166662</v>
      </c>
      <c r="K137" s="119">
        <f t="shared" si="151"/>
        <v>36264310.273333333</v>
      </c>
      <c r="L137" s="119">
        <f t="shared" si="152"/>
        <v>36088650.682499997</v>
      </c>
      <c r="M137" s="119">
        <f t="shared" si="153"/>
        <v>35912991.091666661</v>
      </c>
      <c r="N137" s="119">
        <f t="shared" si="154"/>
        <v>35737331.500833333</v>
      </c>
      <c r="O137" s="119">
        <f t="shared" si="155"/>
        <v>35561671.909999996</v>
      </c>
      <c r="P137" s="119">
        <f t="shared" si="156"/>
        <v>36615629.454999991</v>
      </c>
    </row>
    <row r="138" spans="1:17" x14ac:dyDescent="0.3">
      <c r="A138" s="115">
        <v>2015</v>
      </c>
      <c r="B138" s="119">
        <v>33829213.810000002</v>
      </c>
      <c r="C138" s="119">
        <f t="shared" si="143"/>
        <v>33829213.810000002</v>
      </c>
      <c r="D138" s="119">
        <f t="shared" si="144"/>
        <v>35417300.401666664</v>
      </c>
      <c r="E138" s="119">
        <f t="shared" si="145"/>
        <v>35272928.893333331</v>
      </c>
      <c r="F138" s="119">
        <f t="shared" si="146"/>
        <v>35128557.384999998</v>
      </c>
      <c r="G138" s="119">
        <f t="shared" si="147"/>
        <v>34984185.876666665</v>
      </c>
      <c r="H138" s="119">
        <f t="shared" si="148"/>
        <v>34839814.368333332</v>
      </c>
      <c r="I138" s="119">
        <f t="shared" si="149"/>
        <v>34695442.859999999</v>
      </c>
      <c r="J138" s="119">
        <f t="shared" si="150"/>
        <v>34551071.351666667</v>
      </c>
      <c r="K138" s="119">
        <f t="shared" si="151"/>
        <v>34406699.843333334</v>
      </c>
      <c r="L138" s="119">
        <f t="shared" si="152"/>
        <v>34262328.335000001</v>
      </c>
      <c r="M138" s="119">
        <f t="shared" si="153"/>
        <v>34117956.826666668</v>
      </c>
      <c r="N138" s="119">
        <f t="shared" si="154"/>
        <v>33973585.318333335</v>
      </c>
      <c r="O138" s="119">
        <f t="shared" si="155"/>
        <v>33829213.810000002</v>
      </c>
      <c r="P138" s="119">
        <f t="shared" si="156"/>
        <v>34695442.859999992</v>
      </c>
    </row>
    <row r="139" spans="1:17" x14ac:dyDescent="0.3">
      <c r="A139" s="115">
        <v>2016</v>
      </c>
      <c r="B139" s="119">
        <v>32193007</v>
      </c>
      <c r="C139" s="119">
        <f t="shared" si="143"/>
        <v>32193007</v>
      </c>
      <c r="D139" s="119">
        <f t="shared" si="144"/>
        <v>33692863.2425</v>
      </c>
      <c r="E139" s="119">
        <f t="shared" si="145"/>
        <v>33556512.675000004</v>
      </c>
      <c r="F139" s="119">
        <f t="shared" si="146"/>
        <v>33420162.107500002</v>
      </c>
      <c r="G139" s="119">
        <f t="shared" si="147"/>
        <v>33283811.540000003</v>
      </c>
      <c r="H139" s="119">
        <f t="shared" si="148"/>
        <v>33147460.9725</v>
      </c>
      <c r="I139" s="119">
        <f t="shared" si="149"/>
        <v>33011110.405000001</v>
      </c>
      <c r="J139" s="119">
        <f t="shared" si="150"/>
        <v>32874759.837500002</v>
      </c>
      <c r="K139" s="119">
        <f t="shared" si="151"/>
        <v>32738409.27</v>
      </c>
      <c r="L139" s="119">
        <f t="shared" si="152"/>
        <v>32602058.702500001</v>
      </c>
      <c r="M139" s="119">
        <f t="shared" si="153"/>
        <v>32465708.135000002</v>
      </c>
      <c r="N139" s="119">
        <f t="shared" si="154"/>
        <v>32329357.567499999</v>
      </c>
      <c r="O139" s="119">
        <f t="shared" si="155"/>
        <v>32193007</v>
      </c>
      <c r="P139" s="119">
        <f t="shared" si="156"/>
        <v>33011110.405000001</v>
      </c>
      <c r="Q139" s="119">
        <f>((L138+L139)+2*(SUM(D139:K139)+SUM(M138:O138)))/24</f>
        <v>33423169.960312504</v>
      </c>
    </row>
    <row r="140" spans="1:17" x14ac:dyDescent="0.3">
      <c r="C140" s="119"/>
      <c r="O140" s="119"/>
    </row>
    <row r="141" spans="1:17" x14ac:dyDescent="0.3">
      <c r="A141" s="120" t="s">
        <v>137</v>
      </c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0"/>
    </row>
    <row r="142" spans="1:17" x14ac:dyDescent="0.3">
      <c r="A142" s="115">
        <v>2008</v>
      </c>
      <c r="B142" s="119">
        <f>7445.17-2388068.74</f>
        <v>-2380623.5700000003</v>
      </c>
      <c r="C142" s="119">
        <f t="shared" ref="C142:C150" si="157">B142</f>
        <v>-2380623.5700000003</v>
      </c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</row>
    <row r="143" spans="1:17" x14ac:dyDescent="0.3">
      <c r="A143" s="115">
        <v>2009</v>
      </c>
      <c r="B143" s="119">
        <f>30259.53-2105355.82</f>
        <v>-2075096.2899999998</v>
      </c>
      <c r="C143" s="119">
        <f t="shared" si="157"/>
        <v>-2075096.2899999998</v>
      </c>
      <c r="D143" s="119">
        <f t="shared" ref="D143:D150" si="158">(B143-B142)/12*1+B142</f>
        <v>-2355162.9633333334</v>
      </c>
      <c r="E143" s="119">
        <f t="shared" ref="E143:E150" si="159">(B143-B142)/12*2+B142</f>
        <v>-2329702.3566666669</v>
      </c>
      <c r="F143" s="119">
        <f t="shared" ref="F143:F150" si="160">(B143-B142)/12*3+B142</f>
        <v>-2304241.75</v>
      </c>
      <c r="G143" s="119">
        <f t="shared" ref="G143:G150" si="161">(B143-B142)/12*4+B142</f>
        <v>-2278781.1433333335</v>
      </c>
      <c r="H143" s="119">
        <f t="shared" ref="H143:H150" si="162">(B143-B142)/12*5+B142</f>
        <v>-2253320.5366666666</v>
      </c>
      <c r="I143" s="119">
        <f t="shared" ref="I143:I150" si="163">(B143-B142)/12*6+B142</f>
        <v>-2227859.9300000002</v>
      </c>
      <c r="J143" s="119">
        <f t="shared" ref="J143:J150" si="164">(B143-B142)/12*7+B142</f>
        <v>-2202399.3233333332</v>
      </c>
      <c r="K143" s="119">
        <f t="shared" ref="K143:K150" si="165">(B143-B142)/12*8+B142</f>
        <v>-2176938.7166666668</v>
      </c>
      <c r="L143" s="119">
        <f t="shared" ref="L143:L150" si="166">(B143-B142)/12*9+B142</f>
        <v>-2151478.11</v>
      </c>
      <c r="M143" s="119">
        <f t="shared" ref="M143:M150" si="167">(B143-B142)/12*10+B142</f>
        <v>-2126017.5033333334</v>
      </c>
      <c r="N143" s="119">
        <f t="shared" ref="N143:N150" si="168">(B143-B142)/12*11+B142</f>
        <v>-2100556.8966666665</v>
      </c>
      <c r="O143" s="119">
        <f t="shared" ref="O143:O150" si="169">+B143</f>
        <v>-2075096.2899999998</v>
      </c>
      <c r="P143" s="119">
        <f t="shared" ref="P143:P150" si="170">((C142+O143)+2*(SUM(D143:N143)))/24</f>
        <v>-2227859.9299999997</v>
      </c>
    </row>
    <row r="144" spans="1:17" x14ac:dyDescent="0.3">
      <c r="A144" s="115">
        <v>2010</v>
      </c>
      <c r="B144" s="119">
        <f>29860+3077873</f>
        <v>3107733</v>
      </c>
      <c r="C144" s="119">
        <f t="shared" si="157"/>
        <v>3107733</v>
      </c>
      <c r="D144" s="119">
        <f t="shared" si="158"/>
        <v>-1643193.8491666664</v>
      </c>
      <c r="E144" s="119">
        <f t="shared" si="159"/>
        <v>-1211291.4083333332</v>
      </c>
      <c r="F144" s="119">
        <f t="shared" si="160"/>
        <v>-779388.9674999998</v>
      </c>
      <c r="G144" s="119">
        <f t="shared" si="161"/>
        <v>-347486.52666666638</v>
      </c>
      <c r="H144" s="119">
        <f t="shared" si="162"/>
        <v>84415.9141666668</v>
      </c>
      <c r="I144" s="119">
        <f t="shared" si="163"/>
        <v>516318.35500000021</v>
      </c>
      <c r="J144" s="119">
        <f t="shared" si="164"/>
        <v>948220.79583333363</v>
      </c>
      <c r="K144" s="119">
        <f t="shared" si="165"/>
        <v>1380123.236666667</v>
      </c>
      <c r="L144" s="119">
        <f t="shared" si="166"/>
        <v>1812025.6775000005</v>
      </c>
      <c r="M144" s="119">
        <f t="shared" si="167"/>
        <v>2243928.1183333332</v>
      </c>
      <c r="N144" s="119">
        <f t="shared" si="168"/>
        <v>2675830.5591666671</v>
      </c>
      <c r="O144" s="119">
        <f t="shared" si="169"/>
        <v>3107733</v>
      </c>
      <c r="P144" s="119">
        <f t="shared" si="170"/>
        <v>516318.35500000027</v>
      </c>
    </row>
    <row r="145" spans="1:17" x14ac:dyDescent="0.3">
      <c r="A145" s="115">
        <v>2011</v>
      </c>
      <c r="B145" s="119">
        <v>3942464</v>
      </c>
      <c r="C145" s="119">
        <f t="shared" si="157"/>
        <v>3942464</v>
      </c>
      <c r="D145" s="119">
        <f t="shared" si="158"/>
        <v>3177293.9166666665</v>
      </c>
      <c r="E145" s="119">
        <f t="shared" si="159"/>
        <v>3246854.8333333335</v>
      </c>
      <c r="F145" s="119">
        <f t="shared" si="160"/>
        <v>3316415.75</v>
      </c>
      <c r="G145" s="119">
        <f t="shared" si="161"/>
        <v>3385976.6666666665</v>
      </c>
      <c r="H145" s="119">
        <f t="shared" si="162"/>
        <v>3455537.5833333335</v>
      </c>
      <c r="I145" s="119">
        <f t="shared" si="163"/>
        <v>3525098.5</v>
      </c>
      <c r="J145" s="119">
        <f t="shared" si="164"/>
        <v>3594659.4166666665</v>
      </c>
      <c r="K145" s="119">
        <f t="shared" si="165"/>
        <v>3664220.3333333335</v>
      </c>
      <c r="L145" s="119">
        <f t="shared" si="166"/>
        <v>3733781.25</v>
      </c>
      <c r="M145" s="119">
        <f t="shared" si="167"/>
        <v>3803342.166666667</v>
      </c>
      <c r="N145" s="119">
        <f t="shared" si="168"/>
        <v>3872903.0833333335</v>
      </c>
      <c r="O145" s="119">
        <f t="shared" si="169"/>
        <v>3942464</v>
      </c>
      <c r="P145" s="119">
        <f t="shared" si="170"/>
        <v>3525098.5</v>
      </c>
    </row>
    <row r="146" spans="1:17" x14ac:dyDescent="0.3">
      <c r="A146" s="115">
        <v>2012</v>
      </c>
      <c r="B146" s="119">
        <v>4505025</v>
      </c>
      <c r="C146" s="119">
        <f t="shared" si="157"/>
        <v>4505025</v>
      </c>
      <c r="D146" s="119">
        <f t="shared" si="158"/>
        <v>3989344.0833333335</v>
      </c>
      <c r="E146" s="119">
        <f t="shared" si="159"/>
        <v>4036224.1666666665</v>
      </c>
      <c r="F146" s="119">
        <f t="shared" si="160"/>
        <v>4083104.25</v>
      </c>
      <c r="G146" s="119">
        <f t="shared" si="161"/>
        <v>4129984.3333333335</v>
      </c>
      <c r="H146" s="119">
        <f t="shared" si="162"/>
        <v>4176864.4166666665</v>
      </c>
      <c r="I146" s="119">
        <f t="shared" si="163"/>
        <v>4223744.5</v>
      </c>
      <c r="J146" s="119">
        <f t="shared" si="164"/>
        <v>4270624.583333333</v>
      </c>
      <c r="K146" s="119">
        <f t="shared" si="165"/>
        <v>4317504.666666667</v>
      </c>
      <c r="L146" s="119">
        <f t="shared" si="166"/>
        <v>4364384.75</v>
      </c>
      <c r="M146" s="119">
        <f t="shared" si="167"/>
        <v>4411264.833333333</v>
      </c>
      <c r="N146" s="119">
        <f t="shared" si="168"/>
        <v>4458144.916666667</v>
      </c>
      <c r="O146" s="119">
        <f t="shared" si="169"/>
        <v>4505025</v>
      </c>
      <c r="P146" s="119">
        <f t="shared" si="170"/>
        <v>4223744.5</v>
      </c>
    </row>
    <row r="147" spans="1:17" x14ac:dyDescent="0.3">
      <c r="A147" s="115">
        <v>2013</v>
      </c>
      <c r="B147" s="119">
        <v>29647134</v>
      </c>
      <c r="C147" s="119">
        <f t="shared" si="157"/>
        <v>29647134</v>
      </c>
      <c r="D147" s="119">
        <f t="shared" si="158"/>
        <v>6600200.75</v>
      </c>
      <c r="E147" s="119">
        <f t="shared" si="159"/>
        <v>8695376.5</v>
      </c>
      <c r="F147" s="119">
        <f t="shared" si="160"/>
        <v>10790552.25</v>
      </c>
      <c r="G147" s="119">
        <f t="shared" si="161"/>
        <v>12885728</v>
      </c>
      <c r="H147" s="119">
        <f t="shared" si="162"/>
        <v>14980903.75</v>
      </c>
      <c r="I147" s="119">
        <f t="shared" si="163"/>
        <v>17076079.5</v>
      </c>
      <c r="J147" s="119">
        <f t="shared" si="164"/>
        <v>19171255.25</v>
      </c>
      <c r="K147" s="119">
        <f t="shared" si="165"/>
        <v>21266431</v>
      </c>
      <c r="L147" s="119">
        <f t="shared" si="166"/>
        <v>23361606.75</v>
      </c>
      <c r="M147" s="119">
        <f t="shared" si="167"/>
        <v>25456782.5</v>
      </c>
      <c r="N147" s="119">
        <f t="shared" si="168"/>
        <v>27551958.25</v>
      </c>
      <c r="O147" s="119">
        <f t="shared" si="169"/>
        <v>29647134</v>
      </c>
      <c r="P147" s="119">
        <f t="shared" si="170"/>
        <v>17076079.5</v>
      </c>
    </row>
    <row r="148" spans="1:17" x14ac:dyDescent="0.3">
      <c r="A148" s="115">
        <v>2014</v>
      </c>
      <c r="B148" s="119">
        <f>16125935.3+15105169.53</f>
        <v>31231104.829999998</v>
      </c>
      <c r="C148" s="119">
        <f t="shared" si="157"/>
        <v>31231104.829999998</v>
      </c>
      <c r="D148" s="119">
        <f t="shared" si="158"/>
        <v>29779131.569166668</v>
      </c>
      <c r="E148" s="119">
        <f t="shared" si="159"/>
        <v>29911129.138333332</v>
      </c>
      <c r="F148" s="119">
        <f t="shared" si="160"/>
        <v>30043126.7075</v>
      </c>
      <c r="G148" s="119">
        <f t="shared" si="161"/>
        <v>30175124.276666667</v>
      </c>
      <c r="H148" s="119">
        <f t="shared" si="162"/>
        <v>30307121.845833331</v>
      </c>
      <c r="I148" s="119">
        <f t="shared" si="163"/>
        <v>30439119.414999999</v>
      </c>
      <c r="J148" s="119">
        <f t="shared" si="164"/>
        <v>30571116.984166667</v>
      </c>
      <c r="K148" s="119">
        <f t="shared" si="165"/>
        <v>30703114.553333331</v>
      </c>
      <c r="L148" s="119">
        <f t="shared" si="166"/>
        <v>30835112.122499999</v>
      </c>
      <c r="M148" s="119">
        <f t="shared" si="167"/>
        <v>30967109.691666666</v>
      </c>
      <c r="N148" s="119">
        <f t="shared" si="168"/>
        <v>31099107.26083333</v>
      </c>
      <c r="O148" s="119">
        <f t="shared" si="169"/>
        <v>31231104.829999998</v>
      </c>
      <c r="P148" s="119">
        <f t="shared" si="170"/>
        <v>30439119.415000003</v>
      </c>
    </row>
    <row r="149" spans="1:17" x14ac:dyDescent="0.3">
      <c r="A149" s="115">
        <v>2015</v>
      </c>
      <c r="B149" s="119">
        <f>16790823.03+15555113.16</f>
        <v>32345936.190000001</v>
      </c>
      <c r="C149" s="119">
        <f t="shared" si="157"/>
        <v>32345936.190000001</v>
      </c>
      <c r="D149" s="119">
        <f t="shared" si="158"/>
        <v>31324007.443333331</v>
      </c>
      <c r="E149" s="119">
        <f t="shared" si="159"/>
        <v>31416910.056666665</v>
      </c>
      <c r="F149" s="119">
        <f t="shared" si="160"/>
        <v>31509812.669999998</v>
      </c>
      <c r="G149" s="119">
        <f t="shared" si="161"/>
        <v>31602715.283333331</v>
      </c>
      <c r="H149" s="119">
        <f t="shared" si="162"/>
        <v>31695617.896666665</v>
      </c>
      <c r="I149" s="119">
        <f t="shared" si="163"/>
        <v>31788520.509999998</v>
      </c>
      <c r="J149" s="119">
        <f t="shared" si="164"/>
        <v>31881423.123333335</v>
      </c>
      <c r="K149" s="119">
        <f t="shared" si="165"/>
        <v>31974325.736666668</v>
      </c>
      <c r="L149" s="119">
        <f t="shared" si="166"/>
        <v>32067228.350000001</v>
      </c>
      <c r="M149" s="119">
        <f t="shared" si="167"/>
        <v>32160130.963333335</v>
      </c>
      <c r="N149" s="119">
        <f t="shared" si="168"/>
        <v>32253033.576666668</v>
      </c>
      <c r="O149" s="119">
        <f t="shared" si="169"/>
        <v>32345936.190000001</v>
      </c>
      <c r="P149" s="119">
        <f t="shared" si="170"/>
        <v>31788520.509999994</v>
      </c>
    </row>
    <row r="150" spans="1:17" x14ac:dyDescent="0.3">
      <c r="A150" s="115">
        <v>2016</v>
      </c>
      <c r="B150" s="119">
        <v>34076291</v>
      </c>
      <c r="C150" s="119">
        <f t="shared" si="157"/>
        <v>34076291</v>
      </c>
      <c r="D150" s="119">
        <f t="shared" si="158"/>
        <v>32490132.424166668</v>
      </c>
      <c r="E150" s="119">
        <f t="shared" si="159"/>
        <v>32634328.658333335</v>
      </c>
      <c r="F150" s="119">
        <f t="shared" si="160"/>
        <v>32778524.892500002</v>
      </c>
      <c r="G150" s="119">
        <f t="shared" si="161"/>
        <v>32922721.126666669</v>
      </c>
      <c r="H150" s="119">
        <f t="shared" si="162"/>
        <v>33066917.360833336</v>
      </c>
      <c r="I150" s="119">
        <f t="shared" si="163"/>
        <v>33211113.594999999</v>
      </c>
      <c r="J150" s="119">
        <f t="shared" si="164"/>
        <v>33355309.829166666</v>
      </c>
      <c r="K150" s="119">
        <f t="shared" si="165"/>
        <v>33499506.063333333</v>
      </c>
      <c r="L150" s="119">
        <f t="shared" si="166"/>
        <v>33643702.297499999</v>
      </c>
      <c r="M150" s="119">
        <f t="shared" si="167"/>
        <v>33787898.531666666</v>
      </c>
      <c r="N150" s="119">
        <f t="shared" si="168"/>
        <v>33932094.765833333</v>
      </c>
      <c r="O150" s="119">
        <f t="shared" si="169"/>
        <v>34076291</v>
      </c>
      <c r="P150" s="119">
        <f t="shared" si="170"/>
        <v>33211113.594999999</v>
      </c>
      <c r="Q150" s="119">
        <f>((L149+L150)+2*(SUM(D150:K150)+SUM(M149:O149)))/24</f>
        <v>32797760.000312503</v>
      </c>
    </row>
    <row r="152" spans="1:17" x14ac:dyDescent="0.3">
      <c r="A152" s="120" t="s">
        <v>154</v>
      </c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0"/>
    </row>
    <row r="153" spans="1:17" x14ac:dyDescent="0.3">
      <c r="A153" s="115">
        <v>2008</v>
      </c>
      <c r="C153" s="119">
        <f t="shared" ref="C153:C161" si="171">B153</f>
        <v>0</v>
      </c>
      <c r="D153" s="119">
        <f>(B153-B152)/12*1+B152</f>
        <v>0</v>
      </c>
      <c r="E153" s="119">
        <f>(B153-B152)/12*2+B152</f>
        <v>0</v>
      </c>
      <c r="F153" s="119">
        <f>(B153-B152)/12*3+B152</f>
        <v>0</v>
      </c>
      <c r="G153" s="119">
        <f>(B153-B152)/12*4+B152</f>
        <v>0</v>
      </c>
      <c r="H153" s="119">
        <f>(B153-B152)/12*5+B152</f>
        <v>0</v>
      </c>
      <c r="I153" s="119">
        <f>(B153-B152)/12*6+B152</f>
        <v>0</v>
      </c>
      <c r="J153" s="119">
        <f>(B153-B152)/12*7+B152</f>
        <v>0</v>
      </c>
      <c r="K153" s="119">
        <f>(B153-B152)/12*8+B152</f>
        <v>0</v>
      </c>
      <c r="L153" s="119">
        <f>(B153-B152)/12*9+B152</f>
        <v>0</v>
      </c>
      <c r="M153" s="119">
        <f>(B153-B152)/12*10+B152</f>
        <v>0</v>
      </c>
      <c r="N153" s="119">
        <f>(B153-B152)/12*11+B152</f>
        <v>0</v>
      </c>
      <c r="O153" s="119">
        <f>+B153</f>
        <v>0</v>
      </c>
      <c r="P153" s="119">
        <f>((C152+O153)+2*(SUM(D153:N153)))/24</f>
        <v>0</v>
      </c>
    </row>
    <row r="154" spans="1:17" x14ac:dyDescent="0.3">
      <c r="A154" s="115">
        <v>2009</v>
      </c>
      <c r="C154" s="119">
        <f t="shared" si="171"/>
        <v>0</v>
      </c>
      <c r="D154" s="119">
        <f>(B154-B153)/12*1+B153</f>
        <v>0</v>
      </c>
      <c r="E154" s="119">
        <f>(B154-B153)/12*2+B153</f>
        <v>0</v>
      </c>
      <c r="F154" s="119">
        <f>(B154-B153)/12*3+B153</f>
        <v>0</v>
      </c>
      <c r="G154" s="119">
        <f>(B154-B153)/12*4+B153</f>
        <v>0</v>
      </c>
      <c r="H154" s="119">
        <f>(B154-B153)/12*5+B153</f>
        <v>0</v>
      </c>
      <c r="I154" s="119">
        <f>(B154-B153)/12*6+B153</f>
        <v>0</v>
      </c>
      <c r="J154" s="119">
        <f>(B154-B153)/12*7+B153</f>
        <v>0</v>
      </c>
      <c r="K154" s="119">
        <f>(B154-B153)/12*8+B153</f>
        <v>0</v>
      </c>
      <c r="L154" s="119">
        <f>(B154-B153)/12*9+B153</f>
        <v>0</v>
      </c>
      <c r="M154" s="119">
        <f>(B154-B153)/12*10+B153</f>
        <v>0</v>
      </c>
      <c r="N154" s="119">
        <f>(B154-B153)/12*11+B153</f>
        <v>0</v>
      </c>
      <c r="O154" s="119">
        <f>+B154</f>
        <v>0</v>
      </c>
      <c r="P154" s="119">
        <f>((C153+O154)+2*(SUM(D154:N154)))/24</f>
        <v>0</v>
      </c>
    </row>
    <row r="155" spans="1:17" x14ac:dyDescent="0.3">
      <c r="A155" s="115">
        <v>2010</v>
      </c>
      <c r="C155" s="119">
        <f t="shared" si="171"/>
        <v>0</v>
      </c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0"/>
    </row>
    <row r="156" spans="1:17" x14ac:dyDescent="0.3">
      <c r="A156" s="115">
        <v>2011</v>
      </c>
      <c r="B156" s="119">
        <v>0</v>
      </c>
      <c r="C156" s="119">
        <f t="shared" si="171"/>
        <v>0</v>
      </c>
      <c r="D156" s="119">
        <f t="shared" ref="D156:D161" si="172">(B156-B155)/12*1+B155</f>
        <v>0</v>
      </c>
      <c r="E156" s="119">
        <f t="shared" ref="E156:E161" si="173">(B156-B155)/12*2+B155</f>
        <v>0</v>
      </c>
      <c r="F156" s="119">
        <f t="shared" ref="F156:F161" si="174">(B156-B155)/12*3+B155</f>
        <v>0</v>
      </c>
      <c r="G156" s="119">
        <f t="shared" ref="G156:G161" si="175">(B156-B155)/12*4+B155</f>
        <v>0</v>
      </c>
      <c r="H156" s="119">
        <f t="shared" ref="H156:H161" si="176">(B156-B155)/12*5+B155</f>
        <v>0</v>
      </c>
      <c r="I156" s="119">
        <f t="shared" ref="I156:I161" si="177">(B156-B155)/12*6+B155</f>
        <v>0</v>
      </c>
      <c r="J156" s="119">
        <f t="shared" ref="J156:J161" si="178">(B156-B155)/12*7+B155</f>
        <v>0</v>
      </c>
      <c r="K156" s="119">
        <f t="shared" ref="K156:K161" si="179">(B156-B155)/12*8+B155</f>
        <v>0</v>
      </c>
      <c r="L156" s="119">
        <f t="shared" ref="L156:L161" si="180">(B156-B155)/12*9+B155</f>
        <v>0</v>
      </c>
      <c r="M156" s="119">
        <f t="shared" ref="M156:M161" si="181">(B156-B155)/12*10+B155</f>
        <v>0</v>
      </c>
      <c r="N156" s="119">
        <f t="shared" ref="N156:N161" si="182">(B156-B155)/12*11+B155</f>
        <v>0</v>
      </c>
      <c r="O156" s="119">
        <f t="shared" ref="O156:O161" si="183">+B156</f>
        <v>0</v>
      </c>
      <c r="P156" s="119">
        <f t="shared" ref="P156:P161" si="184">((C155+O156)+2*(SUM(D156:N156)))/24</f>
        <v>0</v>
      </c>
    </row>
    <row r="157" spans="1:17" x14ac:dyDescent="0.3">
      <c r="A157" s="115">
        <v>2012</v>
      </c>
      <c r="B157" s="119">
        <v>112205285</v>
      </c>
      <c r="C157" s="119">
        <f t="shared" si="171"/>
        <v>112205285</v>
      </c>
      <c r="D157" s="119">
        <f t="shared" si="172"/>
        <v>9350440.416666666</v>
      </c>
      <c r="E157" s="119">
        <f t="shared" si="173"/>
        <v>18700880.833333332</v>
      </c>
      <c r="F157" s="119">
        <f t="shared" si="174"/>
        <v>28051321.25</v>
      </c>
      <c r="G157" s="119">
        <f t="shared" si="175"/>
        <v>37401761.666666664</v>
      </c>
      <c r="H157" s="119">
        <f t="shared" si="176"/>
        <v>46752202.083333328</v>
      </c>
      <c r="I157" s="119">
        <f t="shared" si="177"/>
        <v>56102642.5</v>
      </c>
      <c r="J157" s="119">
        <f t="shared" si="178"/>
        <v>65453082.916666664</v>
      </c>
      <c r="K157" s="119">
        <f t="shared" si="179"/>
        <v>74803523.333333328</v>
      </c>
      <c r="L157" s="119">
        <f t="shared" si="180"/>
        <v>84153963.75</v>
      </c>
      <c r="M157" s="119">
        <f t="shared" si="181"/>
        <v>93504404.166666657</v>
      </c>
      <c r="N157" s="119">
        <f t="shared" si="182"/>
        <v>102854844.58333333</v>
      </c>
      <c r="O157" s="119">
        <f t="shared" si="183"/>
        <v>112205285</v>
      </c>
      <c r="P157" s="119">
        <f t="shared" si="184"/>
        <v>56102642.5</v>
      </c>
    </row>
    <row r="158" spans="1:17" x14ac:dyDescent="0.3">
      <c r="A158" s="115">
        <v>2013</v>
      </c>
      <c r="B158" s="119">
        <v>136161373</v>
      </c>
      <c r="C158" s="119">
        <f t="shared" si="171"/>
        <v>136161373</v>
      </c>
      <c r="D158" s="119">
        <f t="shared" si="172"/>
        <v>114201625.66666667</v>
      </c>
      <c r="E158" s="119">
        <f t="shared" si="173"/>
        <v>116197966.33333333</v>
      </c>
      <c r="F158" s="119">
        <f t="shared" si="174"/>
        <v>118194307</v>
      </c>
      <c r="G158" s="119">
        <f t="shared" si="175"/>
        <v>120190647.66666667</v>
      </c>
      <c r="H158" s="119">
        <f t="shared" si="176"/>
        <v>122186988.33333333</v>
      </c>
      <c r="I158" s="119">
        <f t="shared" si="177"/>
        <v>124183329</v>
      </c>
      <c r="J158" s="119">
        <f t="shared" si="178"/>
        <v>126179669.66666667</v>
      </c>
      <c r="K158" s="119">
        <f t="shared" si="179"/>
        <v>128176010.33333333</v>
      </c>
      <c r="L158" s="119">
        <f t="shared" si="180"/>
        <v>130172351</v>
      </c>
      <c r="M158" s="119">
        <f t="shared" si="181"/>
        <v>132168691.66666667</v>
      </c>
      <c r="N158" s="119">
        <f t="shared" si="182"/>
        <v>134165032.33333334</v>
      </c>
      <c r="O158" s="119">
        <f t="shared" si="183"/>
        <v>136161373</v>
      </c>
      <c r="P158" s="119">
        <f t="shared" si="184"/>
        <v>124183329</v>
      </c>
    </row>
    <row r="159" spans="1:17" x14ac:dyDescent="0.3">
      <c r="A159" s="115">
        <v>2014</v>
      </c>
      <c r="B159" s="119">
        <v>150865526.53</v>
      </c>
      <c r="C159" s="119">
        <f t="shared" si="171"/>
        <v>150865526.53</v>
      </c>
      <c r="D159" s="119">
        <f t="shared" si="172"/>
        <v>137386719.1275</v>
      </c>
      <c r="E159" s="119">
        <f t="shared" si="173"/>
        <v>138612065.255</v>
      </c>
      <c r="F159" s="119">
        <f t="shared" si="174"/>
        <v>139837411.38249999</v>
      </c>
      <c r="G159" s="119">
        <f t="shared" si="175"/>
        <v>141062757.50999999</v>
      </c>
      <c r="H159" s="119">
        <f t="shared" si="176"/>
        <v>142288103.63749999</v>
      </c>
      <c r="I159" s="119">
        <f t="shared" si="177"/>
        <v>143513449.76499999</v>
      </c>
      <c r="J159" s="119">
        <f t="shared" si="178"/>
        <v>144738795.89250001</v>
      </c>
      <c r="K159" s="119">
        <f t="shared" si="179"/>
        <v>145964142.02000001</v>
      </c>
      <c r="L159" s="119">
        <f t="shared" si="180"/>
        <v>147189488.14750001</v>
      </c>
      <c r="M159" s="119">
        <f t="shared" si="181"/>
        <v>148414834.27500001</v>
      </c>
      <c r="N159" s="119">
        <f t="shared" si="182"/>
        <v>149640180.4025</v>
      </c>
      <c r="O159" s="119">
        <f t="shared" si="183"/>
        <v>150865526.53</v>
      </c>
      <c r="P159" s="119">
        <f t="shared" si="184"/>
        <v>143513449.76499999</v>
      </c>
    </row>
    <row r="160" spans="1:17" x14ac:dyDescent="0.3">
      <c r="A160" s="115">
        <v>2015</v>
      </c>
      <c r="B160" s="119">
        <v>130950010.04000001</v>
      </c>
      <c r="C160" s="119">
        <f t="shared" si="171"/>
        <v>130950010.04000001</v>
      </c>
      <c r="D160" s="119">
        <f t="shared" si="172"/>
        <v>149205900.15583333</v>
      </c>
      <c r="E160" s="119">
        <f t="shared" si="173"/>
        <v>147546273.78166667</v>
      </c>
      <c r="F160" s="119">
        <f t="shared" si="174"/>
        <v>145886647.4075</v>
      </c>
      <c r="G160" s="119">
        <f t="shared" si="175"/>
        <v>144227021.03333333</v>
      </c>
      <c r="H160" s="119">
        <f t="shared" si="176"/>
        <v>142567394.65916666</v>
      </c>
      <c r="I160" s="119">
        <f t="shared" si="177"/>
        <v>140907768.285</v>
      </c>
      <c r="J160" s="119">
        <f t="shared" si="178"/>
        <v>139248141.91083333</v>
      </c>
      <c r="K160" s="119">
        <f t="shared" si="179"/>
        <v>137588515.53666666</v>
      </c>
      <c r="L160" s="119">
        <f t="shared" si="180"/>
        <v>135928889.16249999</v>
      </c>
      <c r="M160" s="119">
        <f t="shared" si="181"/>
        <v>134269262.78833333</v>
      </c>
      <c r="N160" s="119">
        <f t="shared" si="182"/>
        <v>132609636.41416667</v>
      </c>
      <c r="O160" s="119">
        <f t="shared" si="183"/>
        <v>130950010.04000001</v>
      </c>
      <c r="P160" s="119">
        <f t="shared" si="184"/>
        <v>140907768.285</v>
      </c>
    </row>
    <row r="161" spans="1:17" x14ac:dyDescent="0.3">
      <c r="A161" s="115">
        <v>2016</v>
      </c>
      <c r="B161" s="119">
        <v>110997557</v>
      </c>
      <c r="C161" s="119">
        <f t="shared" si="171"/>
        <v>110997557</v>
      </c>
      <c r="D161" s="119">
        <f t="shared" si="172"/>
        <v>129287305.62</v>
      </c>
      <c r="E161" s="119">
        <f t="shared" si="173"/>
        <v>127624601.2</v>
      </c>
      <c r="F161" s="119">
        <f t="shared" si="174"/>
        <v>125961896.78</v>
      </c>
      <c r="G161" s="119">
        <f t="shared" si="175"/>
        <v>124299192.36</v>
      </c>
      <c r="H161" s="119">
        <f t="shared" si="176"/>
        <v>122636487.94</v>
      </c>
      <c r="I161" s="119">
        <f t="shared" si="177"/>
        <v>120973783.52000001</v>
      </c>
      <c r="J161" s="119">
        <f t="shared" si="178"/>
        <v>119311079.09999999</v>
      </c>
      <c r="K161" s="119">
        <f t="shared" si="179"/>
        <v>117648374.68000001</v>
      </c>
      <c r="L161" s="119">
        <f t="shared" si="180"/>
        <v>115985670.26000001</v>
      </c>
      <c r="M161" s="119">
        <f t="shared" si="181"/>
        <v>114322965.84</v>
      </c>
      <c r="N161" s="119">
        <f t="shared" si="182"/>
        <v>112660261.42</v>
      </c>
      <c r="O161" s="119">
        <f t="shared" si="183"/>
        <v>110997557</v>
      </c>
      <c r="P161" s="119">
        <f t="shared" si="184"/>
        <v>120973783.52</v>
      </c>
      <c r="Q161" s="119">
        <f>((L160+L161)+2*(SUM(D161:K161)+SUM(M160:O160)))/24</f>
        <v>125960742.51281251</v>
      </c>
    </row>
    <row r="162" spans="1:17" x14ac:dyDescent="0.3">
      <c r="C162" s="119"/>
      <c r="O162" s="119"/>
      <c r="Q162" s="119"/>
    </row>
    <row r="163" spans="1:17" x14ac:dyDescent="0.3">
      <c r="A163" s="120" t="s">
        <v>138</v>
      </c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0"/>
    </row>
    <row r="164" spans="1:17" x14ac:dyDescent="0.3">
      <c r="A164" s="115">
        <v>2008</v>
      </c>
      <c r="B164" s="119">
        <v>584746.65</v>
      </c>
      <c r="C164" s="119">
        <f t="shared" ref="C164:C172" si="185">B164</f>
        <v>584746.65</v>
      </c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</row>
    <row r="165" spans="1:17" x14ac:dyDescent="0.3">
      <c r="A165" s="115">
        <v>2009</v>
      </c>
      <c r="B165" s="119">
        <f>3905.83+4528111.76</f>
        <v>4532017.59</v>
      </c>
      <c r="C165" s="119">
        <f t="shared" si="185"/>
        <v>4532017.59</v>
      </c>
      <c r="D165" s="119">
        <f t="shared" ref="D165:D172" si="186">(B165-B164)/12*1+B164</f>
        <v>913685.89500000002</v>
      </c>
      <c r="E165" s="119">
        <f t="shared" ref="E165:E172" si="187">(B165-B164)/12*2+B164</f>
        <v>1242625.1400000001</v>
      </c>
      <c r="F165" s="119">
        <f t="shared" ref="F165:F172" si="188">(B165-B164)/12*3+B164</f>
        <v>1571564.385</v>
      </c>
      <c r="G165" s="119">
        <f t="shared" ref="G165:G172" si="189">(B165-B164)/12*4+B164</f>
        <v>1900503.63</v>
      </c>
      <c r="H165" s="119">
        <f t="shared" ref="H165:H172" si="190">(B165-B164)/12*5+B164</f>
        <v>2229442.875</v>
      </c>
      <c r="I165" s="119">
        <f t="shared" ref="I165:I172" si="191">(B165-B164)/12*6+B164</f>
        <v>2558382.12</v>
      </c>
      <c r="J165" s="119">
        <f t="shared" ref="J165:J172" si="192">(B165-B164)/12*7+B164</f>
        <v>2887321.3649999998</v>
      </c>
      <c r="K165" s="119">
        <f t="shared" ref="K165:K172" si="193">(B165-B164)/12*8+B164</f>
        <v>3216260.61</v>
      </c>
      <c r="L165" s="119">
        <f t="shared" ref="L165:L172" si="194">(B165-B164)/12*9+B164</f>
        <v>3545199.855</v>
      </c>
      <c r="M165" s="119">
        <f t="shared" ref="M165:M172" si="195">(B165-B164)/12*10+B164</f>
        <v>3874139.1</v>
      </c>
      <c r="N165" s="119">
        <f t="shared" ref="N165:N172" si="196">(B165-B164)/12*11+B164</f>
        <v>4203078.3449999997</v>
      </c>
      <c r="O165" s="119">
        <f t="shared" ref="O165:O172" si="197">+B165</f>
        <v>4532017.59</v>
      </c>
      <c r="P165" s="119">
        <f t="shared" ref="P165:P171" si="198">((C164+O165)+2*(SUM(D165:N165)))/24</f>
        <v>2558382.12</v>
      </c>
    </row>
    <row r="166" spans="1:17" x14ac:dyDescent="0.3">
      <c r="A166" s="115">
        <v>2010</v>
      </c>
      <c r="B166" s="119">
        <f>3773+8533625</f>
        <v>8537398</v>
      </c>
      <c r="C166" s="119">
        <f t="shared" si="185"/>
        <v>8537398</v>
      </c>
      <c r="D166" s="119">
        <f t="shared" si="186"/>
        <v>4865799.2908333335</v>
      </c>
      <c r="E166" s="119">
        <f t="shared" si="187"/>
        <v>5199580.9916666662</v>
      </c>
      <c r="F166" s="119">
        <f t="shared" si="188"/>
        <v>5533362.6924999999</v>
      </c>
      <c r="G166" s="119">
        <f t="shared" si="189"/>
        <v>5867144.3933333335</v>
      </c>
      <c r="H166" s="119">
        <f t="shared" si="190"/>
        <v>6200926.0941666663</v>
      </c>
      <c r="I166" s="119">
        <f t="shared" si="191"/>
        <v>6534707.7949999999</v>
      </c>
      <c r="J166" s="119">
        <f t="shared" si="192"/>
        <v>6868489.4958333336</v>
      </c>
      <c r="K166" s="119">
        <f t="shared" si="193"/>
        <v>7202271.1966666672</v>
      </c>
      <c r="L166" s="119">
        <f t="shared" si="194"/>
        <v>7536052.8975</v>
      </c>
      <c r="M166" s="119">
        <f t="shared" si="195"/>
        <v>7869834.5983333336</v>
      </c>
      <c r="N166" s="119">
        <f t="shared" si="196"/>
        <v>8203616.2991666663</v>
      </c>
      <c r="O166" s="119">
        <f t="shared" si="197"/>
        <v>8537398</v>
      </c>
      <c r="P166" s="119">
        <f t="shared" si="198"/>
        <v>6534707.7950000009</v>
      </c>
    </row>
    <row r="167" spans="1:17" x14ac:dyDescent="0.3">
      <c r="A167" s="115">
        <v>2011</v>
      </c>
      <c r="B167" s="119">
        <v>11512084</v>
      </c>
      <c r="C167" s="119">
        <f t="shared" si="185"/>
        <v>11512084</v>
      </c>
      <c r="D167" s="119">
        <f t="shared" si="186"/>
        <v>8785288.5</v>
      </c>
      <c r="E167" s="119">
        <f t="shared" si="187"/>
        <v>9033179</v>
      </c>
      <c r="F167" s="119">
        <f t="shared" si="188"/>
        <v>9281069.5</v>
      </c>
      <c r="G167" s="119">
        <f t="shared" si="189"/>
        <v>9528960</v>
      </c>
      <c r="H167" s="119">
        <f t="shared" si="190"/>
        <v>9776850.5</v>
      </c>
      <c r="I167" s="119">
        <f t="shared" si="191"/>
        <v>10024741</v>
      </c>
      <c r="J167" s="119">
        <f t="shared" si="192"/>
        <v>10272631.5</v>
      </c>
      <c r="K167" s="119">
        <f t="shared" si="193"/>
        <v>10520522</v>
      </c>
      <c r="L167" s="119">
        <f t="shared" si="194"/>
        <v>10768412.5</v>
      </c>
      <c r="M167" s="119">
        <f t="shared" si="195"/>
        <v>11016303</v>
      </c>
      <c r="N167" s="119">
        <f t="shared" si="196"/>
        <v>11264193.5</v>
      </c>
      <c r="O167" s="119">
        <f t="shared" si="197"/>
        <v>11512084</v>
      </c>
      <c r="P167" s="119">
        <f t="shared" si="198"/>
        <v>10024741</v>
      </c>
    </row>
    <row r="168" spans="1:17" x14ac:dyDescent="0.3">
      <c r="A168" s="115">
        <v>2012</v>
      </c>
      <c r="B168" s="119">
        <v>14338289</v>
      </c>
      <c r="C168" s="119">
        <f t="shared" si="185"/>
        <v>14338289</v>
      </c>
      <c r="D168" s="119">
        <f t="shared" si="186"/>
        <v>11747601.083333334</v>
      </c>
      <c r="E168" s="119">
        <f t="shared" si="187"/>
        <v>11983118.166666666</v>
      </c>
      <c r="F168" s="119">
        <f t="shared" si="188"/>
        <v>12218635.25</v>
      </c>
      <c r="G168" s="119">
        <f t="shared" si="189"/>
        <v>12454152.333333334</v>
      </c>
      <c r="H168" s="119">
        <f t="shared" si="190"/>
        <v>12689669.416666666</v>
      </c>
      <c r="I168" s="119">
        <f t="shared" si="191"/>
        <v>12925186.5</v>
      </c>
      <c r="J168" s="119">
        <f t="shared" si="192"/>
        <v>13160703.583333334</v>
      </c>
      <c r="K168" s="119">
        <f t="shared" si="193"/>
        <v>13396220.666666666</v>
      </c>
      <c r="L168" s="119">
        <f t="shared" si="194"/>
        <v>13631737.75</v>
      </c>
      <c r="M168" s="119">
        <f t="shared" si="195"/>
        <v>13867254.833333334</v>
      </c>
      <c r="N168" s="119">
        <f t="shared" si="196"/>
        <v>14102771.916666668</v>
      </c>
      <c r="O168" s="119">
        <f t="shared" si="197"/>
        <v>14338289</v>
      </c>
      <c r="P168" s="119">
        <f t="shared" si="198"/>
        <v>12925186.5</v>
      </c>
    </row>
    <row r="169" spans="1:17" x14ac:dyDescent="0.3">
      <c r="A169" s="115">
        <v>2013</v>
      </c>
      <c r="B169" s="119">
        <v>19400704</v>
      </c>
      <c r="C169" s="119">
        <f t="shared" si="185"/>
        <v>19400704</v>
      </c>
      <c r="D169" s="119">
        <f t="shared" si="186"/>
        <v>14760156.916666666</v>
      </c>
      <c r="E169" s="119">
        <f t="shared" si="187"/>
        <v>15182024.833333334</v>
      </c>
      <c r="F169" s="119">
        <f t="shared" si="188"/>
        <v>15603892.75</v>
      </c>
      <c r="G169" s="119">
        <f t="shared" si="189"/>
        <v>16025760.666666666</v>
      </c>
      <c r="H169" s="119">
        <f t="shared" si="190"/>
        <v>16447628.583333334</v>
      </c>
      <c r="I169" s="119">
        <f t="shared" si="191"/>
        <v>16869496.5</v>
      </c>
      <c r="J169" s="119">
        <f t="shared" si="192"/>
        <v>17291364.416666668</v>
      </c>
      <c r="K169" s="119">
        <f t="shared" si="193"/>
        <v>17713232.333333332</v>
      </c>
      <c r="L169" s="119">
        <f t="shared" si="194"/>
        <v>18135100.25</v>
      </c>
      <c r="M169" s="119">
        <f t="shared" si="195"/>
        <v>18556968.166666668</v>
      </c>
      <c r="N169" s="119">
        <f t="shared" si="196"/>
        <v>18978836.083333336</v>
      </c>
      <c r="O169" s="119">
        <f t="shared" si="197"/>
        <v>19400704</v>
      </c>
      <c r="P169" s="119">
        <f t="shared" si="198"/>
        <v>16869496.5</v>
      </c>
    </row>
    <row r="170" spans="1:17" x14ac:dyDescent="0.3">
      <c r="A170" s="115">
        <v>2014</v>
      </c>
      <c r="B170" s="119">
        <v>21165062.68</v>
      </c>
      <c r="C170" s="119">
        <f t="shared" si="185"/>
        <v>21165062.68</v>
      </c>
      <c r="D170" s="119">
        <f t="shared" si="186"/>
        <v>19547733.890000001</v>
      </c>
      <c r="E170" s="119">
        <f t="shared" si="187"/>
        <v>19694763.780000001</v>
      </c>
      <c r="F170" s="119">
        <f t="shared" si="188"/>
        <v>19841793.670000002</v>
      </c>
      <c r="G170" s="119">
        <f t="shared" si="189"/>
        <v>19988823.559999999</v>
      </c>
      <c r="H170" s="119">
        <f t="shared" si="190"/>
        <v>20135853.449999999</v>
      </c>
      <c r="I170" s="119">
        <f t="shared" si="191"/>
        <v>20282883.34</v>
      </c>
      <c r="J170" s="119">
        <f t="shared" si="192"/>
        <v>20429913.23</v>
      </c>
      <c r="K170" s="119">
        <f t="shared" si="193"/>
        <v>20576943.120000001</v>
      </c>
      <c r="L170" s="119">
        <f t="shared" si="194"/>
        <v>20723973.009999998</v>
      </c>
      <c r="M170" s="119">
        <f t="shared" si="195"/>
        <v>20871002.899999999</v>
      </c>
      <c r="N170" s="119">
        <f t="shared" si="196"/>
        <v>21018032.789999999</v>
      </c>
      <c r="O170" s="119">
        <f t="shared" si="197"/>
        <v>21165062.68</v>
      </c>
      <c r="P170" s="119">
        <f t="shared" si="198"/>
        <v>20282883.34</v>
      </c>
    </row>
    <row r="171" spans="1:17" x14ac:dyDescent="0.3">
      <c r="A171" s="115">
        <v>2015</v>
      </c>
      <c r="B171" s="119">
        <v>24222007.870000001</v>
      </c>
      <c r="C171" s="119">
        <f t="shared" si="185"/>
        <v>24222007.870000001</v>
      </c>
      <c r="D171" s="119">
        <f t="shared" si="186"/>
        <v>21419808.112500001</v>
      </c>
      <c r="E171" s="119">
        <f t="shared" si="187"/>
        <v>21674553.545000002</v>
      </c>
      <c r="F171" s="119">
        <f t="shared" si="188"/>
        <v>21929298.977499999</v>
      </c>
      <c r="G171" s="119">
        <f t="shared" si="189"/>
        <v>22184044.41</v>
      </c>
      <c r="H171" s="119">
        <f t="shared" si="190"/>
        <v>22438789.842500001</v>
      </c>
      <c r="I171" s="119">
        <f t="shared" si="191"/>
        <v>22693535.274999999</v>
      </c>
      <c r="J171" s="119">
        <f t="shared" si="192"/>
        <v>22948280.7075</v>
      </c>
      <c r="K171" s="119">
        <f t="shared" si="193"/>
        <v>23203026.140000001</v>
      </c>
      <c r="L171" s="119">
        <f t="shared" si="194"/>
        <v>23457771.572500002</v>
      </c>
      <c r="M171" s="119">
        <f t="shared" si="195"/>
        <v>23712517.005000003</v>
      </c>
      <c r="N171" s="119">
        <f t="shared" si="196"/>
        <v>23967262.4375</v>
      </c>
      <c r="O171" s="119">
        <f t="shared" si="197"/>
        <v>24222007.870000001</v>
      </c>
      <c r="P171" s="119">
        <f t="shared" si="198"/>
        <v>22693535.274999995</v>
      </c>
    </row>
    <row r="172" spans="1:17" x14ac:dyDescent="0.3">
      <c r="A172" s="115">
        <v>2016</v>
      </c>
      <c r="B172" s="119">
        <v>26641404</v>
      </c>
      <c r="C172" s="119">
        <f t="shared" si="185"/>
        <v>26641404</v>
      </c>
      <c r="D172" s="119">
        <f t="shared" si="186"/>
        <v>24423624.214166667</v>
      </c>
      <c r="E172" s="119">
        <f t="shared" si="187"/>
        <v>24625240.558333334</v>
      </c>
      <c r="F172" s="119">
        <f t="shared" si="188"/>
        <v>24826856.9025</v>
      </c>
      <c r="G172" s="119">
        <f t="shared" si="189"/>
        <v>25028473.246666666</v>
      </c>
      <c r="H172" s="119">
        <f t="shared" si="190"/>
        <v>25230089.590833332</v>
      </c>
      <c r="I172" s="119">
        <f t="shared" si="191"/>
        <v>25431705.935000002</v>
      </c>
      <c r="J172" s="119">
        <f t="shared" si="192"/>
        <v>25633322.279166669</v>
      </c>
      <c r="K172" s="119">
        <f t="shared" si="193"/>
        <v>25834938.623333335</v>
      </c>
      <c r="L172" s="119">
        <f t="shared" si="194"/>
        <v>26036554.967500001</v>
      </c>
      <c r="M172" s="119">
        <f t="shared" si="195"/>
        <v>26238171.311666667</v>
      </c>
      <c r="N172" s="119">
        <f t="shared" si="196"/>
        <v>26439787.655833334</v>
      </c>
      <c r="O172" s="119">
        <f t="shared" si="197"/>
        <v>26641404</v>
      </c>
      <c r="P172" s="119">
        <f t="shared" ref="P172" si="199">((C171+O172)+2*(SUM(D172:N172)))/24</f>
        <v>25431705.934999999</v>
      </c>
      <c r="Q172" s="119">
        <f>((L171+L172)+2*(SUM(D172:K172)+SUM(M171:O171)))/24</f>
        <v>24806933.494375002</v>
      </c>
    </row>
    <row r="174" spans="1:17" x14ac:dyDescent="0.3">
      <c r="A174" s="120" t="s">
        <v>124</v>
      </c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0"/>
    </row>
    <row r="175" spans="1:17" x14ac:dyDescent="0.3">
      <c r="A175" s="115">
        <v>2008</v>
      </c>
      <c r="B175" s="119">
        <f>904.73+1332453.32</f>
        <v>1333358.05</v>
      </c>
      <c r="C175" s="119">
        <f t="shared" ref="C175:C183" si="200">B175</f>
        <v>1333358.05</v>
      </c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</row>
    <row r="176" spans="1:17" x14ac:dyDescent="0.3">
      <c r="A176" s="115">
        <v>2009</v>
      </c>
      <c r="B176" s="119">
        <f>281876.13+1464770.59</f>
        <v>1746646.7200000002</v>
      </c>
      <c r="C176" s="119">
        <f t="shared" si="200"/>
        <v>1746646.7200000002</v>
      </c>
      <c r="D176" s="119">
        <f t="shared" ref="D176:D183" si="201">(B176-B175)/12*1+B175</f>
        <v>1367798.7725</v>
      </c>
      <c r="E176" s="119">
        <f t="shared" ref="E176:E183" si="202">(B176-B175)/12*2+B175</f>
        <v>1402239.4950000001</v>
      </c>
      <c r="F176" s="119">
        <f t="shared" ref="F176:F183" si="203">(B176-B175)/12*3+B175</f>
        <v>1436680.2175</v>
      </c>
      <c r="G176" s="119">
        <f t="shared" ref="G176:G183" si="204">(B176-B175)/12*4+B175</f>
        <v>1471120.9400000002</v>
      </c>
      <c r="H176" s="119">
        <f t="shared" ref="H176:H183" si="205">(B176-B175)/12*5+B175</f>
        <v>1505561.6625000001</v>
      </c>
      <c r="I176" s="119">
        <f t="shared" ref="I176:I183" si="206">(B176-B175)/12*6+B175</f>
        <v>1540002.3850000002</v>
      </c>
      <c r="J176" s="119">
        <f t="shared" ref="J176:J183" si="207">(B176-B175)/12*7+B175</f>
        <v>1574443.1075000002</v>
      </c>
      <c r="K176" s="119">
        <f t="shared" ref="K176:K183" si="208">(B176-B175)/12*8+B175</f>
        <v>1608883.83</v>
      </c>
      <c r="L176" s="119">
        <f t="shared" ref="L176:L183" si="209">(B176-B175)/12*9+B175</f>
        <v>1643324.5525000002</v>
      </c>
      <c r="M176" s="119">
        <f t="shared" ref="M176:M183" si="210">(B176-B175)/12*10+B175</f>
        <v>1677765.2750000001</v>
      </c>
      <c r="N176" s="119">
        <f t="shared" ref="N176:N183" si="211">(B176-B175)/12*11+B175</f>
        <v>1712205.9975000001</v>
      </c>
      <c r="O176" s="119">
        <f t="shared" ref="O176:O183" si="212">+B176</f>
        <v>1746646.7200000002</v>
      </c>
      <c r="P176" s="119">
        <f t="shared" ref="P176:P183" si="213">((C175+O176)+2*(SUM(D176:N176)))/24</f>
        <v>1540002.385</v>
      </c>
    </row>
    <row r="177" spans="1:17" x14ac:dyDescent="0.3">
      <c r="A177" s="115">
        <v>2010</v>
      </c>
      <c r="B177" s="119">
        <f>200820+1979571</f>
        <v>2180391</v>
      </c>
      <c r="C177" s="119">
        <f t="shared" si="200"/>
        <v>2180391</v>
      </c>
      <c r="D177" s="119">
        <f t="shared" si="201"/>
        <v>1782792.0766666669</v>
      </c>
      <c r="E177" s="119">
        <f t="shared" si="202"/>
        <v>1818937.4333333336</v>
      </c>
      <c r="F177" s="119">
        <f t="shared" si="203"/>
        <v>1855082.79</v>
      </c>
      <c r="G177" s="119">
        <f t="shared" si="204"/>
        <v>1891228.1466666667</v>
      </c>
      <c r="H177" s="119">
        <f t="shared" si="205"/>
        <v>1927373.5033333334</v>
      </c>
      <c r="I177" s="119">
        <f t="shared" si="206"/>
        <v>1963518.86</v>
      </c>
      <c r="J177" s="119">
        <f t="shared" si="207"/>
        <v>1999664.2166666668</v>
      </c>
      <c r="K177" s="119">
        <f t="shared" si="208"/>
        <v>2035809.5733333335</v>
      </c>
      <c r="L177" s="119">
        <f t="shared" si="209"/>
        <v>2071954.9300000002</v>
      </c>
      <c r="M177" s="119">
        <f t="shared" si="210"/>
        <v>2108100.2866666666</v>
      </c>
      <c r="N177" s="119">
        <f t="shared" si="211"/>
        <v>2144245.6433333335</v>
      </c>
      <c r="O177" s="119">
        <f t="shared" si="212"/>
        <v>2180391</v>
      </c>
      <c r="P177" s="119">
        <f t="shared" si="213"/>
        <v>1963518.86</v>
      </c>
    </row>
    <row r="178" spans="1:17" x14ac:dyDescent="0.3">
      <c r="A178" s="115">
        <v>2011</v>
      </c>
      <c r="B178" s="119">
        <v>3885903</v>
      </c>
      <c r="C178" s="119">
        <f t="shared" si="200"/>
        <v>3885903</v>
      </c>
      <c r="D178" s="119">
        <f t="shared" si="201"/>
        <v>2322517</v>
      </c>
      <c r="E178" s="119">
        <f t="shared" si="202"/>
        <v>2464643</v>
      </c>
      <c r="F178" s="119">
        <f t="shared" si="203"/>
        <v>2606769</v>
      </c>
      <c r="G178" s="119">
        <f t="shared" si="204"/>
        <v>2748895</v>
      </c>
      <c r="H178" s="119">
        <f t="shared" si="205"/>
        <v>2891021</v>
      </c>
      <c r="I178" s="119">
        <f t="shared" si="206"/>
        <v>3033147</v>
      </c>
      <c r="J178" s="119">
        <f t="shared" si="207"/>
        <v>3175273</v>
      </c>
      <c r="K178" s="119">
        <f t="shared" si="208"/>
        <v>3317399</v>
      </c>
      <c r="L178" s="119">
        <f t="shared" si="209"/>
        <v>3459525</v>
      </c>
      <c r="M178" s="119">
        <f t="shared" si="210"/>
        <v>3601651</v>
      </c>
      <c r="N178" s="119">
        <f t="shared" si="211"/>
        <v>3743777</v>
      </c>
      <c r="O178" s="119">
        <f t="shared" si="212"/>
        <v>3885903</v>
      </c>
      <c r="P178" s="119">
        <f t="shared" si="213"/>
        <v>3033147</v>
      </c>
    </row>
    <row r="179" spans="1:17" x14ac:dyDescent="0.3">
      <c r="A179" s="115">
        <v>2012</v>
      </c>
      <c r="B179" s="119">
        <v>4943198</v>
      </c>
      <c r="C179" s="119">
        <f t="shared" si="200"/>
        <v>4943198</v>
      </c>
      <c r="D179" s="119">
        <f t="shared" si="201"/>
        <v>3974010.9166666665</v>
      </c>
      <c r="E179" s="119">
        <f t="shared" si="202"/>
        <v>4062118.8333333335</v>
      </c>
      <c r="F179" s="119">
        <f t="shared" si="203"/>
        <v>4150226.75</v>
      </c>
      <c r="G179" s="119">
        <f t="shared" si="204"/>
        <v>4238334.666666667</v>
      </c>
      <c r="H179" s="119">
        <f t="shared" si="205"/>
        <v>4326442.583333333</v>
      </c>
      <c r="I179" s="119">
        <f t="shared" si="206"/>
        <v>4414550.5</v>
      </c>
      <c r="J179" s="119">
        <f t="shared" si="207"/>
        <v>4502658.416666667</v>
      </c>
      <c r="K179" s="119">
        <f t="shared" si="208"/>
        <v>4590766.333333333</v>
      </c>
      <c r="L179" s="119">
        <f t="shared" si="209"/>
        <v>4678874.25</v>
      </c>
      <c r="M179" s="119">
        <f t="shared" si="210"/>
        <v>4766982.166666667</v>
      </c>
      <c r="N179" s="119">
        <f t="shared" si="211"/>
        <v>4855090.083333333</v>
      </c>
      <c r="O179" s="119">
        <f t="shared" si="212"/>
        <v>4943198</v>
      </c>
      <c r="P179" s="119">
        <f t="shared" si="213"/>
        <v>4414550.5</v>
      </c>
    </row>
    <row r="180" spans="1:17" x14ac:dyDescent="0.3">
      <c r="A180" s="115">
        <v>2013</v>
      </c>
      <c r="B180" s="119">
        <v>49221806</v>
      </c>
      <c r="C180" s="119">
        <f t="shared" si="200"/>
        <v>49221806</v>
      </c>
      <c r="D180" s="119">
        <f t="shared" si="201"/>
        <v>8633082</v>
      </c>
      <c r="E180" s="119">
        <f t="shared" si="202"/>
        <v>12322966</v>
      </c>
      <c r="F180" s="119">
        <f t="shared" si="203"/>
        <v>16012850</v>
      </c>
      <c r="G180" s="119">
        <f t="shared" si="204"/>
        <v>19702734</v>
      </c>
      <c r="H180" s="119">
        <f t="shared" si="205"/>
        <v>23392618</v>
      </c>
      <c r="I180" s="119">
        <f t="shared" si="206"/>
        <v>27082502</v>
      </c>
      <c r="J180" s="119">
        <f t="shared" si="207"/>
        <v>30772386</v>
      </c>
      <c r="K180" s="119">
        <f t="shared" si="208"/>
        <v>34462270</v>
      </c>
      <c r="L180" s="119">
        <f t="shared" si="209"/>
        <v>38152154</v>
      </c>
      <c r="M180" s="119">
        <f t="shared" si="210"/>
        <v>41842038</v>
      </c>
      <c r="N180" s="119">
        <f t="shared" si="211"/>
        <v>45531922</v>
      </c>
      <c r="O180" s="119">
        <f t="shared" si="212"/>
        <v>49221806</v>
      </c>
      <c r="P180" s="119">
        <f t="shared" si="213"/>
        <v>27082502</v>
      </c>
    </row>
    <row r="181" spans="1:17" x14ac:dyDescent="0.3">
      <c r="A181" s="115">
        <v>2014</v>
      </c>
      <c r="B181" s="119">
        <v>50188207.140000001</v>
      </c>
      <c r="C181" s="119">
        <f t="shared" si="200"/>
        <v>50188207.140000001</v>
      </c>
      <c r="D181" s="119">
        <f t="shared" si="201"/>
        <v>49302339.428333335</v>
      </c>
      <c r="E181" s="119">
        <f t="shared" si="202"/>
        <v>49382872.856666669</v>
      </c>
      <c r="F181" s="119">
        <f t="shared" si="203"/>
        <v>49463406.284999996</v>
      </c>
      <c r="G181" s="119">
        <f t="shared" si="204"/>
        <v>49543939.713333331</v>
      </c>
      <c r="H181" s="119">
        <f t="shared" si="205"/>
        <v>49624473.141666666</v>
      </c>
      <c r="I181" s="119">
        <f t="shared" si="206"/>
        <v>49705006.57</v>
      </c>
      <c r="J181" s="119">
        <f t="shared" si="207"/>
        <v>49785539.998333335</v>
      </c>
      <c r="K181" s="119">
        <f t="shared" si="208"/>
        <v>49866073.42666667</v>
      </c>
      <c r="L181" s="119">
        <f t="shared" si="209"/>
        <v>49946606.855000004</v>
      </c>
      <c r="M181" s="119">
        <f t="shared" si="210"/>
        <v>50027140.283333331</v>
      </c>
      <c r="N181" s="119">
        <f t="shared" si="211"/>
        <v>50107673.711666666</v>
      </c>
      <c r="O181" s="119">
        <f t="shared" si="212"/>
        <v>50188207.140000001</v>
      </c>
      <c r="P181" s="119">
        <f t="shared" si="213"/>
        <v>49705006.570000015</v>
      </c>
    </row>
    <row r="182" spans="1:17" x14ac:dyDescent="0.3">
      <c r="A182" s="115">
        <v>2015</v>
      </c>
      <c r="B182" s="119">
        <f>50715049.82-277103</f>
        <v>50437946.82</v>
      </c>
      <c r="C182" s="119">
        <f t="shared" si="200"/>
        <v>50437946.82</v>
      </c>
      <c r="D182" s="119">
        <f t="shared" si="201"/>
        <v>50209018.780000001</v>
      </c>
      <c r="E182" s="119">
        <f t="shared" si="202"/>
        <v>50229830.420000002</v>
      </c>
      <c r="F182" s="119">
        <f t="shared" si="203"/>
        <v>50250642.060000002</v>
      </c>
      <c r="G182" s="119">
        <f t="shared" si="204"/>
        <v>50271453.700000003</v>
      </c>
      <c r="H182" s="119">
        <f t="shared" si="205"/>
        <v>50292265.340000004</v>
      </c>
      <c r="I182" s="119">
        <f t="shared" si="206"/>
        <v>50313076.980000004</v>
      </c>
      <c r="J182" s="119">
        <f t="shared" si="207"/>
        <v>50333888.619999997</v>
      </c>
      <c r="K182" s="119">
        <f t="shared" si="208"/>
        <v>50354700.259999998</v>
      </c>
      <c r="L182" s="119">
        <f t="shared" si="209"/>
        <v>50375511.899999999</v>
      </c>
      <c r="M182" s="119">
        <f t="shared" si="210"/>
        <v>50396323.539999999</v>
      </c>
      <c r="N182" s="119">
        <f t="shared" si="211"/>
        <v>50417135.18</v>
      </c>
      <c r="O182" s="119">
        <f t="shared" si="212"/>
        <v>50437946.82</v>
      </c>
      <c r="P182" s="119">
        <f t="shared" si="213"/>
        <v>50313076.979999997</v>
      </c>
    </row>
    <row r="183" spans="1:17" x14ac:dyDescent="0.3">
      <c r="A183" s="115">
        <v>2016</v>
      </c>
      <c r="B183" s="119">
        <v>50925669</v>
      </c>
      <c r="C183" s="119">
        <f t="shared" si="200"/>
        <v>50925669</v>
      </c>
      <c r="D183" s="119">
        <f t="shared" si="201"/>
        <v>50478590.335000001</v>
      </c>
      <c r="E183" s="119">
        <f t="shared" si="202"/>
        <v>50519233.850000001</v>
      </c>
      <c r="F183" s="119">
        <f t="shared" si="203"/>
        <v>50559877.365000002</v>
      </c>
      <c r="G183" s="119">
        <f t="shared" si="204"/>
        <v>50600520.880000003</v>
      </c>
      <c r="H183" s="119">
        <f t="shared" si="205"/>
        <v>50641164.395000003</v>
      </c>
      <c r="I183" s="119">
        <f t="shared" si="206"/>
        <v>50681807.909999996</v>
      </c>
      <c r="J183" s="119">
        <f t="shared" si="207"/>
        <v>50722451.424999997</v>
      </c>
      <c r="K183" s="119">
        <f t="shared" si="208"/>
        <v>50763094.939999998</v>
      </c>
      <c r="L183" s="119">
        <f t="shared" si="209"/>
        <v>50803738.454999998</v>
      </c>
      <c r="M183" s="119">
        <f t="shared" si="210"/>
        <v>50844381.969999999</v>
      </c>
      <c r="N183" s="119">
        <f t="shared" si="211"/>
        <v>50885025.484999999</v>
      </c>
      <c r="O183" s="119">
        <f t="shared" si="212"/>
        <v>50925669</v>
      </c>
      <c r="P183" s="119">
        <f t="shared" si="213"/>
        <v>50681807.909999996</v>
      </c>
      <c r="Q183" s="119">
        <f>((L182+L183)+2*(SUM(D183:K183)+SUM(M182:O182)))/24</f>
        <v>50567314.318125002</v>
      </c>
    </row>
    <row r="185" spans="1:17" x14ac:dyDescent="0.3">
      <c r="A185" s="120" t="s">
        <v>118</v>
      </c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0"/>
    </row>
    <row r="186" spans="1:17" x14ac:dyDescent="0.3">
      <c r="A186" s="115">
        <v>2008</v>
      </c>
      <c r="B186" s="119">
        <v>-33759.760000000002</v>
      </c>
      <c r="C186" s="119">
        <f t="shared" ref="C186:C194" si="214">B186</f>
        <v>-33759.760000000002</v>
      </c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</row>
    <row r="187" spans="1:17" x14ac:dyDescent="0.3">
      <c r="A187" s="115">
        <v>2009</v>
      </c>
      <c r="B187" s="119">
        <v>363242.57</v>
      </c>
      <c r="C187" s="119">
        <f t="shared" si="214"/>
        <v>363242.57</v>
      </c>
      <c r="D187" s="119">
        <f t="shared" ref="D187:D194" si="215">(B187-B186)/12*1+B186</f>
        <v>-676.23249999999825</v>
      </c>
      <c r="E187" s="119">
        <f t="shared" ref="E187:E194" si="216">(B187-B186)/12*2+B186</f>
        <v>32407.295000000006</v>
      </c>
      <c r="F187" s="119">
        <f t="shared" ref="F187:F194" si="217">(B187-B186)/12*3+B186</f>
        <v>65490.822500000017</v>
      </c>
      <c r="G187" s="119">
        <f t="shared" ref="G187:G194" si="218">(B187-B186)/12*4+B186</f>
        <v>98574.35</v>
      </c>
      <c r="H187" s="119">
        <f t="shared" ref="H187:H194" si="219">(B187-B186)/12*5+B186</f>
        <v>131657.8775</v>
      </c>
      <c r="I187" s="119">
        <f t="shared" ref="I187:I194" si="220">(B187-B186)/12*6+B186</f>
        <v>164741.40500000003</v>
      </c>
      <c r="J187" s="119">
        <f t="shared" ref="J187:J194" si="221">(B187-B186)/12*7+B186</f>
        <v>197824.93250000002</v>
      </c>
      <c r="K187" s="119">
        <f t="shared" ref="K187:K194" si="222">(B187-B186)/12*8+B186</f>
        <v>230908.46000000002</v>
      </c>
      <c r="L187" s="119">
        <f t="shared" ref="L187:L194" si="223">(B187-B186)/12*9+B186</f>
        <v>263991.98750000005</v>
      </c>
      <c r="M187" s="119">
        <f t="shared" ref="M187:M194" si="224">(B187-B186)/12*10+B186</f>
        <v>297075.51500000001</v>
      </c>
      <c r="N187" s="119">
        <f t="shared" ref="N187:N194" si="225">(B187-B186)/12*11+B186</f>
        <v>330159.04250000004</v>
      </c>
      <c r="O187" s="119">
        <f t="shared" ref="O187:O194" si="226">+B187</f>
        <v>363242.57</v>
      </c>
      <c r="P187" s="119">
        <f t="shared" ref="P187:P193" si="227">((C186+O187)+2*(SUM(D187:N187)))/24</f>
        <v>164741.405</v>
      </c>
    </row>
    <row r="188" spans="1:17" x14ac:dyDescent="0.3">
      <c r="A188" s="115">
        <v>2010</v>
      </c>
      <c r="B188" s="119">
        <v>683758</v>
      </c>
      <c r="C188" s="119">
        <f t="shared" si="214"/>
        <v>683758</v>
      </c>
      <c r="D188" s="119">
        <f t="shared" si="215"/>
        <v>389952.18916666665</v>
      </c>
      <c r="E188" s="119">
        <f t="shared" si="216"/>
        <v>416661.80833333335</v>
      </c>
      <c r="F188" s="119">
        <f t="shared" si="217"/>
        <v>443371.42749999999</v>
      </c>
      <c r="G188" s="119">
        <f t="shared" si="218"/>
        <v>470081.04666666669</v>
      </c>
      <c r="H188" s="119">
        <f t="shared" si="219"/>
        <v>496790.66583333333</v>
      </c>
      <c r="I188" s="119">
        <f t="shared" si="220"/>
        <v>523500.28500000003</v>
      </c>
      <c r="J188" s="119">
        <f t="shared" si="221"/>
        <v>550209.90416666667</v>
      </c>
      <c r="K188" s="119">
        <f t="shared" si="222"/>
        <v>576919.52333333332</v>
      </c>
      <c r="L188" s="119">
        <f t="shared" si="223"/>
        <v>603629.14250000007</v>
      </c>
      <c r="M188" s="119">
        <f t="shared" si="224"/>
        <v>630338.76166666672</v>
      </c>
      <c r="N188" s="119">
        <f t="shared" si="225"/>
        <v>657048.38083333336</v>
      </c>
      <c r="O188" s="119">
        <f t="shared" si="226"/>
        <v>683758</v>
      </c>
      <c r="P188" s="119">
        <f t="shared" si="227"/>
        <v>523500.28500000009</v>
      </c>
    </row>
    <row r="189" spans="1:17" x14ac:dyDescent="0.3">
      <c r="A189" s="115">
        <v>2011</v>
      </c>
      <c r="B189" s="119">
        <v>874605</v>
      </c>
      <c r="C189" s="119">
        <f t="shared" si="214"/>
        <v>874605</v>
      </c>
      <c r="D189" s="119">
        <f t="shared" si="215"/>
        <v>699661.91666666663</v>
      </c>
      <c r="E189" s="119">
        <f t="shared" si="216"/>
        <v>715565.83333333337</v>
      </c>
      <c r="F189" s="119">
        <f t="shared" si="217"/>
        <v>731469.75</v>
      </c>
      <c r="G189" s="119">
        <f t="shared" si="218"/>
        <v>747373.66666666663</v>
      </c>
      <c r="H189" s="119">
        <f t="shared" si="219"/>
        <v>763277.58333333337</v>
      </c>
      <c r="I189" s="119">
        <f t="shared" si="220"/>
        <v>779181.5</v>
      </c>
      <c r="J189" s="119">
        <f t="shared" si="221"/>
        <v>795085.41666666663</v>
      </c>
      <c r="K189" s="119">
        <f t="shared" si="222"/>
        <v>810989.33333333337</v>
      </c>
      <c r="L189" s="119">
        <f t="shared" si="223"/>
        <v>826893.25</v>
      </c>
      <c r="M189" s="119">
        <f t="shared" si="224"/>
        <v>842797.16666666663</v>
      </c>
      <c r="N189" s="119">
        <f t="shared" si="225"/>
        <v>858701.08333333326</v>
      </c>
      <c r="O189" s="119">
        <f t="shared" si="226"/>
        <v>874605</v>
      </c>
      <c r="P189" s="119">
        <f t="shared" si="227"/>
        <v>779181.5</v>
      </c>
    </row>
    <row r="190" spans="1:17" x14ac:dyDescent="0.3">
      <c r="A190" s="115">
        <v>2012</v>
      </c>
      <c r="B190" s="119">
        <v>983281</v>
      </c>
      <c r="C190" s="119">
        <f t="shared" si="214"/>
        <v>983281</v>
      </c>
      <c r="D190" s="119">
        <f t="shared" si="215"/>
        <v>883661.33333333337</v>
      </c>
      <c r="E190" s="119">
        <f t="shared" si="216"/>
        <v>892717.66666666663</v>
      </c>
      <c r="F190" s="119">
        <f t="shared" si="217"/>
        <v>901774</v>
      </c>
      <c r="G190" s="119">
        <f t="shared" si="218"/>
        <v>910830.33333333337</v>
      </c>
      <c r="H190" s="119">
        <f t="shared" si="219"/>
        <v>919886.66666666663</v>
      </c>
      <c r="I190" s="119">
        <f t="shared" si="220"/>
        <v>928943</v>
      </c>
      <c r="J190" s="119">
        <f t="shared" si="221"/>
        <v>937999.33333333337</v>
      </c>
      <c r="K190" s="119">
        <f t="shared" si="222"/>
        <v>947055.66666666663</v>
      </c>
      <c r="L190" s="119">
        <f t="shared" si="223"/>
        <v>956112</v>
      </c>
      <c r="M190" s="119">
        <f t="shared" si="224"/>
        <v>965168.33333333337</v>
      </c>
      <c r="N190" s="119">
        <f t="shared" si="225"/>
        <v>974224.66666666663</v>
      </c>
      <c r="O190" s="119">
        <f t="shared" si="226"/>
        <v>983281</v>
      </c>
      <c r="P190" s="119">
        <f t="shared" si="227"/>
        <v>928943</v>
      </c>
    </row>
    <row r="191" spans="1:17" x14ac:dyDescent="0.3">
      <c r="A191" s="115">
        <v>2013</v>
      </c>
      <c r="B191" s="119">
        <v>1077544</v>
      </c>
      <c r="C191" s="119">
        <f t="shared" si="214"/>
        <v>1077544</v>
      </c>
      <c r="D191" s="119">
        <f t="shared" si="215"/>
        <v>991136.25</v>
      </c>
      <c r="E191" s="119">
        <f t="shared" si="216"/>
        <v>998991.5</v>
      </c>
      <c r="F191" s="119">
        <f t="shared" si="217"/>
        <v>1006846.75</v>
      </c>
      <c r="G191" s="119">
        <f t="shared" si="218"/>
        <v>1014702</v>
      </c>
      <c r="H191" s="119">
        <f t="shared" si="219"/>
        <v>1022557.25</v>
      </c>
      <c r="I191" s="119">
        <f t="shared" si="220"/>
        <v>1030412.5</v>
      </c>
      <c r="J191" s="119">
        <f t="shared" si="221"/>
        <v>1038267.75</v>
      </c>
      <c r="K191" s="119">
        <f t="shared" si="222"/>
        <v>1046123</v>
      </c>
      <c r="L191" s="119">
        <f t="shared" si="223"/>
        <v>1053978.25</v>
      </c>
      <c r="M191" s="119">
        <f t="shared" si="224"/>
        <v>1061833.5</v>
      </c>
      <c r="N191" s="119">
        <f t="shared" si="225"/>
        <v>1069688.75</v>
      </c>
      <c r="O191" s="119">
        <f t="shared" si="226"/>
        <v>1077544</v>
      </c>
      <c r="P191" s="119">
        <f t="shared" si="227"/>
        <v>1030412.5</v>
      </c>
    </row>
    <row r="192" spans="1:17" x14ac:dyDescent="0.3">
      <c r="A192" s="115">
        <v>2014</v>
      </c>
      <c r="B192" s="119">
        <v>1058702</v>
      </c>
      <c r="C192" s="119">
        <f t="shared" si="214"/>
        <v>1058702</v>
      </c>
      <c r="D192" s="119">
        <f t="shared" si="215"/>
        <v>1075973.8333333333</v>
      </c>
      <c r="E192" s="119">
        <f t="shared" si="216"/>
        <v>1074403.6666666667</v>
      </c>
      <c r="F192" s="119">
        <f t="shared" si="217"/>
        <v>1072833.5</v>
      </c>
      <c r="G192" s="119">
        <f t="shared" si="218"/>
        <v>1071263.3333333333</v>
      </c>
      <c r="H192" s="119">
        <f t="shared" si="219"/>
        <v>1069693.1666666667</v>
      </c>
      <c r="I192" s="119">
        <f t="shared" si="220"/>
        <v>1068123</v>
      </c>
      <c r="J192" s="119">
        <f t="shared" si="221"/>
        <v>1066552.8333333333</v>
      </c>
      <c r="K192" s="119">
        <f t="shared" si="222"/>
        <v>1064982.6666666667</v>
      </c>
      <c r="L192" s="119">
        <f t="shared" si="223"/>
        <v>1063412.5</v>
      </c>
      <c r="M192" s="119">
        <f t="shared" si="224"/>
        <v>1061842.3333333333</v>
      </c>
      <c r="N192" s="119">
        <f t="shared" si="225"/>
        <v>1060272.1666666667</v>
      </c>
      <c r="O192" s="119">
        <f t="shared" si="226"/>
        <v>1058702</v>
      </c>
      <c r="P192" s="119">
        <f t="shared" si="227"/>
        <v>1068123</v>
      </c>
    </row>
    <row r="193" spans="1:17" x14ac:dyDescent="0.3">
      <c r="A193" s="115">
        <v>2015</v>
      </c>
      <c r="B193" s="119">
        <v>1000066.75</v>
      </c>
      <c r="C193" s="119">
        <f t="shared" si="214"/>
        <v>1000066.75</v>
      </c>
      <c r="D193" s="119">
        <f t="shared" si="215"/>
        <v>1053815.7291666667</v>
      </c>
      <c r="E193" s="119">
        <f t="shared" si="216"/>
        <v>1048929.4583333333</v>
      </c>
      <c r="F193" s="119">
        <f t="shared" si="217"/>
        <v>1044043.1875</v>
      </c>
      <c r="G193" s="119">
        <f t="shared" si="218"/>
        <v>1039156.9166666666</v>
      </c>
      <c r="H193" s="119">
        <f t="shared" si="219"/>
        <v>1034270.6458333334</v>
      </c>
      <c r="I193" s="119">
        <f t="shared" si="220"/>
        <v>1029384.375</v>
      </c>
      <c r="J193" s="119">
        <f t="shared" si="221"/>
        <v>1024498.1041666666</v>
      </c>
      <c r="K193" s="119">
        <f t="shared" si="222"/>
        <v>1019611.8333333334</v>
      </c>
      <c r="L193" s="119">
        <f t="shared" si="223"/>
        <v>1014725.5625</v>
      </c>
      <c r="M193" s="119">
        <f t="shared" si="224"/>
        <v>1009839.2916666666</v>
      </c>
      <c r="N193" s="119">
        <f t="shared" si="225"/>
        <v>1004953.0208333334</v>
      </c>
      <c r="O193" s="119">
        <f t="shared" si="226"/>
        <v>1000066.75</v>
      </c>
      <c r="P193" s="119">
        <f t="shared" si="227"/>
        <v>1029384.375</v>
      </c>
    </row>
    <row r="194" spans="1:17" x14ac:dyDescent="0.3">
      <c r="A194" s="115">
        <v>2016</v>
      </c>
      <c r="B194" s="119">
        <v>936918</v>
      </c>
      <c r="C194" s="119">
        <f t="shared" si="214"/>
        <v>936918</v>
      </c>
      <c r="D194" s="119">
        <f t="shared" si="215"/>
        <v>994804.35416666663</v>
      </c>
      <c r="E194" s="119">
        <f t="shared" si="216"/>
        <v>989541.95833333337</v>
      </c>
      <c r="F194" s="119">
        <f t="shared" si="217"/>
        <v>984279.5625</v>
      </c>
      <c r="G194" s="119">
        <f t="shared" si="218"/>
        <v>979017.16666666663</v>
      </c>
      <c r="H194" s="119">
        <f t="shared" si="219"/>
        <v>973754.77083333337</v>
      </c>
      <c r="I194" s="119">
        <f t="shared" si="220"/>
        <v>968492.375</v>
      </c>
      <c r="J194" s="119">
        <f t="shared" si="221"/>
        <v>963229.97916666663</v>
      </c>
      <c r="K194" s="119">
        <f t="shared" si="222"/>
        <v>957967.58333333337</v>
      </c>
      <c r="L194" s="119">
        <f t="shared" si="223"/>
        <v>952705.1875</v>
      </c>
      <c r="M194" s="119">
        <f t="shared" si="224"/>
        <v>947442.79166666663</v>
      </c>
      <c r="N194" s="119">
        <f t="shared" si="225"/>
        <v>942180.39583333337</v>
      </c>
      <c r="O194" s="119">
        <f t="shared" si="226"/>
        <v>936918</v>
      </c>
      <c r="P194" s="119">
        <f t="shared" ref="P194" si="228">((C193+O194)+2*(SUM(D194:N194)))/24</f>
        <v>968492.375</v>
      </c>
      <c r="Q194" s="119">
        <f>((L193+L194)+2*(SUM(D194:K194)+SUM(M193:O193)))/24</f>
        <v>984138.515625</v>
      </c>
    </row>
    <row r="195" spans="1:17" x14ac:dyDescent="0.3"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</row>
    <row r="196" spans="1:17" x14ac:dyDescent="0.3">
      <c r="A196" s="120" t="s">
        <v>139</v>
      </c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0"/>
    </row>
    <row r="197" spans="1:17" x14ac:dyDescent="0.3">
      <c r="A197" s="115">
        <v>2008</v>
      </c>
      <c r="B197" s="119">
        <v>70005.39</v>
      </c>
      <c r="C197" s="119">
        <f t="shared" ref="C197:C205" si="229">B197</f>
        <v>70005.39</v>
      </c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</row>
    <row r="198" spans="1:17" x14ac:dyDescent="0.3">
      <c r="A198" s="115">
        <v>2009</v>
      </c>
      <c r="B198" s="119">
        <f>3323.87+212129.03</f>
        <v>215452.9</v>
      </c>
      <c r="C198" s="119">
        <f t="shared" si="229"/>
        <v>215452.9</v>
      </c>
      <c r="D198" s="119">
        <f t="shared" ref="D198:D205" si="230">(B198-B197)/12*1+B197</f>
        <v>82126.015833333338</v>
      </c>
      <c r="E198" s="119">
        <f t="shared" ref="E198:E205" si="231">(B198-B197)/12*2+B197</f>
        <v>94246.641666666663</v>
      </c>
      <c r="F198" s="119">
        <f t="shared" ref="F198:F205" si="232">(B198-B197)/12*3+B197</f>
        <v>106367.2675</v>
      </c>
      <c r="G198" s="119">
        <f t="shared" ref="G198:G205" si="233">(B198-B197)/12*4+B197</f>
        <v>118487.89333333334</v>
      </c>
      <c r="H198" s="119">
        <f t="shared" ref="H198:H205" si="234">(B198-B197)/12*5+B197</f>
        <v>130608.51916666667</v>
      </c>
      <c r="I198" s="119">
        <f t="shared" ref="I198:I205" si="235">(B198-B197)/12*6+B197</f>
        <v>142729.14500000002</v>
      </c>
      <c r="J198" s="119">
        <f t="shared" ref="J198:J205" si="236">(B198-B197)/12*7+B197</f>
        <v>154849.77083333331</v>
      </c>
      <c r="K198" s="119">
        <f t="shared" ref="K198:K205" si="237">(B198-B197)/12*8+B197</f>
        <v>166970.39666666667</v>
      </c>
      <c r="L198" s="119">
        <f t="shared" ref="L198:L205" si="238">(B198-B197)/12*9+B197</f>
        <v>179091.02250000002</v>
      </c>
      <c r="M198" s="119">
        <f t="shared" ref="M198:M205" si="239">(B198-B197)/12*10+B197</f>
        <v>191211.64833333332</v>
      </c>
      <c r="N198" s="119">
        <f t="shared" ref="N198:N205" si="240">(B198-B197)/12*11+B197</f>
        <v>203332.27416666667</v>
      </c>
      <c r="O198" s="119">
        <f t="shared" ref="O198:O205" si="241">+B198</f>
        <v>215452.9</v>
      </c>
      <c r="P198" s="119">
        <f t="shared" ref="P198:P205" si="242">((C197+O198)+2*(SUM(D198:N198)))/24</f>
        <v>142729.14499999999</v>
      </c>
    </row>
    <row r="199" spans="1:17" x14ac:dyDescent="0.3">
      <c r="A199" s="115">
        <v>2010</v>
      </c>
      <c r="B199" s="119">
        <f>2974+1284582</f>
        <v>1287556</v>
      </c>
      <c r="C199" s="119">
        <f t="shared" si="229"/>
        <v>1287556</v>
      </c>
      <c r="D199" s="119">
        <f t="shared" si="230"/>
        <v>304794.82500000001</v>
      </c>
      <c r="E199" s="119">
        <f t="shared" si="231"/>
        <v>394136.75</v>
      </c>
      <c r="F199" s="119">
        <f t="shared" si="232"/>
        <v>483478.67500000005</v>
      </c>
      <c r="G199" s="119">
        <f t="shared" si="233"/>
        <v>572820.6</v>
      </c>
      <c r="H199" s="119">
        <f t="shared" si="234"/>
        <v>662162.52500000002</v>
      </c>
      <c r="I199" s="119">
        <f t="shared" si="235"/>
        <v>751504.45000000007</v>
      </c>
      <c r="J199" s="119">
        <f t="shared" si="236"/>
        <v>840846.375</v>
      </c>
      <c r="K199" s="119">
        <f t="shared" si="237"/>
        <v>930188.3</v>
      </c>
      <c r="L199" s="119">
        <f t="shared" si="238"/>
        <v>1019530.2250000001</v>
      </c>
      <c r="M199" s="119">
        <f t="shared" si="239"/>
        <v>1108872.1499999999</v>
      </c>
      <c r="N199" s="119">
        <f t="shared" si="240"/>
        <v>1198214.075</v>
      </c>
      <c r="O199" s="119">
        <f t="shared" si="241"/>
        <v>1287556</v>
      </c>
      <c r="P199" s="119">
        <f t="shared" si="242"/>
        <v>751504.45000000007</v>
      </c>
    </row>
    <row r="200" spans="1:17" x14ac:dyDescent="0.3">
      <c r="A200" s="115">
        <v>2011</v>
      </c>
      <c r="B200" s="119">
        <v>1415030</v>
      </c>
      <c r="C200" s="119">
        <f t="shared" si="229"/>
        <v>1415030</v>
      </c>
      <c r="D200" s="119">
        <f t="shared" si="230"/>
        <v>1298178.8333333333</v>
      </c>
      <c r="E200" s="119">
        <f t="shared" si="231"/>
        <v>1308801.6666666667</v>
      </c>
      <c r="F200" s="119">
        <f t="shared" si="232"/>
        <v>1319424.5</v>
      </c>
      <c r="G200" s="119">
        <f t="shared" si="233"/>
        <v>1330047.3333333333</v>
      </c>
      <c r="H200" s="119">
        <f t="shared" si="234"/>
        <v>1340670.1666666667</v>
      </c>
      <c r="I200" s="119">
        <f t="shared" si="235"/>
        <v>1351293</v>
      </c>
      <c r="J200" s="119">
        <f t="shared" si="236"/>
        <v>1361915.8333333333</v>
      </c>
      <c r="K200" s="119">
        <f t="shared" si="237"/>
        <v>1372538.6666666667</v>
      </c>
      <c r="L200" s="119">
        <f t="shared" si="238"/>
        <v>1383161.5</v>
      </c>
      <c r="M200" s="119">
        <f t="shared" si="239"/>
        <v>1393784.3333333333</v>
      </c>
      <c r="N200" s="119">
        <f t="shared" si="240"/>
        <v>1404407.1666666667</v>
      </c>
      <c r="O200" s="119">
        <f t="shared" si="241"/>
        <v>1415030</v>
      </c>
      <c r="P200" s="119">
        <f t="shared" si="242"/>
        <v>1351293</v>
      </c>
    </row>
    <row r="201" spans="1:17" x14ac:dyDescent="0.3">
      <c r="A201" s="115">
        <v>2012</v>
      </c>
      <c r="B201" s="119">
        <v>1737157</v>
      </c>
      <c r="C201" s="119">
        <f t="shared" si="229"/>
        <v>1737157</v>
      </c>
      <c r="D201" s="119">
        <f t="shared" si="230"/>
        <v>1441873.9166666667</v>
      </c>
      <c r="E201" s="119">
        <f t="shared" si="231"/>
        <v>1468717.8333333333</v>
      </c>
      <c r="F201" s="119">
        <f t="shared" si="232"/>
        <v>1495561.75</v>
      </c>
      <c r="G201" s="119">
        <f t="shared" si="233"/>
        <v>1522405.6666666667</v>
      </c>
      <c r="H201" s="119">
        <f t="shared" si="234"/>
        <v>1549249.5833333333</v>
      </c>
      <c r="I201" s="119">
        <f t="shared" si="235"/>
        <v>1576093.5</v>
      </c>
      <c r="J201" s="119">
        <f t="shared" si="236"/>
        <v>1602937.4166666667</v>
      </c>
      <c r="K201" s="119">
        <f t="shared" si="237"/>
        <v>1629781.3333333333</v>
      </c>
      <c r="L201" s="119">
        <f t="shared" si="238"/>
        <v>1656625.25</v>
      </c>
      <c r="M201" s="119">
        <f t="shared" si="239"/>
        <v>1683469.1666666667</v>
      </c>
      <c r="N201" s="119">
        <f t="shared" si="240"/>
        <v>1710313.0833333335</v>
      </c>
      <c r="O201" s="119">
        <f t="shared" si="241"/>
        <v>1737157</v>
      </c>
      <c r="P201" s="119">
        <f t="shared" si="242"/>
        <v>1576093.5</v>
      </c>
    </row>
    <row r="202" spans="1:17" x14ac:dyDescent="0.3">
      <c r="A202" s="115">
        <v>2013</v>
      </c>
      <c r="B202" s="119">
        <v>2189415</v>
      </c>
      <c r="C202" s="119">
        <f t="shared" si="229"/>
        <v>2189415</v>
      </c>
      <c r="D202" s="119">
        <f t="shared" si="230"/>
        <v>1774845.1666666667</v>
      </c>
      <c r="E202" s="119">
        <f t="shared" si="231"/>
        <v>1812533.3333333333</v>
      </c>
      <c r="F202" s="119">
        <f t="shared" si="232"/>
        <v>1850221.5</v>
      </c>
      <c r="G202" s="119">
        <f t="shared" si="233"/>
        <v>1887909.6666666667</v>
      </c>
      <c r="H202" s="119">
        <f t="shared" si="234"/>
        <v>1925597.8333333333</v>
      </c>
      <c r="I202" s="119">
        <f t="shared" si="235"/>
        <v>1963286</v>
      </c>
      <c r="J202" s="119">
        <f t="shared" si="236"/>
        <v>2000974.1666666665</v>
      </c>
      <c r="K202" s="119">
        <f t="shared" si="237"/>
        <v>2038662.3333333333</v>
      </c>
      <c r="L202" s="119">
        <f t="shared" si="238"/>
        <v>2076350.5</v>
      </c>
      <c r="M202" s="119">
        <f t="shared" si="239"/>
        <v>2114038.6666666665</v>
      </c>
      <c r="N202" s="119">
        <f t="shared" si="240"/>
        <v>2151726.8333333335</v>
      </c>
      <c r="O202" s="119">
        <f t="shared" si="241"/>
        <v>2189415</v>
      </c>
      <c r="P202" s="119">
        <f t="shared" si="242"/>
        <v>1963286</v>
      </c>
    </row>
    <row r="203" spans="1:17" x14ac:dyDescent="0.3">
      <c r="A203" s="115">
        <v>2014</v>
      </c>
      <c r="B203" s="119">
        <v>2189420.84</v>
      </c>
      <c r="C203" s="119">
        <f t="shared" si="229"/>
        <v>2189420.84</v>
      </c>
      <c r="D203" s="119">
        <f t="shared" si="230"/>
        <v>2189415.4866666668</v>
      </c>
      <c r="E203" s="119">
        <f t="shared" si="231"/>
        <v>2189415.9733333332</v>
      </c>
      <c r="F203" s="119">
        <f t="shared" si="232"/>
        <v>2189416.46</v>
      </c>
      <c r="G203" s="119">
        <f t="shared" si="233"/>
        <v>2189416.9466666668</v>
      </c>
      <c r="H203" s="119">
        <f t="shared" si="234"/>
        <v>2189417.4333333331</v>
      </c>
      <c r="I203" s="119">
        <f t="shared" si="235"/>
        <v>2189417.92</v>
      </c>
      <c r="J203" s="119">
        <f t="shared" si="236"/>
        <v>2189418.4066666667</v>
      </c>
      <c r="K203" s="119">
        <f t="shared" si="237"/>
        <v>2189418.8933333331</v>
      </c>
      <c r="L203" s="119">
        <f t="shared" si="238"/>
        <v>2189419.38</v>
      </c>
      <c r="M203" s="119">
        <f t="shared" si="239"/>
        <v>2189419.8666666667</v>
      </c>
      <c r="N203" s="119">
        <f t="shared" si="240"/>
        <v>2189420.353333333</v>
      </c>
      <c r="O203" s="119">
        <f t="shared" si="241"/>
        <v>2189420.84</v>
      </c>
      <c r="P203" s="119">
        <f t="shared" si="242"/>
        <v>2189417.92</v>
      </c>
    </row>
    <row r="204" spans="1:17" x14ac:dyDescent="0.3">
      <c r="A204" s="115">
        <v>2015</v>
      </c>
      <c r="B204" s="119">
        <v>2271639.08</v>
      </c>
      <c r="C204" s="119">
        <f t="shared" si="229"/>
        <v>2271639.08</v>
      </c>
      <c r="D204" s="119">
        <f t="shared" si="230"/>
        <v>2196272.36</v>
      </c>
      <c r="E204" s="119">
        <f t="shared" si="231"/>
        <v>2203123.88</v>
      </c>
      <c r="F204" s="119">
        <f t="shared" si="232"/>
        <v>2209975.4</v>
      </c>
      <c r="G204" s="119">
        <f t="shared" si="233"/>
        <v>2216826.92</v>
      </c>
      <c r="H204" s="119">
        <f t="shared" si="234"/>
        <v>2223678.44</v>
      </c>
      <c r="I204" s="119">
        <f t="shared" si="235"/>
        <v>2230529.96</v>
      </c>
      <c r="J204" s="119">
        <f t="shared" si="236"/>
        <v>2237381.48</v>
      </c>
      <c r="K204" s="119">
        <f t="shared" si="237"/>
        <v>2244233</v>
      </c>
      <c r="L204" s="119">
        <f t="shared" si="238"/>
        <v>2251084.52</v>
      </c>
      <c r="M204" s="119">
        <f t="shared" si="239"/>
        <v>2257936.04</v>
      </c>
      <c r="N204" s="119">
        <f t="shared" si="240"/>
        <v>2264787.56</v>
      </c>
      <c r="O204" s="119">
        <f t="shared" si="241"/>
        <v>2271639.08</v>
      </c>
      <c r="P204" s="119">
        <f t="shared" si="242"/>
        <v>2230529.96</v>
      </c>
    </row>
    <row r="205" spans="1:17" x14ac:dyDescent="0.3">
      <c r="A205" s="115">
        <v>2016</v>
      </c>
      <c r="B205" s="119">
        <v>2753707</v>
      </c>
      <c r="C205" s="119">
        <f t="shared" si="229"/>
        <v>2753707</v>
      </c>
      <c r="D205" s="119">
        <f t="shared" si="230"/>
        <v>2311811.4066666667</v>
      </c>
      <c r="E205" s="119">
        <f t="shared" si="231"/>
        <v>2351983.7333333334</v>
      </c>
      <c r="F205" s="119">
        <f t="shared" si="232"/>
        <v>2392156.06</v>
      </c>
      <c r="G205" s="119">
        <f t="shared" si="233"/>
        <v>2432328.3866666667</v>
      </c>
      <c r="H205" s="119">
        <f t="shared" si="234"/>
        <v>2472500.7133333334</v>
      </c>
      <c r="I205" s="119">
        <f t="shared" si="235"/>
        <v>2512673.04</v>
      </c>
      <c r="J205" s="119">
        <f t="shared" si="236"/>
        <v>2552845.3666666667</v>
      </c>
      <c r="K205" s="119">
        <f t="shared" si="237"/>
        <v>2593017.6933333334</v>
      </c>
      <c r="L205" s="119">
        <f t="shared" si="238"/>
        <v>2633190.02</v>
      </c>
      <c r="M205" s="119">
        <f t="shared" si="239"/>
        <v>2673362.3466666667</v>
      </c>
      <c r="N205" s="119">
        <f t="shared" si="240"/>
        <v>2713534.6733333333</v>
      </c>
      <c r="O205" s="119">
        <f t="shared" si="241"/>
        <v>2753707</v>
      </c>
      <c r="P205" s="119">
        <f t="shared" si="242"/>
        <v>2512673.0399999996</v>
      </c>
      <c r="Q205" s="119">
        <f>((L204+L205)+2*(SUM(D205:K205)+SUM(M204:O204)))/24</f>
        <v>2404651.3624999998</v>
      </c>
    </row>
    <row r="207" spans="1:17" x14ac:dyDescent="0.3">
      <c r="A207" s="120" t="s">
        <v>140</v>
      </c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0"/>
    </row>
    <row r="208" spans="1:17" x14ac:dyDescent="0.3">
      <c r="A208" s="115">
        <v>2008</v>
      </c>
      <c r="B208" s="119">
        <f>4594.56-3585574.25</f>
        <v>-3580979.69</v>
      </c>
      <c r="C208" s="119">
        <f t="shared" ref="C208:C216" si="243">B208</f>
        <v>-3580979.69</v>
      </c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</row>
    <row r="209" spans="1:17" x14ac:dyDescent="0.3">
      <c r="A209" s="115">
        <v>2009</v>
      </c>
      <c r="B209" s="119">
        <f>1885325.76-1362569.69</f>
        <v>522756.07000000007</v>
      </c>
      <c r="C209" s="119">
        <f t="shared" si="243"/>
        <v>522756.07000000007</v>
      </c>
      <c r="D209" s="119">
        <f t="shared" ref="D209:D216" si="244">(B209-B208)/12*1+B208</f>
        <v>-3239001.71</v>
      </c>
      <c r="E209" s="119">
        <f t="shared" ref="E209:E216" si="245">(B209-B208)/12*2+B208</f>
        <v>-2897023.73</v>
      </c>
      <c r="F209" s="119">
        <f t="shared" ref="F209:F216" si="246">(B209-B208)/12*3+B208</f>
        <v>-2555045.75</v>
      </c>
      <c r="G209" s="119">
        <f t="shared" ref="G209:G216" si="247">(B209-B208)/12*4+B208</f>
        <v>-2213067.77</v>
      </c>
      <c r="H209" s="119">
        <f t="shared" ref="H209:H216" si="248">(B209-B208)/12*5+B208</f>
        <v>-1871089.79</v>
      </c>
      <c r="I209" s="119">
        <f t="shared" ref="I209:I216" si="249">(B209-B208)/12*6+B208</f>
        <v>-1529111.81</v>
      </c>
      <c r="J209" s="119">
        <f t="shared" ref="J209:J216" si="250">(B209-B208)/12*7+B208</f>
        <v>-1187133.83</v>
      </c>
      <c r="K209" s="119">
        <f t="shared" ref="K209:K216" si="251">(B209-B208)/12*8+B208</f>
        <v>-845155.85000000009</v>
      </c>
      <c r="L209" s="119">
        <f t="shared" ref="L209:L216" si="252">(B209-B208)/12*9+B208</f>
        <v>-503177.87000000011</v>
      </c>
      <c r="M209" s="119">
        <f t="shared" ref="M209:M216" si="253">(B209-B208)/12*10+B208</f>
        <v>-161199.89000000013</v>
      </c>
      <c r="N209" s="119">
        <f t="shared" ref="N209:N216" si="254">(B209-B208)/12*11+B208</f>
        <v>180778.08999999985</v>
      </c>
      <c r="O209" s="119">
        <f t="shared" ref="O209:O216" si="255">+B209</f>
        <v>522756.07000000007</v>
      </c>
      <c r="P209" s="119">
        <f t="shared" ref="P209:P215" si="256">((C208+O209)+2*(SUM(D209:N209)))/24</f>
        <v>-1529111.8099999998</v>
      </c>
    </row>
    <row r="210" spans="1:17" x14ac:dyDescent="0.3">
      <c r="A210" s="115">
        <v>2010</v>
      </c>
      <c r="B210" s="119">
        <f>1870524+6347540</f>
        <v>8218064</v>
      </c>
      <c r="C210" s="119">
        <f t="shared" si="243"/>
        <v>8218064</v>
      </c>
      <c r="D210" s="119">
        <f t="shared" si="244"/>
        <v>1164031.7308333335</v>
      </c>
      <c r="E210" s="119">
        <f t="shared" si="245"/>
        <v>1805307.3916666666</v>
      </c>
      <c r="F210" s="119">
        <f t="shared" si="246"/>
        <v>2446583.0525000002</v>
      </c>
      <c r="G210" s="119">
        <f t="shared" si="247"/>
        <v>3087858.7133333329</v>
      </c>
      <c r="H210" s="119">
        <f t="shared" si="248"/>
        <v>3729134.3741666665</v>
      </c>
      <c r="I210" s="119">
        <f t="shared" si="249"/>
        <v>4370410.0350000001</v>
      </c>
      <c r="J210" s="119">
        <f t="shared" si="250"/>
        <v>5011685.6958333328</v>
      </c>
      <c r="K210" s="119">
        <f t="shared" si="251"/>
        <v>5652961.3566666665</v>
      </c>
      <c r="L210" s="119">
        <f t="shared" si="252"/>
        <v>6294237.0175000001</v>
      </c>
      <c r="M210" s="119">
        <f t="shared" si="253"/>
        <v>6935512.6783333328</v>
      </c>
      <c r="N210" s="119">
        <f t="shared" si="254"/>
        <v>7576788.3391666664</v>
      </c>
      <c r="O210" s="119">
        <f t="shared" si="255"/>
        <v>8218064</v>
      </c>
      <c r="P210" s="119">
        <f t="shared" si="256"/>
        <v>4370410.0350000001</v>
      </c>
    </row>
    <row r="211" spans="1:17" x14ac:dyDescent="0.3">
      <c r="A211" s="115">
        <v>2011</v>
      </c>
      <c r="B211" s="119">
        <v>10973353</v>
      </c>
      <c r="C211" s="119">
        <f t="shared" si="243"/>
        <v>10973353</v>
      </c>
      <c r="D211" s="119">
        <f t="shared" si="244"/>
        <v>8447671.416666666</v>
      </c>
      <c r="E211" s="119">
        <f t="shared" si="245"/>
        <v>8677278.833333334</v>
      </c>
      <c r="F211" s="119">
        <f t="shared" si="246"/>
        <v>8906886.25</v>
      </c>
      <c r="G211" s="119">
        <f t="shared" si="247"/>
        <v>9136493.666666666</v>
      </c>
      <c r="H211" s="119">
        <f t="shared" si="248"/>
        <v>9366101.083333334</v>
      </c>
      <c r="I211" s="119">
        <f t="shared" si="249"/>
        <v>9595708.5</v>
      </c>
      <c r="J211" s="119">
        <f t="shared" si="250"/>
        <v>9825315.916666666</v>
      </c>
      <c r="K211" s="119">
        <f t="shared" si="251"/>
        <v>10054923.333333334</v>
      </c>
      <c r="L211" s="119">
        <f t="shared" si="252"/>
        <v>10284530.75</v>
      </c>
      <c r="M211" s="119">
        <f t="shared" si="253"/>
        <v>10514138.166666666</v>
      </c>
      <c r="N211" s="119">
        <f t="shared" si="254"/>
        <v>10743745.583333332</v>
      </c>
      <c r="O211" s="119">
        <f t="shared" si="255"/>
        <v>10973353</v>
      </c>
      <c r="P211" s="119">
        <f t="shared" si="256"/>
        <v>9595708.5</v>
      </c>
    </row>
    <row r="212" spans="1:17" ht="15" customHeight="1" x14ac:dyDescent="0.3">
      <c r="A212" s="115">
        <v>2012</v>
      </c>
      <c r="B212" s="119">
        <v>12882081</v>
      </c>
      <c r="C212" s="119">
        <f t="shared" si="243"/>
        <v>12882081</v>
      </c>
      <c r="D212" s="119">
        <f t="shared" si="244"/>
        <v>11132413.666666666</v>
      </c>
      <c r="E212" s="119">
        <f t="shared" si="245"/>
        <v>11291474.333333334</v>
      </c>
      <c r="F212" s="119">
        <f t="shared" si="246"/>
        <v>11450535</v>
      </c>
      <c r="G212" s="119">
        <f t="shared" si="247"/>
        <v>11609595.666666666</v>
      </c>
      <c r="H212" s="119">
        <f t="shared" si="248"/>
        <v>11768656.333333334</v>
      </c>
      <c r="I212" s="119">
        <f t="shared" si="249"/>
        <v>11927717</v>
      </c>
      <c r="J212" s="119">
        <f t="shared" si="250"/>
        <v>12086777.666666666</v>
      </c>
      <c r="K212" s="119">
        <f t="shared" si="251"/>
        <v>12245838.333333334</v>
      </c>
      <c r="L212" s="119">
        <f t="shared" si="252"/>
        <v>12404899</v>
      </c>
      <c r="M212" s="119">
        <f t="shared" si="253"/>
        <v>12563959.666666666</v>
      </c>
      <c r="N212" s="119">
        <f t="shared" si="254"/>
        <v>12723020.333333334</v>
      </c>
      <c r="O212" s="119">
        <f t="shared" si="255"/>
        <v>12882081</v>
      </c>
      <c r="P212" s="119">
        <f t="shared" si="256"/>
        <v>11927717</v>
      </c>
    </row>
    <row r="213" spans="1:17" x14ac:dyDescent="0.3">
      <c r="A213" s="115">
        <v>2013</v>
      </c>
      <c r="B213" s="119">
        <v>15333544</v>
      </c>
      <c r="C213" s="119">
        <f t="shared" si="243"/>
        <v>15333544</v>
      </c>
      <c r="D213" s="119">
        <f t="shared" si="244"/>
        <v>13086369.583333334</v>
      </c>
      <c r="E213" s="119">
        <f t="shared" si="245"/>
        <v>13290658.166666666</v>
      </c>
      <c r="F213" s="119">
        <f t="shared" si="246"/>
        <v>13494946.75</v>
      </c>
      <c r="G213" s="119">
        <f t="shared" si="247"/>
        <v>13699235.333333334</v>
      </c>
      <c r="H213" s="119">
        <f t="shared" si="248"/>
        <v>13903523.916666666</v>
      </c>
      <c r="I213" s="119">
        <f t="shared" si="249"/>
        <v>14107812.5</v>
      </c>
      <c r="J213" s="119">
        <f t="shared" si="250"/>
        <v>14312101.083333334</v>
      </c>
      <c r="K213" s="119">
        <f t="shared" si="251"/>
        <v>14516389.666666666</v>
      </c>
      <c r="L213" s="119">
        <f t="shared" si="252"/>
        <v>14720678.25</v>
      </c>
      <c r="M213" s="119">
        <f t="shared" si="253"/>
        <v>14924966.833333334</v>
      </c>
      <c r="N213" s="119">
        <f t="shared" si="254"/>
        <v>15129255.416666668</v>
      </c>
      <c r="O213" s="119">
        <f t="shared" si="255"/>
        <v>15333544</v>
      </c>
      <c r="P213" s="119">
        <f t="shared" si="256"/>
        <v>14107812.5</v>
      </c>
    </row>
    <row r="214" spans="1:17" x14ac:dyDescent="0.3">
      <c r="A214" s="115">
        <v>2014</v>
      </c>
      <c r="B214" s="119">
        <v>17437289.059999999</v>
      </c>
      <c r="C214" s="119">
        <f t="shared" si="243"/>
        <v>17437289.059999999</v>
      </c>
      <c r="D214" s="119">
        <f t="shared" si="244"/>
        <v>15508856.088333333</v>
      </c>
      <c r="E214" s="119">
        <f t="shared" si="245"/>
        <v>15684168.176666666</v>
      </c>
      <c r="F214" s="119">
        <f t="shared" si="246"/>
        <v>15859480.265000001</v>
      </c>
      <c r="G214" s="119">
        <f t="shared" si="247"/>
        <v>16034792.353333334</v>
      </c>
      <c r="H214" s="119">
        <f t="shared" si="248"/>
        <v>16210104.441666666</v>
      </c>
      <c r="I214" s="119">
        <f t="shared" si="249"/>
        <v>16385416.529999999</v>
      </c>
      <c r="J214" s="119">
        <f t="shared" si="250"/>
        <v>16560728.618333332</v>
      </c>
      <c r="K214" s="119">
        <f t="shared" si="251"/>
        <v>16736040.706666665</v>
      </c>
      <c r="L214" s="119">
        <f t="shared" si="252"/>
        <v>16911352.794999998</v>
      </c>
      <c r="M214" s="119">
        <f t="shared" si="253"/>
        <v>17086664.883333333</v>
      </c>
      <c r="N214" s="119">
        <f t="shared" si="254"/>
        <v>17261976.971666664</v>
      </c>
      <c r="O214" s="119">
        <f t="shared" si="255"/>
        <v>17437289.059999999</v>
      </c>
      <c r="P214" s="119">
        <f t="shared" si="256"/>
        <v>16385416.529999999</v>
      </c>
    </row>
    <row r="215" spans="1:17" x14ac:dyDescent="0.3">
      <c r="A215" s="115">
        <v>2015</v>
      </c>
      <c r="B215" s="119">
        <v>19060275.550000001</v>
      </c>
      <c r="C215" s="119">
        <f t="shared" si="243"/>
        <v>19060275.550000001</v>
      </c>
      <c r="D215" s="119">
        <f t="shared" si="244"/>
        <v>17572537.934166666</v>
      </c>
      <c r="E215" s="119">
        <f t="shared" si="245"/>
        <v>17707786.808333334</v>
      </c>
      <c r="F215" s="119">
        <f t="shared" si="246"/>
        <v>17843035.682499997</v>
      </c>
      <c r="G215" s="119">
        <f t="shared" si="247"/>
        <v>17978284.556666665</v>
      </c>
      <c r="H215" s="119">
        <f t="shared" si="248"/>
        <v>18113533.430833332</v>
      </c>
      <c r="I215" s="119">
        <f t="shared" si="249"/>
        <v>18248782.305</v>
      </c>
      <c r="J215" s="119">
        <f t="shared" si="250"/>
        <v>18384031.179166667</v>
      </c>
      <c r="K215" s="119">
        <f t="shared" si="251"/>
        <v>18519280.053333335</v>
      </c>
      <c r="L215" s="119">
        <f t="shared" si="252"/>
        <v>18654528.927500002</v>
      </c>
      <c r="M215" s="119">
        <f t="shared" si="253"/>
        <v>18789777.801666666</v>
      </c>
      <c r="N215" s="119">
        <f t="shared" si="254"/>
        <v>18925026.675833333</v>
      </c>
      <c r="O215" s="119">
        <f t="shared" si="255"/>
        <v>19060275.550000001</v>
      </c>
      <c r="P215" s="119">
        <f t="shared" si="256"/>
        <v>18248782.305000003</v>
      </c>
    </row>
    <row r="216" spans="1:17" x14ac:dyDescent="0.3">
      <c r="A216" s="115">
        <v>2016</v>
      </c>
      <c r="B216" s="119">
        <v>21633140</v>
      </c>
      <c r="C216" s="119">
        <f t="shared" si="243"/>
        <v>21633140</v>
      </c>
      <c r="D216" s="119">
        <f t="shared" si="244"/>
        <v>19274680.920833334</v>
      </c>
      <c r="E216" s="119">
        <f t="shared" si="245"/>
        <v>19489086.291666668</v>
      </c>
      <c r="F216" s="119">
        <f t="shared" si="246"/>
        <v>19703491.662500001</v>
      </c>
      <c r="G216" s="119">
        <f t="shared" si="247"/>
        <v>19917897.033333335</v>
      </c>
      <c r="H216" s="119">
        <f t="shared" si="248"/>
        <v>20132302.404166669</v>
      </c>
      <c r="I216" s="119">
        <f t="shared" si="249"/>
        <v>20346707.774999999</v>
      </c>
      <c r="J216" s="119">
        <f t="shared" si="250"/>
        <v>20561113.145833332</v>
      </c>
      <c r="K216" s="119">
        <f t="shared" si="251"/>
        <v>20775518.516666666</v>
      </c>
      <c r="L216" s="119">
        <f t="shared" si="252"/>
        <v>20989923.887499999</v>
      </c>
      <c r="M216" s="119">
        <f t="shared" si="253"/>
        <v>21204329.258333333</v>
      </c>
      <c r="N216" s="119">
        <f t="shared" si="254"/>
        <v>21418734.629166666</v>
      </c>
      <c r="O216" s="119">
        <f t="shared" si="255"/>
        <v>21633140</v>
      </c>
      <c r="P216" s="119">
        <f t="shared" ref="P216" si="257">((C215+O216)+2*(SUM(D216:N216)))/24</f>
        <v>20346707.774999999</v>
      </c>
      <c r="Q216" s="119">
        <f>((L215+L216)+2*(SUM(D216:K216)+SUM(M215:O215)))/24</f>
        <v>19733175.348749999</v>
      </c>
    </row>
    <row r="217" spans="1:17" x14ac:dyDescent="0.3"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1:17" x14ac:dyDescent="0.3">
      <c r="A218" s="120" t="s">
        <v>141</v>
      </c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0"/>
    </row>
    <row r="219" spans="1:17" x14ac:dyDescent="0.3">
      <c r="A219" s="115">
        <v>2008</v>
      </c>
      <c r="B219" s="119">
        <f>109.5+2162002.86</f>
        <v>2162112.36</v>
      </c>
      <c r="C219" s="119">
        <f t="shared" ref="C219:C227" si="258">B219</f>
        <v>2162112.36</v>
      </c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</row>
    <row r="220" spans="1:17" x14ac:dyDescent="0.3">
      <c r="A220" s="115">
        <v>2009</v>
      </c>
      <c r="B220" s="119">
        <f>1135.37-4831337.66</f>
        <v>-4830202.29</v>
      </c>
      <c r="C220" s="119">
        <f t="shared" si="258"/>
        <v>-4830202.29</v>
      </c>
      <c r="D220" s="119">
        <f t="shared" ref="D220:D227" si="259">(B220-B219)/12*1+B219</f>
        <v>1579419.4724999997</v>
      </c>
      <c r="E220" s="119">
        <f t="shared" ref="E220:E227" si="260">(B220-B219)/12*2+B219</f>
        <v>996726.58499999973</v>
      </c>
      <c r="F220" s="119">
        <f t="shared" ref="F220:F227" si="261">(B220-B219)/12*3+B219</f>
        <v>414033.69749999978</v>
      </c>
      <c r="G220" s="119">
        <f t="shared" ref="G220:G227" si="262">(B220-B219)/12*4+B219</f>
        <v>-168659.19000000041</v>
      </c>
      <c r="H220" s="119">
        <f t="shared" ref="H220:H227" si="263">(B220-B219)/12*5+B219</f>
        <v>-751352.0775000006</v>
      </c>
      <c r="I220" s="119">
        <f t="shared" ref="I220:I227" si="264">(B220-B219)/12*6+B219</f>
        <v>-1334044.9650000003</v>
      </c>
      <c r="J220" s="119">
        <f t="shared" ref="J220:J227" si="265">(B220-B219)/12*7+B219</f>
        <v>-1916737.8525000005</v>
      </c>
      <c r="K220" s="119">
        <f t="shared" ref="K220:K227" si="266">(B220-B219)/12*8+B219</f>
        <v>-2499430.7400000007</v>
      </c>
      <c r="L220" s="119">
        <f t="shared" ref="L220:L227" si="267">(B220-B219)/12*9+B219</f>
        <v>-3082123.6275000009</v>
      </c>
      <c r="M220" s="119">
        <f t="shared" ref="M220:M227" si="268">(B220-B219)/12*10+B219</f>
        <v>-3664816.5150000011</v>
      </c>
      <c r="N220" s="119">
        <f t="shared" ref="N220:N227" si="269">(B220-B219)/12*11+B219</f>
        <v>-4247509.4025000017</v>
      </c>
      <c r="O220" s="119">
        <f t="shared" ref="O220:O227" si="270">+B220</f>
        <v>-4830202.29</v>
      </c>
      <c r="P220" s="119">
        <f t="shared" ref="P220:P226" si="271">((C219+O220)+2*(SUM(D220:N220)))/24</f>
        <v>-1334044.9650000005</v>
      </c>
    </row>
    <row r="221" spans="1:17" x14ac:dyDescent="0.3">
      <c r="A221" s="115">
        <v>2010</v>
      </c>
      <c r="B221" s="119">
        <f>974-4748812</f>
        <v>-4747838</v>
      </c>
      <c r="C221" s="119">
        <f t="shared" si="258"/>
        <v>-4747838</v>
      </c>
      <c r="D221" s="119">
        <f t="shared" si="259"/>
        <v>-4823338.5991666671</v>
      </c>
      <c r="E221" s="119">
        <f t="shared" si="260"/>
        <v>-4816474.9083333332</v>
      </c>
      <c r="F221" s="119">
        <f t="shared" si="261"/>
        <v>-4809611.2175000003</v>
      </c>
      <c r="G221" s="119">
        <f t="shared" si="262"/>
        <v>-4802747.5266666664</v>
      </c>
      <c r="H221" s="119">
        <f t="shared" si="263"/>
        <v>-4795883.8358333334</v>
      </c>
      <c r="I221" s="119">
        <f t="shared" si="264"/>
        <v>-4789020.1449999996</v>
      </c>
      <c r="J221" s="119">
        <f t="shared" si="265"/>
        <v>-4782156.4541666666</v>
      </c>
      <c r="K221" s="119">
        <f t="shared" si="266"/>
        <v>-4775292.7633333337</v>
      </c>
      <c r="L221" s="119">
        <f t="shared" si="267"/>
        <v>-4768429.0724999998</v>
      </c>
      <c r="M221" s="119">
        <f t="shared" si="268"/>
        <v>-4761565.3816666668</v>
      </c>
      <c r="N221" s="119">
        <f t="shared" si="269"/>
        <v>-4754701.6908333329</v>
      </c>
      <c r="O221" s="119">
        <f t="shared" si="270"/>
        <v>-4747838</v>
      </c>
      <c r="P221" s="119">
        <f>((C220+O221)+2*(SUM(D221:N221)))/24</f>
        <v>-4789020.1449999996</v>
      </c>
    </row>
    <row r="222" spans="1:17" x14ac:dyDescent="0.3">
      <c r="A222" s="115">
        <v>2011</v>
      </c>
      <c r="B222" s="119">
        <v>-4719590</v>
      </c>
      <c r="C222" s="119">
        <f t="shared" si="258"/>
        <v>-4719590</v>
      </c>
      <c r="D222" s="119">
        <f t="shared" si="259"/>
        <v>-4745484</v>
      </c>
      <c r="E222" s="119">
        <f t="shared" si="260"/>
        <v>-4743130</v>
      </c>
      <c r="F222" s="119">
        <f t="shared" si="261"/>
        <v>-4740776</v>
      </c>
      <c r="G222" s="119">
        <f t="shared" si="262"/>
        <v>-4738422</v>
      </c>
      <c r="H222" s="119">
        <f t="shared" si="263"/>
        <v>-4736068</v>
      </c>
      <c r="I222" s="119">
        <f t="shared" si="264"/>
        <v>-4733714</v>
      </c>
      <c r="J222" s="119">
        <f t="shared" si="265"/>
        <v>-4731360</v>
      </c>
      <c r="K222" s="119">
        <f t="shared" si="266"/>
        <v>-4729006</v>
      </c>
      <c r="L222" s="119">
        <f t="shared" si="267"/>
        <v>-4726652</v>
      </c>
      <c r="M222" s="119">
        <f t="shared" si="268"/>
        <v>-4724298</v>
      </c>
      <c r="N222" s="119">
        <f t="shared" si="269"/>
        <v>-4721944</v>
      </c>
      <c r="O222" s="119">
        <f t="shared" si="270"/>
        <v>-4719590</v>
      </c>
      <c r="P222" s="119">
        <f t="shared" si="271"/>
        <v>-4733714</v>
      </c>
    </row>
    <row r="223" spans="1:17" x14ac:dyDescent="0.3">
      <c r="A223" s="115">
        <v>2012</v>
      </c>
      <c r="B223" s="119">
        <v>-4859572</v>
      </c>
      <c r="C223" s="119">
        <f t="shared" si="258"/>
        <v>-4859572</v>
      </c>
      <c r="D223" s="119">
        <f t="shared" si="259"/>
        <v>-4731255.166666667</v>
      </c>
      <c r="E223" s="119">
        <f t="shared" si="260"/>
        <v>-4742920.333333333</v>
      </c>
      <c r="F223" s="119">
        <f t="shared" si="261"/>
        <v>-4754585.5</v>
      </c>
      <c r="G223" s="119">
        <f t="shared" si="262"/>
        <v>-4766250.666666667</v>
      </c>
      <c r="H223" s="119">
        <f t="shared" si="263"/>
        <v>-4777915.833333333</v>
      </c>
      <c r="I223" s="119">
        <f t="shared" si="264"/>
        <v>-4789581</v>
      </c>
      <c r="J223" s="119">
        <f t="shared" si="265"/>
        <v>-4801246.166666667</v>
      </c>
      <c r="K223" s="119">
        <f t="shared" si="266"/>
        <v>-4812911.333333333</v>
      </c>
      <c r="L223" s="119">
        <f t="shared" si="267"/>
        <v>-4824576.5</v>
      </c>
      <c r="M223" s="119">
        <f t="shared" si="268"/>
        <v>-4836241.666666667</v>
      </c>
      <c r="N223" s="119">
        <f t="shared" si="269"/>
        <v>-4847906.833333333</v>
      </c>
      <c r="O223" s="119">
        <f t="shared" si="270"/>
        <v>-4859572</v>
      </c>
      <c r="P223" s="119">
        <f t="shared" si="271"/>
        <v>-4789581</v>
      </c>
    </row>
    <row r="224" spans="1:17" x14ac:dyDescent="0.3">
      <c r="A224" s="115">
        <v>2013</v>
      </c>
      <c r="B224" s="119">
        <v>-5011118</v>
      </c>
      <c r="C224" s="119">
        <f t="shared" si="258"/>
        <v>-5011118</v>
      </c>
      <c r="D224" s="119">
        <f t="shared" si="259"/>
        <v>-4872200.833333333</v>
      </c>
      <c r="E224" s="119">
        <f t="shared" si="260"/>
        <v>-4884829.666666667</v>
      </c>
      <c r="F224" s="119">
        <f t="shared" si="261"/>
        <v>-4897458.5</v>
      </c>
      <c r="G224" s="119">
        <f t="shared" si="262"/>
        <v>-4910087.333333333</v>
      </c>
      <c r="H224" s="119">
        <f t="shared" si="263"/>
        <v>-4922716.166666667</v>
      </c>
      <c r="I224" s="119">
        <f t="shared" si="264"/>
        <v>-4935345</v>
      </c>
      <c r="J224" s="119">
        <f t="shared" si="265"/>
        <v>-4947973.833333333</v>
      </c>
      <c r="K224" s="119">
        <f t="shared" si="266"/>
        <v>-4960602.666666667</v>
      </c>
      <c r="L224" s="119">
        <f t="shared" si="267"/>
        <v>-4973231.5</v>
      </c>
      <c r="M224" s="119">
        <f t="shared" si="268"/>
        <v>-4985860.333333333</v>
      </c>
      <c r="N224" s="119">
        <f t="shared" si="269"/>
        <v>-4998489.166666667</v>
      </c>
      <c r="O224" s="119">
        <f t="shared" si="270"/>
        <v>-5011118</v>
      </c>
      <c r="P224" s="119">
        <f t="shared" si="271"/>
        <v>-4935345</v>
      </c>
    </row>
    <row r="225" spans="1:17" x14ac:dyDescent="0.3">
      <c r="A225" s="115">
        <v>2014</v>
      </c>
      <c r="B225" s="119">
        <v>-5240173.5999999996</v>
      </c>
      <c r="C225" s="119">
        <f t="shared" si="258"/>
        <v>-5240173.5999999996</v>
      </c>
      <c r="D225" s="119">
        <f t="shared" si="259"/>
        <v>-5030205.9666666668</v>
      </c>
      <c r="E225" s="119">
        <f t="shared" si="260"/>
        <v>-5049293.9333333336</v>
      </c>
      <c r="F225" s="119">
        <f t="shared" si="261"/>
        <v>-5068381.9000000004</v>
      </c>
      <c r="G225" s="119">
        <f t="shared" si="262"/>
        <v>-5087469.8666666662</v>
      </c>
      <c r="H225" s="119">
        <f t="shared" si="263"/>
        <v>-5106557.833333333</v>
      </c>
      <c r="I225" s="119">
        <f t="shared" si="264"/>
        <v>-5125645.8</v>
      </c>
      <c r="J225" s="119">
        <f t="shared" si="265"/>
        <v>-5144733.7666666666</v>
      </c>
      <c r="K225" s="119">
        <f t="shared" si="266"/>
        <v>-5163821.7333333334</v>
      </c>
      <c r="L225" s="119">
        <f t="shared" si="267"/>
        <v>-5182909.6999999993</v>
      </c>
      <c r="M225" s="119">
        <f t="shared" si="268"/>
        <v>-5201997.666666666</v>
      </c>
      <c r="N225" s="119">
        <f t="shared" si="269"/>
        <v>-5221085.6333333328</v>
      </c>
      <c r="O225" s="119">
        <f t="shared" si="270"/>
        <v>-5240173.5999999996</v>
      </c>
      <c r="P225" s="119">
        <f t="shared" si="271"/>
        <v>-5125645.8</v>
      </c>
    </row>
    <row r="226" spans="1:17" x14ac:dyDescent="0.3">
      <c r="A226" s="115">
        <v>2015</v>
      </c>
      <c r="B226" s="119">
        <v>-5531600.9299999997</v>
      </c>
      <c r="C226" s="119">
        <f t="shared" si="258"/>
        <v>-5531600.9299999997</v>
      </c>
      <c r="D226" s="119">
        <f t="shared" si="259"/>
        <v>-5264459.2108333334</v>
      </c>
      <c r="E226" s="119">
        <f t="shared" si="260"/>
        <v>-5288744.8216666663</v>
      </c>
      <c r="F226" s="119">
        <f t="shared" si="261"/>
        <v>-5313030.4324999992</v>
      </c>
      <c r="G226" s="119">
        <f t="shared" si="262"/>
        <v>-5337316.043333333</v>
      </c>
      <c r="H226" s="119">
        <f t="shared" si="263"/>
        <v>-5361601.6541666668</v>
      </c>
      <c r="I226" s="119">
        <f t="shared" si="264"/>
        <v>-5385887.2649999997</v>
      </c>
      <c r="J226" s="119">
        <f t="shared" si="265"/>
        <v>-5410172.8758333325</v>
      </c>
      <c r="K226" s="119">
        <f t="shared" si="266"/>
        <v>-5434458.4866666663</v>
      </c>
      <c r="L226" s="119">
        <f t="shared" si="267"/>
        <v>-5458744.0975000001</v>
      </c>
      <c r="M226" s="119">
        <f t="shared" si="268"/>
        <v>-5483029.708333333</v>
      </c>
      <c r="N226" s="119">
        <f t="shared" si="269"/>
        <v>-5507315.3191666659</v>
      </c>
      <c r="O226" s="119">
        <f t="shared" si="270"/>
        <v>-5531600.9299999997</v>
      </c>
      <c r="P226" s="119">
        <f t="shared" si="271"/>
        <v>-5385887.2650000006</v>
      </c>
    </row>
    <row r="227" spans="1:17" x14ac:dyDescent="0.3">
      <c r="A227" s="115">
        <v>2016</v>
      </c>
      <c r="B227" s="119">
        <v>-5293680</v>
      </c>
      <c r="C227" s="119">
        <f t="shared" si="258"/>
        <v>-5293680</v>
      </c>
      <c r="D227" s="119">
        <f t="shared" si="259"/>
        <v>-5511774.1858333331</v>
      </c>
      <c r="E227" s="119">
        <f t="shared" si="260"/>
        <v>-5491947.4416666664</v>
      </c>
      <c r="F227" s="119">
        <f t="shared" si="261"/>
        <v>-5472120.6974999998</v>
      </c>
      <c r="G227" s="119">
        <f t="shared" si="262"/>
        <v>-5452293.9533333331</v>
      </c>
      <c r="H227" s="119">
        <f t="shared" si="263"/>
        <v>-5432467.2091666665</v>
      </c>
      <c r="I227" s="119">
        <f t="shared" si="264"/>
        <v>-5412640.4649999999</v>
      </c>
      <c r="J227" s="119">
        <f t="shared" si="265"/>
        <v>-5392813.7208333332</v>
      </c>
      <c r="K227" s="119">
        <f t="shared" si="266"/>
        <v>-5372986.9766666666</v>
      </c>
      <c r="L227" s="119">
        <f t="shared" si="267"/>
        <v>-5353160.2324999999</v>
      </c>
      <c r="M227" s="119">
        <f t="shared" si="268"/>
        <v>-5333333.4883333333</v>
      </c>
      <c r="N227" s="119">
        <f t="shared" si="269"/>
        <v>-5313506.7441666666</v>
      </c>
      <c r="O227" s="119">
        <f t="shared" si="270"/>
        <v>-5293680</v>
      </c>
      <c r="P227" s="119">
        <f t="shared" ref="P227" si="272">((C226+O227)+2*(SUM(D227:N227)))/24</f>
        <v>-5412640.4649999999</v>
      </c>
      <c r="Q227" s="119">
        <f>((L226+L227)+2*(SUM(D227:K227)+SUM(M226:O226)))/24</f>
        <v>-5455578.5643750001</v>
      </c>
    </row>
    <row r="228" spans="1:17" x14ac:dyDescent="0.3"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</row>
    <row r="229" spans="1:17" x14ac:dyDescent="0.3">
      <c r="A229" s="120" t="s">
        <v>142</v>
      </c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0"/>
    </row>
    <row r="230" spans="1:17" x14ac:dyDescent="0.3">
      <c r="A230" s="115">
        <v>2008</v>
      </c>
      <c r="B230" s="119">
        <f>2541530.45+63659286</f>
        <v>66200816.450000003</v>
      </c>
      <c r="C230" s="119">
        <f t="shared" ref="C230:C238" si="273">B230</f>
        <v>66200816.450000003</v>
      </c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</row>
    <row r="231" spans="1:17" x14ac:dyDescent="0.3">
      <c r="A231" s="115">
        <v>2009</v>
      </c>
      <c r="B231" s="119">
        <f>2445127.08+89873496.29</f>
        <v>92318623.370000005</v>
      </c>
      <c r="C231" s="119">
        <f t="shared" si="273"/>
        <v>92318623.370000005</v>
      </c>
      <c r="D231" s="119">
        <f t="shared" ref="D231:D238" si="274">(B231-B230)/12*1+B230</f>
        <v>68377300.359999999</v>
      </c>
      <c r="E231" s="119">
        <f t="shared" ref="E231:E238" si="275">(B231-B230)/12*2+B230</f>
        <v>70553784.270000011</v>
      </c>
      <c r="F231" s="119">
        <f t="shared" ref="F231:F238" si="276">(B231-B230)/12*3+B230</f>
        <v>72730268.180000007</v>
      </c>
      <c r="G231" s="119">
        <f t="shared" ref="G231:G238" si="277">(B231-B230)/12*4+B230</f>
        <v>74906752.090000004</v>
      </c>
      <c r="H231" s="119">
        <f t="shared" ref="H231:H238" si="278">(B231-B230)/12*5+B230</f>
        <v>77083236</v>
      </c>
      <c r="I231" s="119">
        <f t="shared" ref="I231:I238" si="279">(B231-B230)/12*6+B230</f>
        <v>79259719.909999996</v>
      </c>
      <c r="J231" s="119">
        <f t="shared" ref="J231:J238" si="280">(B231-B230)/12*7+B230</f>
        <v>81436203.820000008</v>
      </c>
      <c r="K231" s="119">
        <f t="shared" ref="K231:K238" si="281">(B231-B230)/12*8+B230</f>
        <v>83612687.730000004</v>
      </c>
      <c r="L231" s="119">
        <f t="shared" ref="L231:L238" si="282">(B231-B230)/12*9+B230</f>
        <v>85789171.640000001</v>
      </c>
      <c r="M231" s="119">
        <f t="shared" ref="M231:M238" si="283">(B231-B230)/12*10+B230</f>
        <v>87965655.550000012</v>
      </c>
      <c r="N231" s="119">
        <f t="shared" ref="N231:N238" si="284">(B231-B230)/12*11+B230</f>
        <v>90142139.460000008</v>
      </c>
      <c r="O231" s="119">
        <f t="shared" ref="O231:O238" si="285">+B231</f>
        <v>92318623.370000005</v>
      </c>
      <c r="P231" s="119">
        <f t="shared" ref="P231:P238" si="286">((C230+O231)+2*(SUM(D231:N231)))/24</f>
        <v>79259719.909999996</v>
      </c>
    </row>
    <row r="232" spans="1:17" x14ac:dyDescent="0.3">
      <c r="A232" s="115">
        <v>2010</v>
      </c>
      <c r="B232" s="119">
        <f>2337366+98119714</f>
        <v>100457080</v>
      </c>
      <c r="C232" s="119">
        <f t="shared" si="273"/>
        <v>100457080</v>
      </c>
      <c r="D232" s="119">
        <f t="shared" si="274"/>
        <v>92996828.089166671</v>
      </c>
      <c r="E232" s="119">
        <f t="shared" si="275"/>
        <v>93675032.808333337</v>
      </c>
      <c r="F232" s="119">
        <f t="shared" si="276"/>
        <v>94353237.527500004</v>
      </c>
      <c r="G232" s="119">
        <f t="shared" si="277"/>
        <v>95031442.24666667</v>
      </c>
      <c r="H232" s="119">
        <f t="shared" si="278"/>
        <v>95709646.965833336</v>
      </c>
      <c r="I232" s="119">
        <f t="shared" si="279"/>
        <v>96387851.685000002</v>
      </c>
      <c r="J232" s="119">
        <f t="shared" si="280"/>
        <v>97066056.404166669</v>
      </c>
      <c r="K232" s="119">
        <f t="shared" si="281"/>
        <v>97744261.123333335</v>
      </c>
      <c r="L232" s="119">
        <f t="shared" si="282"/>
        <v>98422465.842500001</v>
      </c>
      <c r="M232" s="119">
        <f t="shared" si="283"/>
        <v>99100670.561666667</v>
      </c>
      <c r="N232" s="119">
        <f t="shared" si="284"/>
        <v>99778875.280833334</v>
      </c>
      <c r="O232" s="119">
        <f t="shared" si="285"/>
        <v>100457080</v>
      </c>
      <c r="P232" s="119">
        <f t="shared" si="286"/>
        <v>96387851.685000002</v>
      </c>
    </row>
    <row r="233" spans="1:17" x14ac:dyDescent="0.3">
      <c r="A233" s="115">
        <v>2011</v>
      </c>
      <c r="B233" s="119">
        <v>108646437</v>
      </c>
      <c r="C233" s="119">
        <f t="shared" si="273"/>
        <v>108646437</v>
      </c>
      <c r="D233" s="119">
        <f t="shared" si="274"/>
        <v>101139526.41666667</v>
      </c>
      <c r="E233" s="119">
        <f t="shared" si="275"/>
        <v>101821972.83333333</v>
      </c>
      <c r="F233" s="119">
        <f t="shared" si="276"/>
        <v>102504419.25</v>
      </c>
      <c r="G233" s="119">
        <f t="shared" si="277"/>
        <v>103186865.66666667</v>
      </c>
      <c r="H233" s="119">
        <f t="shared" si="278"/>
        <v>103869312.08333333</v>
      </c>
      <c r="I233" s="119">
        <f t="shared" si="279"/>
        <v>104551758.5</v>
      </c>
      <c r="J233" s="119">
        <f t="shared" si="280"/>
        <v>105234204.91666667</v>
      </c>
      <c r="K233" s="119">
        <f t="shared" si="281"/>
        <v>105916651.33333333</v>
      </c>
      <c r="L233" s="119">
        <f t="shared" si="282"/>
        <v>106599097.75</v>
      </c>
      <c r="M233" s="119">
        <f t="shared" si="283"/>
        <v>107281544.16666667</v>
      </c>
      <c r="N233" s="119">
        <f t="shared" si="284"/>
        <v>107963990.58333333</v>
      </c>
      <c r="O233" s="119">
        <f t="shared" si="285"/>
        <v>108646437</v>
      </c>
      <c r="P233" s="119">
        <f t="shared" si="286"/>
        <v>104551758.5</v>
      </c>
    </row>
    <row r="234" spans="1:17" x14ac:dyDescent="0.3">
      <c r="A234" s="115">
        <v>2012</v>
      </c>
      <c r="B234" s="119">
        <v>105365894</v>
      </c>
      <c r="C234" s="119">
        <f t="shared" si="273"/>
        <v>105365894</v>
      </c>
      <c r="D234" s="119">
        <f t="shared" si="274"/>
        <v>108373058.41666667</v>
      </c>
      <c r="E234" s="119">
        <f t="shared" si="275"/>
        <v>108099679.83333333</v>
      </c>
      <c r="F234" s="119">
        <f t="shared" si="276"/>
        <v>107826301.25</v>
      </c>
      <c r="G234" s="119">
        <f t="shared" si="277"/>
        <v>107552922.66666667</v>
      </c>
      <c r="H234" s="119">
        <f t="shared" si="278"/>
        <v>107279544.08333333</v>
      </c>
      <c r="I234" s="119">
        <f t="shared" si="279"/>
        <v>107006165.5</v>
      </c>
      <c r="J234" s="119">
        <f t="shared" si="280"/>
        <v>106732786.91666667</v>
      </c>
      <c r="K234" s="119">
        <f t="shared" si="281"/>
        <v>106459408.33333333</v>
      </c>
      <c r="L234" s="119">
        <f t="shared" si="282"/>
        <v>106186029.75</v>
      </c>
      <c r="M234" s="119">
        <f t="shared" si="283"/>
        <v>105912651.16666667</v>
      </c>
      <c r="N234" s="119">
        <f t="shared" si="284"/>
        <v>105639272.58333333</v>
      </c>
      <c r="O234" s="119">
        <f t="shared" si="285"/>
        <v>105365894</v>
      </c>
      <c r="P234" s="119">
        <f t="shared" si="286"/>
        <v>107006165.5</v>
      </c>
    </row>
    <row r="235" spans="1:17" x14ac:dyDescent="0.3">
      <c r="A235" s="115">
        <v>2013</v>
      </c>
      <c r="B235" s="119">
        <v>101300168</v>
      </c>
      <c r="C235" s="119">
        <f t="shared" si="273"/>
        <v>101300168</v>
      </c>
      <c r="D235" s="119">
        <f t="shared" si="274"/>
        <v>105027083.5</v>
      </c>
      <c r="E235" s="119">
        <f t="shared" si="275"/>
        <v>104688273</v>
      </c>
      <c r="F235" s="119">
        <f t="shared" si="276"/>
        <v>104349462.5</v>
      </c>
      <c r="G235" s="119">
        <f t="shared" si="277"/>
        <v>104010652</v>
      </c>
      <c r="H235" s="119">
        <f t="shared" si="278"/>
        <v>103671841.5</v>
      </c>
      <c r="I235" s="119">
        <f t="shared" si="279"/>
        <v>103333031</v>
      </c>
      <c r="J235" s="119">
        <f t="shared" si="280"/>
        <v>102994220.5</v>
      </c>
      <c r="K235" s="119">
        <f t="shared" si="281"/>
        <v>102655410</v>
      </c>
      <c r="L235" s="119">
        <f t="shared" si="282"/>
        <v>102316599.5</v>
      </c>
      <c r="M235" s="119">
        <f t="shared" si="283"/>
        <v>101977789</v>
      </c>
      <c r="N235" s="119">
        <f t="shared" si="284"/>
        <v>101638978.5</v>
      </c>
      <c r="O235" s="119">
        <f t="shared" si="285"/>
        <v>101300168</v>
      </c>
      <c r="P235" s="119">
        <f t="shared" si="286"/>
        <v>103333031</v>
      </c>
    </row>
    <row r="236" spans="1:17" x14ac:dyDescent="0.3">
      <c r="A236" s="115">
        <v>2014</v>
      </c>
      <c r="B236" s="119">
        <v>97630821.25</v>
      </c>
      <c r="C236" s="119">
        <f t="shared" si="273"/>
        <v>97630821.25</v>
      </c>
      <c r="D236" s="119">
        <f t="shared" si="274"/>
        <v>100994389.10416667</v>
      </c>
      <c r="E236" s="119">
        <f t="shared" si="275"/>
        <v>100688610.20833333</v>
      </c>
      <c r="F236" s="119">
        <f t="shared" si="276"/>
        <v>100382831.3125</v>
      </c>
      <c r="G236" s="119">
        <f t="shared" si="277"/>
        <v>100077052.41666667</v>
      </c>
      <c r="H236" s="119">
        <f t="shared" si="278"/>
        <v>99771273.520833328</v>
      </c>
      <c r="I236" s="119">
        <f t="shared" si="279"/>
        <v>99465494.625</v>
      </c>
      <c r="J236" s="119">
        <f t="shared" si="280"/>
        <v>99159715.729166672</v>
      </c>
      <c r="K236" s="119">
        <f t="shared" si="281"/>
        <v>98853936.833333328</v>
      </c>
      <c r="L236" s="119">
        <f t="shared" si="282"/>
        <v>98548157.9375</v>
      </c>
      <c r="M236" s="119">
        <f t="shared" si="283"/>
        <v>98242379.041666672</v>
      </c>
      <c r="N236" s="119">
        <f t="shared" si="284"/>
        <v>97936600.145833328</v>
      </c>
      <c r="O236" s="119">
        <f t="shared" si="285"/>
        <v>97630821.25</v>
      </c>
      <c r="P236" s="119">
        <f t="shared" si="286"/>
        <v>99465494.625</v>
      </c>
    </row>
    <row r="237" spans="1:17" x14ac:dyDescent="0.3">
      <c r="A237" s="115">
        <v>2015</v>
      </c>
      <c r="B237" s="119">
        <v>93546536.469999999</v>
      </c>
      <c r="C237" s="119">
        <f t="shared" si="273"/>
        <v>93546536.469999999</v>
      </c>
      <c r="D237" s="119">
        <f t="shared" si="274"/>
        <v>97290464.185000002</v>
      </c>
      <c r="E237" s="119">
        <f t="shared" si="275"/>
        <v>96950107.120000005</v>
      </c>
      <c r="F237" s="119">
        <f t="shared" si="276"/>
        <v>96609750.055000007</v>
      </c>
      <c r="G237" s="119">
        <f t="shared" si="277"/>
        <v>96269392.989999995</v>
      </c>
      <c r="H237" s="119">
        <f t="shared" si="278"/>
        <v>95929035.924999997</v>
      </c>
      <c r="I237" s="119">
        <f t="shared" si="279"/>
        <v>95588678.859999999</v>
      </c>
      <c r="J237" s="119">
        <f t="shared" si="280"/>
        <v>95248321.795000002</v>
      </c>
      <c r="K237" s="119">
        <f t="shared" si="281"/>
        <v>94907964.730000004</v>
      </c>
      <c r="L237" s="119">
        <f t="shared" si="282"/>
        <v>94567607.664999992</v>
      </c>
      <c r="M237" s="119">
        <f t="shared" si="283"/>
        <v>94227250.599999994</v>
      </c>
      <c r="N237" s="119">
        <f t="shared" si="284"/>
        <v>93886893.534999996</v>
      </c>
      <c r="O237" s="119">
        <f t="shared" si="285"/>
        <v>93546536.469999999</v>
      </c>
      <c r="P237" s="119">
        <f t="shared" si="286"/>
        <v>95588678.859999999</v>
      </c>
    </row>
    <row r="238" spans="1:17" x14ac:dyDescent="0.3">
      <c r="A238" s="115">
        <v>2016</v>
      </c>
      <c r="B238" s="119">
        <v>89631400</v>
      </c>
      <c r="C238" s="119">
        <f t="shared" si="273"/>
        <v>89631400</v>
      </c>
      <c r="D238" s="119">
        <f t="shared" si="274"/>
        <v>93220275.097499996</v>
      </c>
      <c r="E238" s="119">
        <f t="shared" si="275"/>
        <v>92894013.724999994</v>
      </c>
      <c r="F238" s="119">
        <f t="shared" si="276"/>
        <v>92567752.352499992</v>
      </c>
      <c r="G238" s="119">
        <f t="shared" si="277"/>
        <v>92241490.980000004</v>
      </c>
      <c r="H238" s="119">
        <f t="shared" si="278"/>
        <v>91915229.607500002</v>
      </c>
      <c r="I238" s="119">
        <f t="shared" si="279"/>
        <v>91588968.234999999</v>
      </c>
      <c r="J238" s="119">
        <f t="shared" si="280"/>
        <v>91262706.862499997</v>
      </c>
      <c r="K238" s="119">
        <f t="shared" si="281"/>
        <v>90936445.489999995</v>
      </c>
      <c r="L238" s="119">
        <f t="shared" si="282"/>
        <v>90610184.117500007</v>
      </c>
      <c r="M238" s="119">
        <f t="shared" si="283"/>
        <v>90283922.745000005</v>
      </c>
      <c r="N238" s="119">
        <f t="shared" si="284"/>
        <v>89957661.372500002</v>
      </c>
      <c r="O238" s="119">
        <f t="shared" si="285"/>
        <v>89631400</v>
      </c>
      <c r="P238" s="119">
        <f t="shared" si="286"/>
        <v>91588968.234999999</v>
      </c>
      <c r="Q238" s="119">
        <f>((L237+L238)+2*(SUM(D238:K238)+SUM(M237:O237)))/24</f>
        <v>92573038.23718749</v>
      </c>
    </row>
    <row r="239" spans="1:17" x14ac:dyDescent="0.3"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</row>
    <row r="240" spans="1:17" outlineLevel="1" x14ac:dyDescent="0.3">
      <c r="A240" s="120" t="s">
        <v>143</v>
      </c>
    </row>
    <row r="241" spans="1:17" outlineLevel="1" x14ac:dyDescent="0.3">
      <c r="A241" s="120"/>
      <c r="B241" s="185" t="s">
        <v>237</v>
      </c>
      <c r="D241" s="186" t="s">
        <v>238</v>
      </c>
      <c r="E241" s="186" t="s">
        <v>239</v>
      </c>
      <c r="O241" s="25" t="s">
        <v>157</v>
      </c>
      <c r="P241" s="187"/>
      <c r="Q241" s="187">
        <f>SUM(Q18:Q240)</f>
        <v>518291381.28781253</v>
      </c>
    </row>
    <row r="242" spans="1:17" outlineLevel="1" x14ac:dyDescent="0.3">
      <c r="A242" s="115">
        <v>2008</v>
      </c>
      <c r="B242" s="119">
        <f>SUM(B10,B21,B32,B43,B54,B65,B87,B98,B109,B120,B131,B142,B164,B175,B186,B197,B208,B219,B230)</f>
        <v>197464773.01999998</v>
      </c>
      <c r="D242" s="188">
        <v>197464773.02000001</v>
      </c>
      <c r="E242" s="188">
        <f t="shared" ref="E242:E250" si="287">B242-D242</f>
        <v>0</v>
      </c>
      <c r="O242" s="189"/>
      <c r="P242" s="190"/>
      <c r="Q242" s="190"/>
    </row>
    <row r="243" spans="1:17" outlineLevel="1" x14ac:dyDescent="0.3">
      <c r="A243" s="115">
        <v>2009</v>
      </c>
      <c r="B243" s="119">
        <f>SUM(B11,B22,B33,B44,B55,B66,B88,B99,B110,B121,B132,B143,B165,B176,B187,B198,B209,B220,B231)</f>
        <v>243222753.03999999</v>
      </c>
      <c r="D243" s="188">
        <v>243222753.03999999</v>
      </c>
      <c r="E243" s="188">
        <f t="shared" si="287"/>
        <v>0</v>
      </c>
      <c r="O243" s="25" t="s">
        <v>217</v>
      </c>
      <c r="P243" s="190"/>
      <c r="Q243" s="187">
        <f>+Q40</f>
        <v>5764580.9400000004</v>
      </c>
    </row>
    <row r="244" spans="1:17" outlineLevel="1" x14ac:dyDescent="0.3">
      <c r="A244" s="115">
        <v>2010</v>
      </c>
      <c r="B244" s="119">
        <f>SUM(B12,B23,B34,B45,B56,B67,B89,B100,B111,B122,B133,B144,B166,B177,B188,B199,B210,B221,B232)</f>
        <v>270477997</v>
      </c>
      <c r="D244" s="188">
        <v>270478018</v>
      </c>
      <c r="E244" s="188">
        <f t="shared" si="287"/>
        <v>-21</v>
      </c>
      <c r="L244" s="115" t="s">
        <v>144</v>
      </c>
      <c r="O244" s="25"/>
      <c r="P244" s="190"/>
      <c r="Q244" s="190"/>
    </row>
    <row r="245" spans="1:17" ht="15" outlineLevel="1" thickBot="1" x14ac:dyDescent="0.35">
      <c r="A245" s="115">
        <v>2011</v>
      </c>
      <c r="B245" s="119">
        <f t="shared" ref="B245:B249" si="288">B13+B24+B35+B46+B57+B68+B79+B90+B101+B112+B123+B134+B145+B156+B167+B178+B189+B200+B211+B222+B233</f>
        <v>299485006</v>
      </c>
      <c r="D245" s="188">
        <v>299485006</v>
      </c>
      <c r="E245" s="188">
        <f t="shared" si="287"/>
        <v>0</v>
      </c>
      <c r="O245" s="50" t="s">
        <v>155</v>
      </c>
      <c r="P245" s="190"/>
      <c r="Q245" s="191">
        <f>+Q241-Q243</f>
        <v>512526800.34781253</v>
      </c>
    </row>
    <row r="246" spans="1:17" ht="15" outlineLevel="1" thickTop="1" x14ac:dyDescent="0.3">
      <c r="A246" s="115">
        <v>2012</v>
      </c>
      <c r="B246" s="119">
        <f t="shared" si="288"/>
        <v>415760124</v>
      </c>
      <c r="D246" s="183">
        <v>415760125</v>
      </c>
      <c r="E246" s="188">
        <f t="shared" si="287"/>
        <v>-1</v>
      </c>
    </row>
    <row r="247" spans="1:17" outlineLevel="1" x14ac:dyDescent="0.3">
      <c r="A247" s="115">
        <v>2013</v>
      </c>
      <c r="B247" s="119">
        <f t="shared" si="288"/>
        <v>518598699</v>
      </c>
      <c r="D247" s="183">
        <v>518598699</v>
      </c>
      <c r="E247" s="188">
        <f t="shared" si="287"/>
        <v>0</v>
      </c>
    </row>
    <row r="248" spans="1:17" outlineLevel="1" x14ac:dyDescent="0.3">
      <c r="A248" s="115">
        <v>2014</v>
      </c>
      <c r="B248" s="119">
        <f t="shared" si="288"/>
        <v>534624416.30999988</v>
      </c>
      <c r="D248" s="183">
        <v>534624416</v>
      </c>
      <c r="E248" s="188">
        <f t="shared" si="287"/>
        <v>0.30999988317489624</v>
      </c>
    </row>
    <row r="249" spans="1:17" outlineLevel="1" x14ac:dyDescent="0.3">
      <c r="A249" s="115">
        <v>2015</v>
      </c>
      <c r="B249" s="119">
        <f t="shared" si="288"/>
        <v>519588074.95000005</v>
      </c>
      <c r="D249" s="183">
        <v>519588075</v>
      </c>
      <c r="E249" s="188">
        <f t="shared" si="287"/>
        <v>-4.999995231628418E-2</v>
      </c>
    </row>
    <row r="250" spans="1:17" x14ac:dyDescent="0.3">
      <c r="A250" s="115">
        <v>2016</v>
      </c>
      <c r="B250" s="119">
        <f>SUMIF(A6:A239,"2016",B6:B239)</f>
        <v>513549049</v>
      </c>
      <c r="D250" s="183">
        <v>513549049</v>
      </c>
      <c r="E250" s="188">
        <f t="shared" si="287"/>
        <v>0</v>
      </c>
    </row>
  </sheetData>
  <printOptions gridLines="1"/>
  <pageMargins left="0.7" right="0.7" top="0.75" bottom="0.75" header="0.3" footer="0.3"/>
  <pageSetup scale="51" fitToHeight="4" orientation="landscape" r:id="rId1"/>
  <headerFooter>
    <oddFooter xml:space="preserve">&amp;L&amp;"Arial,Regular"&amp;9Prepared by: Amy Fang
Prepared on: 10/12/2016&amp;C&amp;"Arial,Regular"&amp;9&amp;P&amp;R&amp;"Arial,Regular"&amp;9&amp;Z
&amp;F&amp;"-,Regular"&amp;11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workbookViewId="0">
      <pane ySplit="1" topLeftCell="A33" activePane="bottomLeft" state="frozen"/>
      <selection activeCell="A7" sqref="A7"/>
      <selection pane="bottomLeft" activeCell="A7" sqref="A7"/>
    </sheetView>
  </sheetViews>
  <sheetFormatPr defaultColWidth="9.109375" defaultRowHeight="13.2" x14ac:dyDescent="0.25"/>
  <cols>
    <col min="1" max="1" width="20.6640625" style="100" customWidth="1"/>
    <col min="2" max="2" width="24.44140625" style="100" bestFit="1" customWidth="1"/>
    <col min="3" max="3" width="17.88671875" style="99" customWidth="1"/>
    <col min="4" max="4" width="12.33203125" style="100" bestFit="1" customWidth="1"/>
    <col min="5" max="5" width="26.44140625" style="100" bestFit="1" customWidth="1"/>
    <col min="6" max="6" width="9.44140625" style="100" bestFit="1" customWidth="1"/>
    <col min="7" max="7" width="11.44140625" style="100" bestFit="1" customWidth="1"/>
    <col min="8" max="16384" width="9.109375" style="100"/>
  </cols>
  <sheetData>
    <row r="1" spans="1:7" ht="13.8" x14ac:dyDescent="0.25">
      <c r="A1" s="174" t="s">
        <v>277</v>
      </c>
    </row>
    <row r="2" spans="1:7" x14ac:dyDescent="0.25">
      <c r="A2" s="100" t="s">
        <v>167</v>
      </c>
      <c r="B2" s="100" t="s">
        <v>94</v>
      </c>
      <c r="C2" s="99" t="s">
        <v>168</v>
      </c>
      <c r="D2" s="100" t="s">
        <v>169</v>
      </c>
      <c r="E2" s="100" t="s">
        <v>170</v>
      </c>
    </row>
    <row r="3" spans="1:7" x14ac:dyDescent="0.25">
      <c r="A3" s="100" t="s">
        <v>171</v>
      </c>
    </row>
    <row r="4" spans="1:7" x14ac:dyDescent="0.25">
      <c r="A4" s="100">
        <v>10</v>
      </c>
      <c r="B4" s="100" t="s">
        <v>95</v>
      </c>
      <c r="C4" s="99">
        <v>11567</v>
      </c>
      <c r="D4" s="100">
        <v>18230061</v>
      </c>
      <c r="E4" s="100" t="s">
        <v>88</v>
      </c>
    </row>
    <row r="5" spans="1:7" x14ac:dyDescent="0.25">
      <c r="A5" s="100">
        <v>11</v>
      </c>
      <c r="B5" s="100" t="s">
        <v>95</v>
      </c>
      <c r="C5" s="99">
        <v>11567</v>
      </c>
      <c r="D5" s="100">
        <v>18230061</v>
      </c>
      <c r="E5" s="100" t="s">
        <v>88</v>
      </c>
    </row>
    <row r="6" spans="1:7" x14ac:dyDescent="0.25">
      <c r="A6" s="100">
        <v>12</v>
      </c>
      <c r="B6" s="100" t="s">
        <v>95</v>
      </c>
      <c r="C6" s="99">
        <v>11567</v>
      </c>
      <c r="D6" s="100">
        <v>18230061</v>
      </c>
      <c r="E6" s="100" t="s">
        <v>88</v>
      </c>
    </row>
    <row r="7" spans="1:7" x14ac:dyDescent="0.25">
      <c r="A7" s="100">
        <v>1</v>
      </c>
      <c r="B7" s="100" t="s">
        <v>95</v>
      </c>
      <c r="C7" s="99">
        <v>11567</v>
      </c>
      <c r="D7" s="100">
        <v>18230061</v>
      </c>
      <c r="E7" s="100" t="s">
        <v>88</v>
      </c>
    </row>
    <row r="8" spans="1:7" x14ac:dyDescent="0.25">
      <c r="A8" s="100">
        <v>2</v>
      </c>
      <c r="B8" s="100" t="s">
        <v>95</v>
      </c>
      <c r="C8" s="99">
        <v>11567</v>
      </c>
      <c r="D8" s="100">
        <v>18230061</v>
      </c>
      <c r="E8" s="100" t="s">
        <v>88</v>
      </c>
    </row>
    <row r="9" spans="1:7" x14ac:dyDescent="0.25">
      <c r="A9" s="100">
        <v>3</v>
      </c>
      <c r="B9" s="100" t="s">
        <v>95</v>
      </c>
      <c r="C9" s="99">
        <v>11567</v>
      </c>
      <c r="D9" s="100">
        <v>18230061</v>
      </c>
      <c r="E9" s="100" t="s">
        <v>88</v>
      </c>
    </row>
    <row r="10" spans="1:7" x14ac:dyDescent="0.25">
      <c r="A10" s="100">
        <v>4</v>
      </c>
      <c r="B10" s="100" t="s">
        <v>95</v>
      </c>
      <c r="C10" s="99">
        <v>11567</v>
      </c>
      <c r="D10" s="100">
        <v>18230061</v>
      </c>
      <c r="E10" s="100" t="s">
        <v>88</v>
      </c>
    </row>
    <row r="11" spans="1:7" x14ac:dyDescent="0.25">
      <c r="A11" s="100">
        <v>5</v>
      </c>
      <c r="B11" s="100" t="s">
        <v>95</v>
      </c>
      <c r="C11" s="99">
        <v>11567</v>
      </c>
      <c r="D11" s="100">
        <v>18230061</v>
      </c>
      <c r="E11" s="100" t="s">
        <v>88</v>
      </c>
    </row>
    <row r="12" spans="1:7" x14ac:dyDescent="0.25">
      <c r="A12" s="100">
        <v>6</v>
      </c>
      <c r="B12" s="100" t="s">
        <v>95</v>
      </c>
      <c r="C12" s="99">
        <v>11567</v>
      </c>
      <c r="D12" s="100">
        <v>18230061</v>
      </c>
      <c r="E12" s="100" t="s">
        <v>88</v>
      </c>
    </row>
    <row r="13" spans="1:7" x14ac:dyDescent="0.25">
      <c r="A13" s="100">
        <v>7</v>
      </c>
      <c r="B13" s="100" t="s">
        <v>95</v>
      </c>
      <c r="C13" s="99">
        <v>11567</v>
      </c>
      <c r="D13" s="100">
        <v>18230061</v>
      </c>
      <c r="E13" s="100" t="s">
        <v>88</v>
      </c>
    </row>
    <row r="14" spans="1:7" x14ac:dyDescent="0.25">
      <c r="A14" s="100">
        <v>8</v>
      </c>
      <c r="B14" s="100" t="s">
        <v>95</v>
      </c>
      <c r="C14" s="99">
        <v>11567</v>
      </c>
      <c r="D14" s="100">
        <v>18230061</v>
      </c>
      <c r="E14" s="100" t="s">
        <v>88</v>
      </c>
    </row>
    <row r="15" spans="1:7" ht="13.8" thickBot="1" x14ac:dyDescent="0.3">
      <c r="A15" s="100">
        <v>9</v>
      </c>
      <c r="B15" s="100" t="s">
        <v>95</v>
      </c>
      <c r="C15" s="99">
        <v>11567</v>
      </c>
      <c r="D15" s="100">
        <v>18230061</v>
      </c>
      <c r="E15" s="100" t="s">
        <v>88</v>
      </c>
    </row>
    <row r="16" spans="1:7" ht="13.8" thickBot="1" x14ac:dyDescent="0.3">
      <c r="B16" s="100" t="s">
        <v>54</v>
      </c>
      <c r="C16" s="175">
        <f>SUM(C4:C15)</f>
        <v>138804</v>
      </c>
      <c r="E16" s="96" t="s">
        <v>96</v>
      </c>
      <c r="F16" s="176">
        <v>0.75149999999999995</v>
      </c>
      <c r="G16" s="177">
        <f>C16*F16</f>
        <v>104311.20599999999</v>
      </c>
    </row>
    <row r="17" spans="1:7" ht="13.8" thickTop="1" x14ac:dyDescent="0.25">
      <c r="C17" s="95"/>
      <c r="E17" s="96"/>
      <c r="F17" s="97"/>
      <c r="G17" s="99"/>
    </row>
    <row r="18" spans="1:7" x14ac:dyDescent="0.25">
      <c r="C18" s="95"/>
      <c r="E18" s="96"/>
      <c r="F18" s="97"/>
      <c r="G18" s="99"/>
    </row>
    <row r="19" spans="1:7" x14ac:dyDescent="0.25">
      <c r="A19" s="100" t="s">
        <v>172</v>
      </c>
    </row>
    <row r="20" spans="1:7" x14ac:dyDescent="0.25">
      <c r="A20" s="100">
        <v>10</v>
      </c>
      <c r="B20" s="100" t="s">
        <v>95</v>
      </c>
      <c r="C20" s="99">
        <v>221075</v>
      </c>
      <c r="D20" s="100">
        <v>11500031</v>
      </c>
      <c r="E20" s="100" t="s">
        <v>173</v>
      </c>
    </row>
    <row r="21" spans="1:7" x14ac:dyDescent="0.25">
      <c r="A21" s="100">
        <v>11</v>
      </c>
      <c r="B21" s="100" t="s">
        <v>95</v>
      </c>
      <c r="C21" s="99">
        <v>221075</v>
      </c>
      <c r="D21" s="100">
        <v>11500031</v>
      </c>
      <c r="E21" s="100" t="s">
        <v>173</v>
      </c>
    </row>
    <row r="22" spans="1:7" x14ac:dyDescent="0.25">
      <c r="A22" s="100">
        <v>12</v>
      </c>
      <c r="B22" s="100" t="s">
        <v>95</v>
      </c>
      <c r="C22" s="99">
        <v>221075</v>
      </c>
      <c r="D22" s="100">
        <v>11500031</v>
      </c>
      <c r="E22" s="100" t="s">
        <v>173</v>
      </c>
    </row>
    <row r="23" spans="1:7" x14ac:dyDescent="0.25">
      <c r="A23" s="100">
        <v>1</v>
      </c>
      <c r="B23" s="100" t="s">
        <v>95</v>
      </c>
      <c r="C23" s="99">
        <v>221075</v>
      </c>
      <c r="D23" s="100">
        <v>11500031</v>
      </c>
      <c r="E23" s="100" t="s">
        <v>173</v>
      </c>
    </row>
    <row r="24" spans="1:7" x14ac:dyDescent="0.25">
      <c r="A24" s="100">
        <v>2</v>
      </c>
      <c r="B24" s="100" t="s">
        <v>95</v>
      </c>
      <c r="C24" s="99">
        <v>221075</v>
      </c>
      <c r="D24" s="100">
        <v>11500031</v>
      </c>
      <c r="E24" s="100" t="s">
        <v>173</v>
      </c>
    </row>
    <row r="25" spans="1:7" x14ac:dyDescent="0.25">
      <c r="A25" s="100">
        <v>3</v>
      </c>
      <c r="B25" s="100" t="s">
        <v>95</v>
      </c>
      <c r="C25" s="99">
        <v>221075</v>
      </c>
      <c r="D25" s="100">
        <v>11500031</v>
      </c>
      <c r="E25" s="100" t="s">
        <v>173</v>
      </c>
    </row>
    <row r="26" spans="1:7" x14ac:dyDescent="0.25">
      <c r="A26" s="100">
        <v>4</v>
      </c>
      <c r="B26" s="100" t="s">
        <v>95</v>
      </c>
      <c r="C26" s="99">
        <v>221075</v>
      </c>
      <c r="D26" s="100">
        <v>11500031</v>
      </c>
      <c r="E26" s="100" t="s">
        <v>173</v>
      </c>
    </row>
    <row r="27" spans="1:7" x14ac:dyDescent="0.25">
      <c r="A27" s="100">
        <v>5</v>
      </c>
      <c r="B27" s="100" t="s">
        <v>95</v>
      </c>
      <c r="C27" s="99">
        <v>221075</v>
      </c>
      <c r="D27" s="100">
        <v>11500031</v>
      </c>
      <c r="E27" s="100" t="s">
        <v>173</v>
      </c>
    </row>
    <row r="28" spans="1:7" x14ac:dyDescent="0.25">
      <c r="A28" s="100">
        <v>6</v>
      </c>
      <c r="B28" s="100" t="s">
        <v>95</v>
      </c>
      <c r="C28" s="99">
        <v>221075</v>
      </c>
      <c r="D28" s="100">
        <v>11500031</v>
      </c>
      <c r="E28" s="100" t="s">
        <v>173</v>
      </c>
    </row>
    <row r="29" spans="1:7" x14ac:dyDescent="0.25">
      <c r="A29" s="100">
        <v>7</v>
      </c>
      <c r="B29" s="100" t="s">
        <v>95</v>
      </c>
      <c r="C29" s="99">
        <v>221075</v>
      </c>
      <c r="D29" s="100">
        <v>11500031</v>
      </c>
      <c r="E29" s="100" t="s">
        <v>173</v>
      </c>
    </row>
    <row r="30" spans="1:7" x14ac:dyDescent="0.25">
      <c r="A30" s="100">
        <v>8</v>
      </c>
      <c r="B30" s="100" t="s">
        <v>95</v>
      </c>
      <c r="C30" s="99">
        <v>221075</v>
      </c>
      <c r="D30" s="100">
        <v>11500031</v>
      </c>
      <c r="E30" s="100" t="s">
        <v>173</v>
      </c>
    </row>
    <row r="31" spans="1:7" x14ac:dyDescent="0.25">
      <c r="A31" s="100">
        <v>9</v>
      </c>
      <c r="B31" s="100" t="s">
        <v>95</v>
      </c>
      <c r="C31" s="99">
        <v>221075</v>
      </c>
      <c r="D31" s="100">
        <v>11500031</v>
      </c>
      <c r="E31" s="100" t="s">
        <v>173</v>
      </c>
    </row>
    <row r="32" spans="1:7" ht="13.8" thickBot="1" x14ac:dyDescent="0.3">
      <c r="B32" s="100" t="s">
        <v>54</v>
      </c>
      <c r="C32" s="175">
        <f>SUM(C20:C31)</f>
        <v>2652900</v>
      </c>
    </row>
    <row r="33" spans="1:5" ht="13.8" thickTop="1" x14ac:dyDescent="0.25">
      <c r="A33" s="100" t="s">
        <v>174</v>
      </c>
    </row>
    <row r="34" spans="1:5" x14ac:dyDescent="0.25">
      <c r="A34" s="100">
        <v>10</v>
      </c>
      <c r="B34" s="100" t="s">
        <v>175</v>
      </c>
      <c r="C34" s="99">
        <v>384708.28</v>
      </c>
      <c r="D34" s="100">
        <v>11500041</v>
      </c>
      <c r="E34" s="100" t="s">
        <v>176</v>
      </c>
    </row>
    <row r="35" spans="1:5" x14ac:dyDescent="0.25">
      <c r="A35" s="100">
        <v>11</v>
      </c>
      <c r="B35" s="100" t="s">
        <v>175</v>
      </c>
      <c r="C35" s="99">
        <v>384708.28</v>
      </c>
      <c r="D35" s="100">
        <v>11500041</v>
      </c>
      <c r="E35" s="100" t="s">
        <v>176</v>
      </c>
    </row>
    <row r="36" spans="1:5" x14ac:dyDescent="0.25">
      <c r="A36" s="100">
        <v>12</v>
      </c>
      <c r="B36" s="100" t="s">
        <v>175</v>
      </c>
      <c r="C36" s="99">
        <v>384708.28</v>
      </c>
      <c r="D36" s="100">
        <v>11500041</v>
      </c>
      <c r="E36" s="100" t="s">
        <v>176</v>
      </c>
    </row>
    <row r="37" spans="1:5" x14ac:dyDescent="0.25">
      <c r="A37" s="100">
        <v>1</v>
      </c>
      <c r="B37" s="100" t="s">
        <v>175</v>
      </c>
      <c r="C37" s="99">
        <v>384708.28</v>
      </c>
      <c r="D37" s="100">
        <v>11500041</v>
      </c>
      <c r="E37" s="100" t="s">
        <v>176</v>
      </c>
    </row>
    <row r="38" spans="1:5" x14ac:dyDescent="0.25">
      <c r="A38" s="100">
        <v>2</v>
      </c>
      <c r="B38" s="100" t="s">
        <v>175</v>
      </c>
      <c r="C38" s="99">
        <v>384708.28</v>
      </c>
      <c r="D38" s="100">
        <v>11500041</v>
      </c>
      <c r="E38" s="100" t="s">
        <v>176</v>
      </c>
    </row>
    <row r="39" spans="1:5" x14ac:dyDescent="0.25">
      <c r="A39" s="100">
        <v>3</v>
      </c>
      <c r="B39" s="100" t="s">
        <v>175</v>
      </c>
      <c r="C39" s="99">
        <v>384708.28</v>
      </c>
      <c r="D39" s="100">
        <v>11500041</v>
      </c>
      <c r="E39" s="100" t="s">
        <v>176</v>
      </c>
    </row>
    <row r="40" spans="1:5" x14ac:dyDescent="0.25">
      <c r="A40" s="100">
        <v>4</v>
      </c>
      <c r="B40" s="100" t="s">
        <v>175</v>
      </c>
      <c r="C40" s="99">
        <v>384708.28</v>
      </c>
      <c r="D40" s="100">
        <v>11500041</v>
      </c>
      <c r="E40" s="100" t="s">
        <v>176</v>
      </c>
    </row>
    <row r="41" spans="1:5" x14ac:dyDescent="0.25">
      <c r="A41" s="100">
        <v>5</v>
      </c>
      <c r="B41" s="100" t="s">
        <v>175</v>
      </c>
      <c r="C41" s="99">
        <v>384708.28</v>
      </c>
      <c r="D41" s="100">
        <v>11500041</v>
      </c>
      <c r="E41" s="100" t="s">
        <v>176</v>
      </c>
    </row>
    <row r="42" spans="1:5" x14ac:dyDescent="0.25">
      <c r="A42" s="100">
        <v>6</v>
      </c>
      <c r="B42" s="100" t="s">
        <v>175</v>
      </c>
      <c r="C42" s="99">
        <v>384708.28</v>
      </c>
      <c r="D42" s="100">
        <v>11500041</v>
      </c>
      <c r="E42" s="100" t="s">
        <v>176</v>
      </c>
    </row>
    <row r="43" spans="1:5" x14ac:dyDescent="0.25">
      <c r="A43" s="100">
        <v>7</v>
      </c>
      <c r="B43" s="100" t="s">
        <v>175</v>
      </c>
      <c r="C43" s="99">
        <v>384708.28</v>
      </c>
      <c r="D43" s="100">
        <v>11500041</v>
      </c>
      <c r="E43" s="100" t="s">
        <v>176</v>
      </c>
    </row>
    <row r="44" spans="1:5" x14ac:dyDescent="0.25">
      <c r="A44" s="100">
        <v>8</v>
      </c>
      <c r="B44" s="100" t="s">
        <v>175</v>
      </c>
      <c r="C44" s="99">
        <v>384708.28</v>
      </c>
      <c r="D44" s="100">
        <v>11500041</v>
      </c>
      <c r="E44" s="100" t="s">
        <v>176</v>
      </c>
    </row>
    <row r="45" spans="1:5" x14ac:dyDescent="0.25">
      <c r="A45" s="100">
        <v>9</v>
      </c>
      <c r="B45" s="100" t="s">
        <v>175</v>
      </c>
      <c r="C45" s="99">
        <v>384708.28</v>
      </c>
      <c r="D45" s="100">
        <v>11500041</v>
      </c>
      <c r="E45" s="100" t="s">
        <v>176</v>
      </c>
    </row>
    <row r="46" spans="1:5" ht="13.8" thickBot="1" x14ac:dyDescent="0.3">
      <c r="B46" s="100" t="s">
        <v>54</v>
      </c>
      <c r="C46" s="175">
        <f>SUM(C34:C45)</f>
        <v>4616499.3600000013</v>
      </c>
    </row>
    <row r="47" spans="1:5" ht="13.8" thickTop="1" x14ac:dyDescent="0.25">
      <c r="A47" s="100" t="s">
        <v>177</v>
      </c>
    </row>
    <row r="48" spans="1:5" x14ac:dyDescent="0.25">
      <c r="A48" s="100">
        <v>10</v>
      </c>
      <c r="B48" s="100" t="s">
        <v>175</v>
      </c>
      <c r="C48" s="99">
        <v>-66.260000000000005</v>
      </c>
      <c r="D48" s="100">
        <v>64000290</v>
      </c>
      <c r="E48" s="100" t="s">
        <v>175</v>
      </c>
    </row>
    <row r="49" spans="1:5" x14ac:dyDescent="0.25">
      <c r="A49" s="100">
        <v>10</v>
      </c>
      <c r="B49" s="100" t="s">
        <v>175</v>
      </c>
      <c r="C49" s="99">
        <v>190408.74</v>
      </c>
      <c r="D49" s="100">
        <v>11500051</v>
      </c>
      <c r="E49" s="100" t="s">
        <v>178</v>
      </c>
    </row>
    <row r="50" spans="1:5" x14ac:dyDescent="0.25">
      <c r="A50" s="100">
        <v>11</v>
      </c>
      <c r="B50" s="100" t="s">
        <v>175</v>
      </c>
      <c r="C50" s="99">
        <v>-66.260000000000005</v>
      </c>
      <c r="D50" s="100">
        <v>64000290</v>
      </c>
      <c r="E50" s="100" t="s">
        <v>175</v>
      </c>
    </row>
    <row r="51" spans="1:5" x14ac:dyDescent="0.25">
      <c r="A51" s="100">
        <v>11</v>
      </c>
      <c r="B51" s="100" t="s">
        <v>175</v>
      </c>
      <c r="C51" s="99">
        <v>190408.74</v>
      </c>
      <c r="D51" s="100">
        <v>11500051</v>
      </c>
      <c r="E51" s="100" t="s">
        <v>178</v>
      </c>
    </row>
    <row r="52" spans="1:5" x14ac:dyDescent="0.25">
      <c r="A52" s="100">
        <v>12</v>
      </c>
      <c r="B52" s="100" t="s">
        <v>175</v>
      </c>
      <c r="C52" s="99">
        <v>-66.260000000000005</v>
      </c>
      <c r="D52" s="100">
        <v>64000290</v>
      </c>
      <c r="E52" s="100" t="s">
        <v>175</v>
      </c>
    </row>
    <row r="53" spans="1:5" x14ac:dyDescent="0.25">
      <c r="A53" s="100">
        <v>12</v>
      </c>
      <c r="B53" s="100" t="s">
        <v>175</v>
      </c>
      <c r="C53" s="99">
        <v>190408.74</v>
      </c>
      <c r="D53" s="100">
        <v>11500051</v>
      </c>
      <c r="E53" s="100" t="s">
        <v>178</v>
      </c>
    </row>
    <row r="54" spans="1:5" x14ac:dyDescent="0.25">
      <c r="A54" s="100">
        <v>1</v>
      </c>
      <c r="B54" s="100" t="s">
        <v>175</v>
      </c>
      <c r="C54" s="99">
        <v>-67.349999999999994</v>
      </c>
      <c r="D54" s="100">
        <v>64000290</v>
      </c>
      <c r="E54" s="100" t="s">
        <v>175</v>
      </c>
    </row>
    <row r="55" spans="1:5" x14ac:dyDescent="0.25">
      <c r="A55" s="100">
        <v>1</v>
      </c>
      <c r="B55" s="100" t="s">
        <v>175</v>
      </c>
      <c r="C55" s="99">
        <v>193530.19</v>
      </c>
      <c r="D55" s="100">
        <v>11500051</v>
      </c>
      <c r="E55" s="100" t="s">
        <v>178</v>
      </c>
    </row>
    <row r="56" spans="1:5" x14ac:dyDescent="0.25">
      <c r="A56" s="100">
        <v>2</v>
      </c>
      <c r="B56" s="100" t="s">
        <v>175</v>
      </c>
      <c r="C56" s="99">
        <v>-63</v>
      </c>
      <c r="D56" s="100">
        <v>64000290</v>
      </c>
      <c r="E56" s="100" t="s">
        <v>175</v>
      </c>
    </row>
    <row r="57" spans="1:5" x14ac:dyDescent="0.25">
      <c r="A57" s="100">
        <v>2</v>
      </c>
      <c r="B57" s="100" t="s">
        <v>175</v>
      </c>
      <c r="C57" s="99">
        <v>181044.38</v>
      </c>
      <c r="D57" s="100">
        <v>11500051</v>
      </c>
      <c r="E57" s="100" t="s">
        <v>178</v>
      </c>
    </row>
    <row r="58" spans="1:5" x14ac:dyDescent="0.25">
      <c r="A58" s="100">
        <v>3</v>
      </c>
      <c r="B58" s="100" t="s">
        <v>175</v>
      </c>
      <c r="C58" s="99">
        <v>-67.349999999999994</v>
      </c>
      <c r="D58" s="100">
        <v>64000290</v>
      </c>
      <c r="E58" s="100" t="s">
        <v>175</v>
      </c>
    </row>
    <row r="59" spans="1:5" x14ac:dyDescent="0.25">
      <c r="A59" s="100">
        <v>3</v>
      </c>
      <c r="B59" s="100" t="s">
        <v>175</v>
      </c>
      <c r="C59" s="99">
        <v>193530.19</v>
      </c>
      <c r="D59" s="100">
        <v>11500051</v>
      </c>
      <c r="E59" s="100" t="s">
        <v>178</v>
      </c>
    </row>
    <row r="60" spans="1:5" x14ac:dyDescent="0.25">
      <c r="A60" s="100">
        <v>4</v>
      </c>
      <c r="B60" s="100" t="s">
        <v>175</v>
      </c>
      <c r="C60" s="99">
        <v>-65.180000000000007</v>
      </c>
      <c r="D60" s="100">
        <v>64000290</v>
      </c>
      <c r="E60" s="100" t="s">
        <v>175</v>
      </c>
    </row>
    <row r="61" spans="1:5" x14ac:dyDescent="0.25">
      <c r="A61" s="100">
        <v>4</v>
      </c>
      <c r="B61" s="100" t="s">
        <v>175</v>
      </c>
      <c r="C61" s="99">
        <v>187287.28</v>
      </c>
      <c r="D61" s="100">
        <v>11500051</v>
      </c>
      <c r="E61" s="100" t="s">
        <v>178</v>
      </c>
    </row>
    <row r="62" spans="1:5" x14ac:dyDescent="0.25">
      <c r="A62" s="100">
        <v>5</v>
      </c>
      <c r="B62" s="100" t="s">
        <v>175</v>
      </c>
      <c r="C62" s="99">
        <v>-67.349999999999994</v>
      </c>
      <c r="D62" s="100">
        <v>64000290</v>
      </c>
      <c r="E62" s="100" t="s">
        <v>175</v>
      </c>
    </row>
    <row r="63" spans="1:5" x14ac:dyDescent="0.25">
      <c r="A63" s="100">
        <v>5</v>
      </c>
      <c r="B63" s="100" t="s">
        <v>175</v>
      </c>
      <c r="C63" s="99">
        <v>193530.19</v>
      </c>
      <c r="D63" s="100">
        <v>11500051</v>
      </c>
      <c r="E63" s="100" t="s">
        <v>178</v>
      </c>
    </row>
    <row r="64" spans="1:5" x14ac:dyDescent="0.25">
      <c r="A64" s="100">
        <v>6</v>
      </c>
      <c r="B64" s="100" t="s">
        <v>175</v>
      </c>
      <c r="C64" s="99">
        <v>-65.180000000000007</v>
      </c>
      <c r="D64" s="100">
        <v>64000290</v>
      </c>
      <c r="E64" s="100" t="s">
        <v>175</v>
      </c>
    </row>
    <row r="65" spans="1:5" x14ac:dyDescent="0.25">
      <c r="A65" s="100">
        <v>6</v>
      </c>
      <c r="B65" s="100" t="s">
        <v>175</v>
      </c>
      <c r="C65" s="99">
        <v>187287.28</v>
      </c>
      <c r="D65" s="100">
        <v>11500051</v>
      </c>
      <c r="E65" s="100" t="s">
        <v>178</v>
      </c>
    </row>
    <row r="66" spans="1:5" x14ac:dyDescent="0.25">
      <c r="A66" s="100">
        <v>7</v>
      </c>
      <c r="B66" s="100" t="s">
        <v>175</v>
      </c>
      <c r="C66" s="99">
        <v>-7.11</v>
      </c>
      <c r="D66" s="100">
        <v>64000290</v>
      </c>
      <c r="E66" s="100" t="s">
        <v>175</v>
      </c>
    </row>
    <row r="67" spans="1:5" x14ac:dyDescent="0.25">
      <c r="A67" s="100">
        <v>7</v>
      </c>
      <c r="B67" s="100" t="s">
        <v>175</v>
      </c>
      <c r="C67" s="99">
        <v>20425.5</v>
      </c>
      <c r="D67" s="100">
        <v>11500051</v>
      </c>
      <c r="E67" s="100" t="s">
        <v>178</v>
      </c>
    </row>
    <row r="68" spans="1:5" x14ac:dyDescent="0.25">
      <c r="A68" s="100">
        <v>8</v>
      </c>
      <c r="B68" s="100" t="s">
        <v>175</v>
      </c>
    </row>
    <row r="69" spans="1:5" x14ac:dyDescent="0.25">
      <c r="A69" s="100">
        <v>8</v>
      </c>
      <c r="B69" s="100" t="s">
        <v>175</v>
      </c>
    </row>
    <row r="70" spans="1:5" x14ac:dyDescent="0.25">
      <c r="A70" s="100">
        <v>9</v>
      </c>
      <c r="B70" s="100" t="s">
        <v>175</v>
      </c>
    </row>
    <row r="71" spans="1:5" x14ac:dyDescent="0.25">
      <c r="A71" s="100">
        <v>9</v>
      </c>
      <c r="B71" s="100" t="s">
        <v>175</v>
      </c>
    </row>
    <row r="72" spans="1:5" ht="13.8" thickBot="1" x14ac:dyDescent="0.3">
      <c r="B72" s="100" t="s">
        <v>54</v>
      </c>
      <c r="C72" s="175">
        <f>SUM(C48:C71)</f>
        <v>1727259.93</v>
      </c>
    </row>
    <row r="73" spans="1:5" ht="13.8" thickTop="1" x14ac:dyDescent="0.25">
      <c r="A73" s="100" t="s">
        <v>179</v>
      </c>
    </row>
    <row r="74" spans="1:5" x14ac:dyDescent="0.25">
      <c r="A74" s="100">
        <v>10</v>
      </c>
      <c r="B74" s="100" t="s">
        <v>175</v>
      </c>
      <c r="C74" s="99">
        <v>95416.15</v>
      </c>
      <c r="D74" s="100">
        <v>11500061</v>
      </c>
      <c r="E74" s="100" t="s">
        <v>180</v>
      </c>
    </row>
    <row r="75" spans="1:5" x14ac:dyDescent="0.25">
      <c r="A75" s="100">
        <v>11</v>
      </c>
      <c r="B75" s="100" t="s">
        <v>175</v>
      </c>
      <c r="C75" s="99">
        <v>95416.15</v>
      </c>
      <c r="D75" s="100">
        <v>11500061</v>
      </c>
      <c r="E75" s="100" t="s">
        <v>180</v>
      </c>
    </row>
    <row r="76" spans="1:5" x14ac:dyDescent="0.25">
      <c r="A76" s="100">
        <v>12</v>
      </c>
      <c r="B76" s="100" t="s">
        <v>175</v>
      </c>
      <c r="C76" s="99">
        <v>95416.15</v>
      </c>
      <c r="D76" s="100">
        <v>11500061</v>
      </c>
      <c r="E76" s="100" t="s">
        <v>180</v>
      </c>
    </row>
    <row r="77" spans="1:5" x14ac:dyDescent="0.25">
      <c r="A77" s="100">
        <v>1</v>
      </c>
      <c r="B77" s="100" t="s">
        <v>175</v>
      </c>
      <c r="C77" s="99">
        <v>95416.15</v>
      </c>
      <c r="D77" s="100">
        <v>11500061</v>
      </c>
      <c r="E77" s="100" t="s">
        <v>180</v>
      </c>
    </row>
    <row r="78" spans="1:5" x14ac:dyDescent="0.25">
      <c r="A78" s="100">
        <v>2</v>
      </c>
      <c r="B78" s="100" t="s">
        <v>175</v>
      </c>
      <c r="C78" s="99">
        <v>95416.15</v>
      </c>
      <c r="D78" s="100">
        <v>11500061</v>
      </c>
      <c r="E78" s="100" t="s">
        <v>180</v>
      </c>
    </row>
    <row r="79" spans="1:5" x14ac:dyDescent="0.25">
      <c r="A79" s="100">
        <v>3</v>
      </c>
      <c r="B79" s="100" t="s">
        <v>175</v>
      </c>
      <c r="C79" s="99">
        <v>95416.15</v>
      </c>
      <c r="D79" s="100">
        <v>11500061</v>
      </c>
      <c r="E79" s="100" t="s">
        <v>180</v>
      </c>
    </row>
    <row r="80" spans="1:5" x14ac:dyDescent="0.25">
      <c r="A80" s="100">
        <v>4</v>
      </c>
      <c r="B80" s="100" t="s">
        <v>175</v>
      </c>
      <c r="C80" s="99">
        <v>95416.15</v>
      </c>
      <c r="D80" s="100">
        <v>11500061</v>
      </c>
      <c r="E80" s="100" t="s">
        <v>180</v>
      </c>
    </row>
    <row r="81" spans="1:5" x14ac:dyDescent="0.25">
      <c r="A81" s="100">
        <v>5</v>
      </c>
      <c r="B81" s="100" t="s">
        <v>175</v>
      </c>
      <c r="C81" s="99">
        <v>95416.15</v>
      </c>
      <c r="D81" s="100">
        <v>11500061</v>
      </c>
      <c r="E81" s="100" t="s">
        <v>180</v>
      </c>
    </row>
    <row r="82" spans="1:5" x14ac:dyDescent="0.25">
      <c r="A82" s="100">
        <v>6</v>
      </c>
      <c r="B82" s="100" t="s">
        <v>175</v>
      </c>
      <c r="C82" s="99">
        <v>95416.15</v>
      </c>
      <c r="D82" s="100">
        <v>11500061</v>
      </c>
      <c r="E82" s="100" t="s">
        <v>180</v>
      </c>
    </row>
    <row r="83" spans="1:5" x14ac:dyDescent="0.25">
      <c r="A83" s="100">
        <v>7</v>
      </c>
      <c r="B83" s="100" t="s">
        <v>175</v>
      </c>
      <c r="C83" s="99">
        <v>95416.15</v>
      </c>
      <c r="D83" s="100">
        <v>11500061</v>
      </c>
      <c r="E83" s="100" t="s">
        <v>180</v>
      </c>
    </row>
    <row r="84" spans="1:5" x14ac:dyDescent="0.25">
      <c r="A84" s="100">
        <v>8</v>
      </c>
      <c r="B84" s="100" t="s">
        <v>175</v>
      </c>
      <c r="C84" s="99">
        <v>95416.15</v>
      </c>
      <c r="D84" s="100">
        <v>11500061</v>
      </c>
      <c r="E84" s="100" t="s">
        <v>180</v>
      </c>
    </row>
    <row r="85" spans="1:5" x14ac:dyDescent="0.25">
      <c r="A85" s="100">
        <v>9</v>
      </c>
      <c r="B85" s="100" t="s">
        <v>175</v>
      </c>
      <c r="C85" s="99">
        <v>95416.15</v>
      </c>
      <c r="D85" s="100">
        <v>11500061</v>
      </c>
      <c r="E85" s="100" t="s">
        <v>180</v>
      </c>
    </row>
    <row r="86" spans="1:5" ht="13.8" thickBot="1" x14ac:dyDescent="0.3">
      <c r="A86" s="100" t="s">
        <v>144</v>
      </c>
      <c r="B86" s="100" t="s">
        <v>54</v>
      </c>
      <c r="C86" s="175">
        <f>SUM(C74:C85)</f>
        <v>1144993.8</v>
      </c>
    </row>
    <row r="87" spans="1:5" ht="13.8" thickTop="1" x14ac:dyDescent="0.25">
      <c r="C87" s="99" t="s">
        <v>144</v>
      </c>
    </row>
    <row r="88" spans="1:5" x14ac:dyDescent="0.25">
      <c r="A88" s="100" t="s">
        <v>247</v>
      </c>
    </row>
    <row r="89" spans="1:5" x14ac:dyDescent="0.25">
      <c r="A89" s="100">
        <v>10</v>
      </c>
      <c r="B89" s="100" t="s">
        <v>175</v>
      </c>
      <c r="C89" s="99">
        <v>-51653</v>
      </c>
      <c r="D89" s="100">
        <v>22840341</v>
      </c>
      <c r="E89" s="100" t="s">
        <v>248</v>
      </c>
    </row>
    <row r="90" spans="1:5" x14ac:dyDescent="0.25">
      <c r="A90" s="100">
        <v>11</v>
      </c>
      <c r="B90" s="100" t="s">
        <v>175</v>
      </c>
      <c r="C90" s="99">
        <v>-51653</v>
      </c>
      <c r="D90" s="100">
        <v>22840341</v>
      </c>
      <c r="E90" s="100" t="s">
        <v>248</v>
      </c>
    </row>
    <row r="91" spans="1:5" x14ac:dyDescent="0.25">
      <c r="A91" s="100">
        <v>12</v>
      </c>
      <c r="B91" s="100" t="s">
        <v>175</v>
      </c>
      <c r="C91" s="99">
        <v>-51653</v>
      </c>
      <c r="D91" s="100">
        <v>22840341</v>
      </c>
      <c r="E91" s="100" t="s">
        <v>248</v>
      </c>
    </row>
    <row r="92" spans="1:5" x14ac:dyDescent="0.25">
      <c r="A92" s="100">
        <v>1</v>
      </c>
      <c r="B92" s="100" t="s">
        <v>175</v>
      </c>
      <c r="C92" s="99">
        <v>-51653</v>
      </c>
      <c r="D92" s="100">
        <v>22840341</v>
      </c>
      <c r="E92" s="100" t="s">
        <v>248</v>
      </c>
    </row>
    <row r="93" spans="1:5" x14ac:dyDescent="0.25">
      <c r="A93" s="100">
        <v>2</v>
      </c>
      <c r="B93" s="100" t="s">
        <v>175</v>
      </c>
      <c r="C93" s="99">
        <v>-51653</v>
      </c>
      <c r="D93" s="100">
        <v>22840341</v>
      </c>
      <c r="E93" s="100" t="s">
        <v>248</v>
      </c>
    </row>
    <row r="94" spans="1:5" x14ac:dyDescent="0.25">
      <c r="A94" s="100">
        <v>3</v>
      </c>
      <c r="B94" s="100" t="s">
        <v>175</v>
      </c>
      <c r="C94" s="99">
        <v>-51653</v>
      </c>
      <c r="D94" s="100">
        <v>22840341</v>
      </c>
      <c r="E94" s="100" t="s">
        <v>248</v>
      </c>
    </row>
    <row r="95" spans="1:5" x14ac:dyDescent="0.25">
      <c r="A95" s="100">
        <v>4</v>
      </c>
      <c r="B95" s="100" t="s">
        <v>175</v>
      </c>
      <c r="C95" s="99">
        <v>-51653</v>
      </c>
      <c r="D95" s="100">
        <v>22840341</v>
      </c>
      <c r="E95" s="100" t="s">
        <v>248</v>
      </c>
    </row>
    <row r="96" spans="1:5" x14ac:dyDescent="0.25">
      <c r="A96" s="100">
        <v>5</v>
      </c>
      <c r="B96" s="100" t="s">
        <v>175</v>
      </c>
      <c r="C96" s="99">
        <v>-51653</v>
      </c>
      <c r="D96" s="100">
        <v>22840341</v>
      </c>
      <c r="E96" s="100" t="s">
        <v>248</v>
      </c>
    </row>
    <row r="97" spans="1:5" x14ac:dyDescent="0.25">
      <c r="A97" s="100">
        <v>6</v>
      </c>
      <c r="B97" s="100" t="s">
        <v>175</v>
      </c>
      <c r="C97" s="99">
        <v>-51653</v>
      </c>
      <c r="D97" s="100">
        <v>22840341</v>
      </c>
      <c r="E97" s="100" t="s">
        <v>248</v>
      </c>
    </row>
    <row r="98" spans="1:5" x14ac:dyDescent="0.25">
      <c r="A98" s="100">
        <v>7</v>
      </c>
      <c r="B98" s="100" t="s">
        <v>175</v>
      </c>
      <c r="C98" s="99">
        <v>-51653</v>
      </c>
      <c r="D98" s="100">
        <v>22840341</v>
      </c>
      <c r="E98" s="100" t="s">
        <v>248</v>
      </c>
    </row>
    <row r="99" spans="1:5" x14ac:dyDescent="0.25">
      <c r="A99" s="100">
        <v>8</v>
      </c>
      <c r="B99" s="100" t="s">
        <v>175</v>
      </c>
      <c r="C99" s="99">
        <v>-51653</v>
      </c>
      <c r="D99" s="100">
        <v>22840341</v>
      </c>
      <c r="E99" s="100" t="s">
        <v>248</v>
      </c>
    </row>
    <row r="100" spans="1:5" x14ac:dyDescent="0.25">
      <c r="A100" s="100">
        <v>9</v>
      </c>
      <c r="B100" s="100" t="s">
        <v>175</v>
      </c>
      <c r="C100" s="99">
        <v>-51653</v>
      </c>
      <c r="D100" s="100">
        <v>22840341</v>
      </c>
      <c r="E100" s="100" t="s">
        <v>248</v>
      </c>
    </row>
    <row r="101" spans="1:5" ht="13.8" thickBot="1" x14ac:dyDescent="0.3">
      <c r="B101" s="100" t="s">
        <v>54</v>
      </c>
      <c r="C101" s="175">
        <f>SUM(C89:C100)</f>
        <v>-619836</v>
      </c>
    </row>
    <row r="102" spans="1:5" ht="13.8" thickTop="1" x14ac:dyDescent="0.25"/>
    <row r="103" spans="1:5" x14ac:dyDescent="0.25">
      <c r="A103" s="100" t="s">
        <v>249</v>
      </c>
    </row>
    <row r="104" spans="1:5" x14ac:dyDescent="0.25">
      <c r="A104" s="100">
        <v>10</v>
      </c>
      <c r="B104" s="100" t="s">
        <v>175</v>
      </c>
      <c r="C104" s="99">
        <v>-221662</v>
      </c>
      <c r="D104" s="100">
        <v>22840331</v>
      </c>
      <c r="E104" s="100" t="s">
        <v>250</v>
      </c>
    </row>
    <row r="105" spans="1:5" x14ac:dyDescent="0.25">
      <c r="A105" s="100">
        <v>11</v>
      </c>
      <c r="B105" s="100" t="s">
        <v>175</v>
      </c>
      <c r="C105" s="99">
        <v>-221662</v>
      </c>
      <c r="D105" s="100">
        <v>22840331</v>
      </c>
      <c r="E105" s="100" t="s">
        <v>250</v>
      </c>
    </row>
    <row r="106" spans="1:5" x14ac:dyDescent="0.25">
      <c r="A106" s="100">
        <v>12</v>
      </c>
      <c r="B106" s="100" t="s">
        <v>175</v>
      </c>
      <c r="C106" s="99">
        <v>-221662</v>
      </c>
      <c r="D106" s="100">
        <v>22840331</v>
      </c>
      <c r="E106" s="100" t="s">
        <v>250</v>
      </c>
    </row>
    <row r="107" spans="1:5" x14ac:dyDescent="0.25">
      <c r="A107" s="100">
        <v>1</v>
      </c>
      <c r="B107" s="100" t="s">
        <v>175</v>
      </c>
      <c r="C107" s="99">
        <v>-221662</v>
      </c>
      <c r="D107" s="100">
        <v>22840331</v>
      </c>
      <c r="E107" s="100" t="s">
        <v>250</v>
      </c>
    </row>
    <row r="108" spans="1:5" x14ac:dyDescent="0.25">
      <c r="A108" s="100">
        <v>2</v>
      </c>
      <c r="B108" s="100" t="s">
        <v>175</v>
      </c>
      <c r="C108" s="99">
        <v>-221662</v>
      </c>
      <c r="D108" s="100">
        <v>22840331</v>
      </c>
      <c r="E108" s="100" t="s">
        <v>250</v>
      </c>
    </row>
    <row r="109" spans="1:5" x14ac:dyDescent="0.25">
      <c r="A109" s="100">
        <v>3</v>
      </c>
      <c r="B109" s="100" t="s">
        <v>175</v>
      </c>
      <c r="C109" s="99">
        <v>-221662</v>
      </c>
      <c r="D109" s="100">
        <v>22840331</v>
      </c>
      <c r="E109" s="100" t="s">
        <v>250</v>
      </c>
    </row>
    <row r="110" spans="1:5" x14ac:dyDescent="0.25">
      <c r="A110" s="100">
        <v>4</v>
      </c>
      <c r="B110" s="100" t="s">
        <v>175</v>
      </c>
      <c r="C110" s="99">
        <v>-221662</v>
      </c>
      <c r="D110" s="100">
        <v>22840331</v>
      </c>
      <c r="E110" s="100" t="s">
        <v>250</v>
      </c>
    </row>
    <row r="111" spans="1:5" x14ac:dyDescent="0.25">
      <c r="A111" s="100">
        <v>5</v>
      </c>
      <c r="B111" s="100" t="s">
        <v>175</v>
      </c>
      <c r="C111" s="99">
        <v>-221662</v>
      </c>
      <c r="D111" s="100">
        <v>22840331</v>
      </c>
      <c r="E111" s="100" t="s">
        <v>250</v>
      </c>
    </row>
    <row r="112" spans="1:5" x14ac:dyDescent="0.25">
      <c r="A112" s="100">
        <v>6</v>
      </c>
      <c r="B112" s="100" t="s">
        <v>175</v>
      </c>
      <c r="C112" s="99">
        <v>-221662</v>
      </c>
      <c r="D112" s="100">
        <v>22840331</v>
      </c>
      <c r="E112" s="100" t="s">
        <v>250</v>
      </c>
    </row>
    <row r="113" spans="1:5" x14ac:dyDescent="0.25">
      <c r="A113" s="100">
        <v>7</v>
      </c>
      <c r="B113" s="100" t="s">
        <v>175</v>
      </c>
      <c r="C113" s="99">
        <v>-221662</v>
      </c>
      <c r="D113" s="100">
        <v>22840331</v>
      </c>
      <c r="E113" s="100" t="s">
        <v>250</v>
      </c>
    </row>
    <row r="114" spans="1:5" x14ac:dyDescent="0.25">
      <c r="A114" s="100">
        <v>8</v>
      </c>
      <c r="B114" s="100" t="s">
        <v>175</v>
      </c>
      <c r="C114" s="99">
        <v>-221662</v>
      </c>
      <c r="D114" s="100">
        <v>22840331</v>
      </c>
      <c r="E114" s="100" t="s">
        <v>250</v>
      </c>
    </row>
    <row r="115" spans="1:5" x14ac:dyDescent="0.25">
      <c r="A115" s="100">
        <v>9</v>
      </c>
      <c r="B115" s="100" t="s">
        <v>175</v>
      </c>
      <c r="C115" s="99">
        <v>-221662</v>
      </c>
      <c r="D115" s="100">
        <v>22840331</v>
      </c>
      <c r="E115" s="100" t="s">
        <v>250</v>
      </c>
    </row>
    <row r="116" spans="1:5" ht="13.8" thickBot="1" x14ac:dyDescent="0.3">
      <c r="B116" s="100" t="s">
        <v>54</v>
      </c>
      <c r="C116" s="175">
        <f>SUM(C104:C115)</f>
        <v>-2659944</v>
      </c>
    </row>
    <row r="117" spans="1:5" ht="13.8" thickTop="1" x14ac:dyDescent="0.25"/>
  </sheetData>
  <pageMargins left="0.7" right="0.7" top="0.75" bottom="0.75" header="0.3" footer="0.3"/>
  <pageSetup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61"/>
  <sheetViews>
    <sheetView workbookViewId="0">
      <selection activeCell="A7" sqref="A7"/>
    </sheetView>
  </sheetViews>
  <sheetFormatPr defaultColWidth="11.6640625" defaultRowHeight="14.4" x14ac:dyDescent="0.3"/>
  <cols>
    <col min="1" max="1" width="16" style="77" customWidth="1"/>
    <col min="2" max="2" width="15.88671875" style="77" bestFit="1" customWidth="1"/>
    <col min="3" max="3" width="18.44140625" style="77" bestFit="1" customWidth="1"/>
    <col min="4" max="4" width="15.88671875" style="77" bestFit="1" customWidth="1"/>
    <col min="5" max="5" width="14.88671875" style="77" customWidth="1"/>
    <col min="6" max="6" width="17" style="77" bestFit="1" customWidth="1"/>
    <col min="7" max="7" width="9.109375" style="77" bestFit="1" customWidth="1"/>
    <col min="8" max="8" width="15.44140625" style="77" bestFit="1" customWidth="1"/>
    <col min="9" max="9" width="6.33203125" style="77" bestFit="1" customWidth="1"/>
    <col min="10" max="15" width="15.44140625" style="77" bestFit="1" customWidth="1"/>
    <col min="16" max="16384" width="11.6640625" style="77"/>
  </cols>
  <sheetData>
    <row r="1" spans="1:16" ht="18" x14ac:dyDescent="0.35">
      <c r="A1" s="226" t="s">
        <v>276</v>
      </c>
      <c r="B1" s="226"/>
      <c r="C1" s="226"/>
      <c r="D1" s="226"/>
      <c r="E1" s="226"/>
      <c r="F1" s="226"/>
    </row>
    <row r="2" spans="1:16" x14ac:dyDescent="0.3">
      <c r="A2" s="227"/>
      <c r="B2" s="227"/>
      <c r="C2" s="227"/>
      <c r="D2" s="227"/>
      <c r="E2" s="227"/>
      <c r="F2" s="227"/>
      <c r="H2" s="140"/>
      <c r="I2" s="140"/>
      <c r="J2" s="140"/>
      <c r="K2" s="140"/>
      <c r="L2" s="140"/>
      <c r="M2" s="140"/>
      <c r="N2" s="140"/>
      <c r="O2" s="140"/>
    </row>
    <row r="3" spans="1:16" x14ac:dyDescent="0.3">
      <c r="A3" s="137" t="s">
        <v>5</v>
      </c>
      <c r="B3" s="137" t="s">
        <v>84</v>
      </c>
      <c r="C3" s="137" t="s">
        <v>85</v>
      </c>
      <c r="D3" s="137" t="s">
        <v>86</v>
      </c>
      <c r="E3" s="137" t="s">
        <v>156</v>
      </c>
      <c r="F3" s="137" t="s">
        <v>54</v>
      </c>
      <c r="H3" s="140"/>
      <c r="I3" s="140"/>
      <c r="J3" s="140"/>
      <c r="K3" s="140"/>
      <c r="L3" s="140"/>
      <c r="M3" s="140"/>
      <c r="N3" s="140"/>
      <c r="O3" s="140"/>
    </row>
    <row r="4" spans="1:16" x14ac:dyDescent="0.3">
      <c r="A4" s="137" t="s">
        <v>87</v>
      </c>
      <c r="B4" s="78">
        <v>11400031</v>
      </c>
      <c r="C4" s="78">
        <v>11400061</v>
      </c>
      <c r="D4" s="78">
        <v>11400071</v>
      </c>
      <c r="E4" s="78">
        <v>11400091</v>
      </c>
      <c r="F4" s="79"/>
      <c r="H4" s="140"/>
      <c r="I4" s="140"/>
      <c r="J4" s="140"/>
      <c r="K4" s="140"/>
      <c r="L4" s="140"/>
      <c r="M4" s="140"/>
      <c r="N4" s="140"/>
      <c r="O4" s="140"/>
    </row>
    <row r="5" spans="1:16" x14ac:dyDescent="0.3">
      <c r="A5" s="141">
        <v>42257</v>
      </c>
      <c r="B5" s="142">
        <v>76622596.840000004</v>
      </c>
      <c r="C5" s="142">
        <v>156960790.84</v>
      </c>
      <c r="D5" s="142">
        <v>16950332.899999999</v>
      </c>
      <c r="E5" s="142">
        <v>31009424.030000001</v>
      </c>
      <c r="F5" s="142">
        <f>SUM(B5:E5)</f>
        <v>281543144.61000001</v>
      </c>
      <c r="H5" s="140"/>
      <c r="I5" s="140"/>
      <c r="J5" s="140"/>
      <c r="K5" s="140"/>
      <c r="L5" s="140"/>
      <c r="M5" s="140"/>
      <c r="N5" s="140"/>
      <c r="O5" s="140"/>
    </row>
    <row r="6" spans="1:16" x14ac:dyDescent="0.3">
      <c r="A6" s="143">
        <v>42288</v>
      </c>
      <c r="B6" s="142">
        <v>76622596.840000004</v>
      </c>
      <c r="C6" s="142">
        <v>156960790.84</v>
      </c>
      <c r="D6" s="142">
        <v>16950332.899999999</v>
      </c>
      <c r="E6" s="142">
        <v>31009424.030000001</v>
      </c>
      <c r="F6" s="142">
        <f t="shared" ref="F6:F17" si="0">SUM(B6:E6)</f>
        <v>281543144.61000001</v>
      </c>
    </row>
    <row r="7" spans="1:16" x14ac:dyDescent="0.3">
      <c r="A7" s="143">
        <v>42320</v>
      </c>
      <c r="B7" s="142">
        <v>76622596.840000004</v>
      </c>
      <c r="C7" s="142">
        <v>156960790.84</v>
      </c>
      <c r="D7" s="142">
        <v>16950332.899999999</v>
      </c>
      <c r="E7" s="142">
        <v>31009424.030000001</v>
      </c>
      <c r="F7" s="142">
        <f t="shared" si="0"/>
        <v>281543144.61000001</v>
      </c>
    </row>
    <row r="8" spans="1:16" x14ac:dyDescent="0.3">
      <c r="A8" s="143">
        <v>42351</v>
      </c>
      <c r="B8" s="144">
        <v>76622596.840000004</v>
      </c>
      <c r="C8" s="144">
        <v>156960790.84</v>
      </c>
      <c r="D8" s="144">
        <v>16950332.899999999</v>
      </c>
      <c r="E8" s="144">
        <v>31009424.030000001</v>
      </c>
      <c r="F8" s="142">
        <f t="shared" si="0"/>
        <v>281543144.61000001</v>
      </c>
    </row>
    <row r="9" spans="1:16" x14ac:dyDescent="0.3">
      <c r="A9" s="143">
        <v>42370</v>
      </c>
      <c r="B9" s="142">
        <v>76622596.840000004</v>
      </c>
      <c r="C9" s="142">
        <v>156960790.84</v>
      </c>
      <c r="D9" s="142">
        <v>16950332.899999999</v>
      </c>
      <c r="E9" s="142">
        <v>31009424.030000001</v>
      </c>
      <c r="F9" s="142">
        <f t="shared" si="0"/>
        <v>281543144.61000001</v>
      </c>
    </row>
    <row r="10" spans="1:16" x14ac:dyDescent="0.3">
      <c r="A10" s="143">
        <v>42402</v>
      </c>
      <c r="B10" s="142">
        <v>76622596.840000004</v>
      </c>
      <c r="C10" s="142">
        <v>156960790.84</v>
      </c>
      <c r="D10" s="142">
        <v>16950332.899999999</v>
      </c>
      <c r="E10" s="142">
        <v>31009424.030000001</v>
      </c>
      <c r="F10" s="142">
        <f t="shared" si="0"/>
        <v>281543144.61000001</v>
      </c>
    </row>
    <row r="11" spans="1:16" x14ac:dyDescent="0.3">
      <c r="A11" s="143">
        <v>42460</v>
      </c>
      <c r="B11" s="144">
        <v>76622596.840000004</v>
      </c>
      <c r="C11" s="144">
        <v>156960790.84</v>
      </c>
      <c r="D11" s="144">
        <v>16950332.899999999</v>
      </c>
      <c r="E11" s="144">
        <v>31009424.030000001</v>
      </c>
      <c r="F11" s="142">
        <f t="shared" si="0"/>
        <v>281543144.61000001</v>
      </c>
    </row>
    <row r="12" spans="1:16" x14ac:dyDescent="0.3">
      <c r="A12" s="143">
        <v>42461</v>
      </c>
      <c r="B12" s="144">
        <v>76622596.840000004</v>
      </c>
      <c r="C12" s="142">
        <v>156960790.84</v>
      </c>
      <c r="D12" s="142">
        <v>16950332.899999999</v>
      </c>
      <c r="E12" s="142">
        <v>31009424.030000001</v>
      </c>
      <c r="F12" s="142">
        <f t="shared" si="0"/>
        <v>281543144.61000001</v>
      </c>
      <c r="L12" s="25"/>
      <c r="M12" s="25"/>
      <c r="N12" s="25"/>
      <c r="O12" s="25"/>
      <c r="P12" s="25"/>
    </row>
    <row r="13" spans="1:16" x14ac:dyDescent="0.3">
      <c r="A13" s="143">
        <v>42492</v>
      </c>
      <c r="B13" s="144">
        <v>76622596.840000004</v>
      </c>
      <c r="C13" s="142">
        <v>156960790.84</v>
      </c>
      <c r="D13" s="142">
        <v>16950332.899999999</v>
      </c>
      <c r="E13" s="142">
        <v>31009424.030000001</v>
      </c>
      <c r="F13" s="142">
        <f t="shared" si="0"/>
        <v>281543144.61000001</v>
      </c>
      <c r="L13" s="25"/>
      <c r="M13" s="25"/>
      <c r="N13" s="25"/>
      <c r="O13" s="25"/>
      <c r="P13" s="25"/>
    </row>
    <row r="14" spans="1:16" x14ac:dyDescent="0.3">
      <c r="A14" s="143">
        <v>42551</v>
      </c>
      <c r="B14" s="144">
        <v>76622596.840000004</v>
      </c>
      <c r="C14" s="144">
        <v>156960790.84</v>
      </c>
      <c r="D14" s="144">
        <v>16950332.899999999</v>
      </c>
      <c r="E14" s="144">
        <v>31009424.030000001</v>
      </c>
      <c r="F14" s="142">
        <f t="shared" si="0"/>
        <v>281543144.61000001</v>
      </c>
      <c r="L14" s="25"/>
      <c r="M14" s="25"/>
      <c r="N14" s="25"/>
      <c r="O14" s="25"/>
      <c r="P14" s="25"/>
    </row>
    <row r="15" spans="1:16" x14ac:dyDescent="0.3">
      <c r="A15" s="143">
        <v>42552</v>
      </c>
      <c r="B15" s="144">
        <v>76622596.840000004</v>
      </c>
      <c r="C15" s="144">
        <v>156960790.84</v>
      </c>
      <c r="D15" s="144">
        <v>16950332.899999999</v>
      </c>
      <c r="E15" s="144">
        <v>31009424.030000001</v>
      </c>
      <c r="F15" s="142">
        <f t="shared" si="0"/>
        <v>281543144.61000001</v>
      </c>
      <c r="L15" s="25"/>
      <c r="M15" s="25"/>
      <c r="N15" s="25"/>
      <c r="O15" s="25"/>
      <c r="P15" s="25"/>
    </row>
    <row r="16" spans="1:16" x14ac:dyDescent="0.3">
      <c r="A16" s="143">
        <v>42583</v>
      </c>
      <c r="B16" s="144">
        <v>76622596.840000004</v>
      </c>
      <c r="C16" s="144">
        <v>156960790.84</v>
      </c>
      <c r="D16" s="144">
        <v>16950332.899999999</v>
      </c>
      <c r="E16" s="144">
        <v>31009424.030000001</v>
      </c>
      <c r="F16" s="142">
        <f t="shared" si="0"/>
        <v>281543144.61000001</v>
      </c>
      <c r="L16" s="25"/>
      <c r="M16" s="25"/>
      <c r="N16" s="25"/>
      <c r="O16" s="25"/>
      <c r="P16" s="25"/>
    </row>
    <row r="17" spans="1:16" x14ac:dyDescent="0.3">
      <c r="A17" s="143">
        <v>42614</v>
      </c>
      <c r="B17" s="144">
        <v>76622596.840000004</v>
      </c>
      <c r="C17" s="144">
        <v>156960790.84</v>
      </c>
      <c r="D17" s="144">
        <v>16950332.899999999</v>
      </c>
      <c r="E17" s="144">
        <v>31009424.030000001</v>
      </c>
      <c r="F17" s="145">
        <f t="shared" si="0"/>
        <v>281543144.61000001</v>
      </c>
      <c r="G17" s="77" t="s">
        <v>246</v>
      </c>
      <c r="L17" s="25"/>
      <c r="M17" s="25"/>
      <c r="N17" s="25"/>
      <c r="O17" s="25"/>
      <c r="P17" s="25"/>
    </row>
    <row r="18" spans="1:16" x14ac:dyDescent="0.3">
      <c r="A18" s="82" t="s">
        <v>78</v>
      </c>
      <c r="B18" s="146">
        <f>ROUND(((B5+B17+SUM(B6:B16)*2))/24,0)</f>
        <v>76622597</v>
      </c>
      <c r="C18" s="146">
        <f t="shared" ref="C18:E18" si="1">ROUND(((C5+C17+SUM(C6:C16)*2))/24,0)</f>
        <v>156960791</v>
      </c>
      <c r="D18" s="146">
        <f t="shared" si="1"/>
        <v>16950333</v>
      </c>
      <c r="E18" s="146">
        <f t="shared" si="1"/>
        <v>31009424</v>
      </c>
      <c r="F18" s="147">
        <f>ROUND(((F5+F17+SUM(F6:F16)*2))/24,0)</f>
        <v>281543145</v>
      </c>
      <c r="G18" s="77" t="s">
        <v>78</v>
      </c>
      <c r="L18" s="25"/>
      <c r="M18" s="25"/>
      <c r="N18" s="25"/>
      <c r="O18" s="25"/>
      <c r="P18" s="25"/>
    </row>
    <row r="19" spans="1:16" x14ac:dyDescent="0.3">
      <c r="A19" s="227"/>
      <c r="B19" s="227"/>
      <c r="C19" s="227"/>
      <c r="D19" s="227"/>
      <c r="E19" s="227"/>
      <c r="F19" s="227"/>
      <c r="L19" s="25"/>
      <c r="M19" s="25"/>
      <c r="N19" s="25"/>
      <c r="O19" s="25"/>
      <c r="P19" s="25"/>
    </row>
    <row r="20" spans="1:16" x14ac:dyDescent="0.3">
      <c r="A20" s="137" t="s">
        <v>5</v>
      </c>
      <c r="B20" s="80" t="s">
        <v>84</v>
      </c>
      <c r="C20" s="80" t="s">
        <v>85</v>
      </c>
      <c r="D20" s="80" t="s">
        <v>86</v>
      </c>
      <c r="E20" s="80" t="s">
        <v>156</v>
      </c>
      <c r="F20" s="80" t="s">
        <v>54</v>
      </c>
      <c r="L20" s="25"/>
      <c r="M20" s="25"/>
      <c r="N20" s="25"/>
      <c r="O20" s="25"/>
      <c r="P20" s="25"/>
    </row>
    <row r="21" spans="1:16" x14ac:dyDescent="0.3">
      <c r="A21" s="137" t="s">
        <v>87</v>
      </c>
      <c r="B21" s="78">
        <v>11500031</v>
      </c>
      <c r="C21" s="78">
        <v>11500041</v>
      </c>
      <c r="D21" s="78">
        <v>11500051</v>
      </c>
      <c r="E21" s="78">
        <v>11500061</v>
      </c>
      <c r="F21" s="79"/>
      <c r="H21" s="140"/>
      <c r="I21" s="140"/>
      <c r="J21" s="140"/>
      <c r="K21" s="140"/>
      <c r="L21" s="148"/>
      <c r="M21" s="25"/>
      <c r="N21" s="25"/>
      <c r="O21" s="25"/>
      <c r="P21" s="25"/>
    </row>
    <row r="22" spans="1:16" x14ac:dyDescent="0.3">
      <c r="A22" s="141">
        <v>42257</v>
      </c>
      <c r="B22" s="144">
        <v>-57831213.659999996</v>
      </c>
      <c r="C22" s="144">
        <v>-31413014.960000001</v>
      </c>
      <c r="D22" s="144">
        <v>-15222471.67</v>
      </c>
      <c r="E22" s="144">
        <v>-3291032.12</v>
      </c>
      <c r="F22" s="142">
        <f>SUM(B22:E22)</f>
        <v>-107757732.41000001</v>
      </c>
      <c r="G22" s="81"/>
      <c r="H22" s="140"/>
      <c r="I22" s="140"/>
      <c r="J22" s="140"/>
      <c r="K22" s="140"/>
      <c r="L22" s="148"/>
      <c r="M22" s="25"/>
      <c r="N22" s="25"/>
      <c r="O22" s="25"/>
      <c r="P22" s="25"/>
    </row>
    <row r="23" spans="1:16" x14ac:dyDescent="0.3">
      <c r="A23" s="143">
        <v>42288</v>
      </c>
      <c r="B23" s="149">
        <v>-58052288.659999996</v>
      </c>
      <c r="C23" s="144">
        <v>-31797723.239999998</v>
      </c>
      <c r="D23" s="144">
        <v>-15412880.41</v>
      </c>
      <c r="E23" s="144">
        <v>-3386448.27</v>
      </c>
      <c r="F23" s="142">
        <f t="shared" ref="F23:F34" si="2">SUM(B23:E23)</f>
        <v>-108649340.57999998</v>
      </c>
      <c r="G23" s="81"/>
      <c r="H23" s="140"/>
      <c r="I23" s="140"/>
      <c r="J23" s="140"/>
      <c r="K23" s="140"/>
      <c r="L23" s="148"/>
      <c r="M23" s="25"/>
      <c r="N23" s="25"/>
      <c r="O23" s="25"/>
      <c r="P23" s="25"/>
    </row>
    <row r="24" spans="1:16" x14ac:dyDescent="0.3">
      <c r="A24" s="143">
        <v>42320</v>
      </c>
      <c r="B24" s="149">
        <v>-58273363.659999996</v>
      </c>
      <c r="C24" s="144">
        <v>-32182431.52</v>
      </c>
      <c r="D24" s="144">
        <v>-15603289.15</v>
      </c>
      <c r="E24" s="144">
        <v>-3481864.42</v>
      </c>
      <c r="F24" s="142">
        <f t="shared" si="2"/>
        <v>-109540948.75</v>
      </c>
      <c r="G24" s="81"/>
      <c r="H24" s="140"/>
      <c r="I24" s="140"/>
      <c r="J24" s="140"/>
      <c r="K24" s="140"/>
      <c r="L24" s="148"/>
      <c r="M24" s="25"/>
      <c r="N24" s="25"/>
      <c r="O24" s="25"/>
      <c r="P24" s="25"/>
    </row>
    <row r="25" spans="1:16" x14ac:dyDescent="0.3">
      <c r="A25" s="143">
        <v>42351</v>
      </c>
      <c r="B25" s="149">
        <v>-58494438.659999996</v>
      </c>
      <c r="C25" s="144">
        <v>-32567139.800000001</v>
      </c>
      <c r="D25" s="144">
        <v>-15793697.890000001</v>
      </c>
      <c r="E25" s="144">
        <v>-3577280.57</v>
      </c>
      <c r="F25" s="142">
        <f t="shared" si="2"/>
        <v>-110432556.91999999</v>
      </c>
      <c r="G25" s="81"/>
      <c r="L25" s="148"/>
      <c r="M25" s="25"/>
      <c r="N25" s="25"/>
      <c r="O25" s="25"/>
      <c r="P25" s="25"/>
    </row>
    <row r="26" spans="1:16" x14ac:dyDescent="0.3">
      <c r="A26" s="143">
        <v>42370</v>
      </c>
      <c r="B26" s="140">
        <v>-58715513.659999996</v>
      </c>
      <c r="C26" s="142">
        <v>-32951848.079999998</v>
      </c>
      <c r="D26" s="142">
        <v>-15987228.08</v>
      </c>
      <c r="E26" s="142">
        <v>-3672696.72</v>
      </c>
      <c r="F26" s="142">
        <f t="shared" si="2"/>
        <v>-111327286.53999999</v>
      </c>
      <c r="G26" s="81"/>
      <c r="L26" s="148"/>
      <c r="M26" s="25"/>
      <c r="N26" s="25"/>
      <c r="O26" s="25"/>
      <c r="P26" s="25"/>
    </row>
    <row r="27" spans="1:16" x14ac:dyDescent="0.3">
      <c r="A27" s="143">
        <v>42402</v>
      </c>
      <c r="B27" s="140">
        <v>-58936588.659999996</v>
      </c>
      <c r="C27" s="142">
        <v>-33336556.359999999</v>
      </c>
      <c r="D27" s="142">
        <v>-16168272.460000001</v>
      </c>
      <c r="E27" s="142">
        <v>-3768112.87</v>
      </c>
      <c r="F27" s="142">
        <f t="shared" si="2"/>
        <v>-112209530.34999999</v>
      </c>
      <c r="G27" s="81"/>
      <c r="L27" s="148"/>
      <c r="M27" s="25"/>
      <c r="N27" s="25"/>
      <c r="O27" s="25"/>
      <c r="P27" s="25"/>
    </row>
    <row r="28" spans="1:16" x14ac:dyDescent="0.3">
      <c r="A28" s="143">
        <v>42460</v>
      </c>
      <c r="B28" s="149">
        <v>-59157663.659999996</v>
      </c>
      <c r="C28" s="144">
        <v>-33721264.640000001</v>
      </c>
      <c r="D28" s="144">
        <v>-16361802.65</v>
      </c>
      <c r="E28" s="144">
        <v>-3863529.02</v>
      </c>
      <c r="F28" s="142">
        <f t="shared" si="2"/>
        <v>-113104259.97</v>
      </c>
      <c r="G28" s="81"/>
      <c r="L28" s="148"/>
      <c r="M28" s="25"/>
      <c r="N28" s="25"/>
      <c r="O28" s="25"/>
      <c r="P28" s="25"/>
    </row>
    <row r="29" spans="1:16" x14ac:dyDescent="0.3">
      <c r="A29" s="143">
        <v>42461</v>
      </c>
      <c r="B29" s="149">
        <v>-59378738.659999996</v>
      </c>
      <c r="C29" s="144">
        <v>-34105972.920000002</v>
      </c>
      <c r="D29" s="144">
        <v>-16549089.93</v>
      </c>
      <c r="E29" s="144">
        <v>-3958945.17</v>
      </c>
      <c r="F29" s="142">
        <f t="shared" si="2"/>
        <v>-113992746.67999999</v>
      </c>
      <c r="G29" s="81"/>
      <c r="L29" s="148"/>
      <c r="M29" s="25"/>
      <c r="N29" s="25"/>
      <c r="O29" s="25"/>
      <c r="P29" s="25"/>
    </row>
    <row r="30" spans="1:16" x14ac:dyDescent="0.3">
      <c r="A30" s="143">
        <v>42492</v>
      </c>
      <c r="B30" s="140">
        <v>-59599813.659999996</v>
      </c>
      <c r="C30" s="144">
        <v>-34490681.200000003</v>
      </c>
      <c r="D30" s="144">
        <v>-16742620.119999999</v>
      </c>
      <c r="E30" s="144">
        <v>-4054361.32</v>
      </c>
      <c r="F30" s="142">
        <f t="shared" si="2"/>
        <v>-114887476.3</v>
      </c>
      <c r="G30" s="81"/>
      <c r="L30" s="148"/>
      <c r="M30" s="25"/>
      <c r="N30" s="25"/>
      <c r="O30" s="25"/>
      <c r="P30" s="25"/>
    </row>
    <row r="31" spans="1:16" x14ac:dyDescent="0.3">
      <c r="A31" s="143">
        <v>42551</v>
      </c>
      <c r="B31" s="140">
        <v>-59820888.659999996</v>
      </c>
      <c r="C31" s="144">
        <v>-34875389.479999997</v>
      </c>
      <c r="D31" s="144">
        <v>-16929907.399999999</v>
      </c>
      <c r="E31" s="144">
        <v>-4149777.47</v>
      </c>
      <c r="F31" s="142">
        <f t="shared" si="2"/>
        <v>-115775963.00999999</v>
      </c>
      <c r="G31" s="81"/>
      <c r="L31" s="25"/>
      <c r="M31" s="25"/>
      <c r="N31" s="25"/>
      <c r="O31" s="25"/>
      <c r="P31" s="25"/>
    </row>
    <row r="32" spans="1:16" x14ac:dyDescent="0.3">
      <c r="A32" s="143">
        <v>42552</v>
      </c>
      <c r="B32" s="140">
        <v>-60041963.659999996</v>
      </c>
      <c r="C32" s="144">
        <v>-35260097.759999998</v>
      </c>
      <c r="D32" s="144">
        <v>-16950332.899999999</v>
      </c>
      <c r="E32" s="144">
        <v>-4245193.62</v>
      </c>
      <c r="F32" s="142">
        <f t="shared" si="2"/>
        <v>-116497587.94</v>
      </c>
      <c r="G32" s="81"/>
      <c r="L32" s="25"/>
      <c r="M32" s="25"/>
      <c r="N32" s="25"/>
      <c r="O32" s="25"/>
      <c r="P32" s="25"/>
    </row>
    <row r="33" spans="1:249" x14ac:dyDescent="0.3">
      <c r="A33" s="143">
        <v>42583</v>
      </c>
      <c r="B33" s="140">
        <v>-60263038.659999996</v>
      </c>
      <c r="C33" s="144">
        <v>-35644806.039999999</v>
      </c>
      <c r="D33" s="144">
        <v>-16950332.899999999</v>
      </c>
      <c r="E33" s="144">
        <v>-4340609.7699999996</v>
      </c>
      <c r="F33" s="142">
        <f t="shared" si="2"/>
        <v>-117198787.36999999</v>
      </c>
      <c r="G33" s="81"/>
      <c r="L33" s="25"/>
      <c r="M33" s="25"/>
      <c r="N33" s="25"/>
      <c r="O33" s="25"/>
      <c r="P33" s="25"/>
    </row>
    <row r="34" spans="1:249" x14ac:dyDescent="0.3">
      <c r="A34" s="143">
        <v>42614</v>
      </c>
      <c r="B34" s="140">
        <v>-60484113.659999996</v>
      </c>
      <c r="C34" s="144">
        <v>-36029514.32</v>
      </c>
      <c r="D34" s="144">
        <v>-16950332.899999999</v>
      </c>
      <c r="E34" s="144">
        <v>-4436025.92</v>
      </c>
      <c r="F34" s="145">
        <f t="shared" si="2"/>
        <v>-117899986.8</v>
      </c>
      <c r="G34" s="77" t="s">
        <v>246</v>
      </c>
      <c r="L34" s="25"/>
      <c r="M34" s="25"/>
      <c r="N34" s="25"/>
      <c r="O34" s="25"/>
      <c r="P34" s="25"/>
    </row>
    <row r="35" spans="1:249" x14ac:dyDescent="0.3">
      <c r="A35" s="82" t="s">
        <v>78</v>
      </c>
      <c r="B35" s="146">
        <f>ROUND(((B22+B34+SUM(B23:B33)*2))/24,0)</f>
        <v>-59157664</v>
      </c>
      <c r="C35" s="146">
        <f>ROUND(((C22+C34+SUM(C23:C33)*2))/24,0)</f>
        <v>-33721265</v>
      </c>
      <c r="D35" s="146">
        <f>ROUND(((D22+D34+SUM(D23:D33)*2))/24,0)</f>
        <v>-16294655</v>
      </c>
      <c r="E35" s="146">
        <f>ROUND(((E22+E34+SUM(E23:E33)*2))/24,0)</f>
        <v>-3863529</v>
      </c>
      <c r="F35" s="147">
        <f>ROUND(((F22+F34+SUM(F23:F33)*2))/24,0)</f>
        <v>-113037112</v>
      </c>
      <c r="G35" s="77" t="s">
        <v>78</v>
      </c>
      <c r="L35" s="25"/>
      <c r="M35" s="25"/>
      <c r="N35" s="25"/>
      <c r="O35" s="25"/>
      <c r="P35" s="25"/>
    </row>
    <row r="36" spans="1:249" ht="15" thickBot="1" x14ac:dyDescent="0.35">
      <c r="B36" s="81"/>
      <c r="C36" s="81"/>
      <c r="D36" s="81"/>
      <c r="E36" s="81"/>
      <c r="F36" s="81"/>
      <c r="G36" s="81"/>
      <c r="H36" s="100"/>
      <c r="I36" s="100"/>
      <c r="J36" s="100"/>
      <c r="K36" s="100"/>
      <c r="L36" s="25"/>
      <c r="M36" s="25"/>
      <c r="N36" s="25"/>
      <c r="O36" s="25"/>
      <c r="P36" s="25"/>
    </row>
    <row r="37" spans="1:249" ht="15" thickBot="1" x14ac:dyDescent="0.35">
      <c r="A37" s="83" t="s">
        <v>87</v>
      </c>
      <c r="B37" s="84">
        <v>18230061</v>
      </c>
      <c r="C37" s="84" t="s">
        <v>88</v>
      </c>
      <c r="D37" s="85"/>
      <c r="E37" s="86"/>
      <c r="F37" s="87"/>
      <c r="G37" s="100"/>
      <c r="H37" s="100"/>
      <c r="I37" s="100"/>
      <c r="J37" s="100"/>
      <c r="K37" s="100"/>
      <c r="L37" s="15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</row>
    <row r="38" spans="1:249" x14ac:dyDescent="0.3">
      <c r="A38" s="88"/>
      <c r="B38" s="89" t="s">
        <v>89</v>
      </c>
      <c r="C38" s="89" t="s">
        <v>273</v>
      </c>
      <c r="D38" s="89" t="s">
        <v>90</v>
      </c>
      <c r="E38" s="89"/>
      <c r="F38" s="90" t="s">
        <v>91</v>
      </c>
      <c r="G38" s="100"/>
      <c r="H38" s="100"/>
      <c r="I38" s="100"/>
      <c r="J38" s="100"/>
      <c r="K38" s="100"/>
      <c r="L38" s="15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</row>
    <row r="39" spans="1:249" x14ac:dyDescent="0.3">
      <c r="A39" s="143">
        <v>42257</v>
      </c>
      <c r="B39" s="151">
        <v>0</v>
      </c>
      <c r="C39" s="152">
        <v>11567</v>
      </c>
      <c r="D39" s="153">
        <v>-11567</v>
      </c>
      <c r="E39" s="153"/>
      <c r="F39" s="154">
        <v>1212346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</row>
    <row r="40" spans="1:249" ht="9.75" customHeight="1" x14ac:dyDescent="0.3">
      <c r="A40" s="143"/>
      <c r="B40" s="151"/>
      <c r="C40" s="152"/>
      <c r="D40" s="153"/>
      <c r="E40" s="153"/>
      <c r="F40" s="154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</row>
    <row r="41" spans="1:249" x14ac:dyDescent="0.3">
      <c r="A41" s="155" t="s">
        <v>274</v>
      </c>
      <c r="B41" s="151"/>
      <c r="C41" s="152"/>
      <c r="D41" s="153"/>
      <c r="E41" s="153"/>
      <c r="F41" s="154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</row>
    <row r="42" spans="1:249" x14ac:dyDescent="0.3">
      <c r="A42" s="143">
        <v>42288</v>
      </c>
      <c r="B42" s="151">
        <v>0</v>
      </c>
      <c r="C42" s="152">
        <v>11567</v>
      </c>
      <c r="D42" s="153">
        <v>-11567</v>
      </c>
      <c r="E42" s="153"/>
      <c r="F42" s="156">
        <f>F39+D42</f>
        <v>1200779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</row>
    <row r="43" spans="1:249" x14ac:dyDescent="0.3">
      <c r="A43" s="143">
        <v>42320</v>
      </c>
      <c r="B43" s="151">
        <v>0</v>
      </c>
      <c r="C43" s="152">
        <v>11567</v>
      </c>
      <c r="D43" s="153">
        <v>-11567</v>
      </c>
      <c r="E43" s="153"/>
      <c r="F43" s="156">
        <f t="shared" ref="F43:F50" si="3">F42+D43</f>
        <v>1189212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</row>
    <row r="44" spans="1:249" x14ac:dyDescent="0.3">
      <c r="A44" s="143">
        <v>42351</v>
      </c>
      <c r="B44" s="151">
        <v>0</v>
      </c>
      <c r="C44" s="152">
        <v>11567</v>
      </c>
      <c r="D44" s="153">
        <v>-11567</v>
      </c>
      <c r="E44" s="153"/>
      <c r="F44" s="156">
        <f t="shared" si="3"/>
        <v>1177645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</row>
    <row r="45" spans="1:249" x14ac:dyDescent="0.3">
      <c r="A45" s="143">
        <v>42370</v>
      </c>
      <c r="B45" s="151">
        <v>0</v>
      </c>
      <c r="C45" s="152">
        <v>11567</v>
      </c>
      <c r="D45" s="153">
        <v>-11567</v>
      </c>
      <c r="E45" s="153"/>
      <c r="F45" s="156">
        <f t="shared" si="3"/>
        <v>1166078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</row>
    <row r="46" spans="1:249" x14ac:dyDescent="0.3">
      <c r="A46" s="143">
        <v>42402</v>
      </c>
      <c r="B46" s="151">
        <v>0</v>
      </c>
      <c r="C46" s="152">
        <v>11567</v>
      </c>
      <c r="D46" s="153">
        <v>-11567</v>
      </c>
      <c r="E46" s="153"/>
      <c r="F46" s="156">
        <f t="shared" si="3"/>
        <v>1154511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</row>
    <row r="47" spans="1:249" x14ac:dyDescent="0.3">
      <c r="A47" s="143">
        <v>42460</v>
      </c>
      <c r="B47" s="151">
        <v>0</v>
      </c>
      <c r="C47" s="152">
        <v>11567</v>
      </c>
      <c r="D47" s="153">
        <v>-11567</v>
      </c>
      <c r="E47" s="153"/>
      <c r="F47" s="156">
        <f t="shared" si="3"/>
        <v>1142944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</row>
    <row r="48" spans="1:249" x14ac:dyDescent="0.3">
      <c r="A48" s="143">
        <v>42461</v>
      </c>
      <c r="B48" s="151">
        <v>0</v>
      </c>
      <c r="C48" s="152">
        <v>11567</v>
      </c>
      <c r="D48" s="153">
        <v>-11567</v>
      </c>
      <c r="E48" s="153"/>
      <c r="F48" s="156">
        <f t="shared" si="3"/>
        <v>1131377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</row>
    <row r="49" spans="1:249" x14ac:dyDescent="0.3">
      <c r="A49" s="143">
        <v>42492</v>
      </c>
      <c r="B49" s="151">
        <v>0</v>
      </c>
      <c r="C49" s="152">
        <v>11567</v>
      </c>
      <c r="D49" s="153">
        <v>-11567</v>
      </c>
      <c r="E49" s="153"/>
      <c r="F49" s="156">
        <f t="shared" si="3"/>
        <v>1119810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  <c r="IK49" s="100"/>
      <c r="IL49" s="100"/>
      <c r="IM49" s="100"/>
      <c r="IN49" s="100"/>
      <c r="IO49" s="100"/>
    </row>
    <row r="50" spans="1:249" x14ac:dyDescent="0.3">
      <c r="A50" s="143">
        <v>42551</v>
      </c>
      <c r="B50" s="151">
        <v>0</v>
      </c>
      <c r="C50" s="152">
        <v>11567</v>
      </c>
      <c r="D50" s="153">
        <v>-11567</v>
      </c>
      <c r="E50" s="153"/>
      <c r="F50" s="156">
        <f t="shared" si="3"/>
        <v>1108243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  <c r="IK50" s="100"/>
      <c r="IL50" s="100"/>
      <c r="IM50" s="100"/>
      <c r="IN50" s="100"/>
      <c r="IO50" s="100"/>
    </row>
    <row r="51" spans="1:249" x14ac:dyDescent="0.3">
      <c r="A51" s="143">
        <v>42552</v>
      </c>
      <c r="B51" s="151">
        <v>0</v>
      </c>
      <c r="C51" s="152">
        <v>11567</v>
      </c>
      <c r="D51" s="153">
        <v>-11567</v>
      </c>
      <c r="E51" s="153"/>
      <c r="F51" s="156">
        <f>F50+D51</f>
        <v>1096676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  <c r="IK51" s="100"/>
      <c r="IL51" s="100"/>
      <c r="IM51" s="100"/>
      <c r="IN51" s="100"/>
      <c r="IO51" s="100"/>
    </row>
    <row r="52" spans="1:249" x14ac:dyDescent="0.3">
      <c r="A52" s="143">
        <v>42583</v>
      </c>
      <c r="B52" s="151">
        <v>0</v>
      </c>
      <c r="C52" s="152">
        <v>11567</v>
      </c>
      <c r="D52" s="153">
        <v>-11567</v>
      </c>
      <c r="E52" s="153"/>
      <c r="F52" s="156">
        <f>F51+D52</f>
        <v>1085109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/>
      <c r="HI52" s="100"/>
      <c r="HJ52" s="100"/>
      <c r="HK52" s="100"/>
      <c r="HL52" s="100"/>
      <c r="HM52" s="100"/>
      <c r="HN52" s="100"/>
      <c r="HO52" s="100"/>
      <c r="HP52" s="100"/>
      <c r="HQ52" s="100"/>
      <c r="HR52" s="100"/>
      <c r="HS52" s="100"/>
      <c r="HT52" s="100"/>
      <c r="HU52" s="100"/>
      <c r="HV52" s="100"/>
      <c r="HW52" s="100"/>
      <c r="HX52" s="100"/>
      <c r="HY52" s="100"/>
      <c r="HZ52" s="100"/>
      <c r="IA52" s="100"/>
      <c r="IB52" s="100"/>
      <c r="IC52" s="100"/>
      <c r="ID52" s="100"/>
      <c r="IE52" s="100"/>
      <c r="IF52" s="100"/>
      <c r="IG52" s="100"/>
      <c r="IH52" s="100"/>
      <c r="II52" s="100"/>
      <c r="IJ52" s="100"/>
      <c r="IK52" s="100"/>
      <c r="IL52" s="100"/>
      <c r="IM52" s="100"/>
      <c r="IN52" s="100"/>
      <c r="IO52" s="100"/>
    </row>
    <row r="53" spans="1:249" x14ac:dyDescent="0.3">
      <c r="A53" s="143">
        <v>42614</v>
      </c>
      <c r="B53" s="151">
        <v>0</v>
      </c>
      <c r="C53" s="152">
        <v>11567</v>
      </c>
      <c r="D53" s="157">
        <v>-11567</v>
      </c>
      <c r="E53" s="153"/>
      <c r="F53" s="158">
        <f>F52+D53</f>
        <v>1073542</v>
      </c>
      <c r="G53" s="91">
        <v>0.75149999999999995</v>
      </c>
      <c r="H53" s="159">
        <f>F53*G53</f>
        <v>806766.81299999997</v>
      </c>
      <c r="I53" s="100" t="s">
        <v>246</v>
      </c>
      <c r="J53" s="92" t="s">
        <v>92</v>
      </c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  <c r="IJ53" s="100"/>
      <c r="IK53" s="100"/>
      <c r="IL53" s="100"/>
      <c r="IM53" s="100"/>
      <c r="IN53" s="100"/>
      <c r="IO53" s="100"/>
    </row>
    <row r="54" spans="1:249" ht="15" thickBot="1" x14ac:dyDescent="0.35">
      <c r="A54" s="160"/>
      <c r="B54" s="161"/>
      <c r="C54" s="161"/>
      <c r="D54" s="153">
        <f>SUM(D42:D53)</f>
        <v>-138804</v>
      </c>
      <c r="E54" s="162" t="s">
        <v>275</v>
      </c>
      <c r="F54" s="163">
        <f>((F39+F53+(SUM(F42:F52)*2))/24)</f>
        <v>1142944</v>
      </c>
      <c r="G54" s="91">
        <v>0.75149999999999995</v>
      </c>
      <c r="H54" s="164">
        <f>F54*G54</f>
        <v>858922.41599999997</v>
      </c>
      <c r="I54" s="77" t="s">
        <v>78</v>
      </c>
      <c r="J54" s="92" t="s">
        <v>92</v>
      </c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0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00"/>
      <c r="IM54" s="100"/>
      <c r="IN54" s="100"/>
      <c r="IO54" s="100"/>
    </row>
    <row r="55" spans="1:249" x14ac:dyDescent="0.3">
      <c r="A55" s="165" t="s">
        <v>93</v>
      </c>
      <c r="B55" s="161"/>
      <c r="C55" s="161"/>
      <c r="D55" s="166">
        <v>0.2485</v>
      </c>
      <c r="E55" s="166"/>
      <c r="F55" s="167">
        <v>0.2485</v>
      </c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</row>
    <row r="56" spans="1:249" ht="15" thickBot="1" x14ac:dyDescent="0.35">
      <c r="A56" s="168"/>
      <c r="B56" s="169"/>
      <c r="C56" s="169"/>
      <c r="D56" s="170">
        <f>D54*D55</f>
        <v>-34492.794000000002</v>
      </c>
      <c r="E56" s="170"/>
      <c r="F56" s="171">
        <f>F54*F55</f>
        <v>284021.58399999997</v>
      </c>
      <c r="G56" s="100" t="s">
        <v>78</v>
      </c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</row>
    <row r="57" spans="1:249" x14ac:dyDescent="0.3">
      <c r="F57" s="93">
        <f>F53*F55</f>
        <v>266775.18699999998</v>
      </c>
      <c r="G57" s="77" t="s">
        <v>246</v>
      </c>
    </row>
    <row r="59" spans="1:249" x14ac:dyDescent="0.3">
      <c r="A59" s="100" t="s">
        <v>218</v>
      </c>
      <c r="D59" s="140">
        <f>SUM(D42:D53)</f>
        <v>-138804</v>
      </c>
    </row>
    <row r="60" spans="1:249" x14ac:dyDescent="0.3">
      <c r="A60" s="77" t="s">
        <v>93</v>
      </c>
      <c r="D60" s="172">
        <f>F55</f>
        <v>0.2485</v>
      </c>
      <c r="F60" s="94"/>
    </row>
    <row r="61" spans="1:249" x14ac:dyDescent="0.3">
      <c r="D61" s="173">
        <f>D59*D60</f>
        <v>-34492.794000000002</v>
      </c>
    </row>
  </sheetData>
  <mergeCells count="3">
    <mergeCell ref="A1:F1"/>
    <mergeCell ref="A2:F2"/>
    <mergeCell ref="A19:F19"/>
  </mergeCells>
  <pageMargins left="0.7" right="0.7" top="0.75" bottom="0.75" header="0.3" footer="0.3"/>
  <pageSetup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3"/>
  <sheetViews>
    <sheetView workbookViewId="0">
      <selection activeCell="C251" sqref="C251"/>
    </sheetView>
  </sheetViews>
  <sheetFormatPr defaultColWidth="11.6640625" defaultRowHeight="13.2" outlineLevelRow="1" x14ac:dyDescent="0.25"/>
  <cols>
    <col min="1" max="1" width="31" style="100" customWidth="1"/>
    <col min="2" max="2" width="18.109375" style="100" bestFit="1" customWidth="1"/>
    <col min="3" max="3" width="18.6640625" style="100" bestFit="1" customWidth="1"/>
    <col min="4" max="4" width="14.6640625" style="100" bestFit="1" customWidth="1"/>
    <col min="5" max="5" width="18.109375" style="100" bestFit="1" customWidth="1"/>
    <col min="6" max="6" width="14.6640625" style="100" bestFit="1" customWidth="1"/>
    <col min="7" max="7" width="16.88671875" style="100" bestFit="1" customWidth="1"/>
    <col min="8" max="8" width="19.33203125" style="100" bestFit="1" customWidth="1"/>
    <col min="9" max="16384" width="11.6640625" style="100"/>
  </cols>
  <sheetData>
    <row r="1" spans="1:8" x14ac:dyDescent="0.25">
      <c r="A1" s="206"/>
    </row>
    <row r="2" spans="1:8" x14ac:dyDescent="0.25">
      <c r="B2" s="207">
        <f>B9/$E$9</f>
        <v>0.68957670242443125</v>
      </c>
      <c r="C2" s="207">
        <f>C9/$E$9</f>
        <v>0.27317306097990068</v>
      </c>
      <c r="D2" s="207">
        <f>D9/$E$9</f>
        <v>3.7250236595668111E-2</v>
      </c>
    </row>
    <row r="3" spans="1:8" x14ac:dyDescent="0.25">
      <c r="A3" s="208" t="s">
        <v>65</v>
      </c>
      <c r="B3" s="208"/>
      <c r="C3" s="208"/>
      <c r="D3" s="208"/>
      <c r="E3" s="208"/>
      <c r="F3" s="208"/>
      <c r="G3" s="208"/>
    </row>
    <row r="4" spans="1:8" x14ac:dyDescent="0.25">
      <c r="B4" s="209" t="s">
        <v>66</v>
      </c>
      <c r="C4" s="209" t="s">
        <v>67</v>
      </c>
      <c r="D4" s="209" t="s">
        <v>68</v>
      </c>
      <c r="E4" s="209" t="s">
        <v>69</v>
      </c>
      <c r="F4" s="209" t="s">
        <v>70</v>
      </c>
      <c r="G4" s="209" t="s">
        <v>71</v>
      </c>
      <c r="H4" s="209" t="s">
        <v>72</v>
      </c>
    </row>
    <row r="5" spans="1:8" ht="14.25" customHeight="1" x14ac:dyDescent="0.25">
      <c r="B5" s="210" t="s">
        <v>73</v>
      </c>
      <c r="C5" s="210" t="s">
        <v>74</v>
      </c>
      <c r="D5" s="210" t="s">
        <v>75</v>
      </c>
      <c r="E5" s="210" t="s">
        <v>76</v>
      </c>
      <c r="F5" s="211" t="s">
        <v>76</v>
      </c>
      <c r="G5" s="211" t="s">
        <v>73</v>
      </c>
      <c r="H5" s="211" t="s">
        <v>74</v>
      </c>
    </row>
    <row r="6" spans="1:8" x14ac:dyDescent="0.25">
      <c r="B6" s="212" t="s">
        <v>77</v>
      </c>
      <c r="C6" s="212" t="s">
        <v>77</v>
      </c>
      <c r="D6" s="212" t="s">
        <v>77</v>
      </c>
      <c r="E6" s="212" t="s">
        <v>77</v>
      </c>
      <c r="F6" s="212" t="s">
        <v>78</v>
      </c>
      <c r="G6" s="212" t="s">
        <v>78</v>
      </c>
      <c r="H6" s="212" t="s">
        <v>78</v>
      </c>
    </row>
    <row r="7" spans="1:8" x14ac:dyDescent="0.25">
      <c r="B7" s="211"/>
      <c r="C7" s="211"/>
      <c r="D7" s="211"/>
      <c r="E7" s="211"/>
      <c r="F7" s="211"/>
      <c r="G7" s="211"/>
    </row>
    <row r="8" spans="1:8" x14ac:dyDescent="0.25">
      <c r="A8" s="213">
        <v>31777</v>
      </c>
      <c r="B8" s="99">
        <v>13325303.640000001</v>
      </c>
      <c r="C8" s="99">
        <v>7944337.8899999997</v>
      </c>
      <c r="D8" s="99">
        <v>319635.46999999997</v>
      </c>
      <c r="E8" s="99">
        <f>SUM(B8:D8)</f>
        <v>21589277</v>
      </c>
      <c r="F8" s="211"/>
      <c r="G8" s="211"/>
    </row>
    <row r="9" spans="1:8" x14ac:dyDescent="0.25">
      <c r="A9" s="213" t="s">
        <v>79</v>
      </c>
      <c r="B9" s="99">
        <v>-397628.69</v>
      </c>
      <c r="C9" s="99">
        <v>-157519.01999999999</v>
      </c>
      <c r="D9" s="99">
        <v>-21479.5</v>
      </c>
      <c r="E9" s="99">
        <f>SUM(B9:D9)</f>
        <v>-576627.21</v>
      </c>
      <c r="F9" s="211"/>
      <c r="G9" s="211"/>
    </row>
    <row r="10" spans="1:8" x14ac:dyDescent="0.25">
      <c r="A10" s="213">
        <v>32142</v>
      </c>
      <c r="B10" s="214">
        <f>SUM(B8:B9)</f>
        <v>12927674.950000001</v>
      </c>
      <c r="C10" s="214">
        <f>SUM(C8:C9)</f>
        <v>7786818.8700000001</v>
      </c>
      <c r="D10" s="214">
        <f>SUM(D8:D9)</f>
        <v>298155.96999999997</v>
      </c>
      <c r="E10" s="214">
        <f>SUM(E8:E9)</f>
        <v>21012649.789999999</v>
      </c>
      <c r="F10" s="211"/>
      <c r="G10" s="211"/>
    </row>
    <row r="11" spans="1:8" x14ac:dyDescent="0.25">
      <c r="A11" s="213" t="s">
        <v>80</v>
      </c>
      <c r="B11" s="211">
        <v>36.450000000000003</v>
      </c>
      <c r="C11" s="211">
        <v>36.450000000000003</v>
      </c>
      <c r="D11" s="211">
        <v>36.450000000000003</v>
      </c>
      <c r="E11" s="211"/>
      <c r="F11" s="211"/>
      <c r="G11" s="211"/>
    </row>
    <row r="12" spans="1:8" x14ac:dyDescent="0.25">
      <c r="A12" s="213" t="s">
        <v>81</v>
      </c>
      <c r="B12" s="214">
        <f>ROUND(B10/B11,2)</f>
        <v>354668.72</v>
      </c>
      <c r="C12" s="214">
        <f>ROUND(C10/C11,2)</f>
        <v>213630.15</v>
      </c>
      <c r="D12" s="214">
        <f>ROUND(D10/D11,2)</f>
        <v>8179.86</v>
      </c>
      <c r="E12" s="99">
        <f>SUM(B12:D12)</f>
        <v>576478.73</v>
      </c>
      <c r="F12" s="211"/>
      <c r="G12" s="211"/>
    </row>
    <row r="13" spans="1:8" x14ac:dyDescent="0.25">
      <c r="A13" s="213" t="s">
        <v>82</v>
      </c>
      <c r="B13" s="214">
        <f>ROUND(B12/12,2)</f>
        <v>29555.73</v>
      </c>
      <c r="C13" s="214">
        <f>ROUND(C12/12,2)</f>
        <v>17802.509999999998</v>
      </c>
      <c r="D13" s="214">
        <f>ROUND(D12/12,2)</f>
        <v>681.66</v>
      </c>
      <c r="E13" s="214">
        <f>ROUND(E12/12,2)</f>
        <v>48039.89</v>
      </c>
      <c r="F13" s="211"/>
      <c r="G13" s="211"/>
    </row>
    <row r="14" spans="1:8" x14ac:dyDescent="0.25">
      <c r="A14" s="215"/>
      <c r="B14" s="211"/>
      <c r="C14" s="211"/>
      <c r="D14" s="211"/>
      <c r="E14" s="211"/>
      <c r="F14" s="211"/>
      <c r="G14" s="211"/>
    </row>
    <row r="15" spans="1:8" hidden="1" outlineLevel="1" x14ac:dyDescent="0.25">
      <c r="A15" s="98">
        <v>35246</v>
      </c>
      <c r="B15" s="99">
        <v>9912990.4900000002</v>
      </c>
      <c r="C15" s="99">
        <v>5970962.8499999996</v>
      </c>
      <c r="D15" s="99">
        <v>228626.65</v>
      </c>
      <c r="E15" s="99">
        <f t="shared" ref="E15:E46" si="0">SUM(B15:D15)</f>
        <v>16112579.99</v>
      </c>
      <c r="F15" s="208" t="s">
        <v>83</v>
      </c>
      <c r="G15" s="208"/>
      <c r="H15" s="208"/>
    </row>
    <row r="16" spans="1:8" hidden="1" outlineLevel="1" x14ac:dyDescent="0.25">
      <c r="A16" s="98">
        <v>35277</v>
      </c>
      <c r="B16" s="99">
        <f t="shared" ref="B16:B79" si="1">B15-$B$13</f>
        <v>9883434.7599999998</v>
      </c>
      <c r="C16" s="99">
        <f t="shared" ref="C16:C79" si="2">C15-$C$13</f>
        <v>5953160.3399999999</v>
      </c>
      <c r="D16" s="99">
        <f t="shared" ref="D16:D79" si="3">D15-$D$13</f>
        <v>227944.99</v>
      </c>
      <c r="E16" s="99">
        <f t="shared" si="0"/>
        <v>16064540.09</v>
      </c>
      <c r="F16" s="208" t="s">
        <v>83</v>
      </c>
      <c r="G16" s="208"/>
      <c r="H16" s="208"/>
    </row>
    <row r="17" spans="1:8" hidden="1" outlineLevel="1" x14ac:dyDescent="0.25">
      <c r="A17" s="98">
        <v>35308</v>
      </c>
      <c r="B17" s="99">
        <f t="shared" si="1"/>
        <v>9853879.0299999993</v>
      </c>
      <c r="C17" s="99">
        <f t="shared" si="2"/>
        <v>5935357.8300000001</v>
      </c>
      <c r="D17" s="99">
        <f t="shared" si="3"/>
        <v>227263.33</v>
      </c>
      <c r="E17" s="99">
        <f t="shared" si="0"/>
        <v>16016500.189999999</v>
      </c>
      <c r="F17" s="208" t="s">
        <v>83</v>
      </c>
      <c r="G17" s="208"/>
      <c r="H17" s="208"/>
    </row>
    <row r="18" spans="1:8" hidden="1" outlineLevel="1" x14ac:dyDescent="0.25">
      <c r="A18" s="98">
        <v>35338</v>
      </c>
      <c r="B18" s="99">
        <f t="shared" si="1"/>
        <v>9824323.2999999989</v>
      </c>
      <c r="C18" s="99">
        <f t="shared" si="2"/>
        <v>5917555.3200000003</v>
      </c>
      <c r="D18" s="99">
        <f t="shared" si="3"/>
        <v>226581.66999999998</v>
      </c>
      <c r="E18" s="99">
        <f t="shared" si="0"/>
        <v>15968460.289999999</v>
      </c>
      <c r="F18" s="208" t="s">
        <v>83</v>
      </c>
      <c r="G18" s="208"/>
      <c r="H18" s="208"/>
    </row>
    <row r="19" spans="1:8" hidden="1" outlineLevel="1" x14ac:dyDescent="0.25">
      <c r="A19" s="98">
        <v>35369</v>
      </c>
      <c r="B19" s="99">
        <f t="shared" si="1"/>
        <v>9794767.5699999984</v>
      </c>
      <c r="C19" s="99">
        <f t="shared" si="2"/>
        <v>5899752.8100000005</v>
      </c>
      <c r="D19" s="99">
        <f t="shared" si="3"/>
        <v>225900.00999999998</v>
      </c>
      <c r="E19" s="99">
        <f t="shared" si="0"/>
        <v>15920420.389999999</v>
      </c>
      <c r="F19" s="208" t="s">
        <v>83</v>
      </c>
      <c r="G19" s="208"/>
      <c r="H19" s="208"/>
    </row>
    <row r="20" spans="1:8" hidden="1" outlineLevel="1" x14ac:dyDescent="0.25">
      <c r="A20" s="98">
        <v>35399</v>
      </c>
      <c r="B20" s="99">
        <f t="shared" si="1"/>
        <v>9765211.839999998</v>
      </c>
      <c r="C20" s="99">
        <f t="shared" si="2"/>
        <v>5881950.3000000007</v>
      </c>
      <c r="D20" s="99">
        <f t="shared" si="3"/>
        <v>225218.34999999998</v>
      </c>
      <c r="E20" s="99">
        <f t="shared" si="0"/>
        <v>15872380.489999998</v>
      </c>
      <c r="F20" s="208" t="s">
        <v>83</v>
      </c>
      <c r="G20" s="208"/>
      <c r="H20" s="208"/>
    </row>
    <row r="21" spans="1:8" hidden="1" outlineLevel="1" x14ac:dyDescent="0.25">
      <c r="A21" s="98">
        <v>35430</v>
      </c>
      <c r="B21" s="99">
        <f t="shared" si="1"/>
        <v>9735656.1099999975</v>
      </c>
      <c r="C21" s="99">
        <f t="shared" si="2"/>
        <v>5864147.790000001</v>
      </c>
      <c r="D21" s="99">
        <f t="shared" si="3"/>
        <v>224536.68999999997</v>
      </c>
      <c r="E21" s="99">
        <f t="shared" si="0"/>
        <v>15824340.589999998</v>
      </c>
      <c r="F21" s="208" t="s">
        <v>83</v>
      </c>
      <c r="G21" s="208"/>
      <c r="H21" s="208"/>
    </row>
    <row r="22" spans="1:8" hidden="1" outlineLevel="1" x14ac:dyDescent="0.25">
      <c r="A22" s="98">
        <v>35461</v>
      </c>
      <c r="B22" s="99">
        <f t="shared" si="1"/>
        <v>9706100.3799999971</v>
      </c>
      <c r="C22" s="99">
        <f t="shared" si="2"/>
        <v>5846345.2800000012</v>
      </c>
      <c r="D22" s="99">
        <f t="shared" si="3"/>
        <v>223855.02999999997</v>
      </c>
      <c r="E22" s="99">
        <f t="shared" si="0"/>
        <v>15776300.689999998</v>
      </c>
      <c r="F22" s="208" t="s">
        <v>83</v>
      </c>
      <c r="G22" s="208"/>
      <c r="H22" s="208"/>
    </row>
    <row r="23" spans="1:8" hidden="1" outlineLevel="1" x14ac:dyDescent="0.25">
      <c r="A23" s="98">
        <v>35489</v>
      </c>
      <c r="B23" s="99">
        <f t="shared" si="1"/>
        <v>9676544.6499999966</v>
      </c>
      <c r="C23" s="99">
        <f t="shared" si="2"/>
        <v>5828542.7700000014</v>
      </c>
      <c r="D23" s="99">
        <f t="shared" si="3"/>
        <v>223173.36999999997</v>
      </c>
      <c r="E23" s="99">
        <f t="shared" si="0"/>
        <v>15728260.789999997</v>
      </c>
      <c r="F23" s="208" t="s">
        <v>83</v>
      </c>
      <c r="G23" s="208"/>
      <c r="H23" s="208"/>
    </row>
    <row r="24" spans="1:8" hidden="1" outlineLevel="1" x14ac:dyDescent="0.25">
      <c r="A24" s="98">
        <v>35520</v>
      </c>
      <c r="B24" s="99">
        <f t="shared" si="1"/>
        <v>9646988.9199999962</v>
      </c>
      <c r="C24" s="99">
        <f t="shared" si="2"/>
        <v>5810740.2600000016</v>
      </c>
      <c r="D24" s="99">
        <f t="shared" si="3"/>
        <v>222491.70999999996</v>
      </c>
      <c r="E24" s="99">
        <f t="shared" si="0"/>
        <v>15680220.889999997</v>
      </c>
      <c r="F24" s="208" t="s">
        <v>83</v>
      </c>
      <c r="G24" s="208"/>
      <c r="H24" s="208"/>
    </row>
    <row r="25" spans="1:8" hidden="1" outlineLevel="1" x14ac:dyDescent="0.25">
      <c r="A25" s="98">
        <v>35550</v>
      </c>
      <c r="B25" s="99">
        <f t="shared" si="1"/>
        <v>9617433.1899999958</v>
      </c>
      <c r="C25" s="99">
        <f t="shared" si="2"/>
        <v>5792937.7500000019</v>
      </c>
      <c r="D25" s="99">
        <f t="shared" si="3"/>
        <v>221810.04999999996</v>
      </c>
      <c r="E25" s="99">
        <f t="shared" si="0"/>
        <v>15632180.989999998</v>
      </c>
      <c r="F25" s="208" t="s">
        <v>83</v>
      </c>
      <c r="G25" s="208"/>
      <c r="H25" s="208"/>
    </row>
    <row r="26" spans="1:8" hidden="1" outlineLevel="1" x14ac:dyDescent="0.25">
      <c r="A26" s="98">
        <v>35581</v>
      </c>
      <c r="B26" s="99">
        <f t="shared" si="1"/>
        <v>9587877.4599999953</v>
      </c>
      <c r="C26" s="99">
        <f t="shared" si="2"/>
        <v>5775135.2400000021</v>
      </c>
      <c r="D26" s="99">
        <f t="shared" si="3"/>
        <v>221128.38999999996</v>
      </c>
      <c r="E26" s="99">
        <f t="shared" si="0"/>
        <v>15584141.089999998</v>
      </c>
      <c r="F26" s="208" t="s">
        <v>83</v>
      </c>
      <c r="G26" s="208"/>
      <c r="H26" s="208"/>
    </row>
    <row r="27" spans="1:8" s="216" customFormat="1" hidden="1" outlineLevel="1" x14ac:dyDescent="0.25">
      <c r="A27" s="98">
        <v>35611</v>
      </c>
      <c r="B27" s="99">
        <f t="shared" si="1"/>
        <v>9558321.7299999949</v>
      </c>
      <c r="C27" s="99">
        <f t="shared" si="2"/>
        <v>5757332.7300000023</v>
      </c>
      <c r="D27" s="99">
        <f t="shared" si="3"/>
        <v>220446.72999999995</v>
      </c>
      <c r="E27" s="99">
        <f t="shared" si="0"/>
        <v>15536101.189999998</v>
      </c>
      <c r="F27" s="102">
        <f>(E15+E27+SUM(E16:E26)*2)/24</f>
        <v>15824340.590000002</v>
      </c>
      <c r="G27" s="102">
        <f>(B15+B27+SUM(B16:B26)*2)/24</f>
        <v>9735656.1099999975</v>
      </c>
      <c r="H27" s="102">
        <f>(C15+C27+SUM(C16:C26)*2)/24</f>
        <v>5864147.7900000019</v>
      </c>
    </row>
    <row r="28" spans="1:8" hidden="1" outlineLevel="1" x14ac:dyDescent="0.25">
      <c r="A28" s="98">
        <v>35642</v>
      </c>
      <c r="B28" s="99">
        <f t="shared" si="1"/>
        <v>9528765.9999999944</v>
      </c>
      <c r="C28" s="99">
        <f t="shared" si="2"/>
        <v>5739530.2200000025</v>
      </c>
      <c r="D28" s="99">
        <f t="shared" si="3"/>
        <v>219765.06999999995</v>
      </c>
      <c r="E28" s="99">
        <f t="shared" si="0"/>
        <v>15488061.289999997</v>
      </c>
      <c r="F28" s="102">
        <f t="shared" ref="F28:F91" si="4">(E16+E28+SUM(E17:E27)*2)/24</f>
        <v>15776300.689999999</v>
      </c>
      <c r="G28" s="102">
        <f>(B16+B28+SUM(B17:B27)*2)/24</f>
        <v>9706100.3799999971</v>
      </c>
      <c r="H28" s="102">
        <f t="shared" ref="H28:H91" si="5">(C16+C28+SUM(C17:C27)*2)/24</f>
        <v>5846345.2800000012</v>
      </c>
    </row>
    <row r="29" spans="1:8" hidden="1" outlineLevel="1" x14ac:dyDescent="0.25">
      <c r="A29" s="98">
        <v>35672</v>
      </c>
      <c r="B29" s="99">
        <f t="shared" si="1"/>
        <v>9499210.269999994</v>
      </c>
      <c r="C29" s="99">
        <f t="shared" si="2"/>
        <v>5721727.7100000028</v>
      </c>
      <c r="D29" s="99">
        <f t="shared" si="3"/>
        <v>219083.40999999995</v>
      </c>
      <c r="E29" s="99">
        <f t="shared" si="0"/>
        <v>15440021.389999997</v>
      </c>
      <c r="F29" s="102">
        <f t="shared" si="4"/>
        <v>15728260.789999997</v>
      </c>
      <c r="G29" s="102">
        <f t="shared" ref="G29:H92" si="6">(B17+B29+SUM(B18:B28)*2)/24</f>
        <v>9676544.6499999966</v>
      </c>
      <c r="H29" s="102">
        <f t="shared" si="5"/>
        <v>5828542.7700000005</v>
      </c>
    </row>
    <row r="30" spans="1:8" hidden="1" outlineLevel="1" x14ac:dyDescent="0.25">
      <c r="A30" s="98">
        <v>35703</v>
      </c>
      <c r="B30" s="99">
        <f t="shared" si="1"/>
        <v>9469654.5399999935</v>
      </c>
      <c r="C30" s="99">
        <f t="shared" si="2"/>
        <v>5703925.200000003</v>
      </c>
      <c r="D30" s="99">
        <f t="shared" si="3"/>
        <v>218401.74999999994</v>
      </c>
      <c r="E30" s="99">
        <f t="shared" si="0"/>
        <v>15391981.489999996</v>
      </c>
      <c r="F30" s="102">
        <f t="shared" si="4"/>
        <v>15680220.889999995</v>
      </c>
      <c r="G30" s="102">
        <f t="shared" si="6"/>
        <v>9646988.9199999962</v>
      </c>
      <c r="H30" s="102">
        <f t="shared" si="5"/>
        <v>5810740.2600000016</v>
      </c>
    </row>
    <row r="31" spans="1:8" hidden="1" outlineLevel="1" x14ac:dyDescent="0.25">
      <c r="A31" s="98">
        <v>35734</v>
      </c>
      <c r="B31" s="99">
        <f t="shared" si="1"/>
        <v>9440098.8099999931</v>
      </c>
      <c r="C31" s="99">
        <f t="shared" si="2"/>
        <v>5686122.6900000032</v>
      </c>
      <c r="D31" s="99">
        <f t="shared" si="3"/>
        <v>217720.08999999994</v>
      </c>
      <c r="E31" s="99">
        <f t="shared" si="0"/>
        <v>15343941.589999996</v>
      </c>
      <c r="F31" s="102">
        <f t="shared" si="4"/>
        <v>15632180.99</v>
      </c>
      <c r="G31" s="102">
        <f t="shared" si="6"/>
        <v>9617433.1899999958</v>
      </c>
      <c r="H31" s="102">
        <f t="shared" si="5"/>
        <v>5792937.7500000028</v>
      </c>
    </row>
    <row r="32" spans="1:8" hidden="1" outlineLevel="1" x14ac:dyDescent="0.25">
      <c r="A32" s="98">
        <v>35764</v>
      </c>
      <c r="B32" s="99">
        <f t="shared" si="1"/>
        <v>9410543.0799999926</v>
      </c>
      <c r="C32" s="99">
        <f t="shared" si="2"/>
        <v>5668320.1800000034</v>
      </c>
      <c r="D32" s="99">
        <f t="shared" si="3"/>
        <v>217038.42999999993</v>
      </c>
      <c r="E32" s="99">
        <f t="shared" si="0"/>
        <v>15295901.689999996</v>
      </c>
      <c r="F32" s="102">
        <f t="shared" si="4"/>
        <v>15584141.089999998</v>
      </c>
      <c r="G32" s="102">
        <f t="shared" si="6"/>
        <v>9587877.4599999953</v>
      </c>
      <c r="H32" s="102">
        <f t="shared" si="5"/>
        <v>5775135.2400000021</v>
      </c>
    </row>
    <row r="33" spans="1:8" hidden="1" outlineLevel="1" x14ac:dyDescent="0.25">
      <c r="A33" s="98">
        <v>35795</v>
      </c>
      <c r="B33" s="99">
        <f t="shared" si="1"/>
        <v>9380987.3499999922</v>
      </c>
      <c r="C33" s="99">
        <f t="shared" si="2"/>
        <v>5650517.6700000037</v>
      </c>
      <c r="D33" s="99">
        <f t="shared" si="3"/>
        <v>216356.76999999993</v>
      </c>
      <c r="E33" s="99">
        <f t="shared" si="0"/>
        <v>15247861.789999995</v>
      </c>
      <c r="F33" s="102">
        <f t="shared" si="4"/>
        <v>15536101.189999998</v>
      </c>
      <c r="G33" s="102">
        <f t="shared" si="6"/>
        <v>9558321.7299999949</v>
      </c>
      <c r="H33" s="102">
        <f t="shared" si="5"/>
        <v>5757332.7300000032</v>
      </c>
    </row>
    <row r="34" spans="1:8" hidden="1" outlineLevel="1" x14ac:dyDescent="0.25">
      <c r="A34" s="98">
        <v>35826</v>
      </c>
      <c r="B34" s="99">
        <f t="shared" si="1"/>
        <v>9351431.6199999917</v>
      </c>
      <c r="C34" s="99">
        <f t="shared" si="2"/>
        <v>5632715.1600000039</v>
      </c>
      <c r="D34" s="99">
        <f t="shared" si="3"/>
        <v>215675.10999999993</v>
      </c>
      <c r="E34" s="99">
        <f t="shared" si="0"/>
        <v>15199821.889999995</v>
      </c>
      <c r="F34" s="102">
        <f t="shared" si="4"/>
        <v>15488061.289999997</v>
      </c>
      <c r="G34" s="102">
        <f t="shared" si="6"/>
        <v>9528765.9999999944</v>
      </c>
      <c r="H34" s="102">
        <f t="shared" si="5"/>
        <v>5739530.2200000025</v>
      </c>
    </row>
    <row r="35" spans="1:8" hidden="1" outlineLevel="1" x14ac:dyDescent="0.25">
      <c r="A35" s="98">
        <v>35854</v>
      </c>
      <c r="B35" s="99">
        <f t="shared" si="1"/>
        <v>9321875.8899999913</v>
      </c>
      <c r="C35" s="99">
        <f t="shared" si="2"/>
        <v>5614912.6500000041</v>
      </c>
      <c r="D35" s="99">
        <f t="shared" si="3"/>
        <v>214993.44999999992</v>
      </c>
      <c r="E35" s="99">
        <f t="shared" si="0"/>
        <v>15151781.989999995</v>
      </c>
      <c r="F35" s="102">
        <f t="shared" si="4"/>
        <v>15440021.389999995</v>
      </c>
      <c r="G35" s="102">
        <f t="shared" si="6"/>
        <v>9499210.269999994</v>
      </c>
      <c r="H35" s="102">
        <f t="shared" si="5"/>
        <v>5721727.7100000037</v>
      </c>
    </row>
    <row r="36" spans="1:8" hidden="1" outlineLevel="1" x14ac:dyDescent="0.25">
      <c r="A36" s="98">
        <v>35885</v>
      </c>
      <c r="B36" s="99">
        <f t="shared" si="1"/>
        <v>9292320.1599999908</v>
      </c>
      <c r="C36" s="99">
        <f t="shared" si="2"/>
        <v>5597110.1400000043</v>
      </c>
      <c r="D36" s="99">
        <f t="shared" si="3"/>
        <v>214311.78999999992</v>
      </c>
      <c r="E36" s="99">
        <f t="shared" si="0"/>
        <v>15103742.089999994</v>
      </c>
      <c r="F36" s="102">
        <f t="shared" si="4"/>
        <v>15391981.489999995</v>
      </c>
      <c r="G36" s="102">
        <f t="shared" si="6"/>
        <v>9469654.5399999935</v>
      </c>
      <c r="H36" s="102">
        <f t="shared" si="5"/>
        <v>5703925.200000003</v>
      </c>
    </row>
    <row r="37" spans="1:8" hidden="1" outlineLevel="1" x14ac:dyDescent="0.25">
      <c r="A37" s="98">
        <v>35915</v>
      </c>
      <c r="B37" s="99">
        <f t="shared" si="1"/>
        <v>9262764.4299999904</v>
      </c>
      <c r="C37" s="99">
        <f t="shared" si="2"/>
        <v>5579307.6300000045</v>
      </c>
      <c r="D37" s="99">
        <f t="shared" si="3"/>
        <v>213630.12999999992</v>
      </c>
      <c r="E37" s="99">
        <f t="shared" si="0"/>
        <v>15055702.189999996</v>
      </c>
      <c r="F37" s="102">
        <f t="shared" si="4"/>
        <v>15343941.589999998</v>
      </c>
      <c r="G37" s="102">
        <f t="shared" si="6"/>
        <v>9440098.8099999931</v>
      </c>
      <c r="H37" s="102">
        <f t="shared" si="5"/>
        <v>5686122.6900000023</v>
      </c>
    </row>
    <row r="38" spans="1:8" hidden="1" outlineLevel="1" x14ac:dyDescent="0.25">
      <c r="A38" s="98">
        <v>35946</v>
      </c>
      <c r="B38" s="99">
        <f t="shared" si="1"/>
        <v>9233208.6999999899</v>
      </c>
      <c r="C38" s="99">
        <f t="shared" si="2"/>
        <v>5561505.1200000048</v>
      </c>
      <c r="D38" s="99">
        <f t="shared" si="3"/>
        <v>212948.46999999991</v>
      </c>
      <c r="E38" s="99">
        <f t="shared" si="0"/>
        <v>15007662.289999995</v>
      </c>
      <c r="F38" s="102">
        <f t="shared" si="4"/>
        <v>15295901.689999998</v>
      </c>
      <c r="G38" s="102">
        <f t="shared" si="6"/>
        <v>9410543.0799999926</v>
      </c>
      <c r="H38" s="102">
        <f t="shared" si="5"/>
        <v>5668320.1800000034</v>
      </c>
    </row>
    <row r="39" spans="1:8" hidden="1" outlineLevel="1" x14ac:dyDescent="0.25">
      <c r="A39" s="98">
        <v>35976</v>
      </c>
      <c r="B39" s="99">
        <f t="shared" si="1"/>
        <v>9203652.9699999895</v>
      </c>
      <c r="C39" s="99">
        <f t="shared" si="2"/>
        <v>5543702.610000005</v>
      </c>
      <c r="D39" s="99">
        <f t="shared" si="3"/>
        <v>212266.80999999991</v>
      </c>
      <c r="E39" s="99">
        <f t="shared" si="0"/>
        <v>14959622.389999995</v>
      </c>
      <c r="F39" s="102">
        <f t="shared" si="4"/>
        <v>15247861.789999994</v>
      </c>
      <c r="G39" s="102">
        <f t="shared" si="6"/>
        <v>9380987.3499999922</v>
      </c>
      <c r="H39" s="102">
        <f t="shared" si="5"/>
        <v>5650517.6700000046</v>
      </c>
    </row>
    <row r="40" spans="1:8" hidden="1" outlineLevel="1" x14ac:dyDescent="0.25">
      <c r="A40" s="98">
        <v>36007</v>
      </c>
      <c r="B40" s="99">
        <f t="shared" si="1"/>
        <v>9174097.239999989</v>
      </c>
      <c r="C40" s="99">
        <f t="shared" si="2"/>
        <v>5525900.1000000052</v>
      </c>
      <c r="D40" s="99">
        <f t="shared" si="3"/>
        <v>211585.14999999991</v>
      </c>
      <c r="E40" s="99">
        <f t="shared" si="0"/>
        <v>14911582.489999995</v>
      </c>
      <c r="F40" s="102">
        <f t="shared" si="4"/>
        <v>15199821.889999993</v>
      </c>
      <c r="G40" s="102">
        <f t="shared" si="6"/>
        <v>9351431.6199999917</v>
      </c>
      <c r="H40" s="102">
        <f t="shared" si="5"/>
        <v>5632715.1600000039</v>
      </c>
    </row>
    <row r="41" spans="1:8" hidden="1" outlineLevel="1" x14ac:dyDescent="0.25">
      <c r="A41" s="98">
        <v>36038</v>
      </c>
      <c r="B41" s="99">
        <f t="shared" si="1"/>
        <v>9144541.5099999886</v>
      </c>
      <c r="C41" s="99">
        <f t="shared" si="2"/>
        <v>5508097.5900000054</v>
      </c>
      <c r="D41" s="99">
        <f t="shared" si="3"/>
        <v>210903.4899999999</v>
      </c>
      <c r="E41" s="99">
        <f t="shared" si="0"/>
        <v>14863542.589999994</v>
      </c>
      <c r="F41" s="102">
        <f t="shared" si="4"/>
        <v>15151781.989999995</v>
      </c>
      <c r="G41" s="102">
        <f t="shared" si="6"/>
        <v>9321875.8899999913</v>
      </c>
      <c r="H41" s="102">
        <f t="shared" si="5"/>
        <v>5614912.650000005</v>
      </c>
    </row>
    <row r="42" spans="1:8" hidden="1" outlineLevel="1" x14ac:dyDescent="0.25">
      <c r="A42" s="98">
        <v>36068</v>
      </c>
      <c r="B42" s="99">
        <f t="shared" si="1"/>
        <v>9114985.7799999882</v>
      </c>
      <c r="C42" s="99">
        <f t="shared" si="2"/>
        <v>5490295.0800000057</v>
      </c>
      <c r="D42" s="99">
        <f t="shared" si="3"/>
        <v>210221.8299999999</v>
      </c>
      <c r="E42" s="99">
        <f t="shared" si="0"/>
        <v>14815502.689999994</v>
      </c>
      <c r="F42" s="102">
        <f t="shared" si="4"/>
        <v>15103742.089999998</v>
      </c>
      <c r="G42" s="102">
        <f t="shared" si="6"/>
        <v>9292320.1599999908</v>
      </c>
      <c r="H42" s="102">
        <f t="shared" si="5"/>
        <v>5597110.1400000043</v>
      </c>
    </row>
    <row r="43" spans="1:8" hidden="1" outlineLevel="1" x14ac:dyDescent="0.25">
      <c r="A43" s="98">
        <v>36099</v>
      </c>
      <c r="B43" s="99">
        <f t="shared" si="1"/>
        <v>9085430.0499999877</v>
      </c>
      <c r="C43" s="99">
        <f t="shared" si="2"/>
        <v>5472492.5700000059</v>
      </c>
      <c r="D43" s="99">
        <f t="shared" si="3"/>
        <v>209540.1699999999</v>
      </c>
      <c r="E43" s="99">
        <f t="shared" si="0"/>
        <v>14767462.789999994</v>
      </c>
      <c r="F43" s="102">
        <f t="shared" si="4"/>
        <v>15055702.189999996</v>
      </c>
      <c r="G43" s="102">
        <f t="shared" si="6"/>
        <v>9262764.4299999904</v>
      </c>
      <c r="H43" s="102">
        <f t="shared" si="5"/>
        <v>5579307.6300000055</v>
      </c>
    </row>
    <row r="44" spans="1:8" hidden="1" outlineLevel="1" x14ac:dyDescent="0.25">
      <c r="A44" s="98">
        <v>36129</v>
      </c>
      <c r="B44" s="99">
        <f t="shared" si="1"/>
        <v>9055874.3199999873</v>
      </c>
      <c r="C44" s="99">
        <f t="shared" si="2"/>
        <v>5454690.0600000061</v>
      </c>
      <c r="D44" s="99">
        <f t="shared" si="3"/>
        <v>208858.50999999989</v>
      </c>
      <c r="E44" s="99">
        <f t="shared" si="0"/>
        <v>14719422.889999993</v>
      </c>
      <c r="F44" s="102">
        <f t="shared" si="4"/>
        <v>15007662.289999994</v>
      </c>
      <c r="G44" s="102">
        <f t="shared" si="6"/>
        <v>9233208.6999999899</v>
      </c>
      <c r="H44" s="102">
        <f t="shared" si="5"/>
        <v>5561505.1200000057</v>
      </c>
    </row>
    <row r="45" spans="1:8" hidden="1" outlineLevel="1" x14ac:dyDescent="0.25">
      <c r="A45" s="98">
        <v>36160</v>
      </c>
      <c r="B45" s="99">
        <f t="shared" si="1"/>
        <v>9026318.5899999868</v>
      </c>
      <c r="C45" s="99">
        <f t="shared" si="2"/>
        <v>5436887.5500000063</v>
      </c>
      <c r="D45" s="99">
        <f t="shared" si="3"/>
        <v>208176.84999999989</v>
      </c>
      <c r="E45" s="99">
        <f t="shared" si="0"/>
        <v>14671382.989999993</v>
      </c>
      <c r="F45" s="102">
        <f t="shared" si="4"/>
        <v>14959622.389999993</v>
      </c>
      <c r="G45" s="102">
        <f t="shared" si="6"/>
        <v>9203652.9699999895</v>
      </c>
      <c r="H45" s="102">
        <f t="shared" si="5"/>
        <v>5543702.610000005</v>
      </c>
    </row>
    <row r="46" spans="1:8" hidden="1" outlineLevel="1" x14ac:dyDescent="0.25">
      <c r="A46" s="98">
        <v>36191</v>
      </c>
      <c r="B46" s="99">
        <f t="shared" si="1"/>
        <v>8996762.8599999864</v>
      </c>
      <c r="C46" s="99">
        <f t="shared" si="2"/>
        <v>5419085.0400000066</v>
      </c>
      <c r="D46" s="99">
        <f t="shared" si="3"/>
        <v>207495.18999999989</v>
      </c>
      <c r="E46" s="99">
        <f t="shared" si="0"/>
        <v>14623343.089999992</v>
      </c>
      <c r="F46" s="102">
        <f t="shared" si="4"/>
        <v>14911582.489999995</v>
      </c>
      <c r="G46" s="102">
        <f t="shared" si="6"/>
        <v>9174097.239999989</v>
      </c>
      <c r="H46" s="102">
        <f t="shared" si="5"/>
        <v>5525900.1000000052</v>
      </c>
    </row>
    <row r="47" spans="1:8" hidden="1" outlineLevel="1" x14ac:dyDescent="0.25">
      <c r="A47" s="98">
        <v>36219</v>
      </c>
      <c r="B47" s="99">
        <f t="shared" si="1"/>
        <v>8967207.1299999859</v>
      </c>
      <c r="C47" s="99">
        <f t="shared" si="2"/>
        <v>5401282.5300000068</v>
      </c>
      <c r="D47" s="99">
        <f t="shared" si="3"/>
        <v>206813.52999999988</v>
      </c>
      <c r="E47" s="99">
        <f t="shared" ref="E47:E78" si="7">SUM(B47:D47)</f>
        <v>14575303.189999992</v>
      </c>
      <c r="F47" s="102">
        <f t="shared" si="4"/>
        <v>14863542.589999994</v>
      </c>
      <c r="G47" s="102">
        <f t="shared" si="6"/>
        <v>9144541.5099999886</v>
      </c>
      <c r="H47" s="102">
        <f t="shared" si="5"/>
        <v>5508097.5900000054</v>
      </c>
    </row>
    <row r="48" spans="1:8" hidden="1" outlineLevel="1" x14ac:dyDescent="0.25">
      <c r="A48" s="98">
        <v>36250</v>
      </c>
      <c r="B48" s="99">
        <f t="shared" si="1"/>
        <v>8937651.3999999855</v>
      </c>
      <c r="C48" s="99">
        <f t="shared" si="2"/>
        <v>5383480.020000007</v>
      </c>
      <c r="D48" s="99">
        <f t="shared" si="3"/>
        <v>206131.86999999988</v>
      </c>
      <c r="E48" s="99">
        <f t="shared" si="7"/>
        <v>14527263.289999992</v>
      </c>
      <c r="F48" s="102">
        <f t="shared" si="4"/>
        <v>14815502.689999996</v>
      </c>
      <c r="G48" s="102">
        <f t="shared" si="6"/>
        <v>9114985.7799999882</v>
      </c>
      <c r="H48" s="102">
        <f t="shared" si="5"/>
        <v>5490295.0800000066</v>
      </c>
    </row>
    <row r="49" spans="1:8" hidden="1" outlineLevel="1" x14ac:dyDescent="0.25">
      <c r="A49" s="98">
        <v>36280</v>
      </c>
      <c r="B49" s="99">
        <f t="shared" si="1"/>
        <v>8908095.669999985</v>
      </c>
      <c r="C49" s="99">
        <f t="shared" si="2"/>
        <v>5365677.5100000072</v>
      </c>
      <c r="D49" s="99">
        <f t="shared" si="3"/>
        <v>205450.20999999988</v>
      </c>
      <c r="E49" s="99">
        <f t="shared" si="7"/>
        <v>14479223.389999991</v>
      </c>
      <c r="F49" s="102">
        <f t="shared" si="4"/>
        <v>14767462.789999994</v>
      </c>
      <c r="G49" s="102">
        <f t="shared" si="6"/>
        <v>9085430.0499999877</v>
      </c>
      <c r="H49" s="102">
        <f t="shared" si="5"/>
        <v>5472492.5700000068</v>
      </c>
    </row>
    <row r="50" spans="1:8" hidden="1" outlineLevel="1" x14ac:dyDescent="0.25">
      <c r="A50" s="98">
        <v>36311</v>
      </c>
      <c r="B50" s="99">
        <f t="shared" si="1"/>
        <v>8878539.9399999846</v>
      </c>
      <c r="C50" s="99">
        <f t="shared" si="2"/>
        <v>5347875.0000000075</v>
      </c>
      <c r="D50" s="99">
        <f t="shared" si="3"/>
        <v>204768.54999999987</v>
      </c>
      <c r="E50" s="99">
        <f t="shared" si="7"/>
        <v>14431183.489999993</v>
      </c>
      <c r="F50" s="102">
        <f t="shared" si="4"/>
        <v>14719422.889999993</v>
      </c>
      <c r="G50" s="102">
        <f t="shared" si="6"/>
        <v>9055874.3199999873</v>
      </c>
      <c r="H50" s="102">
        <f t="shared" si="5"/>
        <v>5454690.0600000061</v>
      </c>
    </row>
    <row r="51" spans="1:8" hidden="1" outlineLevel="1" x14ac:dyDescent="0.25">
      <c r="A51" s="98">
        <v>36341</v>
      </c>
      <c r="B51" s="99">
        <f t="shared" si="1"/>
        <v>8848984.2099999841</v>
      </c>
      <c r="C51" s="99">
        <f t="shared" si="2"/>
        <v>5330072.4900000077</v>
      </c>
      <c r="D51" s="99">
        <f t="shared" si="3"/>
        <v>204086.88999999987</v>
      </c>
      <c r="E51" s="99">
        <f t="shared" si="7"/>
        <v>14383143.589999992</v>
      </c>
      <c r="F51" s="102">
        <f t="shared" si="4"/>
        <v>14671382.989999989</v>
      </c>
      <c r="G51" s="102">
        <f t="shared" si="6"/>
        <v>9026318.5899999868</v>
      </c>
      <c r="H51" s="102">
        <f t="shared" si="5"/>
        <v>5436887.5500000054</v>
      </c>
    </row>
    <row r="52" spans="1:8" hidden="1" outlineLevel="1" x14ac:dyDescent="0.25">
      <c r="A52" s="98">
        <v>36372</v>
      </c>
      <c r="B52" s="99">
        <f t="shared" si="1"/>
        <v>8819428.4799999837</v>
      </c>
      <c r="C52" s="99">
        <f t="shared" si="2"/>
        <v>5312269.9800000079</v>
      </c>
      <c r="D52" s="99">
        <f t="shared" si="3"/>
        <v>203405.22999999986</v>
      </c>
      <c r="E52" s="99">
        <f t="shared" si="7"/>
        <v>14335103.689999992</v>
      </c>
      <c r="F52" s="102">
        <f t="shared" si="4"/>
        <v>14623343.089999994</v>
      </c>
      <c r="G52" s="102">
        <f t="shared" si="6"/>
        <v>8996762.8599999864</v>
      </c>
      <c r="H52" s="102">
        <f t="shared" si="5"/>
        <v>5419085.0400000075</v>
      </c>
    </row>
    <row r="53" spans="1:8" hidden="1" outlineLevel="1" x14ac:dyDescent="0.25">
      <c r="A53" s="98">
        <v>36403</v>
      </c>
      <c r="B53" s="99">
        <f t="shared" si="1"/>
        <v>8789872.7499999832</v>
      </c>
      <c r="C53" s="99">
        <f t="shared" si="2"/>
        <v>5294467.4700000081</v>
      </c>
      <c r="D53" s="99">
        <f t="shared" si="3"/>
        <v>202723.56999999986</v>
      </c>
      <c r="E53" s="99">
        <f t="shared" si="7"/>
        <v>14287063.789999992</v>
      </c>
      <c r="F53" s="102">
        <f t="shared" si="4"/>
        <v>14575303.189999996</v>
      </c>
      <c r="G53" s="102">
        <f t="shared" si="6"/>
        <v>8967207.1299999859</v>
      </c>
      <c r="H53" s="102">
        <f t="shared" si="5"/>
        <v>5401282.5300000068</v>
      </c>
    </row>
    <row r="54" spans="1:8" hidden="1" outlineLevel="1" x14ac:dyDescent="0.25">
      <c r="A54" s="98">
        <v>36433</v>
      </c>
      <c r="B54" s="99">
        <f t="shared" si="1"/>
        <v>8760317.0199999828</v>
      </c>
      <c r="C54" s="99">
        <f t="shared" si="2"/>
        <v>5276664.9600000083</v>
      </c>
      <c r="D54" s="99">
        <f t="shared" si="3"/>
        <v>202041.90999999986</v>
      </c>
      <c r="E54" s="99">
        <f t="shared" si="7"/>
        <v>14239023.889999991</v>
      </c>
      <c r="F54" s="102">
        <f t="shared" si="4"/>
        <v>14527263.289999992</v>
      </c>
      <c r="G54" s="102">
        <f t="shared" si="6"/>
        <v>8937651.3999999855</v>
      </c>
      <c r="H54" s="102">
        <f t="shared" si="5"/>
        <v>5383480.020000007</v>
      </c>
    </row>
    <row r="55" spans="1:8" hidden="1" outlineLevel="1" x14ac:dyDescent="0.25">
      <c r="A55" s="98">
        <v>36464</v>
      </c>
      <c r="B55" s="99">
        <f t="shared" si="1"/>
        <v>8730761.2899999823</v>
      </c>
      <c r="C55" s="99">
        <f t="shared" si="2"/>
        <v>5258862.4500000086</v>
      </c>
      <c r="D55" s="99">
        <f t="shared" si="3"/>
        <v>201360.24999999985</v>
      </c>
      <c r="E55" s="99">
        <f t="shared" si="7"/>
        <v>14190983.989999991</v>
      </c>
      <c r="F55" s="102">
        <f t="shared" si="4"/>
        <v>14479223.389999991</v>
      </c>
      <c r="G55" s="102">
        <f t="shared" si="6"/>
        <v>8908095.669999985</v>
      </c>
      <c r="H55" s="102">
        <f t="shared" si="5"/>
        <v>5365677.5100000072</v>
      </c>
    </row>
    <row r="56" spans="1:8" hidden="1" outlineLevel="1" x14ac:dyDescent="0.25">
      <c r="A56" s="98">
        <v>36494</v>
      </c>
      <c r="B56" s="99">
        <f t="shared" si="1"/>
        <v>8701205.5599999819</v>
      </c>
      <c r="C56" s="99">
        <f t="shared" si="2"/>
        <v>5241059.9400000088</v>
      </c>
      <c r="D56" s="99">
        <f t="shared" si="3"/>
        <v>200678.58999999985</v>
      </c>
      <c r="E56" s="99">
        <f t="shared" si="7"/>
        <v>14142944.089999991</v>
      </c>
      <c r="F56" s="102">
        <f t="shared" si="4"/>
        <v>14431183.489999989</v>
      </c>
      <c r="G56" s="102">
        <f t="shared" si="6"/>
        <v>8878539.9399999846</v>
      </c>
      <c r="H56" s="102">
        <f t="shared" si="5"/>
        <v>5347875.0000000084</v>
      </c>
    </row>
    <row r="57" spans="1:8" hidden="1" outlineLevel="1" x14ac:dyDescent="0.25">
      <c r="A57" s="98">
        <v>36525</v>
      </c>
      <c r="B57" s="99">
        <f t="shared" si="1"/>
        <v>8671649.8299999814</v>
      </c>
      <c r="C57" s="99">
        <f t="shared" si="2"/>
        <v>5223257.430000009</v>
      </c>
      <c r="D57" s="99">
        <f t="shared" si="3"/>
        <v>199996.92999999985</v>
      </c>
      <c r="E57" s="99">
        <f t="shared" si="7"/>
        <v>14094904.18999999</v>
      </c>
      <c r="F57" s="102">
        <f t="shared" si="4"/>
        <v>14383143.589999994</v>
      </c>
      <c r="G57" s="102">
        <f t="shared" si="6"/>
        <v>8848984.2099999841</v>
      </c>
      <c r="H57" s="102">
        <f t="shared" si="5"/>
        <v>5330072.4900000086</v>
      </c>
    </row>
    <row r="58" spans="1:8" hidden="1" outlineLevel="1" x14ac:dyDescent="0.25">
      <c r="A58" s="98">
        <v>36556</v>
      </c>
      <c r="B58" s="99">
        <f t="shared" si="1"/>
        <v>8642094.099999981</v>
      </c>
      <c r="C58" s="99">
        <f t="shared" si="2"/>
        <v>5205454.9200000092</v>
      </c>
      <c r="D58" s="99">
        <f t="shared" si="3"/>
        <v>199315.26999999984</v>
      </c>
      <c r="E58" s="99">
        <f t="shared" si="7"/>
        <v>14046864.28999999</v>
      </c>
      <c r="F58" s="102">
        <f t="shared" si="4"/>
        <v>14335103.689999992</v>
      </c>
      <c r="G58" s="102">
        <f t="shared" si="6"/>
        <v>8819428.4799999837</v>
      </c>
      <c r="H58" s="102">
        <f t="shared" si="5"/>
        <v>5312269.9800000079</v>
      </c>
    </row>
    <row r="59" spans="1:8" hidden="1" outlineLevel="1" x14ac:dyDescent="0.25">
      <c r="A59" s="98">
        <v>36585</v>
      </c>
      <c r="B59" s="99">
        <f t="shared" si="1"/>
        <v>8612538.3699999806</v>
      </c>
      <c r="C59" s="99">
        <f t="shared" si="2"/>
        <v>5187652.4100000095</v>
      </c>
      <c r="D59" s="99">
        <f t="shared" si="3"/>
        <v>198633.60999999984</v>
      </c>
      <c r="E59" s="99">
        <f t="shared" si="7"/>
        <v>13998824.389999989</v>
      </c>
      <c r="F59" s="102">
        <f t="shared" si="4"/>
        <v>14287063.789999992</v>
      </c>
      <c r="G59" s="102">
        <f t="shared" si="6"/>
        <v>8789872.7499999832</v>
      </c>
      <c r="H59" s="102">
        <f t="shared" si="5"/>
        <v>5294467.4700000072</v>
      </c>
    </row>
    <row r="60" spans="1:8" hidden="1" outlineLevel="1" x14ac:dyDescent="0.25">
      <c r="A60" s="98">
        <v>36616</v>
      </c>
      <c r="B60" s="99">
        <f t="shared" si="1"/>
        <v>8582982.6399999801</v>
      </c>
      <c r="C60" s="99">
        <f t="shared" si="2"/>
        <v>5169849.9000000097</v>
      </c>
      <c r="D60" s="99">
        <f t="shared" si="3"/>
        <v>197951.94999999984</v>
      </c>
      <c r="E60" s="99">
        <f t="shared" si="7"/>
        <v>13950784.489999989</v>
      </c>
      <c r="F60" s="102">
        <f t="shared" si="4"/>
        <v>14239023.889999991</v>
      </c>
      <c r="G60" s="102">
        <f t="shared" si="6"/>
        <v>8760317.0199999828</v>
      </c>
      <c r="H60" s="102">
        <f t="shared" si="5"/>
        <v>5276664.9600000093</v>
      </c>
    </row>
    <row r="61" spans="1:8" hidden="1" outlineLevel="1" x14ac:dyDescent="0.25">
      <c r="A61" s="98">
        <v>36646</v>
      </c>
      <c r="B61" s="99">
        <f t="shared" si="1"/>
        <v>8553426.9099999797</v>
      </c>
      <c r="C61" s="99">
        <f t="shared" si="2"/>
        <v>5152047.3900000099</v>
      </c>
      <c r="D61" s="99">
        <f t="shared" si="3"/>
        <v>197270.28999999983</v>
      </c>
      <c r="E61" s="99">
        <f t="shared" si="7"/>
        <v>13902744.589999989</v>
      </c>
      <c r="F61" s="102">
        <f t="shared" si="4"/>
        <v>14190983.989999989</v>
      </c>
      <c r="G61" s="102">
        <f t="shared" si="6"/>
        <v>8730761.2899999823</v>
      </c>
      <c r="H61" s="102">
        <f t="shared" si="5"/>
        <v>5258862.4500000086</v>
      </c>
    </row>
    <row r="62" spans="1:8" hidden="1" outlineLevel="1" x14ac:dyDescent="0.25">
      <c r="A62" s="98">
        <v>36677</v>
      </c>
      <c r="B62" s="99">
        <f t="shared" si="1"/>
        <v>8523871.1799999792</v>
      </c>
      <c r="C62" s="99">
        <f t="shared" si="2"/>
        <v>5134244.8800000101</v>
      </c>
      <c r="D62" s="99">
        <f t="shared" si="3"/>
        <v>196588.62999999983</v>
      </c>
      <c r="E62" s="99">
        <f t="shared" si="7"/>
        <v>13854704.689999988</v>
      </c>
      <c r="F62" s="102">
        <f t="shared" si="4"/>
        <v>14142944.089999991</v>
      </c>
      <c r="G62" s="102">
        <f t="shared" si="6"/>
        <v>8701205.5599999819</v>
      </c>
      <c r="H62" s="102">
        <f t="shared" si="5"/>
        <v>5241059.9400000088</v>
      </c>
    </row>
    <row r="63" spans="1:8" hidden="1" outlineLevel="1" x14ac:dyDescent="0.25">
      <c r="A63" s="98">
        <v>36707</v>
      </c>
      <c r="B63" s="99">
        <f t="shared" si="1"/>
        <v>8494315.4499999788</v>
      </c>
      <c r="C63" s="99">
        <f t="shared" si="2"/>
        <v>5116442.3700000104</v>
      </c>
      <c r="D63" s="99">
        <f t="shared" si="3"/>
        <v>195906.96999999983</v>
      </c>
      <c r="E63" s="99">
        <f t="shared" si="7"/>
        <v>13806664.78999999</v>
      </c>
      <c r="F63" s="102">
        <f t="shared" si="4"/>
        <v>14094904.189999992</v>
      </c>
      <c r="G63" s="102">
        <f t="shared" si="6"/>
        <v>8671649.8299999814</v>
      </c>
      <c r="H63" s="102">
        <f t="shared" si="5"/>
        <v>5223257.430000009</v>
      </c>
    </row>
    <row r="64" spans="1:8" hidden="1" outlineLevel="1" x14ac:dyDescent="0.25">
      <c r="A64" s="98">
        <v>36738</v>
      </c>
      <c r="B64" s="99">
        <f t="shared" si="1"/>
        <v>8464759.7199999783</v>
      </c>
      <c r="C64" s="99">
        <f t="shared" si="2"/>
        <v>5098639.8600000106</v>
      </c>
      <c r="D64" s="99">
        <f t="shared" si="3"/>
        <v>195225.30999999982</v>
      </c>
      <c r="E64" s="99">
        <f t="shared" si="7"/>
        <v>13758624.889999989</v>
      </c>
      <c r="F64" s="102">
        <f t="shared" si="4"/>
        <v>14046864.289999992</v>
      </c>
      <c r="G64" s="102">
        <f t="shared" si="6"/>
        <v>8642094.099999981</v>
      </c>
      <c r="H64" s="102">
        <f t="shared" si="5"/>
        <v>5205454.9200000102</v>
      </c>
    </row>
    <row r="65" spans="1:8" hidden="1" outlineLevel="1" x14ac:dyDescent="0.25">
      <c r="A65" s="98">
        <v>36769</v>
      </c>
      <c r="B65" s="99">
        <f t="shared" si="1"/>
        <v>8435203.9899999779</v>
      </c>
      <c r="C65" s="99">
        <f t="shared" si="2"/>
        <v>5080837.3500000108</v>
      </c>
      <c r="D65" s="99">
        <f t="shared" si="3"/>
        <v>194543.64999999982</v>
      </c>
      <c r="E65" s="99">
        <f t="shared" si="7"/>
        <v>13710584.989999989</v>
      </c>
      <c r="F65" s="102">
        <f t="shared" si="4"/>
        <v>13998824.389999988</v>
      </c>
      <c r="G65" s="102">
        <f t="shared" si="6"/>
        <v>8612538.3699999806</v>
      </c>
      <c r="H65" s="102">
        <f t="shared" si="5"/>
        <v>5187652.4100000104</v>
      </c>
    </row>
    <row r="66" spans="1:8" hidden="1" outlineLevel="1" x14ac:dyDescent="0.25">
      <c r="A66" s="98">
        <v>36799</v>
      </c>
      <c r="B66" s="99">
        <f t="shared" si="1"/>
        <v>8405648.2599999774</v>
      </c>
      <c r="C66" s="99">
        <f t="shared" si="2"/>
        <v>5063034.840000011</v>
      </c>
      <c r="D66" s="99">
        <f t="shared" si="3"/>
        <v>193861.98999999982</v>
      </c>
      <c r="E66" s="99">
        <f t="shared" si="7"/>
        <v>13662545.089999989</v>
      </c>
      <c r="F66" s="102">
        <f t="shared" si="4"/>
        <v>13950784.489999989</v>
      </c>
      <c r="G66" s="102">
        <f t="shared" si="6"/>
        <v>8582982.6399999801</v>
      </c>
      <c r="H66" s="102">
        <f t="shared" si="5"/>
        <v>5169849.9000000097</v>
      </c>
    </row>
    <row r="67" spans="1:8" hidden="1" outlineLevel="1" x14ac:dyDescent="0.25">
      <c r="A67" s="98">
        <v>36830</v>
      </c>
      <c r="B67" s="99">
        <f t="shared" si="1"/>
        <v>8376092.529999977</v>
      </c>
      <c r="C67" s="99">
        <f t="shared" si="2"/>
        <v>5045232.3300000113</v>
      </c>
      <c r="D67" s="99">
        <f t="shared" si="3"/>
        <v>193180.32999999981</v>
      </c>
      <c r="E67" s="99">
        <f t="shared" si="7"/>
        <v>13614505.189999988</v>
      </c>
      <c r="F67" s="102">
        <f t="shared" si="4"/>
        <v>13902744.589999989</v>
      </c>
      <c r="G67" s="102">
        <f t="shared" si="6"/>
        <v>8553426.9099999797</v>
      </c>
      <c r="H67" s="102">
        <f t="shared" si="5"/>
        <v>5152047.390000009</v>
      </c>
    </row>
    <row r="68" spans="1:8" hidden="1" outlineLevel="1" x14ac:dyDescent="0.25">
      <c r="A68" s="98">
        <v>36860</v>
      </c>
      <c r="B68" s="99">
        <f t="shared" si="1"/>
        <v>8346536.7999999765</v>
      </c>
      <c r="C68" s="99">
        <f t="shared" si="2"/>
        <v>5027429.8200000115</v>
      </c>
      <c r="D68" s="99">
        <f t="shared" si="3"/>
        <v>192498.66999999981</v>
      </c>
      <c r="E68" s="99">
        <f t="shared" si="7"/>
        <v>13566465.289999988</v>
      </c>
      <c r="F68" s="102">
        <f t="shared" si="4"/>
        <v>13854704.689999992</v>
      </c>
      <c r="G68" s="102">
        <f t="shared" si="6"/>
        <v>8523871.1799999792</v>
      </c>
      <c r="H68" s="102">
        <f t="shared" si="5"/>
        <v>5134244.8800000111</v>
      </c>
    </row>
    <row r="69" spans="1:8" hidden="1" outlineLevel="1" x14ac:dyDescent="0.25">
      <c r="A69" s="98">
        <v>36891</v>
      </c>
      <c r="B69" s="99">
        <f t="shared" si="1"/>
        <v>8316981.0699999761</v>
      </c>
      <c r="C69" s="99">
        <f t="shared" si="2"/>
        <v>5009627.3100000117</v>
      </c>
      <c r="D69" s="99">
        <f t="shared" si="3"/>
        <v>191817.00999999981</v>
      </c>
      <c r="E69" s="99">
        <f t="shared" si="7"/>
        <v>13518425.389999988</v>
      </c>
      <c r="F69" s="102">
        <f t="shared" si="4"/>
        <v>13806664.78999999</v>
      </c>
      <c r="G69" s="102">
        <f t="shared" si="6"/>
        <v>8494315.4499999788</v>
      </c>
      <c r="H69" s="102">
        <f t="shared" si="5"/>
        <v>5116442.3700000104</v>
      </c>
    </row>
    <row r="70" spans="1:8" hidden="1" outlineLevel="1" x14ac:dyDescent="0.25">
      <c r="A70" s="98">
        <v>36922</v>
      </c>
      <c r="B70" s="99">
        <f t="shared" si="1"/>
        <v>8287425.3399999756</v>
      </c>
      <c r="C70" s="99">
        <f t="shared" si="2"/>
        <v>4991824.8000000119</v>
      </c>
      <c r="D70" s="99">
        <f t="shared" si="3"/>
        <v>191135.3499999998</v>
      </c>
      <c r="E70" s="99">
        <f t="shared" si="7"/>
        <v>13470385.489999987</v>
      </c>
      <c r="F70" s="102">
        <f t="shared" si="4"/>
        <v>13758624.889999988</v>
      </c>
      <c r="G70" s="102">
        <f t="shared" si="6"/>
        <v>8464759.7199999783</v>
      </c>
      <c r="H70" s="102">
        <f t="shared" si="5"/>
        <v>5098639.8600000106</v>
      </c>
    </row>
    <row r="71" spans="1:8" hidden="1" outlineLevel="1" x14ac:dyDescent="0.25">
      <c r="A71" s="98">
        <v>36950</v>
      </c>
      <c r="B71" s="99">
        <f t="shared" si="1"/>
        <v>8257869.6099999752</v>
      </c>
      <c r="C71" s="99">
        <f t="shared" si="2"/>
        <v>4974022.2900000121</v>
      </c>
      <c r="D71" s="99">
        <f t="shared" si="3"/>
        <v>190453.6899999998</v>
      </c>
      <c r="E71" s="99">
        <f t="shared" si="7"/>
        <v>13422345.589999987</v>
      </c>
      <c r="F71" s="102">
        <f t="shared" si="4"/>
        <v>13710584.989999987</v>
      </c>
      <c r="G71" s="102">
        <f t="shared" si="6"/>
        <v>8435203.9899999779</v>
      </c>
      <c r="H71" s="102">
        <f t="shared" si="5"/>
        <v>5080837.3500000108</v>
      </c>
    </row>
    <row r="72" spans="1:8" hidden="1" outlineLevel="1" x14ac:dyDescent="0.25">
      <c r="A72" s="98">
        <v>36981</v>
      </c>
      <c r="B72" s="99">
        <f t="shared" si="1"/>
        <v>8228313.8799999747</v>
      </c>
      <c r="C72" s="99">
        <f t="shared" si="2"/>
        <v>4956219.7800000124</v>
      </c>
      <c r="D72" s="99">
        <f t="shared" si="3"/>
        <v>189772.0299999998</v>
      </c>
      <c r="E72" s="99">
        <f t="shared" si="7"/>
        <v>13374305.689999986</v>
      </c>
      <c r="F72" s="102">
        <f t="shared" si="4"/>
        <v>13662545.089999989</v>
      </c>
      <c r="G72" s="102">
        <f t="shared" si="6"/>
        <v>8405648.2599999774</v>
      </c>
      <c r="H72" s="102">
        <f t="shared" si="5"/>
        <v>5063034.840000012</v>
      </c>
    </row>
    <row r="73" spans="1:8" hidden="1" outlineLevel="1" x14ac:dyDescent="0.25">
      <c r="A73" s="98">
        <v>37011</v>
      </c>
      <c r="B73" s="99">
        <f t="shared" si="1"/>
        <v>8198758.1499999743</v>
      </c>
      <c r="C73" s="99">
        <f t="shared" si="2"/>
        <v>4938417.2700000126</v>
      </c>
      <c r="D73" s="99">
        <f t="shared" si="3"/>
        <v>189090.36999999979</v>
      </c>
      <c r="E73" s="99">
        <f t="shared" si="7"/>
        <v>13326265.789999986</v>
      </c>
      <c r="F73" s="102">
        <f t="shared" si="4"/>
        <v>13614505.189999988</v>
      </c>
      <c r="G73" s="102">
        <f t="shared" si="6"/>
        <v>8376092.529999976</v>
      </c>
      <c r="H73" s="102">
        <f t="shared" si="5"/>
        <v>5045232.3300000122</v>
      </c>
    </row>
    <row r="74" spans="1:8" hidden="1" outlineLevel="1" x14ac:dyDescent="0.25">
      <c r="A74" s="98">
        <v>37042</v>
      </c>
      <c r="B74" s="99">
        <f t="shared" si="1"/>
        <v>8169202.4199999738</v>
      </c>
      <c r="C74" s="99">
        <f t="shared" si="2"/>
        <v>4920614.7600000128</v>
      </c>
      <c r="D74" s="99">
        <f t="shared" si="3"/>
        <v>188408.70999999979</v>
      </c>
      <c r="E74" s="99">
        <f t="shared" si="7"/>
        <v>13278225.889999986</v>
      </c>
      <c r="F74" s="102">
        <f t="shared" si="4"/>
        <v>13566465.28999999</v>
      </c>
      <c r="G74" s="102">
        <f t="shared" si="6"/>
        <v>8346536.7999999775</v>
      </c>
      <c r="H74" s="102">
        <f t="shared" si="5"/>
        <v>5027429.8200000115</v>
      </c>
    </row>
    <row r="75" spans="1:8" hidden="1" outlineLevel="1" x14ac:dyDescent="0.25">
      <c r="A75" s="98">
        <v>37072</v>
      </c>
      <c r="B75" s="99">
        <f t="shared" si="1"/>
        <v>8139646.6899999734</v>
      </c>
      <c r="C75" s="99">
        <f t="shared" si="2"/>
        <v>4902812.250000013</v>
      </c>
      <c r="D75" s="99">
        <f t="shared" si="3"/>
        <v>187727.04999999978</v>
      </c>
      <c r="E75" s="99">
        <f t="shared" si="7"/>
        <v>13230185.989999985</v>
      </c>
      <c r="F75" s="102">
        <f t="shared" si="4"/>
        <v>13518425.389999988</v>
      </c>
      <c r="G75" s="102">
        <f t="shared" si="6"/>
        <v>8316981.069999977</v>
      </c>
      <c r="H75" s="102">
        <f t="shared" si="5"/>
        <v>5009627.3100000108</v>
      </c>
    </row>
    <row r="76" spans="1:8" hidden="1" outlineLevel="1" x14ac:dyDescent="0.25">
      <c r="A76" s="98">
        <v>37103</v>
      </c>
      <c r="B76" s="99">
        <f t="shared" si="1"/>
        <v>8110090.959999973</v>
      </c>
      <c r="C76" s="99">
        <f t="shared" si="2"/>
        <v>4885009.7400000133</v>
      </c>
      <c r="D76" s="99">
        <f t="shared" si="3"/>
        <v>187045.38999999978</v>
      </c>
      <c r="E76" s="99">
        <f t="shared" si="7"/>
        <v>13182146.089999987</v>
      </c>
      <c r="F76" s="102">
        <f t="shared" si="4"/>
        <v>13470385.489999987</v>
      </c>
      <c r="G76" s="102">
        <f t="shared" si="6"/>
        <v>8287425.3399999747</v>
      </c>
      <c r="H76" s="102">
        <f t="shared" si="5"/>
        <v>4991824.8000000129</v>
      </c>
    </row>
    <row r="77" spans="1:8" hidden="1" outlineLevel="1" x14ac:dyDescent="0.25">
      <c r="A77" s="98">
        <v>37134</v>
      </c>
      <c r="B77" s="99">
        <f t="shared" si="1"/>
        <v>8080535.2299999725</v>
      </c>
      <c r="C77" s="99">
        <f t="shared" si="2"/>
        <v>4867207.2300000135</v>
      </c>
      <c r="D77" s="99">
        <f t="shared" si="3"/>
        <v>186363.72999999978</v>
      </c>
      <c r="E77" s="99">
        <f t="shared" si="7"/>
        <v>13134106.189999986</v>
      </c>
      <c r="F77" s="102">
        <f t="shared" si="4"/>
        <v>13422345.589999983</v>
      </c>
      <c r="G77" s="102">
        <f t="shared" si="6"/>
        <v>8257869.6099999743</v>
      </c>
      <c r="H77" s="102">
        <f t="shared" si="5"/>
        <v>4974022.2900000121</v>
      </c>
    </row>
    <row r="78" spans="1:8" hidden="1" outlineLevel="1" x14ac:dyDescent="0.25">
      <c r="A78" s="98">
        <v>37164</v>
      </c>
      <c r="B78" s="99">
        <f t="shared" si="1"/>
        <v>8050979.4999999721</v>
      </c>
      <c r="C78" s="99">
        <f t="shared" si="2"/>
        <v>4849404.7200000137</v>
      </c>
      <c r="D78" s="99">
        <f t="shared" si="3"/>
        <v>185682.06999999977</v>
      </c>
      <c r="E78" s="99">
        <f t="shared" si="7"/>
        <v>13086066.289999986</v>
      </c>
      <c r="F78" s="102">
        <f t="shared" si="4"/>
        <v>13374305.689999988</v>
      </c>
      <c r="G78" s="102">
        <f t="shared" si="6"/>
        <v>8228313.8799999757</v>
      </c>
      <c r="H78" s="102">
        <f t="shared" si="5"/>
        <v>4956219.7800000124</v>
      </c>
    </row>
    <row r="79" spans="1:8" hidden="1" outlineLevel="1" x14ac:dyDescent="0.25">
      <c r="A79" s="98">
        <v>37195</v>
      </c>
      <c r="B79" s="99">
        <f t="shared" si="1"/>
        <v>8021423.7699999716</v>
      </c>
      <c r="C79" s="99">
        <f t="shared" si="2"/>
        <v>4831602.2100000139</v>
      </c>
      <c r="D79" s="99">
        <f t="shared" si="3"/>
        <v>185000.40999999977</v>
      </c>
      <c r="E79" s="99">
        <f t="shared" ref="E79:E110" si="8">SUM(B79:D79)</f>
        <v>13038026.389999986</v>
      </c>
      <c r="F79" s="102">
        <f t="shared" si="4"/>
        <v>13326265.789999986</v>
      </c>
      <c r="G79" s="102">
        <f t="shared" si="6"/>
        <v>8198758.1499999752</v>
      </c>
      <c r="H79" s="102">
        <f t="shared" si="5"/>
        <v>4938417.2700000126</v>
      </c>
    </row>
    <row r="80" spans="1:8" hidden="1" outlineLevel="1" x14ac:dyDescent="0.25">
      <c r="A80" s="98">
        <v>37225</v>
      </c>
      <c r="B80" s="99">
        <f t="shared" ref="B80:B143" si="9">B79-$B$13</f>
        <v>7991868.0399999712</v>
      </c>
      <c r="C80" s="99">
        <f t="shared" ref="C80:C143" si="10">C79-$C$13</f>
        <v>4813799.7000000142</v>
      </c>
      <c r="D80" s="99">
        <f t="shared" ref="D80:D143" si="11">D79-$D$13</f>
        <v>184318.74999999977</v>
      </c>
      <c r="E80" s="99">
        <f t="shared" si="8"/>
        <v>12989986.489999985</v>
      </c>
      <c r="F80" s="102">
        <f t="shared" si="4"/>
        <v>13278225.889999986</v>
      </c>
      <c r="G80" s="102">
        <f t="shared" si="6"/>
        <v>8169202.4199999729</v>
      </c>
      <c r="H80" s="102">
        <f t="shared" si="5"/>
        <v>4920614.7600000137</v>
      </c>
    </row>
    <row r="81" spans="1:8" hidden="1" outlineLevel="1" x14ac:dyDescent="0.25">
      <c r="A81" s="98">
        <v>37256</v>
      </c>
      <c r="B81" s="99">
        <f t="shared" si="9"/>
        <v>7962312.3099999707</v>
      </c>
      <c r="C81" s="99">
        <f t="shared" si="10"/>
        <v>4795997.1900000144</v>
      </c>
      <c r="D81" s="99">
        <f t="shared" si="11"/>
        <v>183637.08999999976</v>
      </c>
      <c r="E81" s="99">
        <f t="shared" si="8"/>
        <v>12941946.589999985</v>
      </c>
      <c r="F81" s="102">
        <f t="shared" si="4"/>
        <v>13230185.989999987</v>
      </c>
      <c r="G81" s="102">
        <f t="shared" si="6"/>
        <v>8139646.6899999725</v>
      </c>
      <c r="H81" s="102">
        <f t="shared" si="5"/>
        <v>4902812.250000014</v>
      </c>
    </row>
    <row r="82" spans="1:8" hidden="1" outlineLevel="1" x14ac:dyDescent="0.25">
      <c r="A82" s="98">
        <v>37287</v>
      </c>
      <c r="B82" s="99">
        <f t="shared" si="9"/>
        <v>7932756.5799999703</v>
      </c>
      <c r="C82" s="99">
        <f t="shared" si="10"/>
        <v>4778194.6800000146</v>
      </c>
      <c r="D82" s="99">
        <f t="shared" si="11"/>
        <v>182955.42999999976</v>
      </c>
      <c r="E82" s="99">
        <f t="shared" si="8"/>
        <v>12893906.689999985</v>
      </c>
      <c r="F82" s="102">
        <f t="shared" si="4"/>
        <v>13182146.089999983</v>
      </c>
      <c r="G82" s="102">
        <f t="shared" si="6"/>
        <v>8110090.9599999739</v>
      </c>
      <c r="H82" s="102">
        <f t="shared" si="5"/>
        <v>4885009.7400000133</v>
      </c>
    </row>
    <row r="83" spans="1:8" hidden="1" outlineLevel="1" x14ac:dyDescent="0.25">
      <c r="A83" s="98">
        <v>37315</v>
      </c>
      <c r="B83" s="99">
        <f t="shared" si="9"/>
        <v>7903200.8499999698</v>
      </c>
      <c r="C83" s="99">
        <f t="shared" si="10"/>
        <v>4760392.1700000148</v>
      </c>
      <c r="D83" s="99">
        <f t="shared" si="11"/>
        <v>182273.76999999976</v>
      </c>
      <c r="E83" s="99">
        <f t="shared" si="8"/>
        <v>12845866.789999984</v>
      </c>
      <c r="F83" s="102">
        <f>(E71+E83+SUM(E72:E82)*2)/24</f>
        <v>13134106.189999988</v>
      </c>
      <c r="G83" s="102">
        <f t="shared" si="6"/>
        <v>8080535.2299999734</v>
      </c>
      <c r="H83" s="102">
        <f t="shared" si="5"/>
        <v>4867207.2300000126</v>
      </c>
    </row>
    <row r="84" spans="1:8" hidden="1" outlineLevel="1" x14ac:dyDescent="0.25">
      <c r="A84" s="98">
        <v>37346</v>
      </c>
      <c r="B84" s="99">
        <f t="shared" si="9"/>
        <v>7873645.1199999694</v>
      </c>
      <c r="C84" s="99">
        <f t="shared" si="10"/>
        <v>4742589.6600000151</v>
      </c>
      <c r="D84" s="99">
        <f t="shared" si="11"/>
        <v>181592.10999999975</v>
      </c>
      <c r="E84" s="99">
        <f t="shared" si="8"/>
        <v>12797826.889999984</v>
      </c>
      <c r="F84" s="102">
        <f t="shared" si="4"/>
        <v>13086066.289999986</v>
      </c>
      <c r="G84" s="102">
        <f t="shared" si="6"/>
        <v>8050979.4999999711</v>
      </c>
      <c r="H84" s="102">
        <f t="shared" si="5"/>
        <v>4849404.7200000146</v>
      </c>
    </row>
    <row r="85" spans="1:8" hidden="1" outlineLevel="1" x14ac:dyDescent="0.25">
      <c r="A85" s="98">
        <v>37376</v>
      </c>
      <c r="B85" s="99">
        <f t="shared" si="9"/>
        <v>7844089.3899999689</v>
      </c>
      <c r="C85" s="99">
        <f t="shared" si="10"/>
        <v>4724787.1500000153</v>
      </c>
      <c r="D85" s="99">
        <f t="shared" si="11"/>
        <v>180910.44999999975</v>
      </c>
      <c r="E85" s="99">
        <f t="shared" si="8"/>
        <v>12749786.989999983</v>
      </c>
      <c r="F85" s="102">
        <f t="shared" si="4"/>
        <v>13038026.389999986</v>
      </c>
      <c r="G85" s="102">
        <f t="shared" si="6"/>
        <v>8021423.7699999707</v>
      </c>
      <c r="H85" s="102">
        <f t="shared" si="5"/>
        <v>4831602.2100000139</v>
      </c>
    </row>
    <row r="86" spans="1:8" hidden="1" outlineLevel="1" x14ac:dyDescent="0.25">
      <c r="A86" s="98">
        <v>37407</v>
      </c>
      <c r="B86" s="99">
        <f t="shared" si="9"/>
        <v>7814533.6599999685</v>
      </c>
      <c r="C86" s="99">
        <f t="shared" si="10"/>
        <v>4706984.6400000155</v>
      </c>
      <c r="D86" s="99">
        <f t="shared" si="11"/>
        <v>180228.78999999975</v>
      </c>
      <c r="E86" s="99">
        <f t="shared" si="8"/>
        <v>12701747.089999983</v>
      </c>
      <c r="F86" s="102">
        <f t="shared" si="4"/>
        <v>12989986.489999985</v>
      </c>
      <c r="G86" s="102">
        <f t="shared" si="6"/>
        <v>7991868.0399999721</v>
      </c>
      <c r="H86" s="102">
        <f t="shared" si="5"/>
        <v>4813799.7000000142</v>
      </c>
    </row>
    <row r="87" spans="1:8" hidden="1" outlineLevel="1" x14ac:dyDescent="0.25">
      <c r="A87" s="98">
        <v>37437</v>
      </c>
      <c r="B87" s="99">
        <f t="shared" si="9"/>
        <v>7784977.929999968</v>
      </c>
      <c r="C87" s="99">
        <f t="shared" si="10"/>
        <v>4689182.1300000157</v>
      </c>
      <c r="D87" s="99">
        <f t="shared" si="11"/>
        <v>179547.12999999974</v>
      </c>
      <c r="E87" s="99">
        <f t="shared" si="8"/>
        <v>12653707.189999983</v>
      </c>
      <c r="F87" s="102">
        <f t="shared" si="4"/>
        <v>12941946.589999983</v>
      </c>
      <c r="G87" s="102">
        <f t="shared" si="6"/>
        <v>7962312.3099999717</v>
      </c>
      <c r="H87" s="102">
        <f t="shared" si="5"/>
        <v>4795997.1900000144</v>
      </c>
    </row>
    <row r="88" spans="1:8" hidden="1" outlineLevel="1" x14ac:dyDescent="0.25">
      <c r="A88" s="98">
        <v>37468</v>
      </c>
      <c r="B88" s="99">
        <f t="shared" si="9"/>
        <v>7755422.1999999676</v>
      </c>
      <c r="C88" s="99">
        <f t="shared" si="10"/>
        <v>4671379.6200000159</v>
      </c>
      <c r="D88" s="99">
        <f t="shared" si="11"/>
        <v>178865.46999999974</v>
      </c>
      <c r="E88" s="99">
        <f t="shared" si="8"/>
        <v>12605667.289999984</v>
      </c>
      <c r="F88" s="102">
        <f t="shared" si="4"/>
        <v>12893906.689999985</v>
      </c>
      <c r="G88" s="102">
        <f t="shared" si="6"/>
        <v>7932756.5799999693</v>
      </c>
      <c r="H88" s="102">
        <f t="shared" si="5"/>
        <v>4778194.6800000155</v>
      </c>
    </row>
    <row r="89" spans="1:8" hidden="1" outlineLevel="1" x14ac:dyDescent="0.25">
      <c r="A89" s="98">
        <v>37499</v>
      </c>
      <c r="B89" s="99">
        <f t="shared" si="9"/>
        <v>7725866.4699999671</v>
      </c>
      <c r="C89" s="99">
        <f t="shared" si="10"/>
        <v>4653577.1100000162</v>
      </c>
      <c r="D89" s="99">
        <f t="shared" si="11"/>
        <v>178183.80999999974</v>
      </c>
      <c r="E89" s="99">
        <f t="shared" si="8"/>
        <v>12557627.389999984</v>
      </c>
      <c r="F89" s="102">
        <f t="shared" si="4"/>
        <v>12845866.789999986</v>
      </c>
      <c r="G89" s="102">
        <f t="shared" si="6"/>
        <v>7903200.8499999689</v>
      </c>
      <c r="H89" s="102">
        <f t="shared" si="5"/>
        <v>4760392.1700000158</v>
      </c>
    </row>
    <row r="90" spans="1:8" hidden="1" outlineLevel="1" x14ac:dyDescent="0.25">
      <c r="A90" s="98">
        <v>37529</v>
      </c>
      <c r="B90" s="99">
        <f t="shared" si="9"/>
        <v>7696310.7399999667</v>
      </c>
      <c r="C90" s="99">
        <f t="shared" si="10"/>
        <v>4635774.6000000164</v>
      </c>
      <c r="D90" s="99">
        <f t="shared" si="11"/>
        <v>177502.14999999973</v>
      </c>
      <c r="E90" s="99">
        <f t="shared" si="8"/>
        <v>12509587.489999983</v>
      </c>
      <c r="F90" s="102">
        <f t="shared" si="4"/>
        <v>12797826.889999984</v>
      </c>
      <c r="G90" s="102">
        <f t="shared" si="6"/>
        <v>7873645.1199999703</v>
      </c>
      <c r="H90" s="102">
        <f t="shared" si="5"/>
        <v>4742589.6600000151</v>
      </c>
    </row>
    <row r="91" spans="1:8" hidden="1" outlineLevel="1" x14ac:dyDescent="0.25">
      <c r="A91" s="98">
        <v>37560</v>
      </c>
      <c r="B91" s="99">
        <f t="shared" si="9"/>
        <v>7666755.0099999662</v>
      </c>
      <c r="C91" s="99">
        <f t="shared" si="10"/>
        <v>4617972.0900000166</v>
      </c>
      <c r="D91" s="99">
        <f t="shared" si="11"/>
        <v>176820.48999999973</v>
      </c>
      <c r="E91" s="99">
        <f t="shared" si="8"/>
        <v>12461547.589999983</v>
      </c>
      <c r="F91" s="102">
        <f t="shared" si="4"/>
        <v>12749786.989999985</v>
      </c>
      <c r="G91" s="102">
        <f t="shared" si="6"/>
        <v>7844089.3899999699</v>
      </c>
      <c r="H91" s="102">
        <f t="shared" si="5"/>
        <v>4724787.1500000143</v>
      </c>
    </row>
    <row r="92" spans="1:8" hidden="1" outlineLevel="1" x14ac:dyDescent="0.25">
      <c r="A92" s="98">
        <v>37590</v>
      </c>
      <c r="B92" s="99">
        <f t="shared" si="9"/>
        <v>7637199.2799999658</v>
      </c>
      <c r="C92" s="99">
        <f t="shared" si="10"/>
        <v>4600169.5800000168</v>
      </c>
      <c r="D92" s="99">
        <f t="shared" si="11"/>
        <v>176138.82999999973</v>
      </c>
      <c r="E92" s="99">
        <f t="shared" si="8"/>
        <v>12413507.689999983</v>
      </c>
      <c r="F92" s="102">
        <f t="shared" ref="F92:F115" si="12">(E80+E92+SUM(E81:E91)*2)/24</f>
        <v>12701747.089999983</v>
      </c>
      <c r="G92" s="102">
        <f t="shared" si="6"/>
        <v>7814533.6599999676</v>
      </c>
      <c r="H92" s="102">
        <f t="shared" si="6"/>
        <v>4706984.6400000164</v>
      </c>
    </row>
    <row r="93" spans="1:8" hidden="1" outlineLevel="1" x14ac:dyDescent="0.25">
      <c r="A93" s="98">
        <v>37621</v>
      </c>
      <c r="B93" s="99">
        <f t="shared" si="9"/>
        <v>7607643.5499999654</v>
      </c>
      <c r="C93" s="99">
        <f t="shared" si="10"/>
        <v>4582367.0700000171</v>
      </c>
      <c r="D93" s="99">
        <f t="shared" si="11"/>
        <v>175457.16999999972</v>
      </c>
      <c r="E93" s="99">
        <f t="shared" si="8"/>
        <v>12365467.789999982</v>
      </c>
      <c r="F93" s="102">
        <f t="shared" si="12"/>
        <v>12653707.189999983</v>
      </c>
      <c r="G93" s="102">
        <f t="shared" ref="G93:H108" si="13">(B81+B93+SUM(B82:B92)*2)/24</f>
        <v>7784977.9299999671</v>
      </c>
      <c r="H93" s="102">
        <f t="shared" si="13"/>
        <v>4689182.1300000157</v>
      </c>
    </row>
    <row r="94" spans="1:8" hidden="1" outlineLevel="1" x14ac:dyDescent="0.25">
      <c r="A94" s="98">
        <v>37652</v>
      </c>
      <c r="B94" s="99">
        <f t="shared" si="9"/>
        <v>7578087.8199999649</v>
      </c>
      <c r="C94" s="99">
        <f t="shared" si="10"/>
        <v>4564564.5600000173</v>
      </c>
      <c r="D94" s="99">
        <f t="shared" si="11"/>
        <v>174775.50999999972</v>
      </c>
      <c r="E94" s="99">
        <f t="shared" si="8"/>
        <v>12317427.889999982</v>
      </c>
      <c r="F94" s="102">
        <f t="shared" si="12"/>
        <v>12605667.289999984</v>
      </c>
      <c r="G94" s="102">
        <f t="shared" si="13"/>
        <v>7755422.1999999685</v>
      </c>
      <c r="H94" s="102">
        <f t="shared" si="13"/>
        <v>4671379.6200000159</v>
      </c>
    </row>
    <row r="95" spans="1:8" hidden="1" outlineLevel="1" x14ac:dyDescent="0.25">
      <c r="A95" s="98">
        <v>37680</v>
      </c>
      <c r="B95" s="99">
        <f t="shared" si="9"/>
        <v>7548532.0899999645</v>
      </c>
      <c r="C95" s="99">
        <f t="shared" si="10"/>
        <v>4546762.0500000175</v>
      </c>
      <c r="D95" s="99">
        <f t="shared" si="11"/>
        <v>174093.84999999971</v>
      </c>
      <c r="E95" s="99">
        <f t="shared" si="8"/>
        <v>12269387.989999982</v>
      </c>
      <c r="F95" s="102">
        <f t="shared" si="12"/>
        <v>12557627.389999984</v>
      </c>
      <c r="G95" s="102">
        <f t="shared" si="13"/>
        <v>7725866.4699999681</v>
      </c>
      <c r="H95" s="102">
        <f t="shared" si="13"/>
        <v>4653577.1100000162</v>
      </c>
    </row>
    <row r="96" spans="1:8" hidden="1" outlineLevel="1" x14ac:dyDescent="0.25">
      <c r="A96" s="98">
        <v>37711</v>
      </c>
      <c r="B96" s="99">
        <f t="shared" si="9"/>
        <v>7518976.359999964</v>
      </c>
      <c r="C96" s="99">
        <f t="shared" si="10"/>
        <v>4528959.5400000177</v>
      </c>
      <c r="D96" s="99">
        <f t="shared" si="11"/>
        <v>173412.18999999971</v>
      </c>
      <c r="E96" s="99">
        <f t="shared" si="8"/>
        <v>12221348.089999981</v>
      </c>
      <c r="F96" s="102">
        <f t="shared" si="12"/>
        <v>12509587.489999985</v>
      </c>
      <c r="G96" s="102">
        <f t="shared" si="13"/>
        <v>7696310.7399999658</v>
      </c>
      <c r="H96" s="102">
        <f t="shared" si="13"/>
        <v>4635774.6000000173</v>
      </c>
    </row>
    <row r="97" spans="1:8" hidden="1" outlineLevel="1" x14ac:dyDescent="0.25">
      <c r="A97" s="98">
        <v>37741</v>
      </c>
      <c r="B97" s="99">
        <f t="shared" si="9"/>
        <v>7489420.6299999636</v>
      </c>
      <c r="C97" s="99">
        <f t="shared" si="10"/>
        <v>4511157.030000018</v>
      </c>
      <c r="D97" s="99">
        <f t="shared" si="11"/>
        <v>172730.52999999971</v>
      </c>
      <c r="E97" s="99">
        <f t="shared" si="8"/>
        <v>12173308.189999981</v>
      </c>
      <c r="F97" s="102">
        <f t="shared" si="12"/>
        <v>12461547.589999981</v>
      </c>
      <c r="G97" s="102">
        <f t="shared" si="13"/>
        <v>7666755.0099999653</v>
      </c>
      <c r="H97" s="102">
        <f t="shared" si="13"/>
        <v>4617972.0900000175</v>
      </c>
    </row>
    <row r="98" spans="1:8" hidden="1" outlineLevel="1" x14ac:dyDescent="0.25">
      <c r="A98" s="98">
        <v>37772</v>
      </c>
      <c r="B98" s="99">
        <f t="shared" si="9"/>
        <v>7459864.8999999631</v>
      </c>
      <c r="C98" s="99">
        <f t="shared" si="10"/>
        <v>4493354.5200000182</v>
      </c>
      <c r="D98" s="99">
        <f t="shared" si="11"/>
        <v>172048.8699999997</v>
      </c>
      <c r="E98" s="99">
        <f t="shared" si="8"/>
        <v>12125268.28999998</v>
      </c>
      <c r="F98" s="102">
        <f t="shared" si="12"/>
        <v>12413507.689999983</v>
      </c>
      <c r="G98" s="102">
        <f t="shared" si="13"/>
        <v>7637199.2799999667</v>
      </c>
      <c r="H98" s="102">
        <f t="shared" si="13"/>
        <v>4600169.5800000168</v>
      </c>
    </row>
    <row r="99" spans="1:8" ht="14.25" hidden="1" customHeight="1" outlineLevel="1" x14ac:dyDescent="0.25">
      <c r="A99" s="98">
        <v>37802</v>
      </c>
      <c r="B99" s="99">
        <f t="shared" si="9"/>
        <v>7430309.1699999627</v>
      </c>
      <c r="C99" s="99">
        <f t="shared" si="10"/>
        <v>4475552.0100000184</v>
      </c>
      <c r="D99" s="99">
        <f t="shared" si="11"/>
        <v>171367.2099999997</v>
      </c>
      <c r="E99" s="99">
        <f t="shared" si="8"/>
        <v>12077228.38999998</v>
      </c>
      <c r="F99" s="102">
        <f t="shared" si="12"/>
        <v>12365467.789999984</v>
      </c>
      <c r="G99" s="102">
        <f t="shared" si="13"/>
        <v>7607643.5499999663</v>
      </c>
      <c r="H99" s="102">
        <f t="shared" si="13"/>
        <v>4582367.0700000161</v>
      </c>
    </row>
    <row r="100" spans="1:8" hidden="1" outlineLevel="1" x14ac:dyDescent="0.25">
      <c r="A100" s="98">
        <v>37833</v>
      </c>
      <c r="B100" s="99">
        <f t="shared" si="9"/>
        <v>7400753.4399999622</v>
      </c>
      <c r="C100" s="99">
        <f t="shared" si="10"/>
        <v>4457749.5000000186</v>
      </c>
      <c r="D100" s="99">
        <f t="shared" si="11"/>
        <v>170685.5499999997</v>
      </c>
      <c r="E100" s="99">
        <f t="shared" si="8"/>
        <v>12029188.48999998</v>
      </c>
      <c r="F100" s="102">
        <f t="shared" si="12"/>
        <v>12317427.889999984</v>
      </c>
      <c r="G100" s="102">
        <f t="shared" si="13"/>
        <v>7578087.819999964</v>
      </c>
      <c r="H100" s="102">
        <f t="shared" si="13"/>
        <v>4564564.5600000182</v>
      </c>
    </row>
    <row r="101" spans="1:8" hidden="1" outlineLevel="1" x14ac:dyDescent="0.25">
      <c r="A101" s="98">
        <v>37864</v>
      </c>
      <c r="B101" s="99">
        <f t="shared" si="9"/>
        <v>7371197.7099999618</v>
      </c>
      <c r="C101" s="99">
        <f t="shared" si="10"/>
        <v>4439946.9900000188</v>
      </c>
      <c r="D101" s="99">
        <f t="shared" si="11"/>
        <v>170003.88999999969</v>
      </c>
      <c r="E101" s="99">
        <f t="shared" si="8"/>
        <v>11981148.589999981</v>
      </c>
      <c r="F101" s="102">
        <f t="shared" si="12"/>
        <v>12269387.989999982</v>
      </c>
      <c r="G101" s="102">
        <f t="shared" si="13"/>
        <v>7548532.0899999635</v>
      </c>
      <c r="H101" s="102">
        <f t="shared" si="13"/>
        <v>4546762.0500000175</v>
      </c>
    </row>
    <row r="102" spans="1:8" hidden="1" outlineLevel="1" x14ac:dyDescent="0.25">
      <c r="A102" s="98">
        <v>37894</v>
      </c>
      <c r="B102" s="99">
        <f t="shared" si="9"/>
        <v>7341641.9799999613</v>
      </c>
      <c r="C102" s="99">
        <f t="shared" si="10"/>
        <v>4422144.4800000191</v>
      </c>
      <c r="D102" s="99">
        <f t="shared" si="11"/>
        <v>169322.22999999969</v>
      </c>
      <c r="E102" s="99">
        <f t="shared" si="8"/>
        <v>11933108.689999981</v>
      </c>
      <c r="F102" s="102">
        <f t="shared" si="12"/>
        <v>12221348.089999981</v>
      </c>
      <c r="G102" s="102">
        <f t="shared" si="13"/>
        <v>7518976.3599999649</v>
      </c>
      <c r="H102" s="102">
        <f t="shared" si="13"/>
        <v>4528959.5400000177</v>
      </c>
    </row>
    <row r="103" spans="1:8" hidden="1" outlineLevel="1" x14ac:dyDescent="0.25">
      <c r="A103" s="98">
        <v>37925</v>
      </c>
      <c r="B103" s="99">
        <f t="shared" si="9"/>
        <v>7312086.2499999609</v>
      </c>
      <c r="C103" s="99">
        <f t="shared" si="10"/>
        <v>4404341.9700000193</v>
      </c>
      <c r="D103" s="99">
        <f t="shared" si="11"/>
        <v>168640.56999999969</v>
      </c>
      <c r="E103" s="99">
        <f t="shared" si="8"/>
        <v>11885068.78999998</v>
      </c>
      <c r="F103" s="102">
        <f t="shared" si="12"/>
        <v>12173308.189999981</v>
      </c>
      <c r="G103" s="102">
        <f t="shared" si="13"/>
        <v>7489420.6299999645</v>
      </c>
      <c r="H103" s="102">
        <f t="shared" si="13"/>
        <v>4511157.030000018</v>
      </c>
    </row>
    <row r="104" spans="1:8" hidden="1" outlineLevel="1" x14ac:dyDescent="0.25">
      <c r="A104" s="98">
        <v>37955</v>
      </c>
      <c r="B104" s="99">
        <f t="shared" si="9"/>
        <v>7282530.5199999604</v>
      </c>
      <c r="C104" s="99">
        <f t="shared" si="10"/>
        <v>4386539.4600000195</v>
      </c>
      <c r="D104" s="99">
        <f t="shared" si="11"/>
        <v>167958.90999999968</v>
      </c>
      <c r="E104" s="99">
        <f t="shared" si="8"/>
        <v>11837028.88999998</v>
      </c>
      <c r="F104" s="102">
        <f t="shared" si="12"/>
        <v>12125268.289999982</v>
      </c>
      <c r="G104" s="102">
        <f t="shared" si="13"/>
        <v>7459864.8999999622</v>
      </c>
      <c r="H104" s="102">
        <f t="shared" si="13"/>
        <v>4493354.5200000191</v>
      </c>
    </row>
    <row r="105" spans="1:8" hidden="1" outlineLevel="1" x14ac:dyDescent="0.25">
      <c r="A105" s="98">
        <v>37986</v>
      </c>
      <c r="B105" s="99">
        <f t="shared" si="9"/>
        <v>7252974.78999996</v>
      </c>
      <c r="C105" s="99">
        <f t="shared" si="10"/>
        <v>4368736.9500000197</v>
      </c>
      <c r="D105" s="99">
        <f t="shared" si="11"/>
        <v>167277.24999999968</v>
      </c>
      <c r="E105" s="99">
        <f t="shared" si="8"/>
        <v>11788988.98999998</v>
      </c>
      <c r="F105" s="102">
        <f t="shared" si="12"/>
        <v>12077228.389999984</v>
      </c>
      <c r="G105" s="102">
        <f t="shared" si="13"/>
        <v>7430309.1699999617</v>
      </c>
      <c r="H105" s="102">
        <f t="shared" si="13"/>
        <v>4475552.0100000193</v>
      </c>
    </row>
    <row r="106" spans="1:8" hidden="1" outlineLevel="1" x14ac:dyDescent="0.25">
      <c r="A106" s="98">
        <v>38017</v>
      </c>
      <c r="B106" s="99">
        <f t="shared" si="9"/>
        <v>7223419.0599999595</v>
      </c>
      <c r="C106" s="99">
        <f t="shared" si="10"/>
        <v>4350934.44000002</v>
      </c>
      <c r="D106" s="99">
        <f t="shared" si="11"/>
        <v>166595.58999999968</v>
      </c>
      <c r="E106" s="99">
        <f t="shared" si="8"/>
        <v>11740949.089999979</v>
      </c>
      <c r="F106" s="102">
        <f t="shared" si="12"/>
        <v>12029188.48999998</v>
      </c>
      <c r="G106" s="102">
        <f t="shared" si="13"/>
        <v>7400753.4399999632</v>
      </c>
      <c r="H106" s="102">
        <f t="shared" si="13"/>
        <v>4457749.5000000186</v>
      </c>
    </row>
    <row r="107" spans="1:8" hidden="1" outlineLevel="1" x14ac:dyDescent="0.25">
      <c r="A107" s="98">
        <v>38046</v>
      </c>
      <c r="B107" s="99">
        <f t="shared" si="9"/>
        <v>7193863.3299999591</v>
      </c>
      <c r="C107" s="99">
        <f t="shared" si="10"/>
        <v>4333131.9300000202</v>
      </c>
      <c r="D107" s="99">
        <f t="shared" si="11"/>
        <v>165913.92999999967</v>
      </c>
      <c r="E107" s="99">
        <f t="shared" si="8"/>
        <v>11692909.189999979</v>
      </c>
      <c r="F107" s="102">
        <f t="shared" si="12"/>
        <v>11981148.589999981</v>
      </c>
      <c r="G107" s="102">
        <f t="shared" si="13"/>
        <v>7371197.7099999608</v>
      </c>
      <c r="H107" s="102">
        <f t="shared" si="13"/>
        <v>4439946.9900000179</v>
      </c>
    </row>
    <row r="108" spans="1:8" hidden="1" outlineLevel="1" x14ac:dyDescent="0.25">
      <c r="A108" s="98">
        <v>38077</v>
      </c>
      <c r="B108" s="99">
        <f t="shared" si="9"/>
        <v>7164307.5999999586</v>
      </c>
      <c r="C108" s="99">
        <f t="shared" si="10"/>
        <v>4315329.4200000204</v>
      </c>
      <c r="D108" s="99">
        <f t="shared" si="11"/>
        <v>165232.26999999967</v>
      </c>
      <c r="E108" s="99">
        <f t="shared" si="8"/>
        <v>11644869.289999979</v>
      </c>
      <c r="F108" s="102">
        <f t="shared" si="12"/>
        <v>11933108.689999981</v>
      </c>
      <c r="G108" s="102">
        <f t="shared" si="13"/>
        <v>7341641.9799999604</v>
      </c>
      <c r="H108" s="102">
        <f t="shared" si="13"/>
        <v>4422144.48000002</v>
      </c>
    </row>
    <row r="109" spans="1:8" hidden="1" outlineLevel="1" x14ac:dyDescent="0.25">
      <c r="A109" s="98">
        <v>38107</v>
      </c>
      <c r="B109" s="99">
        <f t="shared" si="9"/>
        <v>7134751.8699999582</v>
      </c>
      <c r="C109" s="99">
        <f t="shared" si="10"/>
        <v>4297526.9100000206</v>
      </c>
      <c r="D109" s="99">
        <f t="shared" si="11"/>
        <v>164550.60999999967</v>
      </c>
      <c r="E109" s="99">
        <f t="shared" si="8"/>
        <v>11596829.389999978</v>
      </c>
      <c r="F109" s="102">
        <f t="shared" si="12"/>
        <v>11885068.789999982</v>
      </c>
      <c r="G109" s="102">
        <f t="shared" ref="G109:H124" si="14">(B97+B109+SUM(B98:B108)*2)/24</f>
        <v>7312086.24999996</v>
      </c>
      <c r="H109" s="102">
        <f t="shared" si="14"/>
        <v>4404341.9700000193</v>
      </c>
    </row>
    <row r="110" spans="1:8" hidden="1" outlineLevel="1" x14ac:dyDescent="0.25">
      <c r="A110" s="98">
        <v>38138</v>
      </c>
      <c r="B110" s="99">
        <f t="shared" si="9"/>
        <v>7105196.1399999578</v>
      </c>
      <c r="C110" s="99">
        <f t="shared" si="10"/>
        <v>4279724.4000000209</v>
      </c>
      <c r="D110" s="99">
        <f t="shared" si="11"/>
        <v>163868.94999999966</v>
      </c>
      <c r="E110" s="99">
        <f t="shared" si="8"/>
        <v>11548789.489999978</v>
      </c>
      <c r="F110" s="102">
        <f t="shared" si="12"/>
        <v>11837028.88999998</v>
      </c>
      <c r="G110" s="102">
        <f t="shared" si="14"/>
        <v>7282530.5199999614</v>
      </c>
      <c r="H110" s="102">
        <f t="shared" si="14"/>
        <v>4386539.4600000195</v>
      </c>
    </row>
    <row r="111" spans="1:8" hidden="1" outlineLevel="1" x14ac:dyDescent="0.25">
      <c r="A111" s="98">
        <v>38168</v>
      </c>
      <c r="B111" s="99">
        <f t="shared" si="9"/>
        <v>7075640.4099999573</v>
      </c>
      <c r="C111" s="99">
        <f t="shared" si="10"/>
        <v>4261921.8900000211</v>
      </c>
      <c r="D111" s="99">
        <f t="shared" si="11"/>
        <v>163187.28999999966</v>
      </c>
      <c r="E111" s="99">
        <f t="shared" ref="E111:E165" si="15">SUM(B111:D111)</f>
        <v>11500749.589999977</v>
      </c>
      <c r="F111" s="102">
        <f t="shared" si="12"/>
        <v>11788988.98999998</v>
      </c>
      <c r="G111" s="102">
        <f t="shared" si="14"/>
        <v>7252974.7899999591</v>
      </c>
      <c r="H111" s="102">
        <f t="shared" si="14"/>
        <v>4368736.9500000197</v>
      </c>
    </row>
    <row r="112" spans="1:8" hidden="1" outlineLevel="1" x14ac:dyDescent="0.25">
      <c r="A112" s="98">
        <v>38199</v>
      </c>
      <c r="B112" s="99">
        <f t="shared" si="9"/>
        <v>7046084.6799999569</v>
      </c>
      <c r="C112" s="99">
        <f t="shared" si="10"/>
        <v>4244119.3800000213</v>
      </c>
      <c r="D112" s="99">
        <f t="shared" si="11"/>
        <v>162505.62999999966</v>
      </c>
      <c r="E112" s="99">
        <f t="shared" si="15"/>
        <v>11452709.689999977</v>
      </c>
      <c r="F112" s="102">
        <f t="shared" si="12"/>
        <v>11740949.089999979</v>
      </c>
      <c r="G112" s="102">
        <f t="shared" si="14"/>
        <v>7223419.0599999586</v>
      </c>
      <c r="H112" s="102">
        <f t="shared" si="14"/>
        <v>4350934.4400000209</v>
      </c>
    </row>
    <row r="113" spans="1:8" hidden="1" outlineLevel="1" x14ac:dyDescent="0.25">
      <c r="A113" s="98">
        <v>38230</v>
      </c>
      <c r="B113" s="99">
        <f t="shared" si="9"/>
        <v>7016528.9499999564</v>
      </c>
      <c r="C113" s="99">
        <f t="shared" si="10"/>
        <v>4226316.8700000215</v>
      </c>
      <c r="D113" s="99">
        <f t="shared" si="11"/>
        <v>161823.96999999965</v>
      </c>
      <c r="E113" s="99">
        <f t="shared" si="15"/>
        <v>11404669.789999977</v>
      </c>
      <c r="F113" s="102">
        <f t="shared" si="12"/>
        <v>11692909.189999981</v>
      </c>
      <c r="G113" s="102">
        <f t="shared" si="14"/>
        <v>7193863.3299999582</v>
      </c>
      <c r="H113" s="102">
        <f t="shared" si="14"/>
        <v>4333131.9300000211</v>
      </c>
    </row>
    <row r="114" spans="1:8" hidden="1" outlineLevel="1" x14ac:dyDescent="0.25">
      <c r="A114" s="98">
        <v>38260</v>
      </c>
      <c r="B114" s="99">
        <f t="shared" si="9"/>
        <v>6986973.219999956</v>
      </c>
      <c r="C114" s="99">
        <f t="shared" si="10"/>
        <v>4208514.3600000218</v>
      </c>
      <c r="D114" s="99">
        <f t="shared" si="11"/>
        <v>161142.30999999965</v>
      </c>
      <c r="E114" s="99">
        <f t="shared" si="15"/>
        <v>11356629.889999978</v>
      </c>
      <c r="F114" s="102">
        <f t="shared" si="12"/>
        <v>11644869.289999979</v>
      </c>
      <c r="G114" s="102">
        <f t="shared" si="14"/>
        <v>7164307.5999999596</v>
      </c>
      <c r="H114" s="102">
        <f t="shared" si="14"/>
        <v>4315329.4200000204</v>
      </c>
    </row>
    <row r="115" spans="1:8" hidden="1" outlineLevel="1" x14ac:dyDescent="0.25">
      <c r="A115" s="98">
        <v>38291</v>
      </c>
      <c r="B115" s="99">
        <f t="shared" si="9"/>
        <v>6957417.4899999555</v>
      </c>
      <c r="C115" s="99">
        <f t="shared" si="10"/>
        <v>4190711.850000022</v>
      </c>
      <c r="D115" s="99">
        <f t="shared" si="11"/>
        <v>160460.64999999964</v>
      </c>
      <c r="E115" s="99">
        <f t="shared" si="15"/>
        <v>11308589.989999978</v>
      </c>
      <c r="F115" s="102">
        <f t="shared" si="12"/>
        <v>11596829.38999998</v>
      </c>
      <c r="G115" s="102">
        <f t="shared" si="14"/>
        <v>7134751.8699999573</v>
      </c>
      <c r="H115" s="102">
        <f t="shared" si="14"/>
        <v>4297526.9100000197</v>
      </c>
    </row>
    <row r="116" spans="1:8" hidden="1" outlineLevel="1" x14ac:dyDescent="0.25">
      <c r="A116" s="98">
        <v>38321</v>
      </c>
      <c r="B116" s="99">
        <f t="shared" si="9"/>
        <v>6927861.7599999551</v>
      </c>
      <c r="C116" s="99">
        <f t="shared" si="10"/>
        <v>4172909.3400000222</v>
      </c>
      <c r="D116" s="99">
        <f t="shared" si="11"/>
        <v>159778.98999999964</v>
      </c>
      <c r="E116" s="99">
        <f t="shared" si="15"/>
        <v>11260550.089999977</v>
      </c>
      <c r="F116" s="102">
        <f>(E104+E116+SUM(E105:E115)*2)/24</f>
        <v>11548789.489999978</v>
      </c>
      <c r="G116" s="102">
        <f t="shared" si="14"/>
        <v>7105196.1399999568</v>
      </c>
      <c r="H116" s="102">
        <f t="shared" si="14"/>
        <v>4279724.4000000218</v>
      </c>
    </row>
    <row r="117" spans="1:8" hidden="1" outlineLevel="1" x14ac:dyDescent="0.25">
      <c r="A117" s="98">
        <v>38352</v>
      </c>
      <c r="B117" s="99">
        <f t="shared" si="9"/>
        <v>6898306.0299999546</v>
      </c>
      <c r="C117" s="99">
        <f t="shared" si="10"/>
        <v>4155106.8300000224</v>
      </c>
      <c r="D117" s="99">
        <f t="shared" si="11"/>
        <v>159097.32999999964</v>
      </c>
      <c r="E117" s="99">
        <f t="shared" si="15"/>
        <v>11212510.189999977</v>
      </c>
      <c r="F117" s="102">
        <f>(E105+E117+SUM(E106:E116)*2)/24</f>
        <v>11500749.589999979</v>
      </c>
      <c r="G117" s="102">
        <f t="shared" si="14"/>
        <v>7075640.4099999564</v>
      </c>
      <c r="H117" s="102">
        <f t="shared" si="14"/>
        <v>4261921.8900000211</v>
      </c>
    </row>
    <row r="118" spans="1:8" hidden="1" outlineLevel="1" x14ac:dyDescent="0.25">
      <c r="A118" s="98">
        <v>38383</v>
      </c>
      <c r="B118" s="99">
        <f t="shared" si="9"/>
        <v>6868750.2999999542</v>
      </c>
      <c r="C118" s="99">
        <f t="shared" si="10"/>
        <v>4137304.3200000226</v>
      </c>
      <c r="D118" s="99">
        <f t="shared" si="11"/>
        <v>158415.66999999963</v>
      </c>
      <c r="E118" s="99">
        <f t="shared" si="15"/>
        <v>11164470.289999977</v>
      </c>
      <c r="F118" s="102">
        <f>(E106+E118+SUM(E107:E117)*2)/24</f>
        <v>11452709.689999981</v>
      </c>
      <c r="G118" s="102">
        <f t="shared" si="14"/>
        <v>7046084.6799999578</v>
      </c>
      <c r="H118" s="102">
        <f t="shared" si="14"/>
        <v>4244119.3800000213</v>
      </c>
    </row>
    <row r="119" spans="1:8" hidden="1" outlineLevel="1" x14ac:dyDescent="0.25">
      <c r="A119" s="98">
        <v>38411</v>
      </c>
      <c r="B119" s="99">
        <f t="shared" si="9"/>
        <v>6839194.5699999537</v>
      </c>
      <c r="C119" s="99">
        <f t="shared" si="10"/>
        <v>4119501.8100000229</v>
      </c>
      <c r="D119" s="99">
        <f t="shared" si="11"/>
        <v>157734.00999999963</v>
      </c>
      <c r="E119" s="99">
        <f t="shared" si="15"/>
        <v>11116430.389999976</v>
      </c>
      <c r="F119" s="102">
        <f t="shared" ref="F119:F149" si="16">(E107+E119+SUM(E108:E118)*2)/24</f>
        <v>11404669.789999977</v>
      </c>
      <c r="G119" s="102">
        <f t="shared" si="14"/>
        <v>7016528.9499999555</v>
      </c>
      <c r="H119" s="102">
        <f t="shared" si="14"/>
        <v>4226316.8700000215</v>
      </c>
    </row>
    <row r="120" spans="1:8" hidden="1" outlineLevel="1" x14ac:dyDescent="0.25">
      <c r="A120" s="98">
        <v>38442</v>
      </c>
      <c r="B120" s="99">
        <f t="shared" si="9"/>
        <v>6809638.8399999533</v>
      </c>
      <c r="C120" s="99">
        <f t="shared" si="10"/>
        <v>4101699.3000000231</v>
      </c>
      <c r="D120" s="99">
        <f t="shared" si="11"/>
        <v>157052.34999999963</v>
      </c>
      <c r="E120" s="99">
        <f t="shared" si="15"/>
        <v>11068390.489999976</v>
      </c>
      <c r="F120" s="102">
        <f t="shared" si="16"/>
        <v>11356629.889999978</v>
      </c>
      <c r="G120" s="102">
        <f t="shared" si="14"/>
        <v>6986973.219999955</v>
      </c>
      <c r="H120" s="102">
        <f t="shared" si="14"/>
        <v>4208514.3600000227</v>
      </c>
    </row>
    <row r="121" spans="1:8" hidden="1" outlineLevel="1" x14ac:dyDescent="0.25">
      <c r="A121" s="98">
        <v>38472</v>
      </c>
      <c r="B121" s="99">
        <f t="shared" si="9"/>
        <v>6780083.1099999528</v>
      </c>
      <c r="C121" s="99">
        <f t="shared" si="10"/>
        <v>4083896.7900000233</v>
      </c>
      <c r="D121" s="99">
        <f t="shared" si="11"/>
        <v>156370.68999999962</v>
      </c>
      <c r="E121" s="99">
        <f t="shared" si="15"/>
        <v>11020350.589999976</v>
      </c>
      <c r="F121" s="102">
        <f t="shared" si="16"/>
        <v>11308589.989999978</v>
      </c>
      <c r="G121" s="102">
        <f t="shared" si="14"/>
        <v>6957417.4899999546</v>
      </c>
      <c r="H121" s="102">
        <f t="shared" si="14"/>
        <v>4190711.8500000224</v>
      </c>
    </row>
    <row r="122" spans="1:8" hidden="1" outlineLevel="1" x14ac:dyDescent="0.25">
      <c r="A122" s="98">
        <v>38503</v>
      </c>
      <c r="B122" s="99">
        <f t="shared" si="9"/>
        <v>6750527.3799999524</v>
      </c>
      <c r="C122" s="99">
        <f t="shared" si="10"/>
        <v>4066094.2800000235</v>
      </c>
      <c r="D122" s="99">
        <f t="shared" si="11"/>
        <v>155689.02999999962</v>
      </c>
      <c r="E122" s="99">
        <f t="shared" si="15"/>
        <v>10972310.689999975</v>
      </c>
      <c r="F122" s="102">
        <f t="shared" si="16"/>
        <v>11260550.089999979</v>
      </c>
      <c r="G122" s="102">
        <f t="shared" si="14"/>
        <v>6927861.759999956</v>
      </c>
      <c r="H122" s="102">
        <f t="shared" si="14"/>
        <v>4172909.3400000222</v>
      </c>
    </row>
    <row r="123" spans="1:8" hidden="1" outlineLevel="1" x14ac:dyDescent="0.25">
      <c r="A123" s="98">
        <v>38533</v>
      </c>
      <c r="B123" s="99">
        <f t="shared" si="9"/>
        <v>6720971.6499999519</v>
      </c>
      <c r="C123" s="99">
        <f t="shared" si="10"/>
        <v>4048291.7700000238</v>
      </c>
      <c r="D123" s="99">
        <f t="shared" si="11"/>
        <v>155007.36999999962</v>
      </c>
      <c r="E123" s="99">
        <f t="shared" si="15"/>
        <v>10924270.789999975</v>
      </c>
      <c r="F123" s="102">
        <f t="shared" si="16"/>
        <v>11212510.189999975</v>
      </c>
      <c r="G123" s="102">
        <f t="shared" si="14"/>
        <v>6898306.0299999537</v>
      </c>
      <c r="H123" s="102">
        <f t="shared" si="14"/>
        <v>4155106.830000022</v>
      </c>
    </row>
    <row r="124" spans="1:8" hidden="1" outlineLevel="1" x14ac:dyDescent="0.25">
      <c r="A124" s="98">
        <v>38564</v>
      </c>
      <c r="B124" s="99">
        <f t="shared" si="9"/>
        <v>6691415.9199999515</v>
      </c>
      <c r="C124" s="99">
        <f t="shared" si="10"/>
        <v>4030489.260000024</v>
      </c>
      <c r="D124" s="99">
        <f t="shared" si="11"/>
        <v>154325.70999999961</v>
      </c>
      <c r="E124" s="99">
        <f t="shared" si="15"/>
        <v>10876230.889999975</v>
      </c>
      <c r="F124" s="102">
        <f t="shared" si="16"/>
        <v>11164470.289999977</v>
      </c>
      <c r="G124" s="102">
        <f t="shared" si="14"/>
        <v>6868750.2999999532</v>
      </c>
      <c r="H124" s="102">
        <f t="shared" si="14"/>
        <v>4137304.3200000231</v>
      </c>
    </row>
    <row r="125" spans="1:8" hidden="1" outlineLevel="1" x14ac:dyDescent="0.25">
      <c r="A125" s="98">
        <v>38595</v>
      </c>
      <c r="B125" s="99">
        <f t="shared" si="9"/>
        <v>6661860.189999951</v>
      </c>
      <c r="C125" s="99">
        <f t="shared" si="10"/>
        <v>4012686.7500000242</v>
      </c>
      <c r="D125" s="99">
        <f t="shared" si="11"/>
        <v>153644.04999999961</v>
      </c>
      <c r="E125" s="99">
        <f t="shared" si="15"/>
        <v>10828190.989999974</v>
      </c>
      <c r="F125" s="102">
        <f t="shared" si="16"/>
        <v>11116430.389999976</v>
      </c>
      <c r="G125" s="102">
        <f t="shared" ref="G125:H140" si="17">(B113+B125+SUM(B114:B124)*2)/24</f>
        <v>6839194.5699999528</v>
      </c>
      <c r="H125" s="102">
        <f t="shared" si="17"/>
        <v>4119501.8100000229</v>
      </c>
    </row>
    <row r="126" spans="1:8" hidden="1" outlineLevel="1" x14ac:dyDescent="0.25">
      <c r="A126" s="98">
        <v>38625</v>
      </c>
      <c r="B126" s="99">
        <f t="shared" si="9"/>
        <v>6632304.4599999506</v>
      </c>
      <c r="C126" s="99">
        <f t="shared" si="10"/>
        <v>3994884.2400000244</v>
      </c>
      <c r="D126" s="99">
        <f t="shared" si="11"/>
        <v>152962.38999999961</v>
      </c>
      <c r="E126" s="99">
        <f t="shared" si="15"/>
        <v>10780151.089999974</v>
      </c>
      <c r="F126" s="102">
        <f t="shared" si="16"/>
        <v>11068390.489999978</v>
      </c>
      <c r="G126" s="102">
        <f t="shared" si="17"/>
        <v>6809638.8399999542</v>
      </c>
      <c r="H126" s="102">
        <f t="shared" si="17"/>
        <v>4101699.3000000231</v>
      </c>
    </row>
    <row r="127" spans="1:8" hidden="1" outlineLevel="1" x14ac:dyDescent="0.25">
      <c r="A127" s="98">
        <v>38656</v>
      </c>
      <c r="B127" s="99">
        <f t="shared" si="9"/>
        <v>6602748.7299999502</v>
      </c>
      <c r="C127" s="99">
        <f t="shared" si="10"/>
        <v>3977081.7300000247</v>
      </c>
      <c r="D127" s="99">
        <f t="shared" si="11"/>
        <v>152280.7299999996</v>
      </c>
      <c r="E127" s="99">
        <f t="shared" si="15"/>
        <v>10732111.189999975</v>
      </c>
      <c r="F127" s="102">
        <f t="shared" si="16"/>
        <v>11020350.589999976</v>
      </c>
      <c r="G127" s="102">
        <f t="shared" si="17"/>
        <v>6780083.1099999519</v>
      </c>
      <c r="H127" s="102">
        <f t="shared" si="17"/>
        <v>4083896.7900000233</v>
      </c>
    </row>
    <row r="128" spans="1:8" hidden="1" outlineLevel="1" x14ac:dyDescent="0.25">
      <c r="A128" s="98">
        <v>38686</v>
      </c>
      <c r="B128" s="99">
        <f t="shared" si="9"/>
        <v>6573192.9999999497</v>
      </c>
      <c r="C128" s="99">
        <f t="shared" si="10"/>
        <v>3959279.2200000249</v>
      </c>
      <c r="D128" s="99">
        <f t="shared" si="11"/>
        <v>151599.0699999996</v>
      </c>
      <c r="E128" s="99">
        <f t="shared" si="15"/>
        <v>10684071.289999975</v>
      </c>
      <c r="F128" s="102">
        <f t="shared" si="16"/>
        <v>10972310.689999975</v>
      </c>
      <c r="G128" s="102">
        <f t="shared" si="17"/>
        <v>6750527.3799999515</v>
      </c>
      <c r="H128" s="102">
        <f t="shared" si="17"/>
        <v>4066094.280000024</v>
      </c>
    </row>
    <row r="129" spans="1:8" hidden="1" outlineLevel="1" x14ac:dyDescent="0.25">
      <c r="A129" s="98">
        <v>38717</v>
      </c>
      <c r="B129" s="99">
        <f t="shared" si="9"/>
        <v>6543637.2699999493</v>
      </c>
      <c r="C129" s="99">
        <f t="shared" si="10"/>
        <v>3941476.7100000251</v>
      </c>
      <c r="D129" s="99">
        <f t="shared" si="11"/>
        <v>150917.4099999996</v>
      </c>
      <c r="E129" s="99">
        <f t="shared" si="15"/>
        <v>10636031.389999975</v>
      </c>
      <c r="F129" s="102">
        <f t="shared" si="16"/>
        <v>10924270.789999977</v>
      </c>
      <c r="G129" s="102">
        <f t="shared" si="17"/>
        <v>6720971.649999951</v>
      </c>
      <c r="H129" s="102">
        <f t="shared" si="17"/>
        <v>4048291.7700000242</v>
      </c>
    </row>
    <row r="130" spans="1:8" hidden="1" outlineLevel="1" x14ac:dyDescent="0.25">
      <c r="A130" s="98">
        <v>38748</v>
      </c>
      <c r="B130" s="99">
        <f t="shared" si="9"/>
        <v>6514081.5399999488</v>
      </c>
      <c r="C130" s="99">
        <f t="shared" si="10"/>
        <v>3923674.2000000253</v>
      </c>
      <c r="D130" s="99">
        <f t="shared" si="11"/>
        <v>150235.74999999959</v>
      </c>
      <c r="E130" s="99">
        <f t="shared" si="15"/>
        <v>10587991.489999974</v>
      </c>
      <c r="F130" s="102">
        <f t="shared" si="16"/>
        <v>10876230.889999975</v>
      </c>
      <c r="G130" s="102">
        <f t="shared" si="17"/>
        <v>6691415.9199999524</v>
      </c>
      <c r="H130" s="102">
        <f t="shared" si="17"/>
        <v>4030489.260000024</v>
      </c>
    </row>
    <row r="131" spans="1:8" hidden="1" outlineLevel="1" x14ac:dyDescent="0.25">
      <c r="A131" s="98">
        <v>38776</v>
      </c>
      <c r="B131" s="99">
        <f t="shared" si="9"/>
        <v>6484525.8099999484</v>
      </c>
      <c r="C131" s="99">
        <f t="shared" si="10"/>
        <v>3905871.6900000256</v>
      </c>
      <c r="D131" s="99">
        <f t="shared" si="11"/>
        <v>149554.08999999959</v>
      </c>
      <c r="E131" s="99">
        <f t="shared" si="15"/>
        <v>10539951.589999974</v>
      </c>
      <c r="F131" s="102">
        <f t="shared" si="16"/>
        <v>10828190.989999974</v>
      </c>
      <c r="G131" s="102">
        <f t="shared" si="17"/>
        <v>6661860.189999952</v>
      </c>
      <c r="H131" s="102">
        <f t="shared" si="17"/>
        <v>4012686.7500000237</v>
      </c>
    </row>
    <row r="132" spans="1:8" hidden="1" outlineLevel="1" x14ac:dyDescent="0.25">
      <c r="A132" s="98">
        <v>38807</v>
      </c>
      <c r="B132" s="99">
        <f t="shared" si="9"/>
        <v>6454970.0799999479</v>
      </c>
      <c r="C132" s="99">
        <f t="shared" si="10"/>
        <v>3888069.1800000258</v>
      </c>
      <c r="D132" s="99">
        <f t="shared" si="11"/>
        <v>148872.42999999959</v>
      </c>
      <c r="E132" s="99">
        <f t="shared" si="15"/>
        <v>10491911.689999973</v>
      </c>
      <c r="F132" s="102">
        <f t="shared" si="16"/>
        <v>10780151.089999976</v>
      </c>
      <c r="G132" s="102">
        <f t="shared" si="17"/>
        <v>6632304.4599999497</v>
      </c>
      <c r="H132" s="102">
        <f t="shared" si="17"/>
        <v>3994884.2400000249</v>
      </c>
    </row>
    <row r="133" spans="1:8" hidden="1" outlineLevel="1" x14ac:dyDescent="0.25">
      <c r="A133" s="98">
        <v>38837</v>
      </c>
      <c r="B133" s="99">
        <f t="shared" si="9"/>
        <v>6425414.3499999475</v>
      </c>
      <c r="C133" s="99">
        <f t="shared" si="10"/>
        <v>3870266.670000026</v>
      </c>
      <c r="D133" s="99">
        <f t="shared" si="11"/>
        <v>148190.76999999958</v>
      </c>
      <c r="E133" s="99">
        <f t="shared" si="15"/>
        <v>10443871.789999973</v>
      </c>
      <c r="F133" s="102">
        <f t="shared" si="16"/>
        <v>10732111.189999975</v>
      </c>
      <c r="G133" s="102">
        <f t="shared" si="17"/>
        <v>6602748.7299999492</v>
      </c>
      <c r="H133" s="102">
        <f t="shared" si="17"/>
        <v>3977081.7300000247</v>
      </c>
    </row>
    <row r="134" spans="1:8" hidden="1" outlineLevel="1" x14ac:dyDescent="0.25">
      <c r="A134" s="98">
        <v>38868</v>
      </c>
      <c r="B134" s="99">
        <f t="shared" si="9"/>
        <v>6395858.619999947</v>
      </c>
      <c r="C134" s="99">
        <f t="shared" si="10"/>
        <v>3852464.1600000262</v>
      </c>
      <c r="D134" s="99">
        <f t="shared" si="11"/>
        <v>147509.10999999958</v>
      </c>
      <c r="E134" s="99">
        <f t="shared" si="15"/>
        <v>10395831.889999973</v>
      </c>
      <c r="F134" s="102">
        <f t="shared" si="16"/>
        <v>10684071.289999975</v>
      </c>
      <c r="G134" s="102">
        <f t="shared" si="17"/>
        <v>6573192.9999999506</v>
      </c>
      <c r="H134" s="102">
        <f t="shared" si="17"/>
        <v>3959279.2200000249</v>
      </c>
    </row>
    <row r="135" spans="1:8" hidden="1" outlineLevel="1" x14ac:dyDescent="0.25">
      <c r="A135" s="98">
        <v>38898</v>
      </c>
      <c r="B135" s="99">
        <f t="shared" si="9"/>
        <v>6366302.8899999466</v>
      </c>
      <c r="C135" s="99">
        <f t="shared" si="10"/>
        <v>3834661.6500000264</v>
      </c>
      <c r="D135" s="99">
        <f t="shared" si="11"/>
        <v>146827.44999999958</v>
      </c>
      <c r="E135" s="99">
        <f t="shared" si="15"/>
        <v>10347791.989999972</v>
      </c>
      <c r="F135" s="102">
        <f t="shared" si="16"/>
        <v>10636031.389999975</v>
      </c>
      <c r="G135" s="102">
        <f t="shared" si="17"/>
        <v>6543637.2699999502</v>
      </c>
      <c r="H135" s="102">
        <f t="shared" si="17"/>
        <v>3941476.7100000251</v>
      </c>
    </row>
    <row r="136" spans="1:8" hidden="1" outlineLevel="1" x14ac:dyDescent="0.25">
      <c r="A136" s="98">
        <v>38929</v>
      </c>
      <c r="B136" s="99">
        <f t="shared" si="9"/>
        <v>6336747.1599999461</v>
      </c>
      <c r="C136" s="99">
        <f t="shared" si="10"/>
        <v>3816859.1400000267</v>
      </c>
      <c r="D136" s="99">
        <f t="shared" si="11"/>
        <v>146145.78999999957</v>
      </c>
      <c r="E136" s="99">
        <f t="shared" si="15"/>
        <v>10299752.089999972</v>
      </c>
      <c r="F136" s="102">
        <f t="shared" si="16"/>
        <v>10587991.489999974</v>
      </c>
      <c r="G136" s="102">
        <f t="shared" si="17"/>
        <v>6514081.5399999479</v>
      </c>
      <c r="H136" s="102">
        <f t="shared" si="17"/>
        <v>3923674.2000000258</v>
      </c>
    </row>
    <row r="137" spans="1:8" hidden="1" outlineLevel="1" x14ac:dyDescent="0.25">
      <c r="A137" s="98">
        <v>38960</v>
      </c>
      <c r="B137" s="99">
        <f t="shared" si="9"/>
        <v>6307191.4299999457</v>
      </c>
      <c r="C137" s="99">
        <f t="shared" si="10"/>
        <v>3799056.6300000269</v>
      </c>
      <c r="D137" s="99">
        <f t="shared" si="11"/>
        <v>145464.12999999957</v>
      </c>
      <c r="E137" s="99">
        <f t="shared" si="15"/>
        <v>10251712.189999972</v>
      </c>
      <c r="F137" s="102">
        <f t="shared" si="16"/>
        <v>10539951.589999974</v>
      </c>
      <c r="G137" s="102">
        <f t="shared" si="17"/>
        <v>6484525.8099999474</v>
      </c>
      <c r="H137" s="102">
        <f t="shared" si="17"/>
        <v>3905871.690000026</v>
      </c>
    </row>
    <row r="138" spans="1:8" hidden="1" outlineLevel="1" x14ac:dyDescent="0.25">
      <c r="A138" s="98">
        <v>38990</v>
      </c>
      <c r="B138" s="99">
        <f t="shared" si="9"/>
        <v>6277635.6999999452</v>
      </c>
      <c r="C138" s="99">
        <f t="shared" si="10"/>
        <v>3781254.1200000271</v>
      </c>
      <c r="D138" s="99">
        <f t="shared" si="11"/>
        <v>144782.46999999956</v>
      </c>
      <c r="E138" s="99">
        <f t="shared" si="15"/>
        <v>10203672.289999971</v>
      </c>
      <c r="F138" s="102">
        <f t="shared" si="16"/>
        <v>10491911.689999973</v>
      </c>
      <c r="G138" s="102">
        <f t="shared" si="17"/>
        <v>6454970.0799999489</v>
      </c>
      <c r="H138" s="102">
        <f t="shared" si="17"/>
        <v>3888069.1800000258</v>
      </c>
    </row>
    <row r="139" spans="1:8" hidden="1" outlineLevel="1" x14ac:dyDescent="0.25">
      <c r="A139" s="98">
        <v>39021</v>
      </c>
      <c r="B139" s="99">
        <f t="shared" si="9"/>
        <v>6248079.9699999448</v>
      </c>
      <c r="C139" s="99">
        <f t="shared" si="10"/>
        <v>3763451.6100000273</v>
      </c>
      <c r="D139" s="99">
        <f t="shared" si="11"/>
        <v>144100.80999999956</v>
      </c>
      <c r="E139" s="99">
        <f t="shared" si="15"/>
        <v>10155632.389999971</v>
      </c>
      <c r="F139" s="102">
        <f t="shared" si="16"/>
        <v>10443871.789999975</v>
      </c>
      <c r="G139" s="102">
        <f t="shared" si="17"/>
        <v>6425414.3499999484</v>
      </c>
      <c r="H139" s="102">
        <f t="shared" si="17"/>
        <v>3870266.6700000255</v>
      </c>
    </row>
    <row r="140" spans="1:8" hidden="1" outlineLevel="1" x14ac:dyDescent="0.25">
      <c r="A140" s="98">
        <v>39051</v>
      </c>
      <c r="B140" s="99">
        <f t="shared" si="9"/>
        <v>6218524.2399999443</v>
      </c>
      <c r="C140" s="99">
        <f t="shared" si="10"/>
        <v>3745649.1000000276</v>
      </c>
      <c r="D140" s="99">
        <f t="shared" si="11"/>
        <v>143419.14999999956</v>
      </c>
      <c r="E140" s="99">
        <f t="shared" si="15"/>
        <v>10107592.489999972</v>
      </c>
      <c r="F140" s="102">
        <f t="shared" si="16"/>
        <v>10395831.889999973</v>
      </c>
      <c r="G140" s="102">
        <f t="shared" si="17"/>
        <v>6395858.6199999461</v>
      </c>
      <c r="H140" s="102">
        <f t="shared" si="17"/>
        <v>3852464.1600000267</v>
      </c>
    </row>
    <row r="141" spans="1:8" hidden="1" outlineLevel="1" x14ac:dyDescent="0.25">
      <c r="A141" s="98">
        <v>39082</v>
      </c>
      <c r="B141" s="99">
        <f t="shared" si="9"/>
        <v>6188968.5099999439</v>
      </c>
      <c r="C141" s="99">
        <f t="shared" si="10"/>
        <v>3727846.5900000278</v>
      </c>
      <c r="D141" s="99">
        <f t="shared" si="11"/>
        <v>142737.48999999955</v>
      </c>
      <c r="E141" s="99">
        <f t="shared" si="15"/>
        <v>10059552.589999972</v>
      </c>
      <c r="F141" s="102">
        <f t="shared" si="16"/>
        <v>10347791.989999972</v>
      </c>
      <c r="G141" s="102">
        <f t="shared" ref="G141:H156" si="18">(B129+B141+SUM(B130:B140)*2)/24</f>
        <v>6366302.8899999456</v>
      </c>
      <c r="H141" s="102">
        <f t="shared" si="18"/>
        <v>3834661.6500000264</v>
      </c>
    </row>
    <row r="142" spans="1:8" hidden="1" outlineLevel="1" x14ac:dyDescent="0.25">
      <c r="A142" s="98">
        <v>39113</v>
      </c>
      <c r="B142" s="99">
        <f t="shared" si="9"/>
        <v>6159412.7799999435</v>
      </c>
      <c r="C142" s="99">
        <f t="shared" si="10"/>
        <v>3710044.080000028</v>
      </c>
      <c r="D142" s="99">
        <f t="shared" si="11"/>
        <v>142055.82999999955</v>
      </c>
      <c r="E142" s="99">
        <f t="shared" si="15"/>
        <v>10011512.689999972</v>
      </c>
      <c r="F142" s="102">
        <f t="shared" si="16"/>
        <v>10299752.089999974</v>
      </c>
      <c r="G142" s="102">
        <f t="shared" si="18"/>
        <v>6336747.1599999471</v>
      </c>
      <c r="H142" s="102">
        <f t="shared" si="18"/>
        <v>3816859.1400000267</v>
      </c>
    </row>
    <row r="143" spans="1:8" hidden="1" outlineLevel="1" x14ac:dyDescent="0.25">
      <c r="A143" s="98">
        <v>39141</v>
      </c>
      <c r="B143" s="99">
        <f t="shared" si="9"/>
        <v>6129857.049999943</v>
      </c>
      <c r="C143" s="99">
        <f t="shared" si="10"/>
        <v>3692241.5700000282</v>
      </c>
      <c r="D143" s="99">
        <f t="shared" si="11"/>
        <v>141374.16999999955</v>
      </c>
      <c r="E143" s="99">
        <f t="shared" si="15"/>
        <v>9963472.7899999712</v>
      </c>
      <c r="F143" s="102">
        <f t="shared" si="16"/>
        <v>10251712.189999973</v>
      </c>
      <c r="G143" s="102">
        <f t="shared" si="18"/>
        <v>6307191.4299999466</v>
      </c>
      <c r="H143" s="102">
        <f t="shared" si="18"/>
        <v>3799056.6300000269</v>
      </c>
    </row>
    <row r="144" spans="1:8" hidden="1" outlineLevel="1" x14ac:dyDescent="0.25">
      <c r="A144" s="98">
        <v>39172</v>
      </c>
      <c r="B144" s="99">
        <f t="shared" ref="B144:B207" si="19">B143-$B$13</f>
        <v>6100301.3199999426</v>
      </c>
      <c r="C144" s="99">
        <f t="shared" ref="C144:C207" si="20">C143-$C$13</f>
        <v>3674439.0600000285</v>
      </c>
      <c r="D144" s="99">
        <f t="shared" ref="D144:D207" si="21">D143-$D$13</f>
        <v>140692.50999999954</v>
      </c>
      <c r="E144" s="99">
        <f t="shared" si="15"/>
        <v>9915432.8899999708</v>
      </c>
      <c r="F144" s="102">
        <f t="shared" si="16"/>
        <v>10203672.289999975</v>
      </c>
      <c r="G144" s="102">
        <f t="shared" si="18"/>
        <v>6277635.6999999443</v>
      </c>
      <c r="H144" s="102">
        <f t="shared" si="18"/>
        <v>3781254.1200000276</v>
      </c>
    </row>
    <row r="145" spans="1:8" hidden="1" outlineLevel="1" x14ac:dyDescent="0.25">
      <c r="A145" s="98">
        <v>39202</v>
      </c>
      <c r="B145" s="99">
        <f t="shared" si="19"/>
        <v>6070745.5899999421</v>
      </c>
      <c r="C145" s="99">
        <f t="shared" si="20"/>
        <v>3656636.5500000287</v>
      </c>
      <c r="D145" s="99">
        <f t="shared" si="21"/>
        <v>140010.84999999954</v>
      </c>
      <c r="E145" s="99">
        <f t="shared" si="15"/>
        <v>9867392.9899999704</v>
      </c>
      <c r="F145" s="102">
        <f t="shared" si="16"/>
        <v>10155632.389999973</v>
      </c>
      <c r="G145" s="102">
        <f t="shared" si="18"/>
        <v>6248079.9699999439</v>
      </c>
      <c r="H145" s="102">
        <f t="shared" si="18"/>
        <v>3763451.6100000278</v>
      </c>
    </row>
    <row r="146" spans="1:8" hidden="1" outlineLevel="1" x14ac:dyDescent="0.25">
      <c r="A146" s="98">
        <v>39233</v>
      </c>
      <c r="B146" s="99">
        <f t="shared" si="19"/>
        <v>6041189.8599999417</v>
      </c>
      <c r="C146" s="99">
        <f t="shared" si="20"/>
        <v>3638834.0400000289</v>
      </c>
      <c r="D146" s="99">
        <f t="shared" si="21"/>
        <v>139329.18999999954</v>
      </c>
      <c r="E146" s="99">
        <f t="shared" si="15"/>
        <v>9819353.08999997</v>
      </c>
      <c r="F146" s="102">
        <f t="shared" si="16"/>
        <v>10107592.489999972</v>
      </c>
      <c r="G146" s="102">
        <f t="shared" si="18"/>
        <v>6218524.2399999453</v>
      </c>
      <c r="H146" s="102">
        <f t="shared" si="18"/>
        <v>3745649.1000000276</v>
      </c>
    </row>
    <row r="147" spans="1:8" hidden="1" outlineLevel="1" x14ac:dyDescent="0.25">
      <c r="A147" s="98">
        <v>39263</v>
      </c>
      <c r="B147" s="99">
        <f t="shared" si="19"/>
        <v>6011634.1299999412</v>
      </c>
      <c r="C147" s="99">
        <f t="shared" si="20"/>
        <v>3621031.5300000291</v>
      </c>
      <c r="D147" s="99">
        <f t="shared" si="21"/>
        <v>138647.52999999953</v>
      </c>
      <c r="E147" s="99">
        <f t="shared" si="15"/>
        <v>9771313.1899999697</v>
      </c>
      <c r="F147" s="102">
        <f t="shared" si="16"/>
        <v>10059552.589999972</v>
      </c>
      <c r="G147" s="102">
        <f t="shared" si="18"/>
        <v>6188968.5099999448</v>
      </c>
      <c r="H147" s="102">
        <f t="shared" si="18"/>
        <v>3727846.5900000273</v>
      </c>
    </row>
    <row r="148" spans="1:8" hidden="1" outlineLevel="1" x14ac:dyDescent="0.25">
      <c r="A148" s="98">
        <v>39294</v>
      </c>
      <c r="B148" s="99">
        <f t="shared" si="19"/>
        <v>5982078.3999999408</v>
      </c>
      <c r="C148" s="99">
        <f t="shared" si="20"/>
        <v>3603229.0200000294</v>
      </c>
      <c r="D148" s="99">
        <f t="shared" si="21"/>
        <v>137965.86999999953</v>
      </c>
      <c r="E148" s="99">
        <f t="shared" si="15"/>
        <v>9723273.2899999693</v>
      </c>
      <c r="F148" s="102">
        <f t="shared" si="16"/>
        <v>10011512.689999972</v>
      </c>
      <c r="G148" s="102">
        <f t="shared" si="18"/>
        <v>6159412.7799999425</v>
      </c>
      <c r="H148" s="102">
        <f t="shared" si="18"/>
        <v>3710044.0800000285</v>
      </c>
    </row>
    <row r="149" spans="1:8" hidden="1" outlineLevel="1" x14ac:dyDescent="0.25">
      <c r="A149" s="98">
        <v>39325</v>
      </c>
      <c r="B149" s="99">
        <f t="shared" si="19"/>
        <v>5952522.6699999403</v>
      </c>
      <c r="C149" s="99">
        <f t="shared" si="20"/>
        <v>3585426.5100000296</v>
      </c>
      <c r="D149" s="99">
        <f t="shared" si="21"/>
        <v>137284.20999999953</v>
      </c>
      <c r="E149" s="99">
        <f t="shared" si="15"/>
        <v>9675233.3899999689</v>
      </c>
      <c r="F149" s="102">
        <f t="shared" si="16"/>
        <v>9963472.7899999693</v>
      </c>
      <c r="G149" s="102">
        <f t="shared" si="18"/>
        <v>6129857.0499999421</v>
      </c>
      <c r="H149" s="102">
        <f t="shared" si="18"/>
        <v>3692241.5700000282</v>
      </c>
    </row>
    <row r="150" spans="1:8" hidden="1" outlineLevel="1" x14ac:dyDescent="0.25">
      <c r="A150" s="98">
        <v>39355</v>
      </c>
      <c r="B150" s="99">
        <f t="shared" si="19"/>
        <v>5922966.9399999399</v>
      </c>
      <c r="C150" s="99">
        <f t="shared" si="20"/>
        <v>3567624.0000000298</v>
      </c>
      <c r="D150" s="99">
        <f t="shared" si="21"/>
        <v>136602.54999999952</v>
      </c>
      <c r="E150" s="99">
        <f t="shared" si="15"/>
        <v>9627193.4899999686</v>
      </c>
      <c r="F150" s="102">
        <f>(E138+E150+SUM(E139:E149)*2)/24</f>
        <v>9915432.8899999708</v>
      </c>
      <c r="G150" s="102">
        <f>(B138+B150+SUM(B139:B149)*2)/24</f>
        <v>6100301.3199999435</v>
      </c>
      <c r="H150" s="102">
        <f t="shared" si="18"/>
        <v>3674439.0600000285</v>
      </c>
    </row>
    <row r="151" spans="1:8" hidden="1" outlineLevel="1" x14ac:dyDescent="0.25">
      <c r="A151" s="98">
        <v>39386</v>
      </c>
      <c r="B151" s="99">
        <f t="shared" si="19"/>
        <v>5893411.2099999394</v>
      </c>
      <c r="C151" s="99">
        <f t="shared" si="20"/>
        <v>3549821.49000003</v>
      </c>
      <c r="D151" s="99">
        <f t="shared" si="21"/>
        <v>135920.88999999952</v>
      </c>
      <c r="E151" s="99">
        <f t="shared" si="15"/>
        <v>9579153.5899999682</v>
      </c>
      <c r="F151" s="102">
        <f t="shared" ref="F151:F164" si="22">(E139+E151+SUM(E140:E150)*2)/24</f>
        <v>9867392.9899999704</v>
      </c>
      <c r="G151" s="102">
        <f t="shared" si="18"/>
        <v>6070745.5899999412</v>
      </c>
      <c r="H151" s="102">
        <f t="shared" si="18"/>
        <v>3656636.5500000287</v>
      </c>
    </row>
    <row r="152" spans="1:8" hidden="1" outlineLevel="1" x14ac:dyDescent="0.25">
      <c r="A152" s="98">
        <v>39416</v>
      </c>
      <c r="B152" s="99">
        <f t="shared" si="19"/>
        <v>5863855.479999939</v>
      </c>
      <c r="C152" s="99">
        <f t="shared" si="20"/>
        <v>3532018.9800000302</v>
      </c>
      <c r="D152" s="99">
        <f t="shared" si="21"/>
        <v>135239.22999999952</v>
      </c>
      <c r="E152" s="99">
        <f t="shared" si="15"/>
        <v>9531113.6899999678</v>
      </c>
      <c r="F152" s="102">
        <f t="shared" si="22"/>
        <v>9819353.0899999719</v>
      </c>
      <c r="G152" s="102">
        <f t="shared" si="18"/>
        <v>6041189.8599999426</v>
      </c>
      <c r="H152" s="102">
        <f t="shared" si="18"/>
        <v>3638834.0400000294</v>
      </c>
    </row>
    <row r="153" spans="1:8" hidden="1" outlineLevel="1" x14ac:dyDescent="0.25">
      <c r="A153" s="98">
        <v>39447</v>
      </c>
      <c r="B153" s="99">
        <f t="shared" si="19"/>
        <v>5834299.7499999385</v>
      </c>
      <c r="C153" s="99">
        <f t="shared" si="20"/>
        <v>3514216.4700000305</v>
      </c>
      <c r="D153" s="99">
        <f t="shared" si="21"/>
        <v>134557.56999999951</v>
      </c>
      <c r="E153" s="99">
        <f t="shared" si="15"/>
        <v>9483073.7899999693</v>
      </c>
      <c r="F153" s="102">
        <f t="shared" si="22"/>
        <v>9771313.1899999697</v>
      </c>
      <c r="G153" s="101">
        <f t="shared" si="18"/>
        <v>6011634.1299999403</v>
      </c>
      <c r="H153" s="102">
        <f t="shared" si="18"/>
        <v>3621031.5300000296</v>
      </c>
    </row>
    <row r="154" spans="1:8" hidden="1" outlineLevel="1" x14ac:dyDescent="0.25">
      <c r="A154" s="98">
        <v>39478</v>
      </c>
      <c r="B154" s="99">
        <f t="shared" si="19"/>
        <v>5804744.0199999381</v>
      </c>
      <c r="C154" s="99">
        <f t="shared" si="20"/>
        <v>3496413.9600000307</v>
      </c>
      <c r="D154" s="99">
        <f t="shared" si="21"/>
        <v>133875.90999999951</v>
      </c>
      <c r="E154" s="99">
        <f t="shared" si="15"/>
        <v>9435033.8899999689</v>
      </c>
      <c r="F154" s="102">
        <f t="shared" si="22"/>
        <v>9723273.2899999693</v>
      </c>
      <c r="G154" s="101">
        <f t="shared" si="18"/>
        <v>5982078.3999999417</v>
      </c>
      <c r="H154" s="102">
        <f t="shared" si="18"/>
        <v>3603229.0200000294</v>
      </c>
    </row>
    <row r="155" spans="1:8" hidden="1" outlineLevel="1" x14ac:dyDescent="0.25">
      <c r="A155" s="98">
        <v>39507</v>
      </c>
      <c r="B155" s="99">
        <f t="shared" si="19"/>
        <v>5775188.2899999376</v>
      </c>
      <c r="C155" s="99">
        <f t="shared" si="20"/>
        <v>3478611.4500000309</v>
      </c>
      <c r="D155" s="99">
        <f t="shared" si="21"/>
        <v>133194.24999999951</v>
      </c>
      <c r="E155" s="99">
        <f t="shared" si="15"/>
        <v>9386993.9899999686</v>
      </c>
      <c r="F155" s="102">
        <f t="shared" si="22"/>
        <v>9675233.3899999708</v>
      </c>
      <c r="G155" s="101">
        <f t="shared" si="18"/>
        <v>5952522.6699999394</v>
      </c>
      <c r="H155" s="102">
        <f t="shared" si="18"/>
        <v>3585426.5100000296</v>
      </c>
    </row>
    <row r="156" spans="1:8" hidden="1" outlineLevel="1" x14ac:dyDescent="0.25">
      <c r="A156" s="98">
        <v>39538</v>
      </c>
      <c r="B156" s="99">
        <f t="shared" si="19"/>
        <v>5745632.5599999372</v>
      </c>
      <c r="C156" s="99">
        <f t="shared" si="20"/>
        <v>3460808.9400000311</v>
      </c>
      <c r="D156" s="99">
        <f t="shared" si="21"/>
        <v>132512.5899999995</v>
      </c>
      <c r="E156" s="99">
        <f t="shared" si="15"/>
        <v>9338954.0899999682</v>
      </c>
      <c r="F156" s="102">
        <f t="shared" si="22"/>
        <v>9627193.4899999686</v>
      </c>
      <c r="G156" s="101">
        <f t="shared" si="18"/>
        <v>5922966.9399999408</v>
      </c>
      <c r="H156" s="102">
        <f t="shared" si="18"/>
        <v>3567624.0000000303</v>
      </c>
    </row>
    <row r="157" spans="1:8" hidden="1" outlineLevel="1" x14ac:dyDescent="0.25">
      <c r="A157" s="98">
        <v>39568</v>
      </c>
      <c r="B157" s="99">
        <f t="shared" si="19"/>
        <v>5716076.8299999367</v>
      </c>
      <c r="C157" s="99">
        <f t="shared" si="20"/>
        <v>3443006.4300000314</v>
      </c>
      <c r="D157" s="99">
        <f t="shared" si="21"/>
        <v>131830.9299999995</v>
      </c>
      <c r="E157" s="99">
        <f t="shared" si="15"/>
        <v>9290914.1899999678</v>
      </c>
      <c r="F157" s="102">
        <f t="shared" si="22"/>
        <v>9579153.5899999682</v>
      </c>
      <c r="G157" s="101">
        <f>(B145+B157+SUM(B146:B156)*2)/24</f>
        <v>5893411.2099999385</v>
      </c>
      <c r="H157" s="102">
        <f t="shared" ref="H157:H164" si="23">(C145+C157+SUM(C146:C156)*2)/24</f>
        <v>3549821.49000003</v>
      </c>
    </row>
    <row r="158" spans="1:8" hidden="1" outlineLevel="1" x14ac:dyDescent="0.25">
      <c r="A158" s="98">
        <v>39599</v>
      </c>
      <c r="B158" s="99">
        <f t="shared" si="19"/>
        <v>5686521.0999999363</v>
      </c>
      <c r="C158" s="99">
        <f t="shared" si="20"/>
        <v>3425203.9200000316</v>
      </c>
      <c r="D158" s="99">
        <f t="shared" si="21"/>
        <v>131149.26999999949</v>
      </c>
      <c r="E158" s="99">
        <f t="shared" si="15"/>
        <v>9242874.2899999674</v>
      </c>
      <c r="F158" s="102">
        <f t="shared" si="22"/>
        <v>9531113.6899999697</v>
      </c>
      <c r="G158" s="101">
        <f>(B146+B158+SUM(B147:B157)*2)/24</f>
        <v>5863855.4799999399</v>
      </c>
      <c r="H158" s="102">
        <f t="shared" si="23"/>
        <v>3532018.9800000302</v>
      </c>
    </row>
    <row r="159" spans="1:8" hidden="1" outlineLevel="1" x14ac:dyDescent="0.25">
      <c r="A159" s="98">
        <v>39629</v>
      </c>
      <c r="B159" s="99">
        <f t="shared" si="19"/>
        <v>5656965.3699999359</v>
      </c>
      <c r="C159" s="99">
        <f t="shared" si="20"/>
        <v>3407401.4100000318</v>
      </c>
      <c r="D159" s="99">
        <f t="shared" si="21"/>
        <v>130467.60999999949</v>
      </c>
      <c r="E159" s="99">
        <f t="shared" si="15"/>
        <v>9194834.3899999671</v>
      </c>
      <c r="F159" s="102">
        <f t="shared" si="22"/>
        <v>9483073.7899999693</v>
      </c>
      <c r="G159" s="101">
        <f>(B147+B159+SUM(B148:B158)*2)/24</f>
        <v>5834299.7499999376</v>
      </c>
      <c r="H159" s="102">
        <f t="shared" si="23"/>
        <v>3514216.4700000305</v>
      </c>
    </row>
    <row r="160" spans="1:8" hidden="1" outlineLevel="1" x14ac:dyDescent="0.25">
      <c r="A160" s="98">
        <v>39660</v>
      </c>
      <c r="B160" s="99">
        <f t="shared" si="19"/>
        <v>5627409.6399999354</v>
      </c>
      <c r="C160" s="99">
        <f t="shared" si="20"/>
        <v>3389598.900000032</v>
      </c>
      <c r="D160" s="99">
        <f t="shared" si="21"/>
        <v>129785.94999999949</v>
      </c>
      <c r="E160" s="99">
        <f t="shared" si="15"/>
        <v>9146794.4899999667</v>
      </c>
      <c r="F160" s="102">
        <f t="shared" si="22"/>
        <v>9435033.8899999689</v>
      </c>
      <c r="G160" s="101">
        <f t="shared" ref="G160:H175" si="24">(B148+B160+SUM(B149:B159)*2)/24</f>
        <v>5804744.019999939</v>
      </c>
      <c r="H160" s="102">
        <f t="shared" si="23"/>
        <v>3496413.9600000312</v>
      </c>
    </row>
    <row r="161" spans="1:8" hidden="1" outlineLevel="1" x14ac:dyDescent="0.25">
      <c r="A161" s="98">
        <v>39691</v>
      </c>
      <c r="B161" s="99">
        <f t="shared" si="19"/>
        <v>5597853.909999935</v>
      </c>
      <c r="C161" s="99">
        <f t="shared" si="20"/>
        <v>3371796.3900000323</v>
      </c>
      <c r="D161" s="99">
        <f t="shared" si="21"/>
        <v>129104.28999999948</v>
      </c>
      <c r="E161" s="99">
        <f t="shared" si="15"/>
        <v>9098754.5899999663</v>
      </c>
      <c r="F161" s="102">
        <f t="shared" si="22"/>
        <v>9386993.9899999686</v>
      </c>
      <c r="G161" s="101">
        <f t="shared" si="24"/>
        <v>5775188.2899999367</v>
      </c>
      <c r="H161" s="102">
        <f t="shared" si="23"/>
        <v>3478611.4500000314</v>
      </c>
    </row>
    <row r="162" spans="1:8" hidden="1" outlineLevel="1" x14ac:dyDescent="0.25">
      <c r="A162" s="98">
        <v>39721</v>
      </c>
      <c r="B162" s="99">
        <f t="shared" si="19"/>
        <v>5568298.1799999345</v>
      </c>
      <c r="C162" s="99">
        <f t="shared" si="20"/>
        <v>3353993.8800000325</v>
      </c>
      <c r="D162" s="99">
        <f t="shared" si="21"/>
        <v>128422.62999999948</v>
      </c>
      <c r="E162" s="99">
        <f t="shared" si="15"/>
        <v>9050714.689999966</v>
      </c>
      <c r="F162" s="102">
        <f t="shared" si="22"/>
        <v>9338954.0899999682</v>
      </c>
      <c r="G162" s="101">
        <f t="shared" si="24"/>
        <v>5745632.5599999381</v>
      </c>
      <c r="H162" s="102">
        <f t="shared" si="23"/>
        <v>3460808.9400000311</v>
      </c>
    </row>
    <row r="163" spans="1:8" hidden="1" outlineLevel="1" x14ac:dyDescent="0.25">
      <c r="A163" s="98">
        <v>39752</v>
      </c>
      <c r="B163" s="99">
        <f t="shared" si="19"/>
        <v>5538742.4499999341</v>
      </c>
      <c r="C163" s="99">
        <f t="shared" si="20"/>
        <v>3336191.3700000327</v>
      </c>
      <c r="D163" s="99">
        <f t="shared" si="21"/>
        <v>127740.96999999948</v>
      </c>
      <c r="E163" s="99">
        <f t="shared" si="15"/>
        <v>9002674.7899999656</v>
      </c>
      <c r="F163" s="102">
        <f t="shared" si="22"/>
        <v>9290914.1899999678</v>
      </c>
      <c r="G163" s="101">
        <f t="shared" si="24"/>
        <v>5716076.8299999358</v>
      </c>
      <c r="H163" s="102">
        <f t="shared" si="23"/>
        <v>3443006.4300000314</v>
      </c>
    </row>
    <row r="164" spans="1:8" hidden="1" outlineLevel="1" x14ac:dyDescent="0.25">
      <c r="A164" s="98">
        <v>39782</v>
      </c>
      <c r="B164" s="99">
        <f t="shared" si="19"/>
        <v>5509186.7199999336</v>
      </c>
      <c r="C164" s="99">
        <f t="shared" si="20"/>
        <v>3318388.8600000329</v>
      </c>
      <c r="D164" s="99">
        <f t="shared" si="21"/>
        <v>127059.30999999947</v>
      </c>
      <c r="E164" s="99">
        <f t="shared" si="15"/>
        <v>8954634.8899999652</v>
      </c>
      <c r="F164" s="102">
        <f t="shared" si="22"/>
        <v>9242874.2899999674</v>
      </c>
      <c r="G164" s="101">
        <f t="shared" si="24"/>
        <v>5686521.0999999372</v>
      </c>
      <c r="H164" s="102">
        <f t="shared" si="23"/>
        <v>3425203.9200000321</v>
      </c>
    </row>
    <row r="165" spans="1:8" hidden="1" outlineLevel="1" x14ac:dyDescent="0.25">
      <c r="A165" s="98">
        <v>39813</v>
      </c>
      <c r="B165" s="99">
        <f t="shared" si="19"/>
        <v>5479630.9899999332</v>
      </c>
      <c r="C165" s="99">
        <f t="shared" si="20"/>
        <v>3300586.3500000332</v>
      </c>
      <c r="D165" s="99">
        <f t="shared" si="21"/>
        <v>126377.64999999947</v>
      </c>
      <c r="E165" s="99">
        <f t="shared" si="15"/>
        <v>8906594.9899999667</v>
      </c>
      <c r="F165" s="102">
        <f>(E153+E165+SUM(E154:E164)*2)/24</f>
        <v>9194834.3899999689</v>
      </c>
      <c r="G165" s="101">
        <f t="shared" si="24"/>
        <v>5656965.3699999349</v>
      </c>
      <c r="H165" s="102">
        <f>(C153+C165+SUM(C154:C164)*2)/24</f>
        <v>3407401.4100000318</v>
      </c>
    </row>
    <row r="166" spans="1:8" hidden="1" outlineLevel="1" x14ac:dyDescent="0.25">
      <c r="A166" s="98">
        <v>39844</v>
      </c>
      <c r="B166" s="99">
        <f t="shared" si="19"/>
        <v>5450075.2599999327</v>
      </c>
      <c r="C166" s="99">
        <f t="shared" si="20"/>
        <v>3282783.8400000334</v>
      </c>
      <c r="D166" s="99">
        <f t="shared" si="21"/>
        <v>125695.98999999947</v>
      </c>
      <c r="E166" s="99">
        <f t="shared" ref="E166:E176" si="25">SUM(B166:D166)</f>
        <v>8858555.0899999663</v>
      </c>
      <c r="F166" s="102">
        <f t="shared" ref="F166:F207" si="26">(E154+E166+SUM(E155:E165)*2)/24</f>
        <v>9146794.4899999667</v>
      </c>
      <c r="G166" s="101">
        <f t="shared" si="24"/>
        <v>5627409.6399999363</v>
      </c>
      <c r="H166" s="102">
        <f t="shared" si="24"/>
        <v>3389598.900000032</v>
      </c>
    </row>
    <row r="167" spans="1:8" hidden="1" outlineLevel="1" x14ac:dyDescent="0.25">
      <c r="A167" s="98">
        <v>39872</v>
      </c>
      <c r="B167" s="99">
        <f t="shared" si="19"/>
        <v>5420519.5299999323</v>
      </c>
      <c r="C167" s="99">
        <f t="shared" si="20"/>
        <v>3264981.3300000336</v>
      </c>
      <c r="D167" s="99">
        <f t="shared" si="21"/>
        <v>125014.32999999946</v>
      </c>
      <c r="E167" s="99">
        <f t="shared" si="25"/>
        <v>8810515.189999966</v>
      </c>
      <c r="F167" s="102">
        <f t="shared" si="26"/>
        <v>9098754.5899999682</v>
      </c>
      <c r="G167" s="101">
        <f t="shared" si="24"/>
        <v>5597853.909999934</v>
      </c>
      <c r="H167" s="102">
        <f t="shared" si="24"/>
        <v>3371796.3900000323</v>
      </c>
    </row>
    <row r="168" spans="1:8" hidden="1" outlineLevel="1" x14ac:dyDescent="0.25">
      <c r="A168" s="98">
        <v>39903</v>
      </c>
      <c r="B168" s="99">
        <f t="shared" si="19"/>
        <v>5390963.7999999318</v>
      </c>
      <c r="C168" s="99">
        <f t="shared" si="20"/>
        <v>3247178.8200000338</v>
      </c>
      <c r="D168" s="99">
        <f t="shared" si="21"/>
        <v>124332.66999999946</v>
      </c>
      <c r="E168" s="99">
        <f t="shared" si="25"/>
        <v>8762475.2899999656</v>
      </c>
      <c r="F168" s="102">
        <f t="shared" si="26"/>
        <v>9050714.6899999678</v>
      </c>
      <c r="G168" s="101">
        <f t="shared" si="24"/>
        <v>5568298.1799999345</v>
      </c>
      <c r="H168" s="102">
        <f t="shared" si="24"/>
        <v>3353993.880000033</v>
      </c>
    </row>
    <row r="169" spans="1:8" hidden="1" outlineLevel="1" x14ac:dyDescent="0.25">
      <c r="A169" s="98">
        <v>39933</v>
      </c>
      <c r="B169" s="99">
        <f t="shared" si="19"/>
        <v>5361408.0699999314</v>
      </c>
      <c r="C169" s="99">
        <f t="shared" si="20"/>
        <v>3229376.310000034</v>
      </c>
      <c r="D169" s="99">
        <f t="shared" si="21"/>
        <v>123651.00999999946</v>
      </c>
      <c r="E169" s="99">
        <f t="shared" si="25"/>
        <v>8714435.3899999652</v>
      </c>
      <c r="F169" s="102">
        <f t="shared" si="26"/>
        <v>9002674.7899999674</v>
      </c>
      <c r="G169" s="101">
        <f t="shared" si="24"/>
        <v>5538742.4499999341</v>
      </c>
      <c r="H169" s="102">
        <f t="shared" si="24"/>
        <v>3336191.3700000332</v>
      </c>
    </row>
    <row r="170" spans="1:8" hidden="1" outlineLevel="1" x14ac:dyDescent="0.25">
      <c r="A170" s="98">
        <v>39964</v>
      </c>
      <c r="B170" s="99">
        <f t="shared" si="19"/>
        <v>5331852.3399999309</v>
      </c>
      <c r="C170" s="99">
        <f t="shared" si="20"/>
        <v>3211573.8000000343</v>
      </c>
      <c r="D170" s="99">
        <f t="shared" si="21"/>
        <v>122969.34999999945</v>
      </c>
      <c r="E170" s="99">
        <f t="shared" si="25"/>
        <v>8666395.4899999648</v>
      </c>
      <c r="F170" s="102">
        <f t="shared" si="26"/>
        <v>8954634.8899999671</v>
      </c>
      <c r="G170" s="101">
        <f t="shared" si="24"/>
        <v>5509186.7199999336</v>
      </c>
      <c r="H170" s="102">
        <f t="shared" si="24"/>
        <v>3318388.8600000329</v>
      </c>
    </row>
    <row r="171" spans="1:8" hidden="1" outlineLevel="1" x14ac:dyDescent="0.25">
      <c r="A171" s="98">
        <v>39994</v>
      </c>
      <c r="B171" s="99">
        <f t="shared" si="19"/>
        <v>5302296.6099999305</v>
      </c>
      <c r="C171" s="99">
        <f t="shared" si="20"/>
        <v>3193771.2900000345</v>
      </c>
      <c r="D171" s="99">
        <f t="shared" si="21"/>
        <v>122287.68999999945</v>
      </c>
      <c r="E171" s="99">
        <f t="shared" si="25"/>
        <v>8618355.5899999645</v>
      </c>
      <c r="F171" s="102">
        <f t="shared" si="26"/>
        <v>8906594.9899999667</v>
      </c>
      <c r="G171" s="101">
        <f t="shared" si="24"/>
        <v>5479630.9899999332</v>
      </c>
      <c r="H171" s="102">
        <f t="shared" si="24"/>
        <v>3300586.3500000332</v>
      </c>
    </row>
    <row r="172" spans="1:8" hidden="1" outlineLevel="1" x14ac:dyDescent="0.25">
      <c r="A172" s="98">
        <v>40025</v>
      </c>
      <c r="B172" s="99">
        <f t="shared" si="19"/>
        <v>5272740.87999993</v>
      </c>
      <c r="C172" s="99">
        <f t="shared" si="20"/>
        <v>3175968.7800000347</v>
      </c>
      <c r="D172" s="99">
        <f t="shared" si="21"/>
        <v>121606.02999999945</v>
      </c>
      <c r="E172" s="99">
        <f t="shared" si="25"/>
        <v>8570315.6899999641</v>
      </c>
      <c r="F172" s="102">
        <f t="shared" si="26"/>
        <v>8858555.0899999663</v>
      </c>
      <c r="G172" s="101">
        <f t="shared" si="24"/>
        <v>5450075.2599999327</v>
      </c>
      <c r="H172" s="102">
        <f t="shared" si="24"/>
        <v>3282783.8400000338</v>
      </c>
    </row>
    <row r="173" spans="1:8" hidden="1" outlineLevel="1" x14ac:dyDescent="0.25">
      <c r="A173" s="98">
        <v>40056</v>
      </c>
      <c r="B173" s="99">
        <f t="shared" si="19"/>
        <v>5243185.1499999296</v>
      </c>
      <c r="C173" s="99">
        <f t="shared" si="20"/>
        <v>3158166.2700000349</v>
      </c>
      <c r="D173" s="99">
        <f t="shared" si="21"/>
        <v>120924.36999999944</v>
      </c>
      <c r="E173" s="99">
        <f t="shared" si="25"/>
        <v>8522275.7899999637</v>
      </c>
      <c r="F173" s="102">
        <f t="shared" si="26"/>
        <v>8810515.189999966</v>
      </c>
      <c r="G173" s="101">
        <f t="shared" si="24"/>
        <v>5420519.5299999323</v>
      </c>
      <c r="H173" s="102">
        <f t="shared" si="24"/>
        <v>3264981.3300000336</v>
      </c>
    </row>
    <row r="174" spans="1:8" hidden="1" outlineLevel="1" x14ac:dyDescent="0.25">
      <c r="A174" s="98">
        <v>40086</v>
      </c>
      <c r="B174" s="99">
        <f t="shared" si="19"/>
        <v>5213629.4199999291</v>
      </c>
      <c r="C174" s="99">
        <f t="shared" si="20"/>
        <v>3140363.7600000352</v>
      </c>
      <c r="D174" s="99">
        <f t="shared" si="21"/>
        <v>120242.70999999944</v>
      </c>
      <c r="E174" s="99">
        <f t="shared" si="25"/>
        <v>8474235.8899999633</v>
      </c>
      <c r="F174" s="102">
        <f t="shared" si="26"/>
        <v>8762475.2899999656</v>
      </c>
      <c r="G174" s="101">
        <f t="shared" si="24"/>
        <v>5390963.7999999318</v>
      </c>
      <c r="H174" s="102">
        <f t="shared" si="24"/>
        <v>3247178.8200000338</v>
      </c>
    </row>
    <row r="175" spans="1:8" hidden="1" outlineLevel="1" x14ac:dyDescent="0.25">
      <c r="A175" s="98">
        <v>40117</v>
      </c>
      <c r="B175" s="99">
        <f t="shared" si="19"/>
        <v>5184073.6899999287</v>
      </c>
      <c r="C175" s="99">
        <f t="shared" si="20"/>
        <v>3122561.2500000354</v>
      </c>
      <c r="D175" s="99">
        <f t="shared" si="21"/>
        <v>119561.04999999944</v>
      </c>
      <c r="E175" s="99">
        <f t="shared" si="25"/>
        <v>8426195.989999963</v>
      </c>
      <c r="F175" s="102">
        <f t="shared" si="26"/>
        <v>8714435.3899999633</v>
      </c>
      <c r="G175" s="101">
        <f t="shared" si="24"/>
        <v>5361408.0699999314</v>
      </c>
      <c r="H175" s="102">
        <f t="shared" si="24"/>
        <v>3229376.310000034</v>
      </c>
    </row>
    <row r="176" spans="1:8" hidden="1" outlineLevel="1" x14ac:dyDescent="0.25">
      <c r="A176" s="98">
        <v>40147</v>
      </c>
      <c r="B176" s="99">
        <f t="shared" si="19"/>
        <v>5154517.9599999283</v>
      </c>
      <c r="C176" s="99">
        <f t="shared" si="20"/>
        <v>3104758.7400000356</v>
      </c>
      <c r="D176" s="99">
        <f t="shared" si="21"/>
        <v>118879.38999999943</v>
      </c>
      <c r="E176" s="99">
        <f t="shared" si="25"/>
        <v>8378156.0899999635</v>
      </c>
      <c r="F176" s="102">
        <f t="shared" si="26"/>
        <v>8666395.4899999648</v>
      </c>
      <c r="G176" s="101">
        <f t="shared" ref="G176:H187" si="27">(B164+B176+SUM(B165:B175)*2)/24</f>
        <v>5331852.3399999309</v>
      </c>
      <c r="H176" s="102">
        <f t="shared" si="27"/>
        <v>3211573.8000000347</v>
      </c>
    </row>
    <row r="177" spans="1:8" hidden="1" outlineLevel="1" x14ac:dyDescent="0.25">
      <c r="A177" s="98">
        <v>40178</v>
      </c>
      <c r="B177" s="99">
        <f t="shared" si="19"/>
        <v>5124962.2299999278</v>
      </c>
      <c r="C177" s="99">
        <f t="shared" si="20"/>
        <v>3086956.2300000358</v>
      </c>
      <c r="D177" s="99">
        <f t="shared" si="21"/>
        <v>118197.72999999943</v>
      </c>
      <c r="E177" s="99">
        <f t="shared" ref="E177:E187" si="28">SUM(B177:D177)</f>
        <v>8330116.1899999632</v>
      </c>
      <c r="F177" s="102">
        <f t="shared" si="26"/>
        <v>8618355.5899999645</v>
      </c>
      <c r="G177" s="101">
        <f t="shared" si="27"/>
        <v>5302296.6099999305</v>
      </c>
      <c r="H177" s="102">
        <f t="shared" si="27"/>
        <v>3193771.290000035</v>
      </c>
    </row>
    <row r="178" spans="1:8" hidden="1" outlineLevel="1" x14ac:dyDescent="0.25">
      <c r="A178" s="98">
        <v>40209</v>
      </c>
      <c r="B178" s="99">
        <f t="shared" si="19"/>
        <v>5095406.4999999274</v>
      </c>
      <c r="C178" s="99">
        <f t="shared" si="20"/>
        <v>3069153.7200000361</v>
      </c>
      <c r="D178" s="99">
        <f t="shared" si="21"/>
        <v>117516.06999999942</v>
      </c>
      <c r="E178" s="99">
        <f t="shared" si="28"/>
        <v>8282076.2899999628</v>
      </c>
      <c r="F178" s="102">
        <f t="shared" si="26"/>
        <v>8570315.689999966</v>
      </c>
      <c r="G178" s="101">
        <f t="shared" si="27"/>
        <v>5272740.87999993</v>
      </c>
      <c r="H178" s="102">
        <f t="shared" si="27"/>
        <v>3175968.7800000347</v>
      </c>
    </row>
    <row r="179" spans="1:8" hidden="1" outlineLevel="1" x14ac:dyDescent="0.25">
      <c r="A179" s="98">
        <v>40237</v>
      </c>
      <c r="B179" s="99">
        <f t="shared" si="19"/>
        <v>5065850.7699999269</v>
      </c>
      <c r="C179" s="99">
        <f t="shared" si="20"/>
        <v>3051351.2100000363</v>
      </c>
      <c r="D179" s="99">
        <f t="shared" si="21"/>
        <v>116834.40999999942</v>
      </c>
      <c r="E179" s="99">
        <f t="shared" si="28"/>
        <v>8234036.3899999624</v>
      </c>
      <c r="F179" s="102">
        <f t="shared" si="26"/>
        <v>8522275.7899999637</v>
      </c>
      <c r="G179" s="101">
        <f t="shared" si="27"/>
        <v>5243185.1499999296</v>
      </c>
      <c r="H179" s="102">
        <f t="shared" si="27"/>
        <v>3158166.2700000349</v>
      </c>
    </row>
    <row r="180" spans="1:8" hidden="1" outlineLevel="1" x14ac:dyDescent="0.25">
      <c r="A180" s="98">
        <v>40268</v>
      </c>
      <c r="B180" s="99">
        <f t="shared" si="19"/>
        <v>5036295.0399999265</v>
      </c>
      <c r="C180" s="99">
        <f t="shared" si="20"/>
        <v>3033548.7000000365</v>
      </c>
      <c r="D180" s="99">
        <f t="shared" si="21"/>
        <v>116152.74999999942</v>
      </c>
      <c r="E180" s="99">
        <f t="shared" si="28"/>
        <v>8185996.489999962</v>
      </c>
      <c r="F180" s="102">
        <f t="shared" si="26"/>
        <v>8474235.8899999633</v>
      </c>
      <c r="G180" s="101">
        <f t="shared" si="27"/>
        <v>5213629.4199999291</v>
      </c>
      <c r="H180" s="102">
        <f t="shared" si="27"/>
        <v>3140363.7600000356</v>
      </c>
    </row>
    <row r="181" spans="1:8" hidden="1" outlineLevel="1" x14ac:dyDescent="0.25">
      <c r="A181" s="98">
        <v>40298</v>
      </c>
      <c r="B181" s="99">
        <f t="shared" si="19"/>
        <v>5006739.309999926</v>
      </c>
      <c r="C181" s="99">
        <f t="shared" si="20"/>
        <v>3015746.1900000367</v>
      </c>
      <c r="D181" s="99">
        <f t="shared" si="21"/>
        <v>115471.08999999941</v>
      </c>
      <c r="E181" s="99">
        <f t="shared" si="28"/>
        <v>8137956.5899999626</v>
      </c>
      <c r="F181" s="102">
        <f t="shared" si="26"/>
        <v>8426195.989999963</v>
      </c>
      <c r="G181" s="101">
        <f t="shared" si="27"/>
        <v>5184073.6899999287</v>
      </c>
      <c r="H181" s="102">
        <f t="shared" si="27"/>
        <v>3122561.2500000354</v>
      </c>
    </row>
    <row r="182" spans="1:8" hidden="1" outlineLevel="1" x14ac:dyDescent="0.25">
      <c r="A182" s="98">
        <v>40329</v>
      </c>
      <c r="B182" s="99">
        <f t="shared" si="19"/>
        <v>4977183.5799999256</v>
      </c>
      <c r="C182" s="99">
        <f t="shared" si="20"/>
        <v>2997943.680000037</v>
      </c>
      <c r="D182" s="99">
        <f t="shared" si="21"/>
        <v>114789.42999999941</v>
      </c>
      <c r="E182" s="99">
        <f t="shared" si="28"/>
        <v>8089916.6899999622</v>
      </c>
      <c r="F182" s="102">
        <f t="shared" si="26"/>
        <v>8378156.0899999626</v>
      </c>
      <c r="G182" s="101">
        <f t="shared" si="27"/>
        <v>5154517.9599999283</v>
      </c>
      <c r="H182" s="102">
        <f t="shared" si="27"/>
        <v>3104758.7400000356</v>
      </c>
    </row>
    <row r="183" spans="1:8" hidden="1" outlineLevel="1" x14ac:dyDescent="0.25">
      <c r="A183" s="98">
        <v>40359</v>
      </c>
      <c r="B183" s="99">
        <f t="shared" si="19"/>
        <v>4947627.8499999251</v>
      </c>
      <c r="C183" s="99">
        <f t="shared" si="20"/>
        <v>2980141.1700000372</v>
      </c>
      <c r="D183" s="99">
        <f t="shared" si="21"/>
        <v>114107.76999999941</v>
      </c>
      <c r="E183" s="99">
        <f t="shared" si="28"/>
        <v>8041876.7899999619</v>
      </c>
      <c r="F183" s="102">
        <f t="shared" si="26"/>
        <v>8330116.1899999641</v>
      </c>
      <c r="G183" s="101">
        <f t="shared" si="27"/>
        <v>5124962.2299999278</v>
      </c>
      <c r="H183" s="102">
        <f t="shared" si="27"/>
        <v>3086956.2300000358</v>
      </c>
    </row>
    <row r="184" spans="1:8" hidden="1" outlineLevel="1" x14ac:dyDescent="0.25">
      <c r="A184" s="98">
        <v>40390</v>
      </c>
      <c r="B184" s="99">
        <f t="shared" si="19"/>
        <v>4918072.1199999247</v>
      </c>
      <c r="C184" s="99">
        <f t="shared" si="20"/>
        <v>2962338.6600000374</v>
      </c>
      <c r="D184" s="99">
        <f t="shared" si="21"/>
        <v>113426.1099999994</v>
      </c>
      <c r="E184" s="99">
        <f t="shared" si="28"/>
        <v>7993836.8899999615</v>
      </c>
      <c r="F184" s="102">
        <f t="shared" si="26"/>
        <v>8282076.2899999628</v>
      </c>
      <c r="G184" s="101">
        <f t="shared" si="27"/>
        <v>5095406.4999999274</v>
      </c>
      <c r="H184" s="102">
        <f t="shared" si="27"/>
        <v>3069153.7200000365</v>
      </c>
    </row>
    <row r="185" spans="1:8" hidden="1" outlineLevel="1" x14ac:dyDescent="0.25">
      <c r="A185" s="98">
        <v>40421</v>
      </c>
      <c r="B185" s="99">
        <f t="shared" si="19"/>
        <v>4888516.3899999242</v>
      </c>
      <c r="C185" s="99">
        <f t="shared" si="20"/>
        <v>2944536.1500000376</v>
      </c>
      <c r="D185" s="99">
        <f t="shared" si="21"/>
        <v>112744.4499999994</v>
      </c>
      <c r="E185" s="99">
        <f t="shared" si="28"/>
        <v>7945796.9899999611</v>
      </c>
      <c r="F185" s="102">
        <f t="shared" si="26"/>
        <v>8234036.3899999624</v>
      </c>
      <c r="G185" s="101">
        <f t="shared" si="27"/>
        <v>5065850.7699999269</v>
      </c>
      <c r="H185" s="102">
        <f t="shared" si="27"/>
        <v>3051351.2100000367</v>
      </c>
    </row>
    <row r="186" spans="1:8" hidden="1" outlineLevel="1" x14ac:dyDescent="0.25">
      <c r="A186" s="98">
        <v>40451</v>
      </c>
      <c r="B186" s="99">
        <f t="shared" si="19"/>
        <v>4858960.6599999238</v>
      </c>
      <c r="C186" s="99">
        <f t="shared" si="20"/>
        <v>2926733.6400000378</v>
      </c>
      <c r="D186" s="99">
        <f t="shared" si="21"/>
        <v>112062.7899999994</v>
      </c>
      <c r="E186" s="99">
        <f t="shared" si="28"/>
        <v>7897757.0899999607</v>
      </c>
      <c r="F186" s="102">
        <f t="shared" si="26"/>
        <v>8185996.489999962</v>
      </c>
      <c r="G186" s="101">
        <f t="shared" si="27"/>
        <v>5036295.0399999265</v>
      </c>
      <c r="H186" s="102">
        <f t="shared" si="27"/>
        <v>3033548.7000000365</v>
      </c>
    </row>
    <row r="187" spans="1:8" hidden="1" outlineLevel="1" x14ac:dyDescent="0.25">
      <c r="A187" s="98">
        <v>40482</v>
      </c>
      <c r="B187" s="99">
        <f t="shared" si="19"/>
        <v>4829404.9299999233</v>
      </c>
      <c r="C187" s="99">
        <f t="shared" si="20"/>
        <v>2908931.1300000381</v>
      </c>
      <c r="D187" s="99">
        <f t="shared" si="21"/>
        <v>111381.12999999939</v>
      </c>
      <c r="E187" s="99">
        <f t="shared" si="28"/>
        <v>7849717.1899999604</v>
      </c>
      <c r="F187" s="102">
        <f t="shared" si="26"/>
        <v>8137956.5899999626</v>
      </c>
      <c r="G187" s="101">
        <f t="shared" si="27"/>
        <v>5006739.309999926</v>
      </c>
      <c r="H187" s="102">
        <f t="shared" si="27"/>
        <v>3015746.1900000367</v>
      </c>
    </row>
    <row r="188" spans="1:8" hidden="1" outlineLevel="1" x14ac:dyDescent="0.25">
      <c r="A188" s="98">
        <v>40512</v>
      </c>
      <c r="B188" s="99">
        <f t="shared" si="19"/>
        <v>4799849.1999999229</v>
      </c>
      <c r="C188" s="99">
        <f t="shared" si="20"/>
        <v>2891128.6200000383</v>
      </c>
      <c r="D188" s="99">
        <f t="shared" si="21"/>
        <v>110699.46999999939</v>
      </c>
      <c r="E188" s="99">
        <f>SUM(B188:D188)</f>
        <v>7801677.2899999609</v>
      </c>
      <c r="F188" s="102">
        <f t="shared" si="26"/>
        <v>8089916.6899999632</v>
      </c>
      <c r="G188" s="101">
        <f>(B176+B188+SUM(B177:B187)*2)/24</f>
        <v>4977183.5799999256</v>
      </c>
      <c r="H188" s="102">
        <f>(C176+C188+SUM(C177:C187)*2)/24</f>
        <v>2997943.6800000374</v>
      </c>
    </row>
    <row r="189" spans="1:8" hidden="1" outlineLevel="1" x14ac:dyDescent="0.25">
      <c r="A189" s="98">
        <v>40543</v>
      </c>
      <c r="B189" s="99">
        <f t="shared" si="19"/>
        <v>4770293.4699999224</v>
      </c>
      <c r="C189" s="99">
        <f t="shared" si="20"/>
        <v>2873326.1100000385</v>
      </c>
      <c r="D189" s="99">
        <f t="shared" si="21"/>
        <v>110017.80999999939</v>
      </c>
      <c r="E189" s="99">
        <f>SUM(B189:D189)</f>
        <v>7753637.3899999605</v>
      </c>
      <c r="F189" s="102">
        <f t="shared" si="26"/>
        <v>8041876.7899999619</v>
      </c>
      <c r="G189" s="101">
        <f>(B177+B189+SUM(B178:B188)*2)/24</f>
        <v>4947627.8499999251</v>
      </c>
      <c r="H189" s="102">
        <f>(C177+C189+SUM(C178:C188)*2)/24</f>
        <v>2980141.1700000372</v>
      </c>
    </row>
    <row r="190" spans="1:8" hidden="1" outlineLevel="1" x14ac:dyDescent="0.25">
      <c r="A190" s="98">
        <v>40574</v>
      </c>
      <c r="B190" s="99">
        <f t="shared" si="19"/>
        <v>4740737.739999922</v>
      </c>
      <c r="C190" s="99">
        <f t="shared" si="20"/>
        <v>2855523.6000000387</v>
      </c>
      <c r="D190" s="99">
        <f t="shared" si="21"/>
        <v>109336.14999999938</v>
      </c>
      <c r="E190" s="99">
        <f t="shared" ref="E190:E207" si="29">SUM(B190:D190)</f>
        <v>7705597.4899999602</v>
      </c>
      <c r="F190" s="102">
        <f t="shared" si="26"/>
        <v>7993836.8899999605</v>
      </c>
      <c r="G190" s="101">
        <f t="shared" ref="G190:H205" si="30">(B178+B190+SUM(B179:B189)*2)/24</f>
        <v>4918072.1199999247</v>
      </c>
      <c r="H190" s="102">
        <f t="shared" si="30"/>
        <v>2962338.6600000374</v>
      </c>
    </row>
    <row r="191" spans="1:8" hidden="1" outlineLevel="1" x14ac:dyDescent="0.25">
      <c r="A191" s="98">
        <v>40602</v>
      </c>
      <c r="B191" s="99">
        <f t="shared" si="19"/>
        <v>4711182.0099999215</v>
      </c>
      <c r="C191" s="99">
        <f t="shared" si="20"/>
        <v>2837721.090000039</v>
      </c>
      <c r="D191" s="99">
        <f t="shared" si="21"/>
        <v>108654.48999999938</v>
      </c>
      <c r="E191" s="99">
        <f t="shared" si="29"/>
        <v>7657557.5899999598</v>
      </c>
      <c r="F191" s="102">
        <f t="shared" si="26"/>
        <v>7945796.9899999611</v>
      </c>
      <c r="G191" s="101">
        <f t="shared" si="30"/>
        <v>4888516.3899999242</v>
      </c>
      <c r="H191" s="102">
        <f t="shared" si="30"/>
        <v>2944536.1500000376</v>
      </c>
    </row>
    <row r="192" spans="1:8" hidden="1" outlineLevel="1" x14ac:dyDescent="0.25">
      <c r="A192" s="98">
        <v>40633</v>
      </c>
      <c r="B192" s="99">
        <f t="shared" si="19"/>
        <v>4681626.2799999211</v>
      </c>
      <c r="C192" s="99">
        <f t="shared" si="20"/>
        <v>2819918.5800000392</v>
      </c>
      <c r="D192" s="99">
        <f t="shared" si="21"/>
        <v>107972.82999999938</v>
      </c>
      <c r="E192" s="99">
        <f t="shared" si="29"/>
        <v>7609517.6899999594</v>
      </c>
      <c r="F192" s="102">
        <f t="shared" si="26"/>
        <v>7897757.0899999617</v>
      </c>
      <c r="G192" s="101">
        <f t="shared" si="30"/>
        <v>4858960.6599999238</v>
      </c>
      <c r="H192" s="102">
        <f t="shared" si="30"/>
        <v>2926733.6400000383</v>
      </c>
    </row>
    <row r="193" spans="1:8" hidden="1" outlineLevel="1" x14ac:dyDescent="0.25">
      <c r="A193" s="98">
        <v>40663</v>
      </c>
      <c r="B193" s="99">
        <f t="shared" si="19"/>
        <v>4652070.5499999207</v>
      </c>
      <c r="C193" s="99">
        <f t="shared" si="20"/>
        <v>2802116.0700000394</v>
      </c>
      <c r="D193" s="99">
        <f t="shared" si="21"/>
        <v>107291.16999999937</v>
      </c>
      <c r="E193" s="99">
        <f t="shared" si="29"/>
        <v>7561477.7899999591</v>
      </c>
      <c r="F193" s="102">
        <f t="shared" si="26"/>
        <v>7849717.1899999604</v>
      </c>
      <c r="G193" s="101">
        <f t="shared" si="30"/>
        <v>4829404.9299999233</v>
      </c>
      <c r="H193" s="102">
        <f t="shared" si="30"/>
        <v>2908931.1300000381</v>
      </c>
    </row>
    <row r="194" spans="1:8" hidden="1" outlineLevel="1" x14ac:dyDescent="0.25">
      <c r="A194" s="98">
        <v>40694</v>
      </c>
      <c r="B194" s="99">
        <f t="shared" si="19"/>
        <v>4622514.8199999202</v>
      </c>
      <c r="C194" s="99">
        <f t="shared" si="20"/>
        <v>2784313.5600000396</v>
      </c>
      <c r="D194" s="99">
        <f t="shared" si="21"/>
        <v>106609.50999999937</v>
      </c>
      <c r="E194" s="99">
        <f t="shared" si="29"/>
        <v>7513437.8899999596</v>
      </c>
      <c r="F194" s="102">
        <f t="shared" si="26"/>
        <v>7801677.2899999609</v>
      </c>
      <c r="G194" s="101">
        <f t="shared" si="30"/>
        <v>4799849.1999999229</v>
      </c>
      <c r="H194" s="102">
        <f t="shared" si="30"/>
        <v>2891128.6200000383</v>
      </c>
    </row>
    <row r="195" spans="1:8" hidden="1" outlineLevel="1" x14ac:dyDescent="0.25">
      <c r="A195" s="98">
        <v>40724</v>
      </c>
      <c r="B195" s="99">
        <f t="shared" si="19"/>
        <v>4592959.0899999198</v>
      </c>
      <c r="C195" s="99">
        <f t="shared" si="20"/>
        <v>2766511.0500000399</v>
      </c>
      <c r="D195" s="99">
        <f t="shared" si="21"/>
        <v>105927.84999999937</v>
      </c>
      <c r="E195" s="99">
        <f t="shared" si="29"/>
        <v>7465397.9899999592</v>
      </c>
      <c r="F195" s="102">
        <f t="shared" si="26"/>
        <v>7753637.3899999596</v>
      </c>
      <c r="G195" s="101">
        <f t="shared" si="30"/>
        <v>4770293.4699999224</v>
      </c>
      <c r="H195" s="102">
        <f t="shared" si="30"/>
        <v>2873326.1100000385</v>
      </c>
    </row>
    <row r="196" spans="1:8" hidden="1" outlineLevel="1" x14ac:dyDescent="0.25">
      <c r="A196" s="98">
        <v>40755</v>
      </c>
      <c r="B196" s="99">
        <f t="shared" si="19"/>
        <v>4563403.3599999193</v>
      </c>
      <c r="C196" s="99">
        <f t="shared" si="20"/>
        <v>2748708.5400000401</v>
      </c>
      <c r="D196" s="99">
        <f t="shared" si="21"/>
        <v>105246.18999999936</v>
      </c>
      <c r="E196" s="99">
        <f t="shared" si="29"/>
        <v>7417358.0899999589</v>
      </c>
      <c r="F196" s="102">
        <f t="shared" si="26"/>
        <v>7705597.4899999611</v>
      </c>
      <c r="G196" s="101">
        <f t="shared" si="30"/>
        <v>4740737.739999922</v>
      </c>
      <c r="H196" s="102">
        <f t="shared" si="30"/>
        <v>2855523.6000000392</v>
      </c>
    </row>
    <row r="197" spans="1:8" hidden="1" outlineLevel="1" x14ac:dyDescent="0.25">
      <c r="A197" s="98">
        <v>40786</v>
      </c>
      <c r="B197" s="99">
        <f t="shared" si="19"/>
        <v>4533847.6299999189</v>
      </c>
      <c r="C197" s="99">
        <f t="shared" si="20"/>
        <v>2730906.0300000403</v>
      </c>
      <c r="D197" s="99">
        <f t="shared" si="21"/>
        <v>104564.52999999936</v>
      </c>
      <c r="E197" s="99">
        <f t="shared" si="29"/>
        <v>7369318.1899999585</v>
      </c>
      <c r="F197" s="102">
        <f t="shared" si="26"/>
        <v>7657557.5899999598</v>
      </c>
      <c r="G197" s="101">
        <f t="shared" si="30"/>
        <v>4711182.0099999215</v>
      </c>
      <c r="H197" s="102">
        <f t="shared" si="30"/>
        <v>2837721.090000039</v>
      </c>
    </row>
    <row r="198" spans="1:8" hidden="1" outlineLevel="1" x14ac:dyDescent="0.25">
      <c r="A198" s="98">
        <v>40816</v>
      </c>
      <c r="B198" s="99">
        <f t="shared" si="19"/>
        <v>4504291.8999999184</v>
      </c>
      <c r="C198" s="99">
        <f t="shared" si="20"/>
        <v>2713103.5200000405</v>
      </c>
      <c r="D198" s="99">
        <f t="shared" si="21"/>
        <v>103882.86999999936</v>
      </c>
      <c r="E198" s="99">
        <f t="shared" si="29"/>
        <v>7321278.2899999581</v>
      </c>
      <c r="F198" s="102">
        <f t="shared" si="26"/>
        <v>7609517.6899999594</v>
      </c>
      <c r="G198" s="101">
        <f t="shared" si="30"/>
        <v>4681626.2799999211</v>
      </c>
      <c r="H198" s="102">
        <f t="shared" si="30"/>
        <v>2819918.5800000392</v>
      </c>
    </row>
    <row r="199" spans="1:8" hidden="1" outlineLevel="1" x14ac:dyDescent="0.25">
      <c r="A199" s="98">
        <v>40847</v>
      </c>
      <c r="B199" s="99">
        <f t="shared" si="19"/>
        <v>4474736.169999918</v>
      </c>
      <c r="C199" s="99">
        <f t="shared" si="20"/>
        <v>2695301.0100000408</v>
      </c>
      <c r="D199" s="99">
        <f t="shared" si="21"/>
        <v>103201.20999999935</v>
      </c>
      <c r="E199" s="99">
        <f t="shared" si="29"/>
        <v>7273238.3899999578</v>
      </c>
      <c r="F199" s="102">
        <f t="shared" si="26"/>
        <v>7561477.7899999609</v>
      </c>
      <c r="G199" s="101">
        <f t="shared" si="30"/>
        <v>4652070.5499999207</v>
      </c>
      <c r="H199" s="102">
        <f t="shared" si="30"/>
        <v>2802116.0700000394</v>
      </c>
    </row>
    <row r="200" spans="1:8" hidden="1" outlineLevel="1" x14ac:dyDescent="0.25">
      <c r="A200" s="98">
        <v>40877</v>
      </c>
      <c r="B200" s="99">
        <f t="shared" si="19"/>
        <v>4445180.4399999175</v>
      </c>
      <c r="C200" s="99">
        <f t="shared" si="20"/>
        <v>2677498.500000041</v>
      </c>
      <c r="D200" s="99">
        <f t="shared" si="21"/>
        <v>102519.54999999935</v>
      </c>
      <c r="E200" s="99">
        <f t="shared" si="29"/>
        <v>7225198.4899999574</v>
      </c>
      <c r="F200" s="102">
        <f t="shared" si="26"/>
        <v>7513437.8899999596</v>
      </c>
      <c r="G200" s="101">
        <f t="shared" si="30"/>
        <v>4622514.8199999202</v>
      </c>
      <c r="H200" s="102">
        <f t="shared" si="30"/>
        <v>2784313.5600000401</v>
      </c>
    </row>
    <row r="201" spans="1:8" hidden="1" outlineLevel="1" x14ac:dyDescent="0.25">
      <c r="A201" s="98">
        <v>40908</v>
      </c>
      <c r="B201" s="99">
        <f t="shared" si="19"/>
        <v>4415624.7099999171</v>
      </c>
      <c r="C201" s="99">
        <f t="shared" si="20"/>
        <v>2659695.9900000412</v>
      </c>
      <c r="D201" s="99">
        <f t="shared" si="21"/>
        <v>101837.88999999934</v>
      </c>
      <c r="E201" s="99">
        <f t="shared" si="29"/>
        <v>7177158.5899999579</v>
      </c>
      <c r="F201" s="102">
        <f t="shared" si="26"/>
        <v>7465397.9899999583</v>
      </c>
      <c r="G201" s="101">
        <f t="shared" si="30"/>
        <v>4592959.0899999198</v>
      </c>
      <c r="H201" s="102">
        <f t="shared" si="30"/>
        <v>2766511.0500000399</v>
      </c>
    </row>
    <row r="202" spans="1:8" hidden="1" outlineLevel="1" x14ac:dyDescent="0.25">
      <c r="A202" s="98">
        <v>40939</v>
      </c>
      <c r="B202" s="99">
        <f t="shared" si="19"/>
        <v>4386068.9799999166</v>
      </c>
      <c r="C202" s="99">
        <f t="shared" si="20"/>
        <v>2641893.4800000414</v>
      </c>
      <c r="D202" s="99">
        <f t="shared" si="21"/>
        <v>101156.22999999934</v>
      </c>
      <c r="E202" s="99">
        <f t="shared" si="29"/>
        <v>7129118.6899999576</v>
      </c>
      <c r="F202" s="102">
        <f t="shared" si="26"/>
        <v>7417358.0899999589</v>
      </c>
      <c r="G202" s="101">
        <f t="shared" si="30"/>
        <v>4563403.3599999193</v>
      </c>
      <c r="H202" s="102">
        <f t="shared" si="30"/>
        <v>2748708.5400000405</v>
      </c>
    </row>
    <row r="203" spans="1:8" hidden="1" outlineLevel="1" x14ac:dyDescent="0.25">
      <c r="A203" s="98">
        <v>40967</v>
      </c>
      <c r="B203" s="99">
        <f t="shared" si="19"/>
        <v>4356513.2499999162</v>
      </c>
      <c r="C203" s="99">
        <f t="shared" si="20"/>
        <v>2624090.9700000416</v>
      </c>
      <c r="D203" s="99">
        <f t="shared" si="21"/>
        <v>100474.56999999934</v>
      </c>
      <c r="E203" s="99">
        <f t="shared" si="29"/>
        <v>7081078.7899999572</v>
      </c>
      <c r="F203" s="102">
        <f t="shared" si="26"/>
        <v>7369318.1899999566</v>
      </c>
      <c r="G203" s="101">
        <f t="shared" si="30"/>
        <v>4533847.6299999189</v>
      </c>
      <c r="H203" s="102">
        <f t="shared" si="30"/>
        <v>2730906.0300000403</v>
      </c>
    </row>
    <row r="204" spans="1:8" hidden="1" outlineLevel="1" x14ac:dyDescent="0.25">
      <c r="A204" s="98">
        <v>40999</v>
      </c>
      <c r="B204" s="99">
        <f t="shared" si="19"/>
        <v>4326957.5199999157</v>
      </c>
      <c r="C204" s="99">
        <f t="shared" si="20"/>
        <v>2606288.4600000419</v>
      </c>
      <c r="D204" s="99">
        <f t="shared" si="21"/>
        <v>99792.909999999334</v>
      </c>
      <c r="E204" s="99">
        <f t="shared" si="29"/>
        <v>7033038.8899999568</v>
      </c>
      <c r="F204" s="102">
        <f t="shared" si="26"/>
        <v>7321278.2899999591</v>
      </c>
      <c r="G204" s="101">
        <f t="shared" si="30"/>
        <v>4504291.8999999184</v>
      </c>
      <c r="H204" s="102">
        <f t="shared" si="30"/>
        <v>2713103.5200000405</v>
      </c>
    </row>
    <row r="205" spans="1:8" hidden="1" outlineLevel="1" x14ac:dyDescent="0.25">
      <c r="A205" s="98">
        <v>41029</v>
      </c>
      <c r="B205" s="99">
        <f t="shared" si="19"/>
        <v>4297401.7899999153</v>
      </c>
      <c r="C205" s="99">
        <f t="shared" si="20"/>
        <v>2588485.9500000421</v>
      </c>
      <c r="D205" s="99">
        <f t="shared" si="21"/>
        <v>99111.249999999331</v>
      </c>
      <c r="E205" s="99">
        <f t="shared" si="29"/>
        <v>6984998.9899999565</v>
      </c>
      <c r="F205" s="102">
        <f t="shared" si="26"/>
        <v>7273238.3899999587</v>
      </c>
      <c r="G205" s="101">
        <f t="shared" si="30"/>
        <v>4474736.169999918</v>
      </c>
      <c r="H205" s="102">
        <f t="shared" si="30"/>
        <v>2695301.0100000408</v>
      </c>
    </row>
    <row r="206" spans="1:8" hidden="1" outlineLevel="1" x14ac:dyDescent="0.25">
      <c r="A206" s="98">
        <v>41060</v>
      </c>
      <c r="B206" s="99">
        <f t="shared" si="19"/>
        <v>4267846.0599999148</v>
      </c>
      <c r="C206" s="99">
        <f t="shared" si="20"/>
        <v>2570683.4400000423</v>
      </c>
      <c r="D206" s="99">
        <f t="shared" si="21"/>
        <v>98429.589999999327</v>
      </c>
      <c r="E206" s="99">
        <f t="shared" si="29"/>
        <v>6936959.0899999561</v>
      </c>
      <c r="F206" s="102">
        <f t="shared" si="26"/>
        <v>7225198.4899999574</v>
      </c>
      <c r="G206" s="101">
        <f t="shared" ref="G206:H221" si="31">(B194+B206+SUM(B195:B205)*2)/24</f>
        <v>4445180.4399999175</v>
      </c>
      <c r="H206" s="102">
        <f t="shared" si="31"/>
        <v>2677498.5000000414</v>
      </c>
    </row>
    <row r="207" spans="1:8" hidden="1" outlineLevel="1" x14ac:dyDescent="0.25">
      <c r="A207" s="98">
        <v>41090</v>
      </c>
      <c r="B207" s="99">
        <f t="shared" si="19"/>
        <v>4238290.3299999144</v>
      </c>
      <c r="C207" s="99">
        <f t="shared" si="20"/>
        <v>2552880.9300000425</v>
      </c>
      <c r="D207" s="99">
        <f t="shared" si="21"/>
        <v>97747.929999999324</v>
      </c>
      <c r="E207" s="99">
        <f t="shared" si="29"/>
        <v>6888919.1899999566</v>
      </c>
      <c r="F207" s="102">
        <f t="shared" si="26"/>
        <v>7177158.5899999579</v>
      </c>
      <c r="G207" s="101">
        <f t="shared" si="31"/>
        <v>4415624.7099999171</v>
      </c>
      <c r="H207" s="101">
        <f t="shared" si="31"/>
        <v>2659695.9900000412</v>
      </c>
    </row>
    <row r="208" spans="1:8" hidden="1" outlineLevel="1" x14ac:dyDescent="0.25">
      <c r="A208" s="98">
        <v>41121</v>
      </c>
      <c r="B208" s="99">
        <f>B207-$B$13</f>
        <v>4208734.5999999139</v>
      </c>
      <c r="C208" s="99">
        <f>C207-$C$13</f>
        <v>2535078.4200000428</v>
      </c>
      <c r="D208" s="99">
        <f>D207-$D$13</f>
        <v>97066.26999999932</v>
      </c>
      <c r="E208" s="99">
        <f>SUM(B208:D208)</f>
        <v>6840879.2899999563</v>
      </c>
      <c r="F208" s="102">
        <f>(E196+E208+SUM(E197:E207)*2)/24</f>
        <v>7129118.6899999566</v>
      </c>
      <c r="G208" s="101">
        <f t="shared" si="31"/>
        <v>4386068.9799999166</v>
      </c>
      <c r="H208" s="101">
        <f t="shared" si="31"/>
        <v>2641893.4800000414</v>
      </c>
    </row>
    <row r="209" spans="1:8" hidden="1" outlineLevel="1" x14ac:dyDescent="0.25">
      <c r="A209" s="98">
        <v>41152</v>
      </c>
      <c r="B209" s="99">
        <f>B208-$B$13</f>
        <v>4179178.869999914</v>
      </c>
      <c r="C209" s="99">
        <f>C208-$C$13</f>
        <v>2517275.910000043</v>
      </c>
      <c r="D209" s="99">
        <f>D208-$D$13</f>
        <v>96384.609999999317</v>
      </c>
      <c r="E209" s="99">
        <f>SUM(B209:D209)</f>
        <v>6792839.3899999559</v>
      </c>
      <c r="F209" s="102">
        <f>(E197+E209+SUM(E198:E208)*2)/24</f>
        <v>7081078.7899999581</v>
      </c>
      <c r="G209" s="101">
        <f t="shared" si="31"/>
        <v>4356513.2499999162</v>
      </c>
      <c r="H209" s="101">
        <f t="shared" si="31"/>
        <v>2624090.9700000416</v>
      </c>
    </row>
    <row r="210" spans="1:8" hidden="1" outlineLevel="1" x14ac:dyDescent="0.25">
      <c r="A210" s="98">
        <v>41182</v>
      </c>
      <c r="B210" s="99">
        <f>B209-$B$13</f>
        <v>4149623.139999914</v>
      </c>
      <c r="C210" s="99">
        <f>C209-$C$13</f>
        <v>2499473.4000000432</v>
      </c>
      <c r="D210" s="99">
        <f>D209-$D$13</f>
        <v>95702.949999999313</v>
      </c>
      <c r="E210" s="99">
        <f>SUM(B210:D210)</f>
        <v>6744799.4899999565</v>
      </c>
      <c r="F210" s="102">
        <f>(E198+E210+SUM(E199:E209)*2)/24</f>
        <v>7033038.8899999568</v>
      </c>
      <c r="G210" s="101">
        <f t="shared" si="31"/>
        <v>4326957.5199999157</v>
      </c>
      <c r="H210" s="101">
        <f t="shared" si="31"/>
        <v>2606288.4600000423</v>
      </c>
    </row>
    <row r="211" spans="1:8" hidden="1" outlineLevel="1" x14ac:dyDescent="0.25">
      <c r="A211" s="98">
        <v>41213</v>
      </c>
      <c r="B211" s="99">
        <f t="shared" ref="B211:B242" si="32">B210-$B$13</f>
        <v>4120067.409999914</v>
      </c>
      <c r="C211" s="99">
        <f t="shared" ref="C211:C258" si="33">C210-$C$13</f>
        <v>2481670.8900000434</v>
      </c>
      <c r="D211" s="99">
        <f t="shared" ref="D211:D258" si="34">D210-$D$13</f>
        <v>95021.28999999931</v>
      </c>
      <c r="E211" s="99">
        <f t="shared" ref="E211:E225" si="35">SUM(B211:D211)</f>
        <v>6696759.589999957</v>
      </c>
      <c r="F211" s="102">
        <f t="shared" ref="F211:F255" si="36">(E199+E211+SUM(E200:E210)*2)/24</f>
        <v>6984998.9899999546</v>
      </c>
      <c r="G211" s="101">
        <f t="shared" si="31"/>
        <v>4297401.7899999153</v>
      </c>
      <c r="H211" s="101">
        <f t="shared" si="31"/>
        <v>2588485.9500000421</v>
      </c>
    </row>
    <row r="212" spans="1:8" hidden="1" outlineLevel="1" x14ac:dyDescent="0.25">
      <c r="A212" s="98">
        <v>41243</v>
      </c>
      <c r="B212" s="99">
        <f t="shared" si="32"/>
        <v>4090511.679999914</v>
      </c>
      <c r="C212" s="99">
        <f t="shared" si="33"/>
        <v>2463868.3800000437</v>
      </c>
      <c r="D212" s="99">
        <f t="shared" si="34"/>
        <v>94339.629999999306</v>
      </c>
      <c r="E212" s="99">
        <f t="shared" si="35"/>
        <v>6648719.6899999566</v>
      </c>
      <c r="F212" s="102">
        <f t="shared" si="36"/>
        <v>6936959.0899999579</v>
      </c>
      <c r="G212" s="101">
        <f t="shared" si="31"/>
        <v>4267846.0599999148</v>
      </c>
      <c r="H212" s="101">
        <f t="shared" si="31"/>
        <v>2570683.4400000423</v>
      </c>
    </row>
    <row r="213" spans="1:8" hidden="1" outlineLevel="1" x14ac:dyDescent="0.25">
      <c r="A213" s="98">
        <v>41274</v>
      </c>
      <c r="B213" s="99">
        <f t="shared" si="32"/>
        <v>4060955.949999914</v>
      </c>
      <c r="C213" s="99">
        <f t="shared" si="33"/>
        <v>2446065.8700000439</v>
      </c>
      <c r="D213" s="99">
        <f t="shared" si="34"/>
        <v>93657.969999999303</v>
      </c>
      <c r="E213" s="99">
        <f t="shared" si="35"/>
        <v>6600679.7899999572</v>
      </c>
      <c r="F213" s="102">
        <f t="shared" si="36"/>
        <v>6888919.1899999566</v>
      </c>
      <c r="G213" s="101">
        <f t="shared" si="31"/>
        <v>4238290.3299999144</v>
      </c>
      <c r="H213" s="101">
        <f t="shared" si="31"/>
        <v>2552880.9300000425</v>
      </c>
    </row>
    <row r="214" spans="1:8" hidden="1" outlineLevel="1" x14ac:dyDescent="0.25">
      <c r="A214" s="98">
        <v>41305</v>
      </c>
      <c r="B214" s="99">
        <f t="shared" si="32"/>
        <v>4031400.2199999141</v>
      </c>
      <c r="C214" s="99">
        <f t="shared" si="33"/>
        <v>2428263.3600000441</v>
      </c>
      <c r="D214" s="99">
        <f t="shared" si="34"/>
        <v>92976.309999999299</v>
      </c>
      <c r="E214" s="99">
        <f t="shared" si="35"/>
        <v>6552639.8899999578</v>
      </c>
      <c r="F214" s="102">
        <f t="shared" si="36"/>
        <v>6840879.2899999572</v>
      </c>
      <c r="G214" s="101">
        <f t="shared" si="31"/>
        <v>4208734.5999999149</v>
      </c>
      <c r="H214" s="101">
        <f t="shared" si="31"/>
        <v>2535078.4200000432</v>
      </c>
    </row>
    <row r="215" spans="1:8" hidden="1" outlineLevel="1" x14ac:dyDescent="0.25">
      <c r="A215" s="98">
        <v>41333</v>
      </c>
      <c r="B215" s="99">
        <f t="shared" si="32"/>
        <v>4001844.4899999141</v>
      </c>
      <c r="C215" s="99">
        <f t="shared" si="33"/>
        <v>2410460.8500000443</v>
      </c>
      <c r="D215" s="99">
        <f t="shared" si="34"/>
        <v>92294.649999999296</v>
      </c>
      <c r="E215" s="99">
        <f t="shared" si="35"/>
        <v>6504599.9899999583</v>
      </c>
      <c r="F215" s="102">
        <f t="shared" si="36"/>
        <v>6792839.3899999568</v>
      </c>
      <c r="G215" s="101">
        <f t="shared" si="31"/>
        <v>4179178.8699999149</v>
      </c>
      <c r="H215" s="101">
        <f t="shared" si="31"/>
        <v>2517275.910000043</v>
      </c>
    </row>
    <row r="216" spans="1:8" hidden="1" outlineLevel="1" x14ac:dyDescent="0.25">
      <c r="A216" s="98">
        <v>41364</v>
      </c>
      <c r="B216" s="99">
        <f t="shared" si="32"/>
        <v>3972288.7599999141</v>
      </c>
      <c r="C216" s="99">
        <f t="shared" si="33"/>
        <v>2392658.3400000446</v>
      </c>
      <c r="D216" s="99">
        <f t="shared" si="34"/>
        <v>91612.989999999292</v>
      </c>
      <c r="E216" s="99">
        <f t="shared" si="35"/>
        <v>6456560.0899999579</v>
      </c>
      <c r="F216" s="102">
        <f t="shared" si="36"/>
        <v>6744799.4899999574</v>
      </c>
      <c r="G216" s="101">
        <f t="shared" si="31"/>
        <v>4149623.1399999149</v>
      </c>
      <c r="H216" s="101">
        <f t="shared" si="31"/>
        <v>2499473.4000000432</v>
      </c>
    </row>
    <row r="217" spans="1:8" hidden="1" outlineLevel="1" x14ac:dyDescent="0.25">
      <c r="A217" s="98">
        <v>41394</v>
      </c>
      <c r="B217" s="99">
        <f t="shared" si="32"/>
        <v>3942733.0299999141</v>
      </c>
      <c r="C217" s="99">
        <f t="shared" si="33"/>
        <v>2374855.8300000448</v>
      </c>
      <c r="D217" s="99">
        <f t="shared" si="34"/>
        <v>90931.329999999289</v>
      </c>
      <c r="E217" s="99">
        <f t="shared" si="35"/>
        <v>6408520.1899999576</v>
      </c>
      <c r="F217" s="102">
        <f t="shared" si="36"/>
        <v>6696759.5899999561</v>
      </c>
      <c r="G217" s="101">
        <f t="shared" si="31"/>
        <v>4120067.4099999145</v>
      </c>
      <c r="H217" s="101">
        <f t="shared" si="31"/>
        <v>2481670.8900000434</v>
      </c>
    </row>
    <row r="218" spans="1:8" hidden="1" outlineLevel="1" x14ac:dyDescent="0.25">
      <c r="A218" s="98">
        <v>41425</v>
      </c>
      <c r="B218" s="99">
        <f t="shared" si="32"/>
        <v>3913177.2999999141</v>
      </c>
      <c r="C218" s="99">
        <f t="shared" si="33"/>
        <v>2357053.320000045</v>
      </c>
      <c r="D218" s="99">
        <f t="shared" si="34"/>
        <v>90249.669999999285</v>
      </c>
      <c r="E218" s="99">
        <f t="shared" si="35"/>
        <v>6360480.2899999581</v>
      </c>
      <c r="F218" s="102">
        <f t="shared" si="36"/>
        <v>6648719.6899999566</v>
      </c>
      <c r="G218" s="101">
        <f t="shared" si="31"/>
        <v>4090511.679999914</v>
      </c>
      <c r="H218" s="101">
        <f t="shared" si="31"/>
        <v>2463868.3800000441</v>
      </c>
    </row>
    <row r="219" spans="1:8" hidden="1" outlineLevel="1" x14ac:dyDescent="0.25">
      <c r="A219" s="98">
        <v>41455</v>
      </c>
      <c r="B219" s="99">
        <f t="shared" si="32"/>
        <v>3883621.5699999142</v>
      </c>
      <c r="C219" s="99">
        <f t="shared" si="33"/>
        <v>2339250.8100000452</v>
      </c>
      <c r="D219" s="99">
        <f t="shared" si="34"/>
        <v>89568.009999999282</v>
      </c>
      <c r="E219" s="99">
        <f t="shared" si="35"/>
        <v>6312440.3899999587</v>
      </c>
      <c r="F219" s="102">
        <f t="shared" si="36"/>
        <v>6600679.7899999572</v>
      </c>
      <c r="G219" s="101">
        <f t="shared" si="31"/>
        <v>4060955.9499999136</v>
      </c>
      <c r="H219" s="101">
        <f t="shared" si="31"/>
        <v>2446065.8700000439</v>
      </c>
    </row>
    <row r="220" spans="1:8" hidden="1" outlineLevel="1" x14ac:dyDescent="0.25">
      <c r="A220" s="98">
        <v>41486</v>
      </c>
      <c r="B220" s="99">
        <f t="shared" si="32"/>
        <v>3854065.8399999142</v>
      </c>
      <c r="C220" s="99">
        <f t="shared" si="33"/>
        <v>2321448.3000000454</v>
      </c>
      <c r="D220" s="99">
        <f t="shared" si="34"/>
        <v>88886.349999999278</v>
      </c>
      <c r="E220" s="99">
        <f t="shared" si="35"/>
        <v>6264400.4899999592</v>
      </c>
      <c r="F220" s="102">
        <f t="shared" si="36"/>
        <v>6552639.8899999568</v>
      </c>
      <c r="G220" s="101">
        <f t="shared" si="31"/>
        <v>4031400.2199999136</v>
      </c>
      <c r="H220" s="101">
        <f t="shared" si="31"/>
        <v>2428263.3600000441</v>
      </c>
    </row>
    <row r="221" spans="1:8" hidden="1" outlineLevel="1" x14ac:dyDescent="0.25">
      <c r="A221" s="98">
        <v>41517</v>
      </c>
      <c r="B221" s="99">
        <f t="shared" si="32"/>
        <v>3824510.1099999142</v>
      </c>
      <c r="C221" s="99">
        <f t="shared" si="33"/>
        <v>2303645.7900000457</v>
      </c>
      <c r="D221" s="99">
        <f t="shared" si="34"/>
        <v>88204.689999999275</v>
      </c>
      <c r="E221" s="99">
        <f t="shared" si="35"/>
        <v>6216360.5899999589</v>
      </c>
      <c r="F221" s="102">
        <f t="shared" si="36"/>
        <v>6504599.9899999574</v>
      </c>
      <c r="G221" s="101">
        <f t="shared" si="31"/>
        <v>4001844.4899999131</v>
      </c>
      <c r="H221" s="101">
        <f t="shared" si="31"/>
        <v>2410460.8500000443</v>
      </c>
    </row>
    <row r="222" spans="1:8" hidden="1" outlineLevel="1" x14ac:dyDescent="0.25">
      <c r="A222" s="98">
        <v>41547</v>
      </c>
      <c r="B222" s="99">
        <f t="shared" si="32"/>
        <v>3794954.3799999142</v>
      </c>
      <c r="C222" s="99">
        <f t="shared" si="33"/>
        <v>2285843.2800000459</v>
      </c>
      <c r="D222" s="99">
        <f t="shared" si="34"/>
        <v>87523.029999999271</v>
      </c>
      <c r="E222" s="99">
        <f t="shared" si="35"/>
        <v>6168320.6899999594</v>
      </c>
      <c r="F222" s="102">
        <f t="shared" si="36"/>
        <v>6456560.0899999579</v>
      </c>
      <c r="G222" s="101">
        <f t="shared" ref="G222:H237" si="37">(B210+B222+SUM(B211:B221)*2)/24</f>
        <v>3972288.7599999146</v>
      </c>
      <c r="H222" s="101">
        <f t="shared" si="37"/>
        <v>2392658.340000045</v>
      </c>
    </row>
    <row r="223" spans="1:8" hidden="1" outlineLevel="1" x14ac:dyDescent="0.25">
      <c r="A223" s="98">
        <v>41578</v>
      </c>
      <c r="B223" s="99">
        <f t="shared" si="32"/>
        <v>3765398.6499999142</v>
      </c>
      <c r="C223" s="99">
        <f t="shared" si="33"/>
        <v>2268040.7700000461</v>
      </c>
      <c r="D223" s="99">
        <f t="shared" si="34"/>
        <v>86841.369999999268</v>
      </c>
      <c r="E223" s="99">
        <f t="shared" si="35"/>
        <v>6120280.78999996</v>
      </c>
      <c r="F223" s="102">
        <f t="shared" si="36"/>
        <v>6408520.1899999576</v>
      </c>
      <c r="G223" s="101">
        <f t="shared" si="37"/>
        <v>3942733.0299999141</v>
      </c>
      <c r="H223" s="101">
        <f t="shared" si="37"/>
        <v>2374855.8300000448</v>
      </c>
    </row>
    <row r="224" spans="1:8" hidden="1" outlineLevel="1" x14ac:dyDescent="0.25">
      <c r="A224" s="98">
        <v>41608</v>
      </c>
      <c r="B224" s="99">
        <f t="shared" si="32"/>
        <v>3735842.9199999142</v>
      </c>
      <c r="C224" s="99">
        <f t="shared" si="33"/>
        <v>2250238.2600000463</v>
      </c>
      <c r="D224" s="99">
        <f t="shared" si="34"/>
        <v>86159.709999999264</v>
      </c>
      <c r="E224" s="99">
        <f t="shared" si="35"/>
        <v>6072240.8899999596</v>
      </c>
      <c r="F224" s="102">
        <f t="shared" si="36"/>
        <v>6360480.2899999581</v>
      </c>
      <c r="G224" s="101">
        <f t="shared" si="37"/>
        <v>3913177.2999999146</v>
      </c>
      <c r="H224" s="101">
        <f t="shared" si="37"/>
        <v>2357053.320000045</v>
      </c>
    </row>
    <row r="225" spans="1:8" hidden="1" outlineLevel="1" x14ac:dyDescent="0.25">
      <c r="A225" s="98">
        <v>41639</v>
      </c>
      <c r="B225" s="99">
        <f t="shared" si="32"/>
        <v>3706287.1899999143</v>
      </c>
      <c r="C225" s="99">
        <f t="shared" si="33"/>
        <v>2232435.7500000466</v>
      </c>
      <c r="D225" s="99">
        <f t="shared" si="34"/>
        <v>85478.049999999261</v>
      </c>
      <c r="E225" s="99">
        <f t="shared" si="35"/>
        <v>6024200.9899999592</v>
      </c>
      <c r="F225" s="102">
        <f t="shared" si="36"/>
        <v>6312440.3899999587</v>
      </c>
      <c r="G225" s="101">
        <f t="shared" si="37"/>
        <v>3883621.5699999142</v>
      </c>
      <c r="H225" s="101">
        <f t="shared" si="37"/>
        <v>2339250.8100000452</v>
      </c>
    </row>
    <row r="226" spans="1:8" hidden="1" outlineLevel="1" x14ac:dyDescent="0.25">
      <c r="A226" s="98">
        <v>41670</v>
      </c>
      <c r="B226" s="99">
        <f t="shared" si="32"/>
        <v>3676731.4599999143</v>
      </c>
      <c r="C226" s="99">
        <f t="shared" si="33"/>
        <v>2214633.2400000468</v>
      </c>
      <c r="D226" s="99">
        <f t="shared" si="34"/>
        <v>84796.389999999257</v>
      </c>
      <c r="E226" s="99">
        <f t="shared" ref="E226:E255" si="38">SUM(B226:D226)</f>
        <v>5976161.0899999607</v>
      </c>
      <c r="F226" s="102">
        <f t="shared" si="36"/>
        <v>6264400.4899999602</v>
      </c>
      <c r="G226" s="101">
        <f t="shared" si="37"/>
        <v>3854065.8399999142</v>
      </c>
      <c r="H226" s="101">
        <f t="shared" si="37"/>
        <v>2321448.3000000459</v>
      </c>
    </row>
    <row r="227" spans="1:8" hidden="1" outlineLevel="1" x14ac:dyDescent="0.25">
      <c r="A227" s="98">
        <v>41698</v>
      </c>
      <c r="B227" s="99">
        <f t="shared" si="32"/>
        <v>3647175.7299999143</v>
      </c>
      <c r="C227" s="99">
        <f t="shared" si="33"/>
        <v>2196830.730000047</v>
      </c>
      <c r="D227" s="99">
        <f t="shared" si="34"/>
        <v>84114.729999999254</v>
      </c>
      <c r="E227" s="99">
        <f t="shared" si="38"/>
        <v>5928121.1899999613</v>
      </c>
      <c r="F227" s="102">
        <f t="shared" si="36"/>
        <v>6216360.5899999598</v>
      </c>
      <c r="G227" s="101">
        <f t="shared" si="37"/>
        <v>3824510.1099999142</v>
      </c>
      <c r="H227" s="101">
        <f t="shared" si="37"/>
        <v>2303645.7900000457</v>
      </c>
    </row>
    <row r="228" spans="1:8" hidden="1" outlineLevel="1" x14ac:dyDescent="0.25">
      <c r="A228" s="98">
        <v>41729</v>
      </c>
      <c r="B228" s="99">
        <f t="shared" si="32"/>
        <v>3617619.9999999143</v>
      </c>
      <c r="C228" s="99">
        <f t="shared" si="33"/>
        <v>2179028.2200000472</v>
      </c>
      <c r="D228" s="99">
        <f t="shared" si="34"/>
        <v>83433.06999999925</v>
      </c>
      <c r="E228" s="99">
        <f t="shared" si="38"/>
        <v>5880081.2899999609</v>
      </c>
      <c r="F228" s="102">
        <f t="shared" si="36"/>
        <v>6168320.6899999594</v>
      </c>
      <c r="G228" s="101">
        <f t="shared" si="37"/>
        <v>3794954.3799999137</v>
      </c>
      <c r="H228" s="101">
        <f t="shared" si="37"/>
        <v>2285843.2800000459</v>
      </c>
    </row>
    <row r="229" spans="1:8" hidden="1" outlineLevel="1" x14ac:dyDescent="0.25">
      <c r="A229" s="98">
        <v>41759</v>
      </c>
      <c r="B229" s="99">
        <f t="shared" si="32"/>
        <v>3588064.2699999143</v>
      </c>
      <c r="C229" s="99">
        <f t="shared" si="33"/>
        <v>2161225.7100000475</v>
      </c>
      <c r="D229" s="99">
        <f t="shared" si="34"/>
        <v>82751.409999999247</v>
      </c>
      <c r="E229" s="99">
        <f t="shared" si="38"/>
        <v>5832041.3899999605</v>
      </c>
      <c r="F229" s="102">
        <f t="shared" si="36"/>
        <v>6120280.7899999591</v>
      </c>
      <c r="G229" s="101">
        <f t="shared" si="37"/>
        <v>3765398.6499999142</v>
      </c>
      <c r="H229" s="101">
        <f t="shared" si="37"/>
        <v>2268040.7700000461</v>
      </c>
    </row>
    <row r="230" spans="1:8" hidden="1" outlineLevel="1" x14ac:dyDescent="0.25">
      <c r="A230" s="98">
        <v>41790</v>
      </c>
      <c r="B230" s="99">
        <f t="shared" si="32"/>
        <v>3558508.5399999144</v>
      </c>
      <c r="C230" s="99">
        <f t="shared" si="33"/>
        <v>2143423.2000000477</v>
      </c>
      <c r="D230" s="99">
        <f t="shared" si="34"/>
        <v>82069.749999999243</v>
      </c>
      <c r="E230" s="99">
        <f t="shared" si="38"/>
        <v>5784001.4899999611</v>
      </c>
      <c r="F230" s="102">
        <f t="shared" si="36"/>
        <v>6072240.8899999596</v>
      </c>
      <c r="G230" s="101">
        <f t="shared" si="37"/>
        <v>3735842.9199999142</v>
      </c>
      <c r="H230" s="101">
        <f t="shared" si="37"/>
        <v>2250238.2600000468</v>
      </c>
    </row>
    <row r="231" spans="1:8" hidden="1" outlineLevel="1" x14ac:dyDescent="0.25">
      <c r="A231" s="98">
        <v>41820</v>
      </c>
      <c r="B231" s="99">
        <f t="shared" si="32"/>
        <v>3528952.8099999144</v>
      </c>
      <c r="C231" s="99">
        <f t="shared" si="33"/>
        <v>2125620.6900000479</v>
      </c>
      <c r="D231" s="99">
        <f t="shared" si="34"/>
        <v>81388.08999999924</v>
      </c>
      <c r="E231" s="99">
        <f t="shared" si="38"/>
        <v>5735961.5899999617</v>
      </c>
      <c r="F231" s="102">
        <f t="shared" si="36"/>
        <v>6024200.9899999611</v>
      </c>
      <c r="G231" s="101">
        <f t="shared" si="37"/>
        <v>3706287.1899999143</v>
      </c>
      <c r="H231" s="101">
        <f t="shared" si="37"/>
        <v>2232435.7500000466</v>
      </c>
    </row>
    <row r="232" spans="1:8" hidden="1" outlineLevel="1" x14ac:dyDescent="0.25">
      <c r="A232" s="98">
        <v>41851</v>
      </c>
      <c r="B232" s="99">
        <f t="shared" si="32"/>
        <v>3499397.0799999144</v>
      </c>
      <c r="C232" s="99">
        <f t="shared" si="33"/>
        <v>2107818.1800000481</v>
      </c>
      <c r="D232" s="99">
        <f t="shared" si="34"/>
        <v>80706.429999999236</v>
      </c>
      <c r="E232" s="99">
        <f t="shared" si="38"/>
        <v>5687921.6899999622</v>
      </c>
      <c r="F232" s="102">
        <f t="shared" si="36"/>
        <v>5976161.0899999598</v>
      </c>
      <c r="G232" s="101">
        <f t="shared" si="37"/>
        <v>3676731.4599999138</v>
      </c>
      <c r="H232" s="101">
        <f t="shared" si="37"/>
        <v>2214633.2400000468</v>
      </c>
    </row>
    <row r="233" spans="1:8" hidden="1" outlineLevel="1" x14ac:dyDescent="0.25">
      <c r="A233" s="98">
        <v>41882</v>
      </c>
      <c r="B233" s="99">
        <f t="shared" si="32"/>
        <v>3469841.3499999144</v>
      </c>
      <c r="C233" s="99">
        <f t="shared" si="33"/>
        <v>2090015.6700000481</v>
      </c>
      <c r="D233" s="99">
        <f t="shared" si="34"/>
        <v>80024.769999999233</v>
      </c>
      <c r="E233" s="99">
        <f t="shared" si="38"/>
        <v>5639881.7899999619</v>
      </c>
      <c r="F233" s="102">
        <f t="shared" si="36"/>
        <v>5928121.1899999604</v>
      </c>
      <c r="G233" s="101">
        <f t="shared" si="37"/>
        <v>3647175.7299999143</v>
      </c>
      <c r="H233" s="101">
        <f t="shared" si="37"/>
        <v>2196830.730000047</v>
      </c>
    </row>
    <row r="234" spans="1:8" hidden="1" outlineLevel="1" x14ac:dyDescent="0.25">
      <c r="A234" s="98">
        <v>41912</v>
      </c>
      <c r="B234" s="99">
        <f t="shared" si="32"/>
        <v>3440285.6199999144</v>
      </c>
      <c r="C234" s="99">
        <f t="shared" si="33"/>
        <v>2072213.1600000481</v>
      </c>
      <c r="D234" s="99">
        <f t="shared" si="34"/>
        <v>79343.109999999229</v>
      </c>
      <c r="E234" s="99">
        <f t="shared" si="38"/>
        <v>5591841.8899999615</v>
      </c>
      <c r="F234" s="102">
        <f t="shared" si="36"/>
        <v>5880081.2899999609</v>
      </c>
      <c r="G234" s="101">
        <f t="shared" si="37"/>
        <v>3617619.9999999143</v>
      </c>
      <c r="H234" s="101">
        <f t="shared" si="37"/>
        <v>2179028.2200000472</v>
      </c>
    </row>
    <row r="235" spans="1:8" hidden="1" outlineLevel="1" x14ac:dyDescent="0.25">
      <c r="A235" s="98">
        <v>41943</v>
      </c>
      <c r="B235" s="99">
        <f t="shared" si="32"/>
        <v>3410729.8899999144</v>
      </c>
      <c r="C235" s="99">
        <f t="shared" si="33"/>
        <v>2054410.6500000481</v>
      </c>
      <c r="D235" s="99">
        <f t="shared" si="34"/>
        <v>78661.449999999226</v>
      </c>
      <c r="E235" s="99">
        <f t="shared" si="38"/>
        <v>5543801.989999962</v>
      </c>
      <c r="F235" s="102">
        <f t="shared" si="36"/>
        <v>5832041.3899999605</v>
      </c>
      <c r="G235" s="101">
        <f t="shared" si="37"/>
        <v>3588064.2699999139</v>
      </c>
      <c r="H235" s="101">
        <f t="shared" si="37"/>
        <v>2161225.710000047</v>
      </c>
    </row>
    <row r="236" spans="1:8" hidden="1" outlineLevel="1" x14ac:dyDescent="0.25">
      <c r="A236" s="98">
        <v>41973</v>
      </c>
      <c r="B236" s="99">
        <f t="shared" si="32"/>
        <v>3381174.1599999145</v>
      </c>
      <c r="C236" s="99">
        <f t="shared" si="33"/>
        <v>2036608.1400000481</v>
      </c>
      <c r="D236" s="99">
        <f t="shared" si="34"/>
        <v>77979.789999999222</v>
      </c>
      <c r="E236" s="99">
        <f t="shared" si="38"/>
        <v>5495762.0899999617</v>
      </c>
      <c r="F236" s="102">
        <f t="shared" si="36"/>
        <v>5784001.4899999611</v>
      </c>
      <c r="G236" s="101">
        <f t="shared" si="37"/>
        <v>3558508.5399999139</v>
      </c>
      <c r="H236" s="101">
        <f t="shared" si="37"/>
        <v>2143423.2000000472</v>
      </c>
    </row>
    <row r="237" spans="1:8" hidden="1" outlineLevel="1" x14ac:dyDescent="0.25">
      <c r="A237" s="98">
        <v>42004</v>
      </c>
      <c r="B237" s="99">
        <f t="shared" si="32"/>
        <v>3351618.4299999145</v>
      </c>
      <c r="C237" s="99">
        <f t="shared" si="33"/>
        <v>2018805.6300000481</v>
      </c>
      <c r="D237" s="99">
        <f t="shared" si="34"/>
        <v>77298.129999999219</v>
      </c>
      <c r="E237" s="99">
        <f t="shared" si="38"/>
        <v>5447722.1899999613</v>
      </c>
      <c r="F237" s="102">
        <f t="shared" si="36"/>
        <v>5735961.5899999617</v>
      </c>
      <c r="G237" s="101">
        <f t="shared" si="37"/>
        <v>3528952.8099999144</v>
      </c>
      <c r="H237" s="101">
        <f t="shared" si="37"/>
        <v>2125620.6900000474</v>
      </c>
    </row>
    <row r="238" spans="1:8" collapsed="1" x14ac:dyDescent="0.25">
      <c r="A238" s="98">
        <v>42035</v>
      </c>
      <c r="B238" s="99">
        <f t="shared" si="32"/>
        <v>3322062.6999999145</v>
      </c>
      <c r="C238" s="99">
        <f t="shared" si="33"/>
        <v>2001003.1200000481</v>
      </c>
      <c r="D238" s="99">
        <f t="shared" si="34"/>
        <v>76616.469999999215</v>
      </c>
      <c r="E238" s="99">
        <f t="shared" si="38"/>
        <v>5399682.2899999619</v>
      </c>
      <c r="F238" s="102">
        <f t="shared" si="36"/>
        <v>5687921.6899999613</v>
      </c>
      <c r="G238" s="101">
        <f t="shared" ref="G238:H253" si="39">(B226+B238+SUM(B227:B237)*2)/24</f>
        <v>3499397.0799999149</v>
      </c>
      <c r="H238" s="101">
        <f t="shared" si="39"/>
        <v>2107818.1800000477</v>
      </c>
    </row>
    <row r="239" spans="1:8" x14ac:dyDescent="0.25">
      <c r="A239" s="98">
        <v>42063</v>
      </c>
      <c r="B239" s="99">
        <f t="shared" si="32"/>
        <v>3292506.9699999145</v>
      </c>
      <c r="C239" s="99">
        <f t="shared" si="33"/>
        <v>1983200.6100000481</v>
      </c>
      <c r="D239" s="99">
        <f t="shared" si="34"/>
        <v>75934.809999999212</v>
      </c>
      <c r="E239" s="99">
        <f t="shared" si="38"/>
        <v>5351642.3899999624</v>
      </c>
      <c r="F239" s="102">
        <f t="shared" si="36"/>
        <v>5639881.7899999619</v>
      </c>
      <c r="G239" s="101">
        <f t="shared" si="39"/>
        <v>3469841.3499999144</v>
      </c>
      <c r="H239" s="101">
        <f t="shared" si="39"/>
        <v>2090015.6700000481</v>
      </c>
    </row>
    <row r="240" spans="1:8" x14ac:dyDescent="0.25">
      <c r="A240" s="98">
        <v>42094</v>
      </c>
      <c r="B240" s="99">
        <f t="shared" si="32"/>
        <v>3262951.2399999145</v>
      </c>
      <c r="C240" s="99">
        <f t="shared" si="33"/>
        <v>1965398.1000000481</v>
      </c>
      <c r="D240" s="99">
        <f t="shared" si="34"/>
        <v>75253.149999999208</v>
      </c>
      <c r="E240" s="99">
        <f t="shared" si="38"/>
        <v>5303602.489999962</v>
      </c>
      <c r="F240" s="102">
        <f t="shared" si="36"/>
        <v>5591841.8899999624</v>
      </c>
      <c r="G240" s="101">
        <f t="shared" si="39"/>
        <v>3440285.6199999149</v>
      </c>
      <c r="H240" s="101">
        <f t="shared" si="39"/>
        <v>2072213.1600000483</v>
      </c>
    </row>
    <row r="241" spans="1:8" x14ac:dyDescent="0.25">
      <c r="A241" s="98">
        <v>42124</v>
      </c>
      <c r="B241" s="99">
        <f t="shared" si="32"/>
        <v>3233395.5099999146</v>
      </c>
      <c r="C241" s="99">
        <f t="shared" si="33"/>
        <v>1947595.590000048</v>
      </c>
      <c r="D241" s="99">
        <f t="shared" si="34"/>
        <v>74571.489999999205</v>
      </c>
      <c r="E241" s="99">
        <f t="shared" si="38"/>
        <v>5255562.5899999617</v>
      </c>
      <c r="F241" s="102">
        <f t="shared" si="36"/>
        <v>5543801.989999962</v>
      </c>
      <c r="G241" s="101">
        <f t="shared" si="39"/>
        <v>3410729.8899999135</v>
      </c>
      <c r="H241" s="101">
        <f t="shared" si="39"/>
        <v>2054410.6500000479</v>
      </c>
    </row>
    <row r="242" spans="1:8" x14ac:dyDescent="0.25">
      <c r="A242" s="98">
        <v>42155</v>
      </c>
      <c r="B242" s="99">
        <f t="shared" si="32"/>
        <v>3203839.7799999146</v>
      </c>
      <c r="C242" s="99">
        <f t="shared" si="33"/>
        <v>1929793.080000048</v>
      </c>
      <c r="D242" s="99">
        <f t="shared" si="34"/>
        <v>73889.829999999201</v>
      </c>
      <c r="E242" s="99">
        <f t="shared" si="38"/>
        <v>5207522.6899999613</v>
      </c>
      <c r="F242" s="102">
        <f t="shared" si="36"/>
        <v>5495762.0899999617</v>
      </c>
      <c r="G242" s="101">
        <f t="shared" si="39"/>
        <v>3381174.1599999145</v>
      </c>
      <c r="H242" s="101">
        <f t="shared" si="39"/>
        <v>2036608.1400000481</v>
      </c>
    </row>
    <row r="243" spans="1:8" x14ac:dyDescent="0.25">
      <c r="A243" s="98">
        <v>42185</v>
      </c>
      <c r="B243" s="99">
        <f>B242-$B$13</f>
        <v>3174284.0499999146</v>
      </c>
      <c r="C243" s="99">
        <f t="shared" si="33"/>
        <v>1911990.570000048</v>
      </c>
      <c r="D243" s="99">
        <f t="shared" si="34"/>
        <v>73208.169999999198</v>
      </c>
      <c r="E243" s="99">
        <f t="shared" si="38"/>
        <v>5159482.7899999619</v>
      </c>
      <c r="F243" s="102">
        <f t="shared" si="36"/>
        <v>5447722.1899999613</v>
      </c>
      <c r="G243" s="101">
        <f t="shared" si="39"/>
        <v>3351618.4299999145</v>
      </c>
      <c r="H243" s="101">
        <f t="shared" si="39"/>
        <v>2018805.6300000476</v>
      </c>
    </row>
    <row r="244" spans="1:8" x14ac:dyDescent="0.25">
      <c r="A244" s="98">
        <v>42216</v>
      </c>
      <c r="B244" s="99">
        <f t="shared" ref="B244:B258" si="40">B243-$B$13</f>
        <v>3144728.3199999146</v>
      </c>
      <c r="C244" s="99">
        <f t="shared" si="33"/>
        <v>1894188.060000048</v>
      </c>
      <c r="D244" s="99">
        <f t="shared" si="34"/>
        <v>72526.509999999194</v>
      </c>
      <c r="E244" s="99">
        <f t="shared" si="38"/>
        <v>5111442.8899999615</v>
      </c>
      <c r="F244" s="102">
        <f t="shared" si="36"/>
        <v>5399682.2899999619</v>
      </c>
      <c r="G244" s="101">
        <f t="shared" si="39"/>
        <v>3322062.699999914</v>
      </c>
      <c r="H244" s="101">
        <f t="shared" si="39"/>
        <v>2001003.1200000478</v>
      </c>
    </row>
    <row r="245" spans="1:8" x14ac:dyDescent="0.25">
      <c r="A245" s="98">
        <v>42247</v>
      </c>
      <c r="B245" s="99">
        <f t="shared" si="40"/>
        <v>3115172.5899999146</v>
      </c>
      <c r="C245" s="99">
        <f t="shared" si="33"/>
        <v>1876385.550000048</v>
      </c>
      <c r="D245" s="99">
        <f t="shared" si="34"/>
        <v>71844.849999999191</v>
      </c>
      <c r="E245" s="99">
        <f t="shared" si="38"/>
        <v>5063402.989999962</v>
      </c>
      <c r="F245" s="102">
        <f t="shared" si="36"/>
        <v>5351642.3899999624</v>
      </c>
      <c r="G245" s="101">
        <f t="shared" si="39"/>
        <v>3292506.969999915</v>
      </c>
      <c r="H245" s="101">
        <f t="shared" si="39"/>
        <v>1983200.6100000481</v>
      </c>
    </row>
    <row r="246" spans="1:8" x14ac:dyDescent="0.25">
      <c r="A246" s="98">
        <v>42277</v>
      </c>
      <c r="B246" s="99">
        <f t="shared" si="40"/>
        <v>3085616.8599999147</v>
      </c>
      <c r="C246" s="99">
        <f t="shared" si="33"/>
        <v>1858583.040000048</v>
      </c>
      <c r="D246" s="99">
        <f t="shared" si="34"/>
        <v>71163.189999999187</v>
      </c>
      <c r="E246" s="99">
        <f t="shared" si="38"/>
        <v>5015363.0899999626</v>
      </c>
      <c r="F246" s="102">
        <f t="shared" si="36"/>
        <v>5303602.489999962</v>
      </c>
      <c r="G246" s="101">
        <f t="shared" si="39"/>
        <v>3262951.2399999145</v>
      </c>
      <c r="H246" s="101">
        <f t="shared" si="39"/>
        <v>1965398.1000000481</v>
      </c>
    </row>
    <row r="247" spans="1:8" x14ac:dyDescent="0.25">
      <c r="A247" s="98">
        <v>42308</v>
      </c>
      <c r="B247" s="99">
        <f t="shared" si="40"/>
        <v>3056061.1299999147</v>
      </c>
      <c r="C247" s="99">
        <f t="shared" si="33"/>
        <v>1840780.530000048</v>
      </c>
      <c r="D247" s="99">
        <f t="shared" si="34"/>
        <v>70481.529999999184</v>
      </c>
      <c r="E247" s="99">
        <f t="shared" si="38"/>
        <v>4967323.1899999622</v>
      </c>
      <c r="F247" s="102">
        <f t="shared" si="36"/>
        <v>5255562.5899999626</v>
      </c>
      <c r="G247" s="101">
        <f t="shared" si="39"/>
        <v>3233395.5099999146</v>
      </c>
      <c r="H247" s="101">
        <f t="shared" si="39"/>
        <v>1947595.5900000483</v>
      </c>
    </row>
    <row r="248" spans="1:8" x14ac:dyDescent="0.25">
      <c r="A248" s="98">
        <v>42338</v>
      </c>
      <c r="B248" s="99">
        <f t="shared" si="40"/>
        <v>3026505.3999999147</v>
      </c>
      <c r="C248" s="99">
        <f t="shared" si="33"/>
        <v>1822978.020000048</v>
      </c>
      <c r="D248" s="99">
        <f t="shared" si="34"/>
        <v>69799.86999999918</v>
      </c>
      <c r="E248" s="99">
        <f t="shared" si="38"/>
        <v>4919283.2899999619</v>
      </c>
      <c r="F248" s="102">
        <f t="shared" si="36"/>
        <v>5207522.6899999613</v>
      </c>
      <c r="G248" s="101">
        <f t="shared" si="39"/>
        <v>3203839.7799999141</v>
      </c>
      <c r="H248" s="101">
        <f t="shared" si="39"/>
        <v>1929793.0800000483</v>
      </c>
    </row>
    <row r="249" spans="1:8" x14ac:dyDescent="0.25">
      <c r="A249" s="98">
        <v>42369</v>
      </c>
      <c r="B249" s="99">
        <f t="shared" si="40"/>
        <v>2996949.6699999147</v>
      </c>
      <c r="C249" s="99">
        <f t="shared" si="33"/>
        <v>1805175.510000048</v>
      </c>
      <c r="D249" s="99">
        <f t="shared" si="34"/>
        <v>69118.209999999177</v>
      </c>
      <c r="E249" s="99">
        <f t="shared" si="38"/>
        <v>4871243.3899999615</v>
      </c>
      <c r="F249" s="102">
        <f t="shared" si="36"/>
        <v>5159482.7899999628</v>
      </c>
      <c r="G249" s="101">
        <f t="shared" si="39"/>
        <v>3174284.0499999146</v>
      </c>
      <c r="H249" s="101">
        <f t="shared" si="39"/>
        <v>1911990.5700000485</v>
      </c>
    </row>
    <row r="250" spans="1:8" x14ac:dyDescent="0.25">
      <c r="A250" s="98">
        <v>42400</v>
      </c>
      <c r="B250" s="99">
        <f t="shared" si="40"/>
        <v>2967393.9399999147</v>
      </c>
      <c r="C250" s="99">
        <f t="shared" si="33"/>
        <v>1787373.000000048</v>
      </c>
      <c r="D250" s="99">
        <f t="shared" si="34"/>
        <v>68436.549999999173</v>
      </c>
      <c r="E250" s="99">
        <f t="shared" si="38"/>
        <v>4823203.4899999611</v>
      </c>
      <c r="F250" s="102">
        <f t="shared" si="36"/>
        <v>5111442.8899999624</v>
      </c>
      <c r="G250" s="101">
        <f t="shared" si="39"/>
        <v>3144728.3199999146</v>
      </c>
      <c r="H250" s="101">
        <f t="shared" si="39"/>
        <v>1894188.0600000478</v>
      </c>
    </row>
    <row r="251" spans="1:8" x14ac:dyDescent="0.25">
      <c r="A251" s="98">
        <v>42428</v>
      </c>
      <c r="B251" s="99">
        <f t="shared" si="40"/>
        <v>2937838.2099999147</v>
      </c>
      <c r="C251" s="99">
        <f t="shared" si="33"/>
        <v>1769570.490000048</v>
      </c>
      <c r="D251" s="99">
        <f t="shared" si="34"/>
        <v>67754.88999999917</v>
      </c>
      <c r="E251" s="99">
        <f t="shared" si="38"/>
        <v>4775163.5899999617</v>
      </c>
      <c r="F251" s="102">
        <f t="shared" si="36"/>
        <v>5063402.989999962</v>
      </c>
      <c r="G251" s="101">
        <f t="shared" si="39"/>
        <v>3115172.5899999142</v>
      </c>
      <c r="H251" s="101">
        <f t="shared" si="39"/>
        <v>1876385.550000048</v>
      </c>
    </row>
    <row r="252" spans="1:8" x14ac:dyDescent="0.25">
      <c r="A252" s="98">
        <v>42460</v>
      </c>
      <c r="B252" s="99">
        <f t="shared" si="40"/>
        <v>2908282.4799999148</v>
      </c>
      <c r="C252" s="99">
        <f t="shared" si="33"/>
        <v>1751767.9800000479</v>
      </c>
      <c r="D252" s="99">
        <f t="shared" si="34"/>
        <v>67073.229999999166</v>
      </c>
      <c r="E252" s="99">
        <f t="shared" si="38"/>
        <v>4727123.6899999622</v>
      </c>
      <c r="F252" s="102">
        <f t="shared" si="36"/>
        <v>5015363.0899999617</v>
      </c>
      <c r="G252" s="101">
        <f t="shared" si="39"/>
        <v>3085616.8599999151</v>
      </c>
      <c r="H252" s="101">
        <f t="shared" si="39"/>
        <v>1858583.0400000478</v>
      </c>
    </row>
    <row r="253" spans="1:8" x14ac:dyDescent="0.25">
      <c r="A253" s="98">
        <v>42490</v>
      </c>
      <c r="B253" s="99">
        <f t="shared" si="40"/>
        <v>2878726.7499999148</v>
      </c>
      <c r="C253" s="99">
        <f t="shared" si="33"/>
        <v>1733965.4700000479</v>
      </c>
      <c r="D253" s="99">
        <f t="shared" si="34"/>
        <v>66391.569999999163</v>
      </c>
      <c r="E253" s="99">
        <f t="shared" si="38"/>
        <v>4679083.7899999619</v>
      </c>
      <c r="F253" s="102">
        <f t="shared" si="36"/>
        <v>4967323.1899999613</v>
      </c>
      <c r="G253" s="101">
        <f t="shared" si="39"/>
        <v>3056061.1299999147</v>
      </c>
      <c r="H253" s="101">
        <f t="shared" si="39"/>
        <v>1840780.5300000485</v>
      </c>
    </row>
    <row r="254" spans="1:8" x14ac:dyDescent="0.25">
      <c r="A254" s="98">
        <v>42521</v>
      </c>
      <c r="B254" s="99">
        <f t="shared" si="40"/>
        <v>2849171.0199999148</v>
      </c>
      <c r="C254" s="99">
        <f t="shared" si="33"/>
        <v>1716162.9600000479</v>
      </c>
      <c r="D254" s="99">
        <f t="shared" si="34"/>
        <v>65709.909999999159</v>
      </c>
      <c r="E254" s="99">
        <f t="shared" si="38"/>
        <v>4631043.8899999624</v>
      </c>
      <c r="F254" s="102">
        <f t="shared" si="36"/>
        <v>4919283.2899999609</v>
      </c>
      <c r="G254" s="101">
        <f t="shared" ref="G254:H256" si="41">(B242+B254+SUM(B243:B253)*2)/24</f>
        <v>3026505.3999999147</v>
      </c>
      <c r="H254" s="101">
        <f t="shared" si="41"/>
        <v>1822978.020000048</v>
      </c>
    </row>
    <row r="255" spans="1:8" x14ac:dyDescent="0.25">
      <c r="A255" s="98">
        <v>42551</v>
      </c>
      <c r="B255" s="99">
        <f t="shared" si="40"/>
        <v>2819615.2899999148</v>
      </c>
      <c r="C255" s="99">
        <f t="shared" si="33"/>
        <v>1698360.4500000479</v>
      </c>
      <c r="D255" s="99">
        <f t="shared" si="34"/>
        <v>65028.249999999156</v>
      </c>
      <c r="E255" s="99">
        <f t="shared" si="38"/>
        <v>4583003.989999962</v>
      </c>
      <c r="F255" s="102">
        <f t="shared" si="36"/>
        <v>4871243.3899999615</v>
      </c>
      <c r="G255" s="101">
        <f t="shared" si="41"/>
        <v>2996949.6699999147</v>
      </c>
      <c r="H255" s="101">
        <f t="shared" si="41"/>
        <v>1805175.510000048</v>
      </c>
    </row>
    <row r="256" spans="1:8" x14ac:dyDescent="0.25">
      <c r="A256" s="98">
        <v>42582</v>
      </c>
      <c r="B256" s="99">
        <f t="shared" si="40"/>
        <v>2790059.5599999148</v>
      </c>
      <c r="C256" s="99">
        <f t="shared" si="33"/>
        <v>1680557.9400000479</v>
      </c>
      <c r="D256" s="99">
        <f t="shared" si="34"/>
        <v>64346.589999999152</v>
      </c>
      <c r="E256" s="99">
        <f t="shared" ref="E256:E258" si="42">SUM(B256:D256)</f>
        <v>4534964.0899999617</v>
      </c>
      <c r="F256" s="102">
        <f t="shared" ref="F256:F258" si="43">(E244+E256+SUM(E245:E255)*2)/24</f>
        <v>4823203.489999962</v>
      </c>
      <c r="G256" s="101">
        <f t="shared" si="41"/>
        <v>2967393.9399999143</v>
      </c>
      <c r="H256" s="101">
        <f t="shared" si="41"/>
        <v>1787373.0000000482</v>
      </c>
    </row>
    <row r="257" spans="1:9" x14ac:dyDescent="0.25">
      <c r="A257" s="98">
        <v>42613</v>
      </c>
      <c r="B257" s="99">
        <f t="shared" si="40"/>
        <v>2760503.8299999149</v>
      </c>
      <c r="C257" s="99">
        <f t="shared" si="33"/>
        <v>1662755.4300000479</v>
      </c>
      <c r="D257" s="99">
        <f t="shared" si="34"/>
        <v>63664.929999999149</v>
      </c>
      <c r="E257" s="99">
        <f t="shared" si="42"/>
        <v>4486924.1899999613</v>
      </c>
      <c r="F257" s="102">
        <f t="shared" si="43"/>
        <v>4775163.5899999617</v>
      </c>
      <c r="G257" s="101">
        <f t="shared" ref="G257:G258" si="44">(B245+B257+SUM(B246:B256)*2)/24</f>
        <v>2937838.2099999138</v>
      </c>
      <c r="H257" s="101">
        <f t="shared" ref="H257:H258" si="45">(C245+C257+SUM(C246:C256)*2)/24</f>
        <v>1769570.490000048</v>
      </c>
    </row>
    <row r="258" spans="1:9" x14ac:dyDescent="0.25">
      <c r="A258" s="98">
        <v>42643</v>
      </c>
      <c r="B258" s="99">
        <f t="shared" si="40"/>
        <v>2730948.0999999149</v>
      </c>
      <c r="C258" s="99">
        <f t="shared" si="33"/>
        <v>1644952.9200000479</v>
      </c>
      <c r="D258" s="99">
        <f t="shared" si="34"/>
        <v>62983.269999999146</v>
      </c>
      <c r="E258" s="99">
        <f t="shared" si="42"/>
        <v>4438884.2899999619</v>
      </c>
      <c r="F258" s="102">
        <f t="shared" si="43"/>
        <v>4727123.6899999613</v>
      </c>
      <c r="G258" s="101">
        <f t="shared" si="44"/>
        <v>2908282.4799999148</v>
      </c>
      <c r="H258" s="101">
        <f t="shared" si="45"/>
        <v>1751767.9800000479</v>
      </c>
      <c r="I258" s="207">
        <f>G258/F258</f>
        <v>0.61523299806016685</v>
      </c>
    </row>
    <row r="259" spans="1:9" x14ac:dyDescent="0.25">
      <c r="A259" s="98"/>
      <c r="B259" s="99"/>
      <c r="C259" s="99"/>
      <c r="D259" s="99"/>
      <c r="E259" s="99"/>
      <c r="F259" s="102"/>
      <c r="G259" s="101"/>
      <c r="H259" s="101"/>
    </row>
    <row r="260" spans="1:9" x14ac:dyDescent="0.25">
      <c r="F260" s="103">
        <v>42277</v>
      </c>
      <c r="G260" s="217">
        <f>B246</f>
        <v>3085616.8599999147</v>
      </c>
    </row>
    <row r="261" spans="1:9" x14ac:dyDescent="0.25">
      <c r="F261" s="103">
        <v>42643</v>
      </c>
      <c r="G261" s="218">
        <f>B258</f>
        <v>2730948.0999999149</v>
      </c>
    </row>
    <row r="262" spans="1:9" ht="13.8" thickBot="1" x14ac:dyDescent="0.3">
      <c r="G262" s="219">
        <f>G260-G261</f>
        <v>354668.75999999978</v>
      </c>
    </row>
    <row r="263" spans="1:9" ht="13.8" thickTop="1" x14ac:dyDescent="0.25"/>
  </sheetData>
  <pageMargins left="0.7" right="0.7" top="0.7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F096A7-F95A-4530-94FF-CBE7B206EF40}"/>
</file>

<file path=customXml/itemProps2.xml><?xml version="1.0" encoding="utf-8"?>
<ds:datastoreItem xmlns:ds="http://schemas.openxmlformats.org/officeDocument/2006/customXml" ds:itemID="{F662673D-6813-4527-94E6-CD9FB3FBE5DA}"/>
</file>

<file path=customXml/itemProps3.xml><?xml version="1.0" encoding="utf-8"?>
<ds:datastoreItem xmlns:ds="http://schemas.openxmlformats.org/officeDocument/2006/customXml" ds:itemID="{A9EF83DC-DBD8-4D93-918A-C8E1385A76CF}"/>
</file>

<file path=customXml/itemProps4.xml><?xml version="1.0" encoding="utf-8"?>
<ds:datastoreItem xmlns:ds="http://schemas.openxmlformats.org/officeDocument/2006/customXml" ds:itemID="{02192F02-FB2F-4867-894D-66327DA45F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Prod RB TY Lead</vt:lpstr>
      <vt:lpstr>Prd Plt Sept 2016</vt:lpstr>
      <vt:lpstr>NOL September 2016</vt:lpstr>
      <vt:lpstr>DFITAMA</vt:lpstr>
      <vt:lpstr>Acct 406</vt:lpstr>
      <vt:lpstr>Acq Adj</vt:lpstr>
      <vt:lpstr>Colstrip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Winne, Peter</dc:creator>
  <cp:lastModifiedBy>kbarnard</cp:lastModifiedBy>
  <cp:lastPrinted>2016-11-30T17:47:37Z</cp:lastPrinted>
  <dcterms:created xsi:type="dcterms:W3CDTF">2012-08-29T15:48:39Z</dcterms:created>
  <dcterms:modified xsi:type="dcterms:W3CDTF">2018-04-05T15:22:25Z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