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5-08-01 WUSF Petition\2015-08-01 Tenino Telephone Company\WUTC Filing\"/>
    </mc:Choice>
  </mc:AlternateContent>
  <bookViews>
    <workbookView xWindow="0" yWindow="0" windowWidth="21600" windowHeight="9732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D11" i="8" l="1"/>
  <c r="E14" i="18" l="1"/>
  <c r="D14" i="18" l="1"/>
  <c r="D28" i="13" l="1"/>
  <c r="C13" i="1" l="1"/>
  <c r="C12" i="1"/>
  <c r="C13" i="13"/>
  <c r="C12" i="13"/>
  <c r="E11" i="3"/>
  <c r="E12" i="3"/>
  <c r="D12" i="3"/>
  <c r="D16" i="3"/>
  <c r="E13" i="18" l="1"/>
  <c r="D13" i="18"/>
  <c r="F13" i="18" s="1"/>
  <c r="F14" i="18"/>
  <c r="C24" i="16" l="1"/>
  <c r="E19" i="3" l="1"/>
  <c r="D19" i="3"/>
  <c r="C21" i="16" l="1"/>
  <c r="C25" i="16" s="1"/>
  <c r="D52" i="10" l="1"/>
  <c r="D50" i="10"/>
  <c r="D46" i="10"/>
  <c r="D47" i="10"/>
  <c r="D39" i="10"/>
  <c r="D35" i="10"/>
  <c r="D26" i="10"/>
  <c r="D22" i="10"/>
  <c r="E54" i="13"/>
  <c r="D54" i="10" s="1"/>
  <c r="D53" i="13"/>
  <c r="C53" i="13"/>
  <c r="E52" i="13"/>
  <c r="E51" i="13"/>
  <c r="D51" i="10" s="1"/>
  <c r="E50" i="13"/>
  <c r="E53" i="13" s="1"/>
  <c r="E48" i="13"/>
  <c r="D48" i="10" s="1"/>
  <c r="E47" i="13"/>
  <c r="E46" i="13"/>
  <c r="E45" i="13"/>
  <c r="D45" i="10" s="1"/>
  <c r="E44" i="13"/>
  <c r="D44" i="10" s="1"/>
  <c r="E43" i="13"/>
  <c r="D43" i="10" s="1"/>
  <c r="E39" i="13"/>
  <c r="E38" i="13"/>
  <c r="D38" i="10" s="1"/>
  <c r="E37" i="13"/>
  <c r="D37" i="10" s="1"/>
  <c r="D36" i="13"/>
  <c r="C36" i="13"/>
  <c r="E35" i="13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21" i="10" l="1"/>
  <c r="C25" i="13"/>
  <c r="C31" i="13" s="1"/>
  <c r="C41" i="13" s="1"/>
  <c r="E24" i="13"/>
  <c r="E36" i="13"/>
  <c r="D16" i="10"/>
  <c r="D25" i="13"/>
  <c r="D32" i="10"/>
  <c r="E15" i="13"/>
  <c r="D9" i="10"/>
  <c r="C56" i="13"/>
  <c r="C55" i="13"/>
  <c r="E25" i="13" l="1"/>
  <c r="D30" i="13"/>
  <c r="E28" i="13"/>
  <c r="C57" i="13"/>
  <c r="C49" i="13"/>
  <c r="C58" i="13"/>
  <c r="G42" i="5"/>
  <c r="G35" i="5"/>
  <c r="G23" i="5"/>
  <c r="G28" i="5"/>
  <c r="G31" i="5"/>
  <c r="G13" i="5"/>
  <c r="G17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D35" i="12"/>
  <c r="C35" i="5" s="1"/>
  <c r="I34" i="12"/>
  <c r="I37" i="12" s="1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I32" i="12" s="1"/>
  <c r="D22" i="12"/>
  <c r="C22" i="5" s="1"/>
  <c r="D21" i="12"/>
  <c r="C21" i="5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I45" i="2"/>
  <c r="F45" i="5" s="1"/>
  <c r="F46" i="5" s="1"/>
  <c r="F48" i="5" s="1"/>
  <c r="H45" i="2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15" i="18" l="1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<sst xmlns="http://schemas.openxmlformats.org/spreadsheetml/2006/main" count="643" uniqueCount="269">
  <si>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</si>
  <si>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</si>
  <si>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</si>
  <si>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</si>
  <si>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</si>
  <si>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</si>
  <si>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</si>
  <si>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</si>
  <si>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</si>
  <si>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</si>
  <si>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</si>
  <si>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</si>
  <si>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</si>
  <si>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</si>
  <si>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</si>
  <si>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</si>
  <si>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</si>
  <si>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</si>
  <si>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</si>
  <si>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</si>
  <si>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</si>
  <si>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</si>
  <si>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</si>
  <si>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</si>
  <si>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</si>
  <si>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</si>
  <si>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</si>
  <si>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</si>
  <si>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</si>
  <si>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</si>
  <si>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</si>
  <si>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</si>
  <si>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</si>
  <si>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</si>
  <si>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</si>
  <si>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</si>
  <si>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</si>
  <si>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</si>
  <si>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</si>
  <si>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</si>
  <si>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</si>
  <si>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</si>
  <si>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</si>
  <si>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</si>
  <si>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</si>
  <si>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</si>
  <si>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</si>
  <si>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</si>
  <si>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</si>
  <si>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</si>
  <si>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</si>
  <si>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</si>
  <si>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</si>
  <si>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</si>
  <si>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</si>
  <si>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</si>
  <si>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</si>
  <si>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</si>
  <si>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</si>
  <si>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</si>
  <si>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</si>
  <si>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</si>
  <si>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</si>
  <si>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</si>
  <si>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</si>
  <si>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</si>
  <si>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</si>
  <si>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</si>
  <si>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</si>
  <si>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</si>
  <si>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</si>
  <si>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</si>
  <si>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</si>
  <si>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</si>
  <si>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</si>
  <si>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</si>
  <si>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</si>
  <si>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</si>
  <si>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</si>
  <si>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</si>
  <si>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</si>
  <si>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</si>
  <si>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</si>
  <si>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</si>
  <si>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</si>
  <si>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</si>
  <si>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</si>
  <si>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</si>
  <si>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</si>
  <si>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</si>
  <si>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</si>
  <si>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</si>
  <si>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</si>
  <si>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</si>
  <si>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</si>
  <si>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</si>
  <si>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</si>
  <si>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</si>
  <si>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</si>
  <si>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</si>
  <si>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</si>
  <si>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</si>
  <si>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</si>
  <si>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</si>
  <si>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</si>
  <si>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</si>
  <si>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</si>
  <si>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</si>
  <si>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</si>
  <si>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</si>
  <si>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</si>
  <si>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</si>
  <si>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</si>
  <si>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</si>
  <si>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</si>
  <si>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</si>
  <si>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</si>
  <si>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</si>
  <si>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</si>
  <si>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</si>
  <si>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</si>
  <si>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</si>
  <si>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</si>
  <si>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</si>
  <si>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</si>
  <si>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</si>
  <si>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</si>
  <si>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</si>
  <si>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</si>
  <si>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</si>
  <si>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</si>
  <si>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</si>
  <si>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</si>
  <si>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</si>
  <si>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</si>
  <si>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</si>
  <si>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</si>
  <si>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</si>
  <si>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</si>
  <si>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</si>
  <si>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</si>
  <si>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</si>
  <si>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</si>
  <si>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</si>
  <si>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</si>
  <si>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</si>
  <si>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</si>
  <si>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</si>
  <si>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</si>
  <si>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</si>
  <si>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</si>
  <si>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</si>
  <si>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</si>
  <si>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</si>
  <si>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</si>
  <si>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</si>
  <si>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</si>
  <si>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</si>
  <si>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</si>
  <si>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</si>
  <si>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</si>
  <si>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</si>
  <si>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</si>
  <si>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</si>
  <si>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</si>
  <si>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</si>
  <si>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</si>
  <si>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</si>
  <si>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</si>
  <si>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</si>
  <si>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</si>
  <si>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</si>
  <si>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</si>
  <si>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</si>
  <si>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</si>
  <si>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</si>
  <si>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</si>
  <si>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</si>
  <si>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</si>
  <si>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</si>
  <si>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</si>
  <si>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</si>
  <si>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</si>
  <si>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</si>
  <si>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</si>
  <si>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</si>
  <si>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</si>
  <si>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</si>
  <si>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</si>
  <si>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</si>
  <si>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</si>
  <si>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</si>
  <si>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</si>
  <si>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</si>
  <si>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</si>
  <si>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</si>
  <si>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</si>
  <si>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</si>
  <si>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</si>
  <si>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</si>
  <si>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</si>
  <si>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</si>
  <si>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</si>
  <si>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</si>
  <si>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</si>
  <si>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</si>
  <si>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</si>
  <si>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</si>
  <si>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</si>
  <si>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</si>
  <si>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</si>
  <si>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</si>
  <si>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</si>
  <si>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</si>
  <si>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</si>
  <si>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</si>
  <si>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</si>
  <si>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</si>
  <si>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</si>
  <si>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</si>
  <si>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</si>
  <si>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</si>
  <si>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</si>
  <si>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</si>
  <si>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</si>
  <si>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</si>
  <si>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</si>
  <si>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</si>
  <si>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</si>
  <si>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</si>
  <si>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</si>
  <si>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</si>
  <si>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</si>
  <si>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</si>
  <si>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</si>
  <si>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</si>
  <si>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</si>
  <si>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</si>
  <si>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</si>
  <si>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</si>
  <si>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</si>
  <si>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</si>
  <si>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</si>
  <si>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</si>
  <si>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</si>
  <si>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</si>
  <si>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</si>
  <si>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</si>
  <si>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</si>
  <si>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</si>
  <si>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</si>
  <si>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</si>
  <si>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</si>
  <si>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</si>
  <si>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</si>
  <si>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</si>
  <si>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</si>
  <si>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</si>
  <si>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</si>
  <si>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</si>
  <si>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</si>
  <si>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</si>
  <si>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</si>
  <si>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</si>
  <si>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</si>
  <si>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</si>
  <si>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</si>
  <si>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</si>
  <si>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Tenino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</si>
</sst>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4.4" x14ac:dyDescent="0.3"/>
  <cols>
    <col min="1" max="1" width="118.6640625" customWidth="1"/>
  </cols>
  <sheetData>
    <row r="13" spans="1:5" ht="23.4" x14ac:dyDescent="0.45">
      <c r="A13" s="119" t="s">
        <v>263</v>
      </c>
      <c r="B13" s="48"/>
      <c r="C13" s="48"/>
      <c r="D13" s="48"/>
      <c r="E13" s="48"/>
    </row>
    <row r="14" spans="1:5" x14ac:dyDescent="0.3">
      <c r="A14" s="48"/>
      <c r="B14" s="48"/>
      <c r="C14" s="48"/>
      <c r="D14" s="48"/>
      <c r="E14" s="48"/>
    </row>
    <row r="15" spans="1:5" ht="23.4" x14ac:dyDescent="0.45">
      <c r="A15" s="119" t="s">
        <v>264</v>
      </c>
      <c r="B15" s="48"/>
      <c r="C15" s="48"/>
      <c r="D15" s="48"/>
      <c r="E15" s="48"/>
    </row>
    <row r="16" spans="1:5" x14ac:dyDescent="0.3">
      <c r="A16" s="48"/>
      <c r="B16" s="48"/>
      <c r="C16" s="48"/>
      <c r="D16" s="48"/>
      <c r="E16" s="48"/>
    </row>
    <row r="17" spans="1:5" ht="23.4" x14ac:dyDescent="0.4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5" sqref="C25:E29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x14ac:dyDescent="0.3">
      <c r="B2" t="s">
        <v>191</v>
      </c>
    </row>
    <row r="3" spans="1:5" x14ac:dyDescent="0.3">
      <c r="B3" s="59" t="s">
        <v>268</v>
      </c>
      <c r="C3" s="68"/>
      <c r="D3" s="68"/>
      <c r="E3" s="68"/>
    </row>
    <row r="4" spans="1:5" x14ac:dyDescent="0.3">
      <c r="B4" s="68"/>
      <c r="C4" s="68"/>
      <c r="D4" s="68"/>
      <c r="E4" s="68"/>
    </row>
    <row r="5" spans="1:5" x14ac:dyDescent="0.3">
      <c r="B5" s="68"/>
      <c r="C5" s="68"/>
      <c r="D5" s="68"/>
      <c r="E5" s="68"/>
    </row>
    <row r="6" spans="1:5" x14ac:dyDescent="0.3">
      <c r="A6" s="7"/>
      <c r="B6" s="7"/>
      <c r="C6" s="7"/>
      <c r="D6" s="10" t="s">
        <v>73</v>
      </c>
      <c r="E6" s="24" t="s">
        <v>127</v>
      </c>
    </row>
    <row r="7" spans="1:5" x14ac:dyDescent="0.3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3">
      <c r="A8" s="20"/>
      <c r="B8" s="20"/>
      <c r="C8" s="12" t="s">
        <v>163</v>
      </c>
      <c r="D8" s="26"/>
      <c r="E8" s="30"/>
    </row>
    <row r="9" spans="1:5" x14ac:dyDescent="0.3">
      <c r="A9" s="10">
        <v>1</v>
      </c>
      <c r="B9" s="7" t="s">
        <v>164</v>
      </c>
      <c r="C9" s="28" t="s">
        <v>165</v>
      </c>
      <c r="D9" s="56">
        <v>327185</v>
      </c>
      <c r="E9" s="56">
        <v>337864</v>
      </c>
    </row>
    <row r="10" spans="1:5" x14ac:dyDescent="0.3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3">
      <c r="A11" s="11" t="s">
        <v>216</v>
      </c>
      <c r="B11" s="18" t="s">
        <v>168</v>
      </c>
      <c r="C11" s="11"/>
      <c r="D11" s="53">
        <v>264124</v>
      </c>
      <c r="E11" s="53">
        <f>45461+146253+163-22</f>
        <v>191855</v>
      </c>
    </row>
    <row r="12" spans="1:5" x14ac:dyDescent="0.3">
      <c r="A12" s="11" t="s">
        <v>217</v>
      </c>
      <c r="B12" s="18" t="s">
        <v>260</v>
      </c>
      <c r="C12" s="11"/>
      <c r="D12" s="53">
        <f>-88059+292866</f>
        <v>204807</v>
      </c>
      <c r="E12" s="53">
        <f>774705+580950-691686</f>
        <v>663969</v>
      </c>
    </row>
    <row r="13" spans="1:5" x14ac:dyDescent="0.3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3">
      <c r="A14" s="11" t="s">
        <v>218</v>
      </c>
      <c r="B14" s="18" t="s">
        <v>168</v>
      </c>
      <c r="C14" s="11"/>
      <c r="D14" s="53">
        <v>7651</v>
      </c>
      <c r="E14" s="53">
        <v>7225</v>
      </c>
    </row>
    <row r="15" spans="1:5" x14ac:dyDescent="0.3">
      <c r="A15" s="11" t="s">
        <v>219</v>
      </c>
      <c r="B15" s="18" t="s">
        <v>169</v>
      </c>
      <c r="C15" s="11"/>
      <c r="D15" s="53">
        <v>670743</v>
      </c>
      <c r="E15" s="53">
        <v>334189</v>
      </c>
    </row>
    <row r="16" spans="1:5" x14ac:dyDescent="0.3">
      <c r="A16" s="11">
        <v>4</v>
      </c>
      <c r="B16" s="18" t="s">
        <v>259</v>
      </c>
      <c r="C16" s="11" t="s">
        <v>171</v>
      </c>
      <c r="D16" s="53">
        <f>1912650-292866</f>
        <v>1619784</v>
      </c>
      <c r="E16" s="53">
        <v>1130912</v>
      </c>
    </row>
    <row r="17" spans="1:5" x14ac:dyDescent="0.3">
      <c r="A17" s="11">
        <v>5</v>
      </c>
      <c r="B17" s="18" t="s">
        <v>241</v>
      </c>
      <c r="C17" s="11"/>
      <c r="D17" s="53"/>
      <c r="E17" s="53">
        <v>92971</v>
      </c>
    </row>
    <row r="18" spans="1:5" x14ac:dyDescent="0.3">
      <c r="A18" s="11">
        <v>6</v>
      </c>
      <c r="B18" s="18" t="s">
        <v>194</v>
      </c>
      <c r="C18" s="12"/>
      <c r="D18" s="54"/>
      <c r="E18" s="54"/>
    </row>
    <row r="19" spans="1:5" x14ac:dyDescent="0.3">
      <c r="A19" s="11">
        <v>7</v>
      </c>
      <c r="B19" s="18" t="s">
        <v>172</v>
      </c>
      <c r="C19" s="7"/>
      <c r="D19" s="36">
        <f>D9+D11+D12+D14+D15+D16+D17+D18</f>
        <v>3094294</v>
      </c>
      <c r="E19" s="36">
        <f>E9+E11+E12+E14+E15+E16+E17+E18</f>
        <v>2758985</v>
      </c>
    </row>
    <row r="20" spans="1:5" x14ac:dyDescent="0.3">
      <c r="A20" s="11">
        <v>8</v>
      </c>
      <c r="B20" s="19" t="s">
        <v>179</v>
      </c>
      <c r="C20" s="18"/>
      <c r="D20" s="38">
        <f>IncomeStmtSummary!C10</f>
        <v>3094294</v>
      </c>
      <c r="E20" s="38">
        <f>IncomeStmtSummary!D10</f>
        <v>2758985</v>
      </c>
    </row>
    <row r="21" spans="1:5" ht="15" thickBot="1" x14ac:dyDescent="0.35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" thickTop="1" x14ac:dyDescent="0.3">
      <c r="B22" s="74" t="s">
        <v>221</v>
      </c>
      <c r="C22" s="68"/>
      <c r="D22" s="68"/>
      <c r="E22" s="68"/>
    </row>
    <row r="23" spans="1:5" x14ac:dyDescent="0.3">
      <c r="B23" t="s">
        <v>195</v>
      </c>
      <c r="C23" s="68"/>
      <c r="D23" s="68"/>
      <c r="E23" s="68"/>
    </row>
    <row r="24" spans="1:5" x14ac:dyDescent="0.3">
      <c r="B24" t="s">
        <v>196</v>
      </c>
      <c r="C24" s="68"/>
      <c r="D24" s="68"/>
      <c r="E24" s="68"/>
    </row>
    <row r="25" spans="1:5" x14ac:dyDescent="0.3">
      <c r="A25" s="68"/>
      <c r="B25" s="68"/>
      <c r="C25" s="68"/>
      <c r="D25" s="68"/>
      <c r="E25" s="68"/>
    </row>
    <row r="26" spans="1:5" x14ac:dyDescent="0.3">
      <c r="A26" s="68"/>
      <c r="B26" s="68"/>
      <c r="C26" s="68"/>
      <c r="D26" s="68"/>
      <c r="E26" s="68"/>
    </row>
    <row r="27" spans="1:5" x14ac:dyDescent="0.3">
      <c r="A27" s="68"/>
      <c r="B27" s="68"/>
      <c r="C27" s="68"/>
      <c r="D27" s="68"/>
      <c r="E27" s="68"/>
    </row>
    <row r="28" spans="1:5" x14ac:dyDescent="0.3">
      <c r="A28" s="68"/>
      <c r="B28" s="68"/>
      <c r="C28" s="68"/>
      <c r="D28" s="68"/>
      <c r="E28" s="68"/>
    </row>
    <row r="29" spans="1:5" x14ac:dyDescent="0.3">
      <c r="A29" s="68"/>
      <c r="B29" s="68"/>
      <c r="C29" s="68"/>
      <c r="D29" s="68"/>
      <c r="E29" s="68"/>
    </row>
    <row r="30" spans="1:5" x14ac:dyDescent="0.3">
      <c r="A30" s="68"/>
      <c r="B30" s="68"/>
      <c r="C30" s="68"/>
      <c r="D30" s="68"/>
      <c r="E30" s="68"/>
    </row>
    <row r="31" spans="1:5" x14ac:dyDescent="0.3">
      <c r="A31" s="68"/>
      <c r="B31" s="68"/>
      <c r="C31" s="68"/>
      <c r="D31" s="68"/>
      <c r="E31" s="68"/>
    </row>
    <row r="32" spans="1:5" x14ac:dyDescent="0.3">
      <c r="A32" s="68"/>
      <c r="B32" s="68"/>
      <c r="C32" s="68"/>
      <c r="D32" s="68"/>
      <c r="E32" s="68"/>
    </row>
    <row r="33" spans="1:5" x14ac:dyDescent="0.3">
      <c r="A33" s="68"/>
      <c r="B33" s="68"/>
      <c r="C33" s="68"/>
      <c r="D33" s="68"/>
      <c r="E33" s="68"/>
    </row>
    <row r="34" spans="1:5" x14ac:dyDescent="0.3">
      <c r="A34" s="68"/>
      <c r="B34" s="68"/>
      <c r="C34" s="68"/>
      <c r="D34" s="68"/>
      <c r="E34" s="68"/>
    </row>
    <row r="35" spans="1:5" x14ac:dyDescent="0.3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25" sqref="A25"/>
    </sheetView>
  </sheetViews>
  <sheetFormatPr defaultRowHeight="14.4" x14ac:dyDescent="0.3"/>
  <cols>
    <col min="1" max="1" width="73.5546875" customWidth="1"/>
    <col min="2" max="2" width="14.6640625" bestFit="1" customWidth="1"/>
  </cols>
  <sheetData>
    <row r="4" spans="1:3" x14ac:dyDescent="0.3">
      <c r="A4" s="48" t="s">
        <v>245</v>
      </c>
      <c r="B4" s="120" t="s">
        <v>233</v>
      </c>
      <c r="C4" s="120"/>
    </row>
    <row r="5" spans="1:3" x14ac:dyDescent="0.3">
      <c r="B5" s="48" t="s">
        <v>243</v>
      </c>
      <c r="C5" s="48" t="s">
        <v>244</v>
      </c>
    </row>
    <row r="6" spans="1:3" x14ac:dyDescent="0.3">
      <c r="A6" t="s">
        <v>234</v>
      </c>
    </row>
    <row r="11" spans="1:3" x14ac:dyDescent="0.3">
      <c r="A11" t="s">
        <v>235</v>
      </c>
    </row>
    <row r="16" spans="1:3" x14ac:dyDescent="0.3">
      <c r="A16" t="s">
        <v>236</v>
      </c>
    </row>
    <row r="21" spans="1:1" x14ac:dyDescent="0.3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zoomScaleNormal="100" workbookViewId="0">
      <selection activeCell="B4" sqref="B4"/>
    </sheetView>
  </sheetViews>
  <sheetFormatPr defaultColWidth="9.109375" defaultRowHeight="14.4" x14ac:dyDescent="0.3"/>
  <cols>
    <col min="1" max="1" width="5.88671875" style="75" customWidth="1"/>
    <col min="2" max="2" width="40.5546875" style="75" customWidth="1"/>
    <col min="3" max="3" width="13.88671875" style="75" customWidth="1"/>
    <col min="4" max="16384" width="9.109375" style="75"/>
  </cols>
  <sheetData>
    <row r="3" spans="1:3" x14ac:dyDescent="0.3">
      <c r="B3" s="75" t="s">
        <v>191</v>
      </c>
    </row>
    <row r="4" spans="1:3" x14ac:dyDescent="0.3">
      <c r="B4" s="59" t="s">
        <v>268</v>
      </c>
      <c r="C4" s="68"/>
    </row>
    <row r="5" spans="1:3" x14ac:dyDescent="0.3">
      <c r="B5" s="68"/>
      <c r="C5" s="68"/>
    </row>
    <row r="7" spans="1:3" x14ac:dyDescent="0.3">
      <c r="A7" s="76"/>
      <c r="B7" s="76"/>
      <c r="C7" s="77"/>
    </row>
    <row r="8" spans="1:3" x14ac:dyDescent="0.3">
      <c r="A8" s="83" t="s">
        <v>0</v>
      </c>
      <c r="B8" s="78" t="s">
        <v>174</v>
      </c>
      <c r="C8" s="79">
        <v>2014</v>
      </c>
    </row>
    <row r="9" spans="1:3" x14ac:dyDescent="0.3">
      <c r="A9" s="80"/>
      <c r="B9" s="80"/>
      <c r="C9" s="81"/>
    </row>
    <row r="10" spans="1:3" x14ac:dyDescent="0.3">
      <c r="A10" s="94">
        <v>1</v>
      </c>
      <c r="B10" s="76" t="s">
        <v>266</v>
      </c>
      <c r="C10" s="87">
        <f>'RateBase '!D15</f>
        <v>2799203</v>
      </c>
    </row>
    <row r="11" spans="1:3" x14ac:dyDescent="0.3">
      <c r="A11" s="78">
        <v>2</v>
      </c>
      <c r="B11" s="83" t="s">
        <v>206</v>
      </c>
      <c r="C11" s="105">
        <f>'RateBase '!E15</f>
        <v>2205841</v>
      </c>
    </row>
    <row r="12" spans="1:3" x14ac:dyDescent="0.3">
      <c r="A12" s="78">
        <v>3</v>
      </c>
      <c r="B12" s="98" t="s">
        <v>207</v>
      </c>
      <c r="C12" s="85">
        <f>(C10+C11)/2</f>
        <v>2502522</v>
      </c>
    </row>
    <row r="13" spans="1:3" x14ac:dyDescent="0.3">
      <c r="A13" s="78">
        <v>4</v>
      </c>
      <c r="B13" s="83" t="s">
        <v>208</v>
      </c>
      <c r="C13" s="60">
        <f>IncomeStmtSummary!D31</f>
        <v>-486952</v>
      </c>
    </row>
    <row r="14" spans="1:3" x14ac:dyDescent="0.3">
      <c r="A14" s="78">
        <v>5</v>
      </c>
      <c r="B14" s="83" t="s">
        <v>267</v>
      </c>
      <c r="C14" s="54"/>
    </row>
    <row r="15" spans="1:3" x14ac:dyDescent="0.3">
      <c r="A15" s="78">
        <v>6</v>
      </c>
      <c r="B15" s="99" t="s">
        <v>212</v>
      </c>
      <c r="C15" s="85">
        <f>C13+C14</f>
        <v>-486952</v>
      </c>
    </row>
    <row r="16" spans="1:3" x14ac:dyDescent="0.3">
      <c r="A16" s="78">
        <v>7</v>
      </c>
      <c r="B16" s="98" t="s">
        <v>209</v>
      </c>
      <c r="C16" s="86">
        <f>C15/C12</f>
        <v>-0.19458450315321904</v>
      </c>
    </row>
    <row r="17" spans="1:7" x14ac:dyDescent="0.3">
      <c r="A17" s="78"/>
      <c r="B17" s="84"/>
      <c r="C17" s="90"/>
    </row>
    <row r="18" spans="1:7" x14ac:dyDescent="0.3">
      <c r="A18" s="78"/>
      <c r="B18" s="83"/>
      <c r="C18" s="87"/>
    </row>
    <row r="19" spans="1:7" x14ac:dyDescent="0.3">
      <c r="A19" s="78">
        <v>8</v>
      </c>
      <c r="B19" s="83" t="s">
        <v>213</v>
      </c>
      <c r="C19" s="82">
        <v>20411895</v>
      </c>
    </row>
    <row r="20" spans="1:7" x14ac:dyDescent="0.3">
      <c r="A20" s="78">
        <v>9</v>
      </c>
      <c r="B20" s="83" t="s">
        <v>214</v>
      </c>
      <c r="C20" s="88">
        <v>20361099</v>
      </c>
    </row>
    <row r="21" spans="1:7" x14ac:dyDescent="0.3">
      <c r="A21" s="78">
        <v>10</v>
      </c>
      <c r="B21" s="98" t="s">
        <v>210</v>
      </c>
      <c r="C21" s="85">
        <f t="shared" ref="C21" si="0">(C19+C20)/2</f>
        <v>20386497</v>
      </c>
    </row>
    <row r="22" spans="1:7" x14ac:dyDescent="0.3">
      <c r="A22" s="78">
        <v>11</v>
      </c>
      <c r="B22" s="83" t="s">
        <v>215</v>
      </c>
      <c r="C22" s="53">
        <v>-50796</v>
      </c>
    </row>
    <row r="23" spans="1:7" x14ac:dyDescent="0.3">
      <c r="A23" s="78">
        <v>12</v>
      </c>
      <c r="B23" s="83" t="s">
        <v>238</v>
      </c>
      <c r="C23" s="54"/>
    </row>
    <row r="24" spans="1:7" x14ac:dyDescent="0.3">
      <c r="A24" s="78">
        <v>13</v>
      </c>
      <c r="B24" s="99" t="s">
        <v>220</v>
      </c>
      <c r="C24" s="85">
        <f>C22+C23</f>
        <v>-50796</v>
      </c>
    </row>
    <row r="25" spans="1:7" x14ac:dyDescent="0.3">
      <c r="A25" s="95">
        <v>14</v>
      </c>
      <c r="B25" s="102" t="s">
        <v>211</v>
      </c>
      <c r="C25" s="89">
        <f>C24/C21</f>
        <v>-2.4916492519533886E-3</v>
      </c>
    </row>
    <row r="26" spans="1:7" x14ac:dyDescent="0.3">
      <c r="B26" s="101" t="s">
        <v>221</v>
      </c>
      <c r="C26" s="68"/>
      <c r="D26" s="68"/>
      <c r="E26" s="68"/>
      <c r="F26" s="68"/>
      <c r="G26" s="68"/>
    </row>
    <row r="27" spans="1:7" x14ac:dyDescent="0.3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3">
      <c r="B28" s="101" t="s">
        <v>262</v>
      </c>
      <c r="C28" s="68"/>
      <c r="D28" s="68"/>
      <c r="E28" s="68"/>
      <c r="F28" s="68"/>
      <c r="G28" s="68"/>
    </row>
    <row r="29" spans="1:7" x14ac:dyDescent="0.3">
      <c r="A29" s="68"/>
      <c r="B29" s="118"/>
      <c r="C29" s="68"/>
      <c r="D29" s="68"/>
      <c r="E29" s="68"/>
      <c r="F29" s="68"/>
      <c r="G29" s="68"/>
    </row>
    <row r="30" spans="1:7" x14ac:dyDescent="0.3">
      <c r="A30" s="68"/>
      <c r="B30" s="68"/>
      <c r="C30" s="68"/>
      <c r="D30" s="68"/>
      <c r="E30" s="68"/>
      <c r="F30" s="68"/>
      <c r="G30" s="68"/>
    </row>
    <row r="31" spans="1:7" x14ac:dyDescent="0.3">
      <c r="A31" s="68"/>
      <c r="B31" s="68"/>
      <c r="C31" s="68"/>
      <c r="D31" s="68"/>
      <c r="E31" s="68"/>
      <c r="F31" s="68"/>
      <c r="G31" s="68"/>
    </row>
    <row r="32" spans="1:7" x14ac:dyDescent="0.3">
      <c r="A32" s="68"/>
      <c r="B32" s="68"/>
      <c r="C32" s="68"/>
      <c r="D32" s="68"/>
      <c r="E32" s="68"/>
      <c r="F32" s="68"/>
      <c r="G32" s="68"/>
    </row>
    <row r="33" spans="1:7" x14ac:dyDescent="0.3">
      <c r="A33" s="68"/>
      <c r="B33" s="68"/>
      <c r="C33" s="68"/>
      <c r="D33" s="68"/>
      <c r="E33" s="68"/>
      <c r="F33" s="68"/>
      <c r="G33" s="68"/>
    </row>
    <row r="34" spans="1:7" x14ac:dyDescent="0.3">
      <c r="A34" s="68"/>
      <c r="B34" s="68"/>
      <c r="C34" s="68"/>
      <c r="D34" s="68"/>
      <c r="E34" s="68"/>
      <c r="F34" s="68"/>
      <c r="G34" s="68"/>
    </row>
    <row r="35" spans="1:7" x14ac:dyDescent="0.3">
      <c r="A35" s="68"/>
      <c r="B35" s="68"/>
      <c r="C35" s="68"/>
      <c r="D35" s="68"/>
      <c r="E35" s="68"/>
      <c r="F35" s="68"/>
      <c r="G35" s="68"/>
    </row>
    <row r="36" spans="1:7" x14ac:dyDescent="0.3">
      <c r="A36" s="68"/>
      <c r="B36" s="68"/>
      <c r="C36" s="68"/>
      <c r="D36" s="68"/>
      <c r="E36" s="68"/>
      <c r="F36" s="68"/>
      <c r="G36" s="68"/>
    </row>
    <row r="37" spans="1:7" x14ac:dyDescent="0.3">
      <c r="A37" s="68"/>
      <c r="B37" s="68"/>
      <c r="C37" s="68"/>
      <c r="D37" s="68"/>
      <c r="E37" s="68"/>
      <c r="F37" s="68"/>
      <c r="G37" s="68"/>
    </row>
    <row r="38" spans="1:7" x14ac:dyDescent="0.3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C37" sqref="C37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</row>
    <row r="4" spans="1:9" x14ac:dyDescent="0.3">
      <c r="A4" s="69"/>
      <c r="B4" s="68"/>
      <c r="C4" s="68"/>
      <c r="D4" s="68"/>
    </row>
    <row r="5" spans="1:9" x14ac:dyDescent="0.3">
      <c r="A5" s="68"/>
      <c r="B5" s="68"/>
      <c r="C5" s="68"/>
      <c r="D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4251857</v>
      </c>
      <c r="C10" s="57"/>
      <c r="D10" s="60">
        <f>SUM(B10:C10)</f>
        <v>4251857</v>
      </c>
      <c r="E10" s="18"/>
      <c r="F10" s="18" t="s">
        <v>78</v>
      </c>
      <c r="G10" s="53">
        <v>250094</v>
      </c>
      <c r="H10" s="57"/>
      <c r="I10" s="60">
        <f>SUM(G10:H10)</f>
        <v>250094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/>
      <c r="H14" s="57"/>
      <c r="I14" s="60">
        <f t="shared" si="0"/>
        <v>0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413493</v>
      </c>
      <c r="C17" s="57"/>
      <c r="D17" s="60">
        <f>SUM(B17:C17)</f>
        <v>413493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3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96242</v>
      </c>
      <c r="H18" s="57"/>
      <c r="I18" s="60">
        <f t="shared" si="0"/>
        <v>96242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114094</v>
      </c>
      <c r="H19" s="67"/>
      <c r="I19" s="61">
        <f t="shared" si="0"/>
        <v>114094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460430</v>
      </c>
      <c r="H20" s="60">
        <f>SUM(H10:H19)</f>
        <v>0</v>
      </c>
      <c r="I20" s="60">
        <f t="shared" ref="I20" si="3">SUM(I10:I19)</f>
        <v>460430</v>
      </c>
    </row>
    <row r="21" spans="1:9" x14ac:dyDescent="0.3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3">
      <c r="A23" s="18" t="s">
        <v>51</v>
      </c>
      <c r="B23" s="53"/>
      <c r="C23" s="57"/>
      <c r="D23" s="60">
        <f t="shared" si="2"/>
        <v>0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3">
      <c r="A24" s="18" t="s">
        <v>52</v>
      </c>
      <c r="B24" s="54">
        <v>24150</v>
      </c>
      <c r="C24" s="67"/>
      <c r="D24" s="61">
        <f t="shared" si="2"/>
        <v>24150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4689500</v>
      </c>
      <c r="C25" s="60">
        <f>C10+C11+C13+C14+C15+C17+C18+C19+C20+C21+C22+C23+C24</f>
        <v>0</v>
      </c>
      <c r="D25" s="60">
        <f t="shared" ref="D25" si="5">D10+D11+D13+D14+D15+D17+D18+D19+D20+D21+D22+D23+D24</f>
        <v>4689500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44925</v>
      </c>
      <c r="H30" s="57"/>
      <c r="I30" s="60">
        <f t="shared" si="4"/>
        <v>44925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>
        <v>3000</v>
      </c>
      <c r="C32" s="57"/>
      <c r="D32" s="60">
        <f>SUM(B32:C32)</f>
        <v>3000</v>
      </c>
      <c r="E32" s="18"/>
      <c r="F32" s="18" t="s">
        <v>119</v>
      </c>
      <c r="G32" s="60">
        <f>SUM(G22:G31)</f>
        <v>44925</v>
      </c>
      <c r="H32" s="60">
        <f>SUM(H22:H31)</f>
        <v>0</v>
      </c>
      <c r="I32" s="60">
        <f t="shared" ref="I32" si="6">SUM(I22:I31)</f>
        <v>44925</v>
      </c>
    </row>
    <row r="33" spans="1:9" x14ac:dyDescent="0.3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3">
      <c r="A34" s="18" t="s">
        <v>180</v>
      </c>
      <c r="B34" s="53"/>
      <c r="C34" s="72">
        <f>-1*(C25+C29+C30+C32+C33+C35+C36+C37+C46)</f>
        <v>3113</v>
      </c>
      <c r="D34" s="60">
        <f t="shared" si="7"/>
        <v>3113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3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9" x14ac:dyDescent="0.3">
      <c r="A36" s="18" t="s">
        <v>63</v>
      </c>
      <c r="B36" s="53">
        <v>488804</v>
      </c>
      <c r="C36" s="57">
        <v>-622</v>
      </c>
      <c r="D36" s="60">
        <f t="shared" si="7"/>
        <v>488182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3">
      <c r="A38" s="18" t="s">
        <v>65</v>
      </c>
      <c r="B38" s="60">
        <f>B29+B30+B32+B33+B34+B35+B36+B37</f>
        <v>491804</v>
      </c>
      <c r="C38" s="60">
        <f>C29+C30+C32+C33+C34+C35+C36+C37</f>
        <v>2491</v>
      </c>
      <c r="D38" s="60">
        <f t="shared" ref="D38" si="10">D29+D30+D32+D33+D34+D35+D36+D37</f>
        <v>494295</v>
      </c>
      <c r="E38" s="18"/>
      <c r="F38" s="22" t="s">
        <v>106</v>
      </c>
      <c r="G38" s="14"/>
      <c r="H38" s="18"/>
      <c r="I38" s="15"/>
    </row>
    <row r="39" spans="1:9" x14ac:dyDescent="0.3">
      <c r="A39" s="18"/>
      <c r="B39" s="18"/>
      <c r="C39" s="18"/>
      <c r="D39" s="15"/>
      <c r="E39" s="18"/>
      <c r="F39" s="18" t="s">
        <v>107</v>
      </c>
      <c r="G39" s="53">
        <v>97200</v>
      </c>
      <c r="H39" s="23"/>
      <c r="I39" s="60">
        <f>SUM(G39:H39)</f>
        <v>97200</v>
      </c>
    </row>
    <row r="40" spans="1:9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3">
      <c r="A41" s="18" t="s">
        <v>190</v>
      </c>
      <c r="B41" s="53">
        <v>22284920</v>
      </c>
      <c r="C41" s="53">
        <v>-28541</v>
      </c>
      <c r="D41" s="60">
        <f>SUM(B41:C41)</f>
        <v>22256379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3">
      <c r="A43" s="18" t="s">
        <v>69</v>
      </c>
      <c r="B43" s="53">
        <v>56687</v>
      </c>
      <c r="C43" s="53"/>
      <c r="D43" s="60">
        <f t="shared" si="12"/>
        <v>56687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3">
      <c r="A45" s="18" t="s">
        <v>121</v>
      </c>
      <c r="B45" s="54">
        <v>-19971273</v>
      </c>
      <c r="C45" s="54">
        <v>26050</v>
      </c>
      <c r="D45" s="61">
        <f t="shared" si="12"/>
        <v>-19945223</v>
      </c>
      <c r="E45" s="18"/>
      <c r="F45" s="18" t="s">
        <v>181</v>
      </c>
      <c r="G45" s="54">
        <v>6949083</v>
      </c>
      <c r="H45" s="106">
        <f>-1*(H20+H32+H37)</f>
        <v>0</v>
      </c>
      <c r="I45" s="61">
        <f t="shared" si="11"/>
        <v>6949083</v>
      </c>
    </row>
    <row r="46" spans="1:9" x14ac:dyDescent="0.3">
      <c r="A46" s="18" t="s">
        <v>71</v>
      </c>
      <c r="B46" s="60">
        <f>B41+B42+B43+B44+B45</f>
        <v>2370334</v>
      </c>
      <c r="C46" s="60">
        <f t="shared" ref="C46:D46" si="13">C41+C42+C43+C44+C45</f>
        <v>-2491</v>
      </c>
      <c r="D46" s="60">
        <f t="shared" si="13"/>
        <v>2367843</v>
      </c>
      <c r="E46" s="18"/>
      <c r="F46" s="18" t="s">
        <v>114</v>
      </c>
      <c r="G46" s="60">
        <f>SUM(G39:G45)</f>
        <v>7046283</v>
      </c>
      <c r="H46" s="63">
        <f t="shared" ref="H46:I46" si="14">SUM(H39:H45)</f>
        <v>0</v>
      </c>
      <c r="I46" s="60">
        <f t="shared" si="14"/>
        <v>7046283</v>
      </c>
    </row>
    <row r="47" spans="1:9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" thickBot="1" x14ac:dyDescent="0.35">
      <c r="A48" s="22" t="s">
        <v>247</v>
      </c>
      <c r="B48" s="62">
        <f>B25+B38+B46</f>
        <v>7551638</v>
      </c>
      <c r="C48" s="62">
        <f t="shared" ref="C48:D48" si="15">C25+C38+C46</f>
        <v>0</v>
      </c>
      <c r="D48" s="62">
        <f t="shared" si="15"/>
        <v>7551638</v>
      </c>
      <c r="E48" s="18"/>
      <c r="F48" s="22" t="s">
        <v>115</v>
      </c>
      <c r="G48" s="62">
        <f>G20+G32+G37+G46</f>
        <v>7551638</v>
      </c>
      <c r="H48" s="62">
        <f t="shared" ref="H48:I48" si="16">H20+H32+H37+H46</f>
        <v>0</v>
      </c>
      <c r="I48" s="62">
        <f t="shared" si="16"/>
        <v>7551638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1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C37" sqref="C37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  <c r="E3" s="68"/>
    </row>
    <row r="4" spans="1:9" x14ac:dyDescent="0.3">
      <c r="A4" s="69"/>
      <c r="B4" s="68"/>
      <c r="C4" s="68"/>
      <c r="D4" s="68"/>
      <c r="E4" s="68"/>
    </row>
    <row r="5" spans="1:9" x14ac:dyDescent="0.3">
      <c r="A5" s="68"/>
      <c r="B5" s="68"/>
      <c r="C5" s="68"/>
      <c r="D5" s="68"/>
      <c r="E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4695857</v>
      </c>
      <c r="C10" s="57"/>
      <c r="D10" s="60">
        <f>SUM(B10:C10)</f>
        <v>4695857</v>
      </c>
      <c r="E10" s="18"/>
      <c r="F10" s="18" t="s">
        <v>78</v>
      </c>
      <c r="G10" s="53">
        <v>175835</v>
      </c>
      <c r="H10" s="57"/>
      <c r="I10" s="60">
        <f>SUM(G10:H10)</f>
        <v>175835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/>
      <c r="H14" s="57"/>
      <c r="I14" s="60">
        <f t="shared" si="0"/>
        <v>0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208275</v>
      </c>
      <c r="C17" s="57"/>
      <c r="D17" s="60">
        <f>SUM(B17:C17)</f>
        <v>208275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3">
      <c r="A18" s="18" t="s">
        <v>47</v>
      </c>
      <c r="B18" s="53"/>
      <c r="C18" s="57"/>
      <c r="D18" s="60">
        <f t="shared" ref="D18:D24" si="2">SUM(B18:C18)</f>
        <v>0</v>
      </c>
      <c r="E18" s="18"/>
      <c r="F18" s="18" t="s">
        <v>88</v>
      </c>
      <c r="G18" s="53">
        <v>91493</v>
      </c>
      <c r="H18" s="57"/>
      <c r="I18" s="60">
        <f t="shared" si="0"/>
        <v>91493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114771</v>
      </c>
      <c r="H19" s="67"/>
      <c r="I19" s="61">
        <f t="shared" si="0"/>
        <v>114771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382099</v>
      </c>
      <c r="H20" s="60">
        <f>SUM(H10:H19)</f>
        <v>0</v>
      </c>
      <c r="I20" s="60">
        <f t="shared" ref="I20" si="3">SUM(I10:I19)</f>
        <v>382099</v>
      </c>
    </row>
    <row r="21" spans="1:9" x14ac:dyDescent="0.3">
      <c r="A21" s="18" t="s">
        <v>49</v>
      </c>
      <c r="B21" s="53"/>
      <c r="C21" s="55"/>
      <c r="D21" s="60">
        <f t="shared" si="2"/>
        <v>0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3">
      <c r="A23" s="18" t="s">
        <v>51</v>
      </c>
      <c r="B23" s="53"/>
      <c r="C23" s="57"/>
      <c r="D23" s="60">
        <f t="shared" si="2"/>
        <v>0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3">
      <c r="A24" s="18" t="s">
        <v>52</v>
      </c>
      <c r="B24" s="54">
        <v>73882</v>
      </c>
      <c r="C24" s="67"/>
      <c r="D24" s="61">
        <f t="shared" si="2"/>
        <v>73882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4978014</v>
      </c>
      <c r="C25" s="60">
        <f>C10+C11+C13+C14+C15+C17+C18+C19+C20+C21+C22+C23+C24</f>
        <v>0</v>
      </c>
      <c r="D25" s="60">
        <f t="shared" ref="D25" si="5">D10+D11+D13+D14+D15+D17+D18+D19+D20+D21+D22+D23+D24</f>
        <v>4978014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>
        <v>295437</v>
      </c>
      <c r="H30" s="57"/>
      <c r="I30" s="60">
        <f t="shared" si="4"/>
        <v>295437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>
        <v>3000</v>
      </c>
      <c r="C32" s="57"/>
      <c r="D32" s="60">
        <f>SUM(B32:C32)</f>
        <v>3000</v>
      </c>
      <c r="E32" s="18"/>
      <c r="F32" s="18" t="s">
        <v>119</v>
      </c>
      <c r="G32" s="60">
        <f>SUM(G22:G31)</f>
        <v>295437</v>
      </c>
      <c r="H32" s="60">
        <f>SUM(H22:H31)</f>
        <v>0</v>
      </c>
      <c r="I32" s="60">
        <f t="shared" ref="I32" si="6">SUM(I22:I31)</f>
        <v>295437</v>
      </c>
    </row>
    <row r="33" spans="1:11" x14ac:dyDescent="0.3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3">
      <c r="A34" s="18" t="s">
        <v>180</v>
      </c>
      <c r="B34" s="53"/>
      <c r="C34" s="72">
        <f>-1*(C25+C29+C30+C32+C33+C35+C36+C37+C46)</f>
        <v>3536</v>
      </c>
      <c r="D34" s="60">
        <f t="shared" si="7"/>
        <v>3536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3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11" x14ac:dyDescent="0.3">
      <c r="A36" s="18" t="s">
        <v>63</v>
      </c>
      <c r="B36" s="53">
        <v>598188</v>
      </c>
      <c r="C36" s="57">
        <v>-776</v>
      </c>
      <c r="D36" s="60">
        <f t="shared" si="7"/>
        <v>597412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11" x14ac:dyDescent="0.3">
      <c r="A38" s="18" t="s">
        <v>65</v>
      </c>
      <c r="B38" s="60">
        <f>B29+B30+B32+B33+B34+B35+B36+B37</f>
        <v>601188</v>
      </c>
      <c r="C38" s="60">
        <f>C29+C30+C32+C33+C34+C35+C36+C37</f>
        <v>2760</v>
      </c>
      <c r="D38" s="60">
        <f t="shared" ref="D38" si="10">D29+D30+D32+D33+D34+D35+D36+D37</f>
        <v>603948</v>
      </c>
      <c r="E38" s="18"/>
      <c r="F38" s="22" t="s">
        <v>106</v>
      </c>
      <c r="G38" s="14"/>
      <c r="H38" s="18"/>
      <c r="I38" s="15"/>
    </row>
    <row r="39" spans="1:11" x14ac:dyDescent="0.3">
      <c r="A39" s="18"/>
      <c r="B39" s="18"/>
      <c r="C39" s="18"/>
      <c r="D39" s="15"/>
      <c r="E39" s="18"/>
      <c r="F39" s="18" t="s">
        <v>107</v>
      </c>
      <c r="G39" s="53">
        <v>97200</v>
      </c>
      <c r="H39" s="23"/>
      <c r="I39" s="60">
        <f>SUM(G39:H39)</f>
        <v>97200</v>
      </c>
    </row>
    <row r="40" spans="1:11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3">
      <c r="A41" s="18" t="s">
        <v>190</v>
      </c>
      <c r="B41" s="53">
        <v>22580010</v>
      </c>
      <c r="C41" s="53">
        <v>-29434</v>
      </c>
      <c r="D41" s="60">
        <f>SUM(B41:C41)</f>
        <v>22550576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3">
      <c r="A43" s="18" t="s">
        <v>69</v>
      </c>
      <c r="B43" s="53">
        <v>117187</v>
      </c>
      <c r="C43" s="53"/>
      <c r="D43" s="60">
        <f t="shared" si="12"/>
        <v>117187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3">
      <c r="A45" s="18" t="s">
        <v>121</v>
      </c>
      <c r="B45" s="54">
        <v>-20968802</v>
      </c>
      <c r="C45" s="54">
        <v>26674</v>
      </c>
      <c r="D45" s="61">
        <f t="shared" si="12"/>
        <v>-20942128</v>
      </c>
      <c r="E45" s="18"/>
      <c r="F45" s="18" t="s">
        <v>181</v>
      </c>
      <c r="G45" s="54">
        <v>6532861</v>
      </c>
      <c r="H45" s="106">
        <f>-1*(H20+H32+H37)</f>
        <v>0</v>
      </c>
      <c r="I45" s="61">
        <f t="shared" si="11"/>
        <v>6532861</v>
      </c>
    </row>
    <row r="46" spans="1:11" x14ac:dyDescent="0.3">
      <c r="A46" s="18" t="s">
        <v>71</v>
      </c>
      <c r="B46" s="60">
        <f>B41+B42+B43+B44+B45</f>
        <v>1728395</v>
      </c>
      <c r="C46" s="60">
        <f t="shared" ref="C46:D46" si="13">C41+C42+C43+C44+C45</f>
        <v>-2760</v>
      </c>
      <c r="D46" s="60">
        <f t="shared" si="13"/>
        <v>1725635</v>
      </c>
      <c r="E46" s="18"/>
      <c r="F46" s="18" t="s">
        <v>114</v>
      </c>
      <c r="G46" s="60">
        <f>SUM(G39:G45)</f>
        <v>6630061</v>
      </c>
      <c r="H46" s="63">
        <f t="shared" ref="H46:I46" si="14">SUM(H39:H45)</f>
        <v>0</v>
      </c>
      <c r="I46" s="60">
        <f t="shared" si="14"/>
        <v>6630061</v>
      </c>
    </row>
    <row r="47" spans="1:11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" thickBot="1" x14ac:dyDescent="0.35">
      <c r="A48" s="22" t="s">
        <v>247</v>
      </c>
      <c r="B48" s="62">
        <f>B25+B38+B46</f>
        <v>7307597</v>
      </c>
      <c r="C48" s="62">
        <f t="shared" ref="C48:D48" si="15">C25+C38+C46</f>
        <v>0</v>
      </c>
      <c r="D48" s="62">
        <f t="shared" si="15"/>
        <v>7307597</v>
      </c>
      <c r="E48" s="18"/>
      <c r="F48" s="22" t="s">
        <v>115</v>
      </c>
      <c r="G48" s="62">
        <f>G20+G32+G37+G46</f>
        <v>7307597</v>
      </c>
      <c r="H48" s="62">
        <f t="shared" ref="H48:I48" si="16">H20+H32+H37+H46</f>
        <v>0</v>
      </c>
      <c r="I48" s="62">
        <f t="shared" si="16"/>
        <v>7307597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x14ac:dyDescent="0.3">
      <c r="A2" t="s">
        <v>191</v>
      </c>
    </row>
    <row r="3" spans="1:7" x14ac:dyDescent="0.3">
      <c r="A3" s="59" t="s">
        <v>268</v>
      </c>
      <c r="B3" s="68"/>
      <c r="C3" s="68"/>
      <c r="D3" s="68"/>
      <c r="E3" s="68"/>
      <c r="F3" s="68"/>
      <c r="G3" s="68"/>
    </row>
    <row r="4" spans="1:7" x14ac:dyDescent="0.3">
      <c r="A4" s="69"/>
      <c r="B4" s="68"/>
      <c r="C4" s="68"/>
      <c r="D4" s="68"/>
      <c r="E4" s="68"/>
      <c r="F4" s="68"/>
      <c r="G4" s="68"/>
    </row>
    <row r="5" spans="1:7" x14ac:dyDescent="0.3">
      <c r="A5" s="68"/>
      <c r="B5" s="68"/>
      <c r="C5" s="68"/>
      <c r="D5" s="68"/>
    </row>
    <row r="6" spans="1:7" x14ac:dyDescent="0.3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3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3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3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3">
      <c r="A10" s="18" t="s">
        <v>42</v>
      </c>
      <c r="B10" s="33">
        <f>PriorYearBalanceSheet!D10</f>
        <v>4251857</v>
      </c>
      <c r="C10" s="33">
        <f>'CurrentYearBalanceSheet '!D10</f>
        <v>4695857</v>
      </c>
      <c r="D10" s="18"/>
      <c r="E10" s="18" t="s">
        <v>78</v>
      </c>
      <c r="F10" s="33">
        <f>PriorYearBalanceSheet!I10</f>
        <v>250094</v>
      </c>
      <c r="G10" s="33">
        <f>'CurrentYearBalanceSheet '!I10</f>
        <v>175835</v>
      </c>
    </row>
    <row r="11" spans="1:7" x14ac:dyDescent="0.3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3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3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3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3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3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3">
      <c r="A17" s="18" t="s">
        <v>44</v>
      </c>
      <c r="B17" s="33">
        <f>PriorYearBalanceSheet!D17</f>
        <v>413493</v>
      </c>
      <c r="C17" s="33">
        <f>'CurrentYearBalanceSheet '!D17</f>
        <v>208275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3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96242</v>
      </c>
      <c r="G18" s="33">
        <f>'CurrentYearBalanceSheet '!I18</f>
        <v>91493</v>
      </c>
    </row>
    <row r="19" spans="1:7" x14ac:dyDescent="0.3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114094</v>
      </c>
      <c r="G19" s="33">
        <f>'CurrentYearBalanceSheet '!I19</f>
        <v>114771</v>
      </c>
    </row>
    <row r="20" spans="1:7" x14ac:dyDescent="0.3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460430</v>
      </c>
      <c r="G20" s="36">
        <f>SUM(G10:G19)</f>
        <v>382099</v>
      </c>
    </row>
    <row r="21" spans="1:7" x14ac:dyDescent="0.3">
      <c r="A21" s="18" t="s">
        <v>49</v>
      </c>
      <c r="B21" s="33">
        <f>PriorYearBalanceSheet!D21</f>
        <v>0</v>
      </c>
      <c r="C21" s="33">
        <f>'CurrentYearBalanceSheet '!D21</f>
        <v>0</v>
      </c>
      <c r="D21" s="18"/>
      <c r="E21" s="22" t="s">
        <v>91</v>
      </c>
      <c r="F21" s="18"/>
      <c r="G21" s="15"/>
    </row>
    <row r="22" spans="1:7" x14ac:dyDescent="0.3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3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3">
      <c r="A24" s="18" t="s">
        <v>52</v>
      </c>
      <c r="B24" s="34">
        <f>PriorYearBalanceSheet!D24</f>
        <v>24150</v>
      </c>
      <c r="C24" s="34">
        <f>'CurrentYearBalanceSheet '!D24</f>
        <v>73882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3">
      <c r="A25" s="18" t="s">
        <v>41</v>
      </c>
      <c r="B25" s="33">
        <f>B10+B11+B13+B14+B15+B17+B18+B19+B20+B21+B22+B23+B24</f>
        <v>4689500</v>
      </c>
      <c r="C25" s="33">
        <f>C10+C11+C13+C14+C15+C17+C18+C19+C20+C21+C22+C23+C24</f>
        <v>4978014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3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3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3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3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3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44925</v>
      </c>
      <c r="G30" s="33">
        <f>'CurrentYearBalanceSheet '!I30</f>
        <v>295437</v>
      </c>
    </row>
    <row r="31" spans="1:7" x14ac:dyDescent="0.3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3">
      <c r="A32" s="18" t="s">
        <v>57</v>
      </c>
      <c r="B32" s="33">
        <f>PriorYearBalanceSheet!D32</f>
        <v>3000</v>
      </c>
      <c r="C32" s="33">
        <f>'CurrentYearBalanceSheet '!D32</f>
        <v>3000</v>
      </c>
      <c r="D32" s="18"/>
      <c r="E32" s="18" t="s">
        <v>101</v>
      </c>
      <c r="F32" s="33">
        <f>SUM(F22:F31)</f>
        <v>44925</v>
      </c>
      <c r="G32" s="33">
        <f>SUM(G22:G31)</f>
        <v>295437</v>
      </c>
    </row>
    <row r="33" spans="1:7" x14ac:dyDescent="0.3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3">
      <c r="A34" s="18" t="s">
        <v>61</v>
      </c>
      <c r="B34" s="33">
        <f>PriorYearBalanceSheet!D34</f>
        <v>3113</v>
      </c>
      <c r="C34" s="33">
        <f>'CurrentYearBalanceSheet '!D34</f>
        <v>3536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3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0</v>
      </c>
      <c r="G35" s="33">
        <f>'CurrentYearBalanceSheet '!I35</f>
        <v>0</v>
      </c>
    </row>
    <row r="36" spans="1:7" x14ac:dyDescent="0.3">
      <c r="A36" s="18" t="s">
        <v>63</v>
      </c>
      <c r="B36" s="33">
        <f>PriorYearBalanceSheet!D36</f>
        <v>488182</v>
      </c>
      <c r="C36" s="33">
        <f>'CurrentYearBalanceSheet '!D36</f>
        <v>597412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3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 x14ac:dyDescent="0.3">
      <c r="A38" s="18" t="s">
        <v>65</v>
      </c>
      <c r="B38" s="33">
        <f>B29+B30+B32+B33+B34+B35+B36+B37</f>
        <v>494295</v>
      </c>
      <c r="C38" s="33">
        <f>C29+C30+C32+C33+C34+C35+C36+C37</f>
        <v>603948</v>
      </c>
      <c r="D38" s="18"/>
      <c r="E38" s="22" t="s">
        <v>106</v>
      </c>
      <c r="F38" s="18"/>
      <c r="G38" s="15"/>
    </row>
    <row r="39" spans="1:7" x14ac:dyDescent="0.3">
      <c r="A39" s="18"/>
      <c r="B39" s="18"/>
      <c r="C39" s="18"/>
      <c r="D39" s="18"/>
      <c r="E39" s="18" t="s">
        <v>107</v>
      </c>
      <c r="F39" s="33">
        <f>PriorYearBalanceSheet!I39</f>
        <v>97200</v>
      </c>
      <c r="G39" s="33">
        <f>'CurrentYearBalanceSheet '!I39</f>
        <v>97200</v>
      </c>
    </row>
    <row r="40" spans="1:7" x14ac:dyDescent="0.3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3">
      <c r="A41" s="18" t="s">
        <v>67</v>
      </c>
      <c r="B41" s="33">
        <f>PriorYearBalanceSheet!D41</f>
        <v>22256379</v>
      </c>
      <c r="C41" s="33">
        <f>'CurrentYearBalanceSheet '!D41</f>
        <v>22550576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3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3">
      <c r="A43" s="18" t="s">
        <v>69</v>
      </c>
      <c r="B43" s="33">
        <f>PriorYearBalanceSheet!D43</f>
        <v>56687</v>
      </c>
      <c r="C43" s="33">
        <f>'CurrentYearBalanceSheet '!D43</f>
        <v>117187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3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3">
      <c r="A45" s="18" t="s">
        <v>126</v>
      </c>
      <c r="B45" s="34">
        <f>PriorYearBalanceSheet!D45</f>
        <v>-19945223</v>
      </c>
      <c r="C45" s="34">
        <f>'CurrentYearBalanceSheet '!D45</f>
        <v>-20942128</v>
      </c>
      <c r="D45" s="18"/>
      <c r="E45" s="18" t="s">
        <v>113</v>
      </c>
      <c r="F45" s="34">
        <f>PriorYearBalanceSheet!I45</f>
        <v>6949083</v>
      </c>
      <c r="G45" s="34">
        <f>'CurrentYearBalanceSheet '!I45</f>
        <v>6532861</v>
      </c>
    </row>
    <row r="46" spans="1:7" x14ac:dyDescent="0.3">
      <c r="A46" s="18" t="s">
        <v>71</v>
      </c>
      <c r="B46" s="33">
        <f>SUM(B41:B45)</f>
        <v>2367843</v>
      </c>
      <c r="C46" s="33">
        <f>SUM(C41:C45)</f>
        <v>1725635</v>
      </c>
      <c r="D46" s="18"/>
      <c r="E46" s="18" t="s">
        <v>114</v>
      </c>
      <c r="F46" s="33">
        <f>SUM(F39:F45)</f>
        <v>7046283</v>
      </c>
      <c r="G46" s="33">
        <f>SUM(G39:G45)</f>
        <v>6630061</v>
      </c>
    </row>
    <row r="47" spans="1:7" x14ac:dyDescent="0.3">
      <c r="A47" s="18"/>
      <c r="B47" s="18"/>
      <c r="C47" s="18"/>
      <c r="D47" s="18"/>
      <c r="E47" s="18"/>
      <c r="F47" s="18"/>
      <c r="G47" s="15"/>
    </row>
    <row r="48" spans="1:7" ht="15" thickBot="1" x14ac:dyDescent="0.35">
      <c r="A48" s="22" t="s">
        <v>247</v>
      </c>
      <c r="B48" s="35">
        <f>B25+B38+B46</f>
        <v>7551638</v>
      </c>
      <c r="C48" s="35">
        <f>C25+C38+C46</f>
        <v>7307597</v>
      </c>
      <c r="D48" s="18"/>
      <c r="E48" s="22" t="s">
        <v>115</v>
      </c>
      <c r="F48" s="35">
        <f>F20+F32+F37+F46</f>
        <v>7551638</v>
      </c>
      <c r="G48" s="35">
        <f>G20+G32+G37+G46</f>
        <v>7307597</v>
      </c>
    </row>
    <row r="49" spans="1:7" ht="15" thickTop="1" x14ac:dyDescent="0.3">
      <c r="A49" s="20"/>
      <c r="B49" s="20"/>
      <c r="C49" s="20"/>
      <c r="D49" s="20"/>
      <c r="E49" s="20"/>
      <c r="F49" s="20"/>
      <c r="G49" s="16"/>
    </row>
    <row r="50" spans="1:7" x14ac:dyDescent="0.3">
      <c r="A50" t="s">
        <v>221</v>
      </c>
      <c r="B50" s="68"/>
      <c r="C50" s="68"/>
      <c r="D50" s="68"/>
      <c r="E50" s="68"/>
      <c r="F50" s="68"/>
      <c r="G50" s="68"/>
    </row>
    <row r="51" spans="1:7" x14ac:dyDescent="0.3">
      <c r="A51" t="s">
        <v>125</v>
      </c>
      <c r="B51" s="68"/>
      <c r="C51" s="68"/>
      <c r="D51" s="68"/>
      <c r="E51" s="68"/>
      <c r="F51" s="68"/>
      <c r="G51" s="68"/>
    </row>
    <row r="52" spans="1:7" x14ac:dyDescent="0.3">
      <c r="A52" t="s">
        <v>230</v>
      </c>
      <c r="B52" s="68"/>
      <c r="C52" s="68"/>
      <c r="D52" s="68"/>
      <c r="E52" s="68"/>
      <c r="F52" s="68"/>
      <c r="G52" s="68"/>
    </row>
    <row r="53" spans="1:7" x14ac:dyDescent="0.3">
      <c r="A53" s="68"/>
      <c r="B53" s="68"/>
      <c r="C53" s="68"/>
      <c r="D53" s="68"/>
      <c r="E53" s="68"/>
      <c r="F53" s="68"/>
      <c r="G53" s="68"/>
    </row>
    <row r="54" spans="1:7" x14ac:dyDescent="0.3">
      <c r="A54" s="68"/>
      <c r="B54" s="68"/>
      <c r="C54" s="68"/>
      <c r="D54" s="68"/>
      <c r="E54" s="68"/>
      <c r="F54" s="68"/>
      <c r="G54" s="68"/>
    </row>
    <row r="55" spans="1:7" x14ac:dyDescent="0.3">
      <c r="A55" s="68"/>
      <c r="B55" s="68"/>
      <c r="C55" s="68"/>
      <c r="D55" s="68"/>
      <c r="E55" s="68"/>
      <c r="F55" s="68"/>
      <c r="G55" s="68"/>
    </row>
    <row r="56" spans="1:7" x14ac:dyDescent="0.3">
      <c r="A56" s="68"/>
      <c r="B56" s="68"/>
      <c r="C56" s="68"/>
      <c r="D56" s="68"/>
      <c r="E56" s="68"/>
      <c r="F56" s="68"/>
      <c r="G56" s="68"/>
    </row>
    <row r="57" spans="1:7" x14ac:dyDescent="0.3">
      <c r="A57" s="68"/>
      <c r="B57" s="68"/>
      <c r="C57" s="68"/>
      <c r="D57" s="68"/>
      <c r="E57" s="68"/>
      <c r="F57" s="68"/>
      <c r="G57" s="68"/>
    </row>
    <row r="58" spans="1:7" x14ac:dyDescent="0.3">
      <c r="A58" s="68"/>
      <c r="B58" s="68"/>
      <c r="C58" s="68"/>
      <c r="D58" s="68"/>
      <c r="E58" s="68"/>
      <c r="F58" s="68"/>
      <c r="G58" s="68"/>
    </row>
    <row r="59" spans="1:7" x14ac:dyDescent="0.3">
      <c r="A59" s="68"/>
      <c r="B59" s="68"/>
      <c r="C59" s="68"/>
      <c r="D59" s="68"/>
      <c r="E59" s="68"/>
      <c r="F59" s="68"/>
      <c r="G59" s="68"/>
    </row>
    <row r="60" spans="1:7" x14ac:dyDescent="0.3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15" sqref="E15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9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3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3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3">
      <c r="A9" s="10"/>
      <c r="B9" s="21" t="s">
        <v>128</v>
      </c>
      <c r="C9" s="7"/>
      <c r="D9" s="7"/>
      <c r="E9" s="7"/>
      <c r="F9" s="15"/>
    </row>
    <row r="10" spans="1:6" x14ac:dyDescent="0.3">
      <c r="A10" s="11">
        <v>1</v>
      </c>
      <c r="B10" s="18" t="s">
        <v>129</v>
      </c>
      <c r="C10" s="11">
        <v>18</v>
      </c>
      <c r="D10" s="60">
        <f>'BalanceSheet(Summary)'!B41</f>
        <v>22256379</v>
      </c>
      <c r="E10" s="60">
        <f>'BalanceSheet(Summary)'!C41</f>
        <v>22550576</v>
      </c>
      <c r="F10" s="60">
        <f>(D10+E10)/2</f>
        <v>22403477.5</v>
      </c>
    </row>
    <row r="11" spans="1:6" x14ac:dyDescent="0.3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3">
      <c r="A12" s="11">
        <v>3</v>
      </c>
      <c r="B12" s="18" t="s">
        <v>131</v>
      </c>
      <c r="C12" s="11">
        <v>22</v>
      </c>
      <c r="D12" s="60">
        <f>'BalanceSheet(Summary)'!B45</f>
        <v>-19945223</v>
      </c>
      <c r="E12" s="60">
        <f>'BalanceSheet(Summary)'!C45</f>
        <v>-20942128</v>
      </c>
      <c r="F12" s="60">
        <f t="shared" ref="F12:F15" si="0">(D12+E12)/2</f>
        <v>-20443675.5</v>
      </c>
    </row>
    <row r="13" spans="1:6" x14ac:dyDescent="0.3">
      <c r="A13" s="11">
        <v>4</v>
      </c>
      <c r="B13" s="18" t="s">
        <v>130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3">
      <c r="A14" s="11">
        <v>5</v>
      </c>
      <c r="B14" s="18" t="s">
        <v>132</v>
      </c>
      <c r="C14" s="20"/>
      <c r="D14" s="53">
        <f>488669-622</f>
        <v>488047</v>
      </c>
      <c r="E14" s="53">
        <f>598169-776</f>
        <v>597393</v>
      </c>
      <c r="F14" s="60">
        <f t="shared" si="0"/>
        <v>542720</v>
      </c>
    </row>
    <row r="15" spans="1:6" ht="15" thickBot="1" x14ac:dyDescent="0.35">
      <c r="A15" s="12">
        <v>6</v>
      </c>
      <c r="B15" s="91" t="s">
        <v>185</v>
      </c>
      <c r="C15" s="93"/>
      <c r="D15" s="96">
        <f>SUM(D10:D14)</f>
        <v>2799203</v>
      </c>
      <c r="E15" s="64">
        <f>SUM(E10:E14)</f>
        <v>2205841</v>
      </c>
      <c r="F15" s="65">
        <f t="shared" si="0"/>
        <v>2502522</v>
      </c>
    </row>
    <row r="16" spans="1:6" ht="15" thickTop="1" x14ac:dyDescent="0.3">
      <c r="A16" s="13"/>
      <c r="B16" s="13"/>
      <c r="C16" s="69"/>
      <c r="D16" s="69"/>
      <c r="E16" s="69"/>
      <c r="F16" s="69"/>
    </row>
    <row r="17" spans="1:6" x14ac:dyDescent="0.3">
      <c r="B17" t="s">
        <v>205</v>
      </c>
      <c r="C17" s="68"/>
      <c r="D17" s="68"/>
      <c r="E17" s="68"/>
      <c r="F17" s="68"/>
    </row>
    <row r="18" spans="1:6" x14ac:dyDescent="0.3">
      <c r="B18" t="s">
        <v>152</v>
      </c>
      <c r="C18" s="68"/>
      <c r="D18" s="68"/>
      <c r="E18" s="68"/>
      <c r="F18" s="68"/>
    </row>
    <row r="19" spans="1:6" x14ac:dyDescent="0.3">
      <c r="B19" t="s">
        <v>133</v>
      </c>
      <c r="C19" s="68"/>
      <c r="D19" s="68"/>
      <c r="E19" s="68"/>
      <c r="F19" s="68"/>
    </row>
    <row r="20" spans="1:6" x14ac:dyDescent="0.3">
      <c r="B20" t="s">
        <v>231</v>
      </c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/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  <row r="30" spans="1:6" x14ac:dyDescent="0.3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2" sqref="D12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8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73</v>
      </c>
      <c r="D6" s="10" t="s">
        <v>127</v>
      </c>
      <c r="E6" s="7"/>
      <c r="F6" s="4"/>
    </row>
    <row r="7" spans="1:6" x14ac:dyDescent="0.3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3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3">
      <c r="A9" s="7"/>
      <c r="B9" s="21" t="s">
        <v>138</v>
      </c>
      <c r="C9" s="7"/>
      <c r="D9" s="33"/>
      <c r="E9" s="7"/>
      <c r="F9" s="15"/>
    </row>
    <row r="10" spans="1:6" x14ac:dyDescent="0.3">
      <c r="A10" s="11">
        <v>1</v>
      </c>
      <c r="B10" s="18" t="s">
        <v>139</v>
      </c>
      <c r="C10" s="53">
        <v>2245</v>
      </c>
      <c r="D10" s="53">
        <v>2186</v>
      </c>
      <c r="E10" s="33">
        <f>D10-C10</f>
        <v>-59</v>
      </c>
      <c r="F10" s="39">
        <f>E10/C10</f>
        <v>-2.6280623608017816E-2</v>
      </c>
    </row>
    <row r="11" spans="1:6" x14ac:dyDescent="0.3">
      <c r="A11" s="11">
        <v>2</v>
      </c>
      <c r="B11" s="20" t="s">
        <v>140</v>
      </c>
      <c r="C11" s="53">
        <v>490</v>
      </c>
      <c r="D11" s="53">
        <f>111+324+43</f>
        <v>478</v>
      </c>
      <c r="E11" s="33">
        <f>D11-C11</f>
        <v>-12</v>
      </c>
      <c r="F11" s="39">
        <f t="shared" ref="F11:F12" si="0">E11/C11</f>
        <v>-2.4489795918367346E-2</v>
      </c>
    </row>
    <row r="12" spans="1:6" ht="15" thickBot="1" x14ac:dyDescent="0.35">
      <c r="A12" s="12">
        <v>3</v>
      </c>
      <c r="B12" s="93" t="s">
        <v>141</v>
      </c>
      <c r="C12" s="35">
        <f>SUM(C10:C11)</f>
        <v>2735</v>
      </c>
      <c r="D12" s="35">
        <f t="shared" ref="D12:E12" si="1">SUM(D10:D11)</f>
        <v>2664</v>
      </c>
      <c r="E12" s="35">
        <f t="shared" si="1"/>
        <v>-71</v>
      </c>
      <c r="F12" s="40">
        <f t="shared" si="0"/>
        <v>-2.5959780621572212E-2</v>
      </c>
    </row>
    <row r="13" spans="1:6" ht="15" thickTop="1" x14ac:dyDescent="0.3">
      <c r="A13" s="117"/>
      <c r="B13" s="69"/>
      <c r="C13" s="69"/>
      <c r="D13" s="69"/>
      <c r="E13" s="69"/>
      <c r="F13" s="69"/>
    </row>
    <row r="14" spans="1:6" x14ac:dyDescent="0.3">
      <c r="A14" s="68"/>
      <c r="B14" s="68"/>
      <c r="C14" s="68"/>
      <c r="D14" s="68"/>
      <c r="E14" s="68"/>
      <c r="F14" s="68"/>
    </row>
    <row r="15" spans="1:6" x14ac:dyDescent="0.3">
      <c r="A15" s="68"/>
      <c r="B15" s="68"/>
      <c r="C15" s="68"/>
      <c r="D15" s="68"/>
      <c r="E15" s="68"/>
      <c r="F15" s="68"/>
    </row>
    <row r="16" spans="1:6" x14ac:dyDescent="0.3">
      <c r="A16" s="68"/>
      <c r="B16" s="68"/>
      <c r="C16" s="68"/>
      <c r="D16" s="68"/>
      <c r="E16" s="68"/>
      <c r="F16" s="68"/>
    </row>
    <row r="17" spans="1:6" x14ac:dyDescent="0.3">
      <c r="A17" s="68"/>
      <c r="B17" s="68"/>
      <c r="C17" s="68"/>
      <c r="D17" s="68"/>
      <c r="E17" s="68"/>
      <c r="F17" s="68"/>
    </row>
    <row r="18" spans="1:6" x14ac:dyDescent="0.3">
      <c r="A18" s="68"/>
      <c r="B18" s="68"/>
      <c r="C18" s="68"/>
      <c r="D18" s="68"/>
      <c r="E18" s="68"/>
      <c r="F18" s="68"/>
    </row>
    <row r="19" spans="1:6" x14ac:dyDescent="0.3">
      <c r="A19" s="68"/>
      <c r="B19" s="68"/>
      <c r="C19" s="68"/>
      <c r="D19" s="68"/>
      <c r="E19" s="68"/>
      <c r="F19" s="68"/>
    </row>
    <row r="20" spans="1:6" x14ac:dyDescent="0.3">
      <c r="A20" s="68"/>
      <c r="B20" s="68"/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/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3" sqref="C13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3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3">
      <c r="A9" s="10">
        <v>1</v>
      </c>
      <c r="B9" s="4" t="s">
        <v>1</v>
      </c>
      <c r="C9" s="56">
        <v>570598</v>
      </c>
      <c r="D9" s="53"/>
      <c r="E9" s="60">
        <f>SUM(C9:D9)</f>
        <v>570598</v>
      </c>
    </row>
    <row r="10" spans="1:6" x14ac:dyDescent="0.3">
      <c r="A10" s="11">
        <v>2</v>
      </c>
      <c r="B10" s="15" t="s">
        <v>2</v>
      </c>
      <c r="C10" s="53">
        <v>3094294</v>
      </c>
      <c r="D10" s="53"/>
      <c r="E10" s="60">
        <f t="shared" ref="E10:E14" si="0">SUM(C10:D10)</f>
        <v>3094294</v>
      </c>
    </row>
    <row r="11" spans="1:6" x14ac:dyDescent="0.3">
      <c r="A11" s="11">
        <v>3</v>
      </c>
      <c r="B11" s="15" t="s">
        <v>3</v>
      </c>
      <c r="C11" s="53"/>
      <c r="D11" s="53"/>
      <c r="E11" s="60">
        <f t="shared" si="0"/>
        <v>0</v>
      </c>
    </row>
    <row r="12" spans="1:6" x14ac:dyDescent="0.3">
      <c r="A12" s="11">
        <v>4</v>
      </c>
      <c r="B12" s="15" t="s">
        <v>4</v>
      </c>
      <c r="C12" s="53">
        <f>6139+30286</f>
        <v>36425</v>
      </c>
      <c r="D12" s="53"/>
      <c r="E12" s="60">
        <f t="shared" si="0"/>
        <v>36425</v>
      </c>
    </row>
    <row r="13" spans="1:6" x14ac:dyDescent="0.3">
      <c r="A13" s="11">
        <v>5</v>
      </c>
      <c r="B13" s="15" t="s">
        <v>5</v>
      </c>
      <c r="C13" s="53">
        <f>74119-6139-30286</f>
        <v>37694</v>
      </c>
      <c r="D13" s="53"/>
      <c r="E13" s="60">
        <f t="shared" si="0"/>
        <v>37694</v>
      </c>
    </row>
    <row r="14" spans="1:6" x14ac:dyDescent="0.3">
      <c r="A14" s="11">
        <v>6</v>
      </c>
      <c r="B14" s="15" t="s">
        <v>159</v>
      </c>
      <c r="C14" s="53">
        <v>-9575</v>
      </c>
      <c r="D14" s="53"/>
      <c r="E14" s="60">
        <f t="shared" si="0"/>
        <v>-9575</v>
      </c>
    </row>
    <row r="15" spans="1:6" x14ac:dyDescent="0.3">
      <c r="A15" s="11">
        <v>7</v>
      </c>
      <c r="B15" s="97" t="s">
        <v>158</v>
      </c>
      <c r="C15" s="109">
        <f>SUM(C9:C14)</f>
        <v>3729436</v>
      </c>
      <c r="D15" s="109">
        <f t="shared" ref="D15:E15" si="1">SUM(D9:D14)</f>
        <v>0</v>
      </c>
      <c r="E15" s="109">
        <f t="shared" si="1"/>
        <v>3729436</v>
      </c>
      <c r="F15" s="1"/>
    </row>
    <row r="16" spans="1:6" x14ac:dyDescent="0.3">
      <c r="A16" s="11">
        <v>8</v>
      </c>
      <c r="B16" s="15" t="s">
        <v>6</v>
      </c>
      <c r="C16" s="53">
        <v>1257076</v>
      </c>
      <c r="D16" s="53">
        <v>-4237</v>
      </c>
      <c r="E16" s="42">
        <f>SUM(C16:D16)</f>
        <v>1252839</v>
      </c>
    </row>
    <row r="17" spans="1:6" x14ac:dyDescent="0.3">
      <c r="A17" s="11">
        <v>9</v>
      </c>
      <c r="B17" s="15" t="s">
        <v>40</v>
      </c>
      <c r="C17" s="53">
        <v>676956</v>
      </c>
      <c r="D17" s="53"/>
      <c r="E17" s="42">
        <f t="shared" ref="E17:E21" si="2">SUM(C17:D17)</f>
        <v>676956</v>
      </c>
    </row>
    <row r="18" spans="1:6" x14ac:dyDescent="0.3">
      <c r="A18" s="11">
        <v>10</v>
      </c>
      <c r="B18" s="15" t="s">
        <v>7</v>
      </c>
      <c r="C18" s="53">
        <v>1005583</v>
      </c>
      <c r="D18" s="53">
        <v>-715</v>
      </c>
      <c r="E18" s="42">
        <f t="shared" si="2"/>
        <v>1004868</v>
      </c>
    </row>
    <row r="19" spans="1:6" x14ac:dyDescent="0.3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5" t="s">
        <v>9</v>
      </c>
      <c r="C20" s="53">
        <v>247369</v>
      </c>
      <c r="D20" s="53">
        <v>-4408</v>
      </c>
      <c r="E20" s="42">
        <f t="shared" si="2"/>
        <v>242961</v>
      </c>
    </row>
    <row r="21" spans="1:6" x14ac:dyDescent="0.3">
      <c r="A21" s="11">
        <v>13</v>
      </c>
      <c r="B21" s="15" t="s">
        <v>10</v>
      </c>
      <c r="C21" s="53">
        <v>755323</v>
      </c>
      <c r="D21" s="53">
        <v>-5689</v>
      </c>
      <c r="E21" s="42">
        <f t="shared" si="2"/>
        <v>749634</v>
      </c>
    </row>
    <row r="22" spans="1:6" x14ac:dyDescent="0.3">
      <c r="A22" s="11" t="s">
        <v>154</v>
      </c>
      <c r="B22" s="15" t="s">
        <v>160</v>
      </c>
      <c r="C22" s="110"/>
      <c r="D22" s="110"/>
      <c r="E22" s="88"/>
      <c r="F22" s="48" t="s">
        <v>248</v>
      </c>
    </row>
    <row r="23" spans="1:6" x14ac:dyDescent="0.3">
      <c r="A23" s="11" t="s">
        <v>155</v>
      </c>
      <c r="B23" s="13" t="s">
        <v>156</v>
      </c>
      <c r="C23" s="85">
        <f>SUM(C21:C22)</f>
        <v>755323</v>
      </c>
      <c r="D23" s="60">
        <f t="shared" ref="D23:E23" si="3">SUM(D21:D22)</f>
        <v>-5689</v>
      </c>
      <c r="E23" s="87">
        <f t="shared" si="3"/>
        <v>749634</v>
      </c>
    </row>
    <row r="24" spans="1:6" x14ac:dyDescent="0.3">
      <c r="A24" s="11">
        <v>14</v>
      </c>
      <c r="B24" s="92" t="s">
        <v>157</v>
      </c>
      <c r="C24" s="109">
        <f>C16+C17+C18+C19+C20+C23</f>
        <v>3942307</v>
      </c>
      <c r="D24" s="109">
        <f t="shared" ref="D24:E24" si="4">D16+D17+D18+D19+D20+D23</f>
        <v>-15049</v>
      </c>
      <c r="E24" s="111">
        <f t="shared" si="4"/>
        <v>3927258</v>
      </c>
      <c r="F24" s="1"/>
    </row>
    <row r="25" spans="1:6" x14ac:dyDescent="0.3">
      <c r="A25" s="11">
        <v>15</v>
      </c>
      <c r="B25" s="15" t="s">
        <v>14</v>
      </c>
      <c r="C25" s="60">
        <f>C15-C24</f>
        <v>-212871</v>
      </c>
      <c r="D25" s="60">
        <f t="shared" ref="D25:E25" si="5">D15-D24</f>
        <v>15049</v>
      </c>
      <c r="E25" s="60">
        <f t="shared" si="5"/>
        <v>-197822</v>
      </c>
    </row>
    <row r="26" spans="1:6" x14ac:dyDescent="0.3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3">
      <c r="A27" s="11">
        <v>17</v>
      </c>
      <c r="B27" s="15" t="s">
        <v>11</v>
      </c>
      <c r="C27" s="53">
        <v>117481</v>
      </c>
      <c r="D27" s="53">
        <v>-124</v>
      </c>
      <c r="E27" s="60">
        <f t="shared" ref="E27:E29" si="6">SUM(C27:D27)</f>
        <v>117357</v>
      </c>
    </row>
    <row r="28" spans="1:6" x14ac:dyDescent="0.3">
      <c r="A28" s="11">
        <v>18</v>
      </c>
      <c r="B28" s="15" t="s">
        <v>242</v>
      </c>
      <c r="C28" s="53">
        <v>-109468</v>
      </c>
      <c r="D28" s="108">
        <v>2380</v>
      </c>
      <c r="E28" s="60">
        <f t="shared" si="6"/>
        <v>-107088</v>
      </c>
    </row>
    <row r="29" spans="1:6" x14ac:dyDescent="0.3">
      <c r="A29" s="11">
        <v>19</v>
      </c>
      <c r="B29" s="15" t="s">
        <v>13</v>
      </c>
      <c r="C29" s="53"/>
      <c r="D29" s="53"/>
      <c r="E29" s="60">
        <f t="shared" si="6"/>
        <v>0</v>
      </c>
    </row>
    <row r="30" spans="1:6" x14ac:dyDescent="0.3">
      <c r="A30" s="11">
        <v>20</v>
      </c>
      <c r="B30" s="97" t="s">
        <v>12</v>
      </c>
      <c r="C30" s="85">
        <f>SUM(C27:C29)</f>
        <v>8013</v>
      </c>
      <c r="D30" s="85">
        <f t="shared" ref="D30:E30" si="7">SUM(D27:D29)</f>
        <v>2256</v>
      </c>
      <c r="E30" s="112">
        <f t="shared" si="7"/>
        <v>10269</v>
      </c>
    </row>
    <row r="31" spans="1:6" x14ac:dyDescent="0.3">
      <c r="A31" s="11">
        <v>21</v>
      </c>
      <c r="B31" s="97" t="s">
        <v>23</v>
      </c>
      <c r="C31" s="85">
        <f>C25+C26-C30</f>
        <v>-220884</v>
      </c>
      <c r="D31" s="85">
        <f>D25+D26-D30</f>
        <v>12793</v>
      </c>
      <c r="E31" s="112">
        <f>E25+E26-E30</f>
        <v>-208091</v>
      </c>
    </row>
    <row r="32" spans="1:6" x14ac:dyDescent="0.3">
      <c r="A32" s="11">
        <v>22</v>
      </c>
      <c r="B32" s="15" t="s">
        <v>15</v>
      </c>
      <c r="C32" s="53"/>
      <c r="D32" s="57"/>
      <c r="E32" s="60">
        <f>SUM(C32:D32)</f>
        <v>0</v>
      </c>
    </row>
    <row r="33" spans="1:10" x14ac:dyDescent="0.3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3">
      <c r="A34" s="11">
        <v>24</v>
      </c>
      <c r="B34" s="15" t="s">
        <v>17</v>
      </c>
      <c r="C34" s="53"/>
      <c r="D34" s="57"/>
      <c r="E34" s="60">
        <f t="shared" si="8"/>
        <v>0</v>
      </c>
    </row>
    <row r="35" spans="1:10" x14ac:dyDescent="0.3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3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3">
      <c r="A37" s="11">
        <v>27</v>
      </c>
      <c r="B37" s="15" t="s">
        <v>19</v>
      </c>
      <c r="C37" s="53">
        <v>60472</v>
      </c>
      <c r="D37" s="57"/>
      <c r="E37" s="33">
        <f>SUM(C37:D37)</f>
        <v>60472</v>
      </c>
    </row>
    <row r="38" spans="1:10" x14ac:dyDescent="0.3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3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3">
      <c r="A40" s="11">
        <v>30</v>
      </c>
      <c r="B40" s="15" t="s">
        <v>223</v>
      </c>
      <c r="C40" s="53">
        <v>21002</v>
      </c>
      <c r="D40" s="72">
        <f>-1*(D31-D36)</f>
        <v>-12793</v>
      </c>
      <c r="E40" s="33">
        <f t="shared" si="10"/>
        <v>8209</v>
      </c>
    </row>
    <row r="41" spans="1:10" x14ac:dyDescent="0.3">
      <c r="A41" s="11">
        <v>31</v>
      </c>
      <c r="B41" s="97" t="s">
        <v>22</v>
      </c>
      <c r="C41" s="85">
        <f>C31-C36+C37+C38+C39+C40</f>
        <v>-139410</v>
      </c>
      <c r="D41" s="85">
        <f t="shared" ref="D41:E41" si="11">D31-D36+D37+D38+D39+D40</f>
        <v>0</v>
      </c>
      <c r="E41" s="85">
        <f t="shared" si="11"/>
        <v>-139410</v>
      </c>
    </row>
    <row r="42" spans="1:10" x14ac:dyDescent="0.3">
      <c r="A42" s="11">
        <v>32</v>
      </c>
      <c r="B42" s="15" t="s">
        <v>24</v>
      </c>
      <c r="C42" s="114"/>
      <c r="D42" s="114"/>
      <c r="E42" s="114"/>
    </row>
    <row r="43" spans="1:10" x14ac:dyDescent="0.3">
      <c r="A43" s="11">
        <v>33</v>
      </c>
      <c r="B43" s="15" t="s">
        <v>25</v>
      </c>
      <c r="C43" s="53">
        <v>7088493</v>
      </c>
      <c r="D43" s="57"/>
      <c r="E43" s="60">
        <f t="shared" ref="E43:E48" si="12">SUM(C43:D43)</f>
        <v>7088493</v>
      </c>
    </row>
    <row r="44" spans="1:10" x14ac:dyDescent="0.3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3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3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3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3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3">
      <c r="A49" s="11">
        <v>39</v>
      </c>
      <c r="B49" s="97" t="s">
        <v>258</v>
      </c>
      <c r="C49" s="85">
        <f>(C41+C43+C44)-(C45+C46+C47+C48)</f>
        <v>6949083</v>
      </c>
      <c r="D49" s="113">
        <f t="shared" ref="D49:E49" si="13">(D41+D43+D44)-(D45+D46+D47+D48)</f>
        <v>0</v>
      </c>
      <c r="E49" s="112">
        <f t="shared" si="13"/>
        <v>6949083</v>
      </c>
    </row>
    <row r="50" spans="1:7" x14ac:dyDescent="0.3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3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3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3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3">
      <c r="A54" s="11">
        <v>44</v>
      </c>
      <c r="B54" s="15" t="s">
        <v>35</v>
      </c>
      <c r="C54" s="56"/>
      <c r="D54" s="115"/>
      <c r="E54" s="33">
        <f>C54</f>
        <v>0</v>
      </c>
    </row>
    <row r="55" spans="1:7" x14ac:dyDescent="0.3">
      <c r="A55" s="11">
        <v>45</v>
      </c>
      <c r="B55" s="15" t="s">
        <v>36</v>
      </c>
      <c r="C55" s="116">
        <f>((C24+C30-C18-C19)/C15)</f>
        <v>0.78959311810150379</v>
      </c>
      <c r="D55" s="116" t="e">
        <f>((D24+D30-D18-D19)/D15)</f>
        <v>#DIV/0!</v>
      </c>
      <c r="E55" s="116">
        <f>((E24+E30-E18-E19)/E15)</f>
        <v>0.78635455870539139</v>
      </c>
    </row>
    <row r="56" spans="1:7" x14ac:dyDescent="0.3">
      <c r="A56" s="11">
        <v>46</v>
      </c>
      <c r="B56" s="15" t="s">
        <v>37</v>
      </c>
      <c r="C56" s="116">
        <f>((C24+C30+C36)/C15)</f>
        <v>1.0592271860946267</v>
      </c>
      <c r="D56" s="116" t="e">
        <f>((D24+D30+D36)/D15)</f>
        <v>#DIV/0!</v>
      </c>
      <c r="E56" s="116">
        <f>((E24+E30+E36)/E15)</f>
        <v>1.0557969087014765</v>
      </c>
    </row>
    <row r="57" spans="1:7" x14ac:dyDescent="0.3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3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3">
      <c r="A59" s="20"/>
      <c r="B59" s="16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3">
      <c r="A68" s="104"/>
      <c r="B68" s="68" t="s">
        <v>253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  <row r="81" spans="1:5" x14ac:dyDescent="0.3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3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3">
      <c r="A9" s="10">
        <v>1</v>
      </c>
      <c r="B9" s="7" t="s">
        <v>1</v>
      </c>
      <c r="C9" s="56">
        <v>569417</v>
      </c>
      <c r="D9" s="53"/>
      <c r="E9" s="33">
        <f>SUM(C9:D9)</f>
        <v>569417</v>
      </c>
    </row>
    <row r="10" spans="1:6" x14ac:dyDescent="0.3">
      <c r="A10" s="11">
        <v>2</v>
      </c>
      <c r="B10" s="18" t="s">
        <v>2</v>
      </c>
      <c r="C10" s="53">
        <v>2758985</v>
      </c>
      <c r="D10" s="53"/>
      <c r="E10" s="33">
        <f t="shared" ref="E10:E14" si="0">SUM(C10:D10)</f>
        <v>2758985</v>
      </c>
    </row>
    <row r="11" spans="1:6" x14ac:dyDescent="0.3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3">
      <c r="A12" s="11">
        <v>4</v>
      </c>
      <c r="B12" s="18" t="s">
        <v>4</v>
      </c>
      <c r="C12" s="53">
        <f>5921+27836</f>
        <v>33757</v>
      </c>
      <c r="D12" s="53"/>
      <c r="E12" s="33">
        <f t="shared" si="0"/>
        <v>33757</v>
      </c>
    </row>
    <row r="13" spans="1:6" x14ac:dyDescent="0.3">
      <c r="A13" s="11">
        <v>5</v>
      </c>
      <c r="B13" s="18" t="s">
        <v>5</v>
      </c>
      <c r="C13" s="53">
        <f>69705-5921-27836</f>
        <v>35948</v>
      </c>
      <c r="D13" s="53"/>
      <c r="E13" s="33">
        <f t="shared" si="0"/>
        <v>35948</v>
      </c>
    </row>
    <row r="14" spans="1:6" x14ac:dyDescent="0.3">
      <c r="A14" s="11">
        <v>6</v>
      </c>
      <c r="B14" s="18" t="s">
        <v>159</v>
      </c>
      <c r="C14" s="53">
        <v>-8069</v>
      </c>
      <c r="D14" s="53"/>
      <c r="E14" s="33">
        <f t="shared" si="0"/>
        <v>-8069</v>
      </c>
    </row>
    <row r="15" spans="1:6" x14ac:dyDescent="0.3">
      <c r="A15" s="11">
        <v>7</v>
      </c>
      <c r="B15" s="92" t="s">
        <v>158</v>
      </c>
      <c r="C15" s="41">
        <f>SUM(C9:C14)</f>
        <v>3390038</v>
      </c>
      <c r="D15" s="41">
        <f t="shared" ref="D15:E15" si="1">SUM(D9:D14)</f>
        <v>0</v>
      </c>
      <c r="E15" s="41">
        <f t="shared" si="1"/>
        <v>3390038</v>
      </c>
      <c r="F15" s="1"/>
    </row>
    <row r="16" spans="1:6" x14ac:dyDescent="0.3">
      <c r="A16" s="11">
        <v>8</v>
      </c>
      <c r="B16" s="18" t="s">
        <v>6</v>
      </c>
      <c r="C16" s="53">
        <v>1233105</v>
      </c>
      <c r="D16" s="53">
        <v>-4715</v>
      </c>
      <c r="E16" s="42">
        <f>SUM(C16:D16)</f>
        <v>1228390</v>
      </c>
    </row>
    <row r="17" spans="1:6" x14ac:dyDescent="0.3">
      <c r="A17" s="11">
        <v>9</v>
      </c>
      <c r="B17" s="18" t="s">
        <v>40</v>
      </c>
      <c r="C17" s="53">
        <v>715253</v>
      </c>
      <c r="D17" s="53"/>
      <c r="E17" s="42">
        <f t="shared" ref="E17:E21" si="2">SUM(C17:D17)</f>
        <v>715253</v>
      </c>
    </row>
    <row r="18" spans="1:6" x14ac:dyDescent="0.3">
      <c r="A18" s="11">
        <v>10</v>
      </c>
      <c r="B18" s="18" t="s">
        <v>7</v>
      </c>
      <c r="C18" s="53">
        <v>1108215</v>
      </c>
      <c r="D18" s="53">
        <v>-730</v>
      </c>
      <c r="E18" s="42">
        <f t="shared" si="2"/>
        <v>1107485</v>
      </c>
    </row>
    <row r="19" spans="1:6" x14ac:dyDescent="0.3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8" t="s">
        <v>9</v>
      </c>
      <c r="C20" s="53">
        <v>260823</v>
      </c>
      <c r="D20" s="53">
        <v>-4899</v>
      </c>
      <c r="E20" s="42">
        <f t="shared" si="2"/>
        <v>255924</v>
      </c>
    </row>
    <row r="21" spans="1:6" x14ac:dyDescent="0.3">
      <c r="A21" s="11">
        <v>13</v>
      </c>
      <c r="B21" s="18" t="s">
        <v>10</v>
      </c>
      <c r="C21" s="53">
        <v>721966</v>
      </c>
      <c r="D21" s="53">
        <v>-6332</v>
      </c>
      <c r="E21" s="42">
        <f t="shared" si="2"/>
        <v>715634</v>
      </c>
    </row>
    <row r="22" spans="1:6" x14ac:dyDescent="0.3">
      <c r="A22" s="11" t="s">
        <v>154</v>
      </c>
      <c r="B22" s="18" t="s">
        <v>160</v>
      </c>
      <c r="C22" s="103"/>
      <c r="D22" s="103"/>
      <c r="E22" s="88"/>
      <c r="F22" s="48" t="s">
        <v>248</v>
      </c>
    </row>
    <row r="23" spans="1:6" x14ac:dyDescent="0.3">
      <c r="A23" s="11" t="s">
        <v>155</v>
      </c>
      <c r="B23" s="18" t="s">
        <v>156</v>
      </c>
      <c r="C23" s="33">
        <f>SUM(C21:C22)</f>
        <v>721966</v>
      </c>
      <c r="D23" s="33">
        <f t="shared" ref="D23:E23" si="3">SUM(D21:D22)</f>
        <v>-6332</v>
      </c>
      <c r="E23" s="42">
        <f t="shared" si="3"/>
        <v>715634</v>
      </c>
    </row>
    <row r="24" spans="1:6" x14ac:dyDescent="0.3">
      <c r="A24" s="11">
        <v>14</v>
      </c>
      <c r="B24" s="92" t="s">
        <v>157</v>
      </c>
      <c r="C24" s="41">
        <f>C16+C17+C18+C19+C20+C23</f>
        <v>4039362</v>
      </c>
      <c r="D24" s="41">
        <f t="shared" ref="D24:E24" si="4">D16+D17+D18+D19+D20+D23</f>
        <v>-16676</v>
      </c>
      <c r="E24" s="43">
        <f t="shared" si="4"/>
        <v>4022686</v>
      </c>
      <c r="F24" s="1"/>
    </row>
    <row r="25" spans="1:6" x14ac:dyDescent="0.3">
      <c r="A25" s="11">
        <v>15</v>
      </c>
      <c r="B25" s="18" t="s">
        <v>14</v>
      </c>
      <c r="C25" s="33">
        <f>C15-C24</f>
        <v>-649324</v>
      </c>
      <c r="D25" s="33">
        <f t="shared" ref="D25:E25" si="5">D15-D24</f>
        <v>16676</v>
      </c>
      <c r="E25" s="33">
        <f t="shared" si="5"/>
        <v>-632648</v>
      </c>
    </row>
    <row r="26" spans="1:6" x14ac:dyDescent="0.3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3">
      <c r="A27" s="11">
        <v>17</v>
      </c>
      <c r="B27" s="18" t="s">
        <v>11</v>
      </c>
      <c r="C27" s="53">
        <v>97532</v>
      </c>
      <c r="D27" s="53">
        <v>-99</v>
      </c>
      <c r="E27" s="33">
        <f t="shared" ref="E27:E29" si="6">SUM(C27:D27)</f>
        <v>97433</v>
      </c>
    </row>
    <row r="28" spans="1:6" x14ac:dyDescent="0.3">
      <c r="A28" s="11">
        <v>18</v>
      </c>
      <c r="B28" s="18" t="s">
        <v>242</v>
      </c>
      <c r="C28" s="53">
        <v>-251752</v>
      </c>
      <c r="D28" s="108">
        <f>8480+143</f>
        <v>8623</v>
      </c>
      <c r="E28" s="33">
        <f t="shared" si="6"/>
        <v>-243129</v>
      </c>
    </row>
    <row r="29" spans="1:6" x14ac:dyDescent="0.3">
      <c r="A29" s="11">
        <v>19</v>
      </c>
      <c r="B29" s="18" t="s">
        <v>13</v>
      </c>
      <c r="C29" s="53"/>
      <c r="D29" s="53"/>
      <c r="E29" s="33">
        <f t="shared" si="6"/>
        <v>0</v>
      </c>
    </row>
    <row r="30" spans="1:6" x14ac:dyDescent="0.3">
      <c r="A30" s="11">
        <v>20</v>
      </c>
      <c r="B30" s="92" t="s">
        <v>12</v>
      </c>
      <c r="C30" s="38">
        <f>SUM(C27:C29)</f>
        <v>-154220</v>
      </c>
      <c r="D30" s="38">
        <f t="shared" ref="D30:E30" si="7">SUM(D27:D29)</f>
        <v>8524</v>
      </c>
      <c r="E30" s="44">
        <f t="shared" si="7"/>
        <v>-145696</v>
      </c>
    </row>
    <row r="31" spans="1:6" x14ac:dyDescent="0.3">
      <c r="A31" s="11">
        <v>21</v>
      </c>
      <c r="B31" s="92" t="s">
        <v>23</v>
      </c>
      <c r="C31" s="38">
        <f>C25+C26-C30</f>
        <v>-495104</v>
      </c>
      <c r="D31" s="38">
        <f>D25+D26-D30</f>
        <v>8152</v>
      </c>
      <c r="E31" s="44">
        <f>E25+E26-E30</f>
        <v>-486952</v>
      </c>
    </row>
    <row r="32" spans="1:6" x14ac:dyDescent="0.3">
      <c r="A32" s="11">
        <v>22</v>
      </c>
      <c r="B32" s="18" t="s">
        <v>15</v>
      </c>
      <c r="C32" s="53"/>
      <c r="D32" s="57"/>
      <c r="E32" s="33">
        <f>SUM(C32:D32)</f>
        <v>0</v>
      </c>
    </row>
    <row r="33" spans="1:5" x14ac:dyDescent="0.3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3">
      <c r="A34" s="11">
        <v>24</v>
      </c>
      <c r="B34" s="18" t="s">
        <v>17</v>
      </c>
      <c r="C34" s="53"/>
      <c r="D34" s="57"/>
      <c r="E34" s="33">
        <f t="shared" si="8"/>
        <v>0</v>
      </c>
    </row>
    <row r="35" spans="1:5" x14ac:dyDescent="0.3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3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3">
      <c r="A37" s="11">
        <v>27</v>
      </c>
      <c r="B37" s="18" t="s">
        <v>19</v>
      </c>
      <c r="C37" s="53">
        <v>58897</v>
      </c>
      <c r="D37" s="57"/>
      <c r="E37" s="33">
        <f>SUM(C37:D37)</f>
        <v>58897</v>
      </c>
    </row>
    <row r="38" spans="1:5" x14ac:dyDescent="0.3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3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3">
      <c r="A40" s="11">
        <v>30</v>
      </c>
      <c r="B40" s="18" t="s">
        <v>223</v>
      </c>
      <c r="C40" s="53">
        <v>19985</v>
      </c>
      <c r="D40" s="72">
        <f>-1*(D31-D36)</f>
        <v>-8152</v>
      </c>
      <c r="E40" s="33">
        <f t="shared" si="10"/>
        <v>11833</v>
      </c>
    </row>
    <row r="41" spans="1:5" x14ac:dyDescent="0.3">
      <c r="A41" s="11">
        <v>31</v>
      </c>
      <c r="B41" s="92" t="s">
        <v>22</v>
      </c>
      <c r="C41" s="38">
        <f>C31-C36+C37+C38+C39+C40</f>
        <v>-416222</v>
      </c>
      <c r="D41" s="38">
        <f t="shared" ref="D41:E41" si="11">D31-D36+D37+D38+D39+D40</f>
        <v>0</v>
      </c>
      <c r="E41" s="38">
        <f t="shared" si="11"/>
        <v>-416222</v>
      </c>
    </row>
    <row r="42" spans="1:5" x14ac:dyDescent="0.3">
      <c r="A42" s="11">
        <v>32</v>
      </c>
      <c r="B42" s="18" t="s">
        <v>24</v>
      </c>
      <c r="C42" s="70"/>
      <c r="D42" s="70"/>
      <c r="E42" s="45"/>
    </row>
    <row r="43" spans="1:5" x14ac:dyDescent="0.3">
      <c r="A43" s="11">
        <v>33</v>
      </c>
      <c r="B43" s="18" t="s">
        <v>25</v>
      </c>
      <c r="C43" s="53">
        <v>6949083</v>
      </c>
      <c r="D43" s="57"/>
      <c r="E43" s="33">
        <f t="shared" ref="E43:E48" si="12">SUM(C43:D43)</f>
        <v>6949083</v>
      </c>
    </row>
    <row r="44" spans="1:5" x14ac:dyDescent="0.3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3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3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3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3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3">
      <c r="A49" s="11">
        <v>39</v>
      </c>
      <c r="B49" s="92" t="s">
        <v>258</v>
      </c>
      <c r="C49" s="38">
        <f>(C41+C43+C44)-(C45+C46+C47+C48)</f>
        <v>6532861</v>
      </c>
      <c r="D49" s="66">
        <f t="shared" ref="D49:E49" si="13">(D41+D43+D44)-(D45+D46+D47+D48)</f>
        <v>0</v>
      </c>
      <c r="E49" s="44">
        <f t="shared" si="13"/>
        <v>6532861</v>
      </c>
    </row>
    <row r="50" spans="1:7" x14ac:dyDescent="0.3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3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3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3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3">
      <c r="A54" s="11">
        <v>44</v>
      </c>
      <c r="B54" s="18" t="s">
        <v>35</v>
      </c>
      <c r="C54" s="56"/>
      <c r="D54" s="107"/>
      <c r="E54" s="33">
        <f>C54</f>
        <v>0</v>
      </c>
    </row>
    <row r="55" spans="1:7" x14ac:dyDescent="0.3">
      <c r="A55" s="11">
        <v>45</v>
      </c>
      <c r="B55" s="18" t="s">
        <v>36</v>
      </c>
      <c r="C55" s="47">
        <f>((C24+C30-C18-C19)/C15)</f>
        <v>0.81914332523706224</v>
      </c>
      <c r="D55" s="47" t="e">
        <f>((D24+D30-D18-D19)/D15)</f>
        <v>#DIV/0!</v>
      </c>
      <c r="E55" s="47">
        <f>((E24+E30-E18-E19)/E15)</f>
        <v>0.81695396924754238</v>
      </c>
    </row>
    <row r="56" spans="1:7" x14ac:dyDescent="0.3">
      <c r="A56" s="11">
        <v>46</v>
      </c>
      <c r="B56" s="18" t="s">
        <v>37</v>
      </c>
      <c r="C56" s="47">
        <f>((C24+C30+C36)/C15)</f>
        <v>1.1460467404790153</v>
      </c>
      <c r="D56" s="47" t="e">
        <f>((D24+D30+D36)/D15)</f>
        <v>#DIV/0!</v>
      </c>
      <c r="E56" s="47">
        <f>((E24+E30+E36)/E15)</f>
        <v>1.143642047670262</v>
      </c>
    </row>
    <row r="57" spans="1:7" x14ac:dyDescent="0.3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3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3">
      <c r="A59" s="20"/>
      <c r="B59" s="20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3">
      <c r="A68" s="104"/>
      <c r="B68" s="68" t="s">
        <v>255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x14ac:dyDescent="0.3">
      <c r="B2" t="s">
        <v>173</v>
      </c>
    </row>
    <row r="3" spans="1:5" x14ac:dyDescent="0.3">
      <c r="B3" s="59" t="s">
        <v>268</v>
      </c>
      <c r="C3" s="68"/>
      <c r="D3" s="68"/>
    </row>
    <row r="4" spans="1:5" x14ac:dyDescent="0.3">
      <c r="B4" s="68"/>
      <c r="C4" s="68"/>
      <c r="D4" s="68"/>
    </row>
    <row r="5" spans="1:5" x14ac:dyDescent="0.3">
      <c r="B5" s="68"/>
      <c r="C5" s="68"/>
      <c r="D5" s="68"/>
    </row>
    <row r="6" spans="1:5" x14ac:dyDescent="0.3">
      <c r="A6" s="7"/>
      <c r="B6" s="7"/>
      <c r="C6" s="10" t="s">
        <v>123</v>
      </c>
      <c r="D6" s="27" t="s">
        <v>123</v>
      </c>
    </row>
    <row r="7" spans="1:5" x14ac:dyDescent="0.3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3">
      <c r="A8" s="12"/>
      <c r="B8" s="12"/>
      <c r="C8" s="12">
        <v>2013</v>
      </c>
      <c r="D8" s="6">
        <v>2014</v>
      </c>
    </row>
    <row r="9" spans="1:5" x14ac:dyDescent="0.3">
      <c r="A9" s="10">
        <v>1</v>
      </c>
      <c r="B9" s="7" t="s">
        <v>1</v>
      </c>
      <c r="C9" s="37">
        <f>PriorYearIncomeStmt!E9</f>
        <v>570598</v>
      </c>
      <c r="D9" s="42">
        <f>'CurrentYearIncomeStmt '!E9</f>
        <v>569417</v>
      </c>
    </row>
    <row r="10" spans="1:5" x14ac:dyDescent="0.3">
      <c r="A10" s="11">
        <v>2</v>
      </c>
      <c r="B10" s="18" t="s">
        <v>2</v>
      </c>
      <c r="C10" s="33">
        <f>PriorYearIncomeStmt!E10</f>
        <v>3094294</v>
      </c>
      <c r="D10" s="42">
        <f>'CurrentYearIncomeStmt '!E10</f>
        <v>2758985</v>
      </c>
    </row>
    <row r="11" spans="1:5" x14ac:dyDescent="0.3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3">
      <c r="A12" s="11">
        <v>4</v>
      </c>
      <c r="B12" s="18" t="s">
        <v>4</v>
      </c>
      <c r="C12" s="33">
        <f>PriorYearIncomeStmt!E12</f>
        <v>36425</v>
      </c>
      <c r="D12" s="42">
        <f>'CurrentYearIncomeStmt '!E12</f>
        <v>33757</v>
      </c>
    </row>
    <row r="13" spans="1:5" x14ac:dyDescent="0.3">
      <c r="A13" s="11">
        <v>5</v>
      </c>
      <c r="B13" s="18" t="s">
        <v>5</v>
      </c>
      <c r="C13" s="33">
        <f>PriorYearIncomeStmt!E13</f>
        <v>37694</v>
      </c>
      <c r="D13" s="42">
        <f>'CurrentYearIncomeStmt '!E13</f>
        <v>35948</v>
      </c>
    </row>
    <row r="14" spans="1:5" x14ac:dyDescent="0.3">
      <c r="A14" s="11">
        <v>6</v>
      </c>
      <c r="B14" s="18" t="s">
        <v>159</v>
      </c>
      <c r="C14" s="33">
        <f>PriorYearIncomeStmt!E14</f>
        <v>-9575</v>
      </c>
      <c r="D14" s="42">
        <f>'CurrentYearIncomeStmt '!E14</f>
        <v>-8069</v>
      </c>
    </row>
    <row r="15" spans="1:5" x14ac:dyDescent="0.3">
      <c r="A15" s="11">
        <v>7</v>
      </c>
      <c r="B15" s="92" t="s">
        <v>158</v>
      </c>
      <c r="C15" s="41">
        <f>SUM(C9:C14)</f>
        <v>3729436</v>
      </c>
      <c r="D15" s="43">
        <f t="shared" ref="D15" si="0">SUM(D9:D14)</f>
        <v>3390038</v>
      </c>
      <c r="E15" s="1"/>
    </row>
    <row r="16" spans="1:5" x14ac:dyDescent="0.3">
      <c r="A16" s="11">
        <v>8</v>
      </c>
      <c r="B16" s="18" t="s">
        <v>6</v>
      </c>
      <c r="C16" s="33">
        <f>PriorYearIncomeStmt!E16</f>
        <v>1252839</v>
      </c>
      <c r="D16" s="42">
        <f>'CurrentYearIncomeStmt '!E16</f>
        <v>1228390</v>
      </c>
    </row>
    <row r="17" spans="1:5" x14ac:dyDescent="0.3">
      <c r="A17" s="11">
        <v>9</v>
      </c>
      <c r="B17" s="18" t="s">
        <v>40</v>
      </c>
      <c r="C17" s="33">
        <f>PriorYearIncomeStmt!E17</f>
        <v>676956</v>
      </c>
      <c r="D17" s="42">
        <f>'CurrentYearIncomeStmt '!E17</f>
        <v>715253</v>
      </c>
    </row>
    <row r="18" spans="1:5" x14ac:dyDescent="0.3">
      <c r="A18" s="11">
        <v>10</v>
      </c>
      <c r="B18" s="18" t="s">
        <v>7</v>
      </c>
      <c r="C18" s="33">
        <f>PriorYearIncomeStmt!E18</f>
        <v>1004868</v>
      </c>
      <c r="D18" s="42">
        <f>'CurrentYearIncomeStmt '!E18</f>
        <v>1107485</v>
      </c>
    </row>
    <row r="19" spans="1:5" x14ac:dyDescent="0.3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3">
      <c r="A20" s="11">
        <v>12</v>
      </c>
      <c r="B20" s="18" t="s">
        <v>9</v>
      </c>
      <c r="C20" s="33">
        <f>PriorYearIncomeStmt!E20</f>
        <v>242961</v>
      </c>
      <c r="D20" s="42">
        <f>'CurrentYearIncomeStmt '!E20</f>
        <v>255924</v>
      </c>
    </row>
    <row r="21" spans="1:5" x14ac:dyDescent="0.3">
      <c r="A21" s="11">
        <v>13</v>
      </c>
      <c r="B21" s="18" t="s">
        <v>10</v>
      </c>
      <c r="C21" s="33">
        <f>PriorYearIncomeStmt!E21</f>
        <v>749634</v>
      </c>
      <c r="D21" s="42">
        <f>'CurrentYearIncomeStmt '!E21</f>
        <v>715634</v>
      </c>
    </row>
    <row r="22" spans="1:5" x14ac:dyDescent="0.3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3">
      <c r="A23" s="11" t="s">
        <v>155</v>
      </c>
      <c r="B23" s="18" t="s">
        <v>156</v>
      </c>
      <c r="C23" s="33">
        <f>SUM(C21:C22)</f>
        <v>749634</v>
      </c>
      <c r="D23" s="42">
        <f t="shared" ref="D23" si="1">SUM(D21:D22)</f>
        <v>715634</v>
      </c>
    </row>
    <row r="24" spans="1:5" x14ac:dyDescent="0.3">
      <c r="A24" s="11">
        <v>14</v>
      </c>
      <c r="B24" s="92" t="s">
        <v>157</v>
      </c>
      <c r="C24" s="41">
        <f>C16+C17+C18+C19+C20+C23</f>
        <v>3927258</v>
      </c>
      <c r="D24" s="43">
        <f t="shared" ref="D24" si="2">D16+D17+D18+D19+D20+D23</f>
        <v>4022686</v>
      </c>
      <c r="E24" s="1"/>
    </row>
    <row r="25" spans="1:5" x14ac:dyDescent="0.3">
      <c r="A25" s="11">
        <v>15</v>
      </c>
      <c r="B25" s="18" t="s">
        <v>14</v>
      </c>
      <c r="C25" s="33">
        <f>C15-C24</f>
        <v>-197822</v>
      </c>
      <c r="D25" s="42">
        <f t="shared" ref="D25" si="3">D15-D24</f>
        <v>-632648</v>
      </c>
    </row>
    <row r="26" spans="1:5" x14ac:dyDescent="0.3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3">
      <c r="A27" s="11">
        <v>17</v>
      </c>
      <c r="B27" s="18" t="s">
        <v>11</v>
      </c>
      <c r="C27" s="33">
        <f>PriorYearIncomeStmt!E27</f>
        <v>117357</v>
      </c>
      <c r="D27" s="42">
        <f>'CurrentYearIncomeStmt '!E27</f>
        <v>97433</v>
      </c>
    </row>
    <row r="28" spans="1:5" x14ac:dyDescent="0.3">
      <c r="A28" s="11">
        <v>18</v>
      </c>
      <c r="B28" s="18" t="s">
        <v>224</v>
      </c>
      <c r="C28" s="33">
        <f>PriorYearIncomeStmt!E28</f>
        <v>-107088</v>
      </c>
      <c r="D28" s="42">
        <f>'CurrentYearIncomeStmt '!E28</f>
        <v>-243129</v>
      </c>
    </row>
    <row r="29" spans="1:5" x14ac:dyDescent="0.3">
      <c r="A29" s="11">
        <v>19</v>
      </c>
      <c r="B29" s="18" t="s">
        <v>13</v>
      </c>
      <c r="C29" s="33">
        <f>PriorYearIncomeStmt!E29</f>
        <v>0</v>
      </c>
      <c r="D29" s="42">
        <f>'CurrentYearIncomeStmt '!E29</f>
        <v>0</v>
      </c>
    </row>
    <row r="30" spans="1:5" x14ac:dyDescent="0.3">
      <c r="A30" s="11">
        <v>20</v>
      </c>
      <c r="B30" s="92" t="s">
        <v>12</v>
      </c>
      <c r="C30" s="38">
        <f>SUM(C27:C29)</f>
        <v>10269</v>
      </c>
      <c r="D30" s="44">
        <f t="shared" ref="D30" si="4">SUM(D27:D29)</f>
        <v>-145696</v>
      </c>
    </row>
    <row r="31" spans="1:5" x14ac:dyDescent="0.3">
      <c r="A31" s="11">
        <v>21</v>
      </c>
      <c r="B31" s="92" t="s">
        <v>23</v>
      </c>
      <c r="C31" s="38">
        <f>C25+C26-C30</f>
        <v>-208091</v>
      </c>
      <c r="D31" s="44">
        <f>D25+D26-D30</f>
        <v>-486952</v>
      </c>
    </row>
    <row r="32" spans="1:5" x14ac:dyDescent="0.3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3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3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3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3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3">
      <c r="A37" s="11">
        <v>27</v>
      </c>
      <c r="B37" s="18" t="s">
        <v>19</v>
      </c>
      <c r="C37" s="33">
        <f>PriorYearIncomeStmt!E37</f>
        <v>60472</v>
      </c>
      <c r="D37" s="42">
        <f>'CurrentYearIncomeStmt '!E37</f>
        <v>58897</v>
      </c>
    </row>
    <row r="38" spans="1:4" x14ac:dyDescent="0.3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3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3">
      <c r="A40" s="11">
        <v>30</v>
      </c>
      <c r="B40" s="18" t="s">
        <v>21</v>
      </c>
      <c r="C40" s="33">
        <f>PriorYearIncomeStmt!E40</f>
        <v>8209</v>
      </c>
      <c r="D40" s="42">
        <f>'CurrentYearIncomeStmt '!E40</f>
        <v>11833</v>
      </c>
    </row>
    <row r="41" spans="1:4" x14ac:dyDescent="0.3">
      <c r="A41" s="11">
        <v>31</v>
      </c>
      <c r="B41" s="92" t="s">
        <v>22</v>
      </c>
      <c r="C41" s="38">
        <f>C31-C36+C37+C38+C39+C40</f>
        <v>-139410</v>
      </c>
      <c r="D41" s="44">
        <f t="shared" ref="D41" si="6">D31-D36+D37+D38+D39+D40</f>
        <v>-416222</v>
      </c>
    </row>
    <row r="42" spans="1:4" x14ac:dyDescent="0.3">
      <c r="A42" s="11">
        <v>32</v>
      </c>
      <c r="B42" s="18" t="s">
        <v>24</v>
      </c>
      <c r="C42" s="45"/>
      <c r="D42" s="73"/>
    </row>
    <row r="43" spans="1:4" x14ac:dyDescent="0.3">
      <c r="A43" s="11">
        <v>33</v>
      </c>
      <c r="B43" s="18" t="s">
        <v>25</v>
      </c>
      <c r="C43" s="33">
        <f>PriorYearIncomeStmt!E43</f>
        <v>7088493</v>
      </c>
      <c r="D43" s="42">
        <f>'CurrentYearIncomeStmt '!E43</f>
        <v>6949083</v>
      </c>
    </row>
    <row r="44" spans="1:4" x14ac:dyDescent="0.3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3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3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3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3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3">
      <c r="A49" s="11">
        <v>39</v>
      </c>
      <c r="B49" s="92" t="s">
        <v>31</v>
      </c>
      <c r="C49" s="38">
        <f>(C41+C43+C44)-(C45+C46+C47+C48)</f>
        <v>6949083</v>
      </c>
      <c r="D49" s="44">
        <f t="shared" ref="D49" si="7">(D41+D43+D44)-(D45+D46+D47+D48)</f>
        <v>6532861</v>
      </c>
    </row>
    <row r="50" spans="1:8" x14ac:dyDescent="0.3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3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3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3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3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3">
      <c r="A55" s="11">
        <v>45</v>
      </c>
      <c r="B55" s="18" t="s">
        <v>36</v>
      </c>
      <c r="C55" s="50">
        <f>((C24+C30-C18-C19)/C15)</f>
        <v>0.78635455870539139</v>
      </c>
      <c r="D55" s="50">
        <f>((D24+D30-D18-D19)/D15)</f>
        <v>0.81695396924754238</v>
      </c>
    </row>
    <row r="56" spans="1:8" x14ac:dyDescent="0.3">
      <c r="A56" s="11">
        <v>46</v>
      </c>
      <c r="B56" s="18" t="s">
        <v>37</v>
      </c>
      <c r="C56" s="50">
        <f>((C24+C30+C36)/C15)</f>
        <v>1.0557969087014765</v>
      </c>
      <c r="D56" s="50">
        <f>((D24+D30+D36)/D15)</f>
        <v>1.143642047670262</v>
      </c>
    </row>
    <row r="57" spans="1:8" x14ac:dyDescent="0.3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3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3">
      <c r="A59" s="20"/>
      <c r="B59" s="20"/>
      <c r="C59" s="20"/>
      <c r="D59" s="16"/>
    </row>
    <row r="61" spans="1:8" x14ac:dyDescent="0.3">
      <c r="B61" t="s">
        <v>225</v>
      </c>
      <c r="C61" s="49" t="s">
        <v>177</v>
      </c>
      <c r="D61" s="49" t="s">
        <v>261</v>
      </c>
    </row>
    <row r="62" spans="1:8" x14ac:dyDescent="0.3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3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3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3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3">
      <c r="A66" s="68"/>
      <c r="B66" s="68"/>
      <c r="C66" s="68"/>
      <c r="D66" s="68"/>
      <c r="E66" s="68"/>
      <c r="F66" s="68"/>
      <c r="G66" s="68"/>
      <c r="H66" s="68"/>
    </row>
    <row r="67" spans="1:8" x14ac:dyDescent="0.3">
      <c r="A67" s="68"/>
      <c r="B67" s="68"/>
      <c r="C67" s="68"/>
      <c r="D67" s="68"/>
      <c r="E67" s="68"/>
      <c r="F67" s="68"/>
      <c r="G67" s="68"/>
      <c r="H67" s="68"/>
    </row>
    <row r="68" spans="1:8" x14ac:dyDescent="0.3">
      <c r="A68" s="68"/>
      <c r="B68" s="68"/>
      <c r="C68" s="68"/>
      <c r="D68" s="68"/>
      <c r="E68" s="68"/>
      <c r="F68" s="68"/>
      <c r="G68" s="68"/>
      <c r="H68" s="68"/>
    </row>
    <row r="69" spans="1:8" x14ac:dyDescent="0.3">
      <c r="A69" s="68"/>
      <c r="B69" s="68"/>
      <c r="C69" s="68"/>
      <c r="D69" s="68"/>
      <c r="E69" s="68"/>
      <c r="F69" s="68"/>
      <c r="G69" s="68"/>
      <c r="H69" s="68"/>
    </row>
    <row r="70" spans="1:8" x14ac:dyDescent="0.3">
      <c r="A70" s="68"/>
      <c r="B70" s="68"/>
      <c r="C70" s="68"/>
      <c r="D70" s="68"/>
      <c r="E70" s="68"/>
      <c r="F70" s="68"/>
      <c r="G70" s="68"/>
      <c r="H70" s="68"/>
    </row>
    <row r="71" spans="1:8" x14ac:dyDescent="0.3">
      <c r="A71" s="68"/>
      <c r="B71" s="68"/>
      <c r="C71" s="68"/>
      <c r="D71" s="68"/>
      <c r="E71" s="68"/>
      <c r="F71" s="68"/>
      <c r="G71" s="68"/>
      <c r="H71" s="68"/>
    </row>
    <row r="72" spans="1:8" x14ac:dyDescent="0.3">
      <c r="A72" s="68"/>
      <c r="B72" s="68"/>
      <c r="C72" s="68"/>
      <c r="D72" s="68"/>
      <c r="E72" s="68"/>
      <c r="F72" s="68"/>
      <c r="G72" s="68"/>
      <c r="H72" s="68"/>
    </row>
    <row r="73" spans="1:8" x14ac:dyDescent="0.3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2015-07-30T07:00:00+00:00</OpenedDate>
    <Date1 xmlns="dc463f71-b30c-4ab2-9473-d307f9d35888">2015-07-30T07:00:00+00:00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Tenino Telephone Company</CaseCompanyNames>
    <DocketNumber xmlns="dc463f71-b30c-4ab2-9473-d307f9d35888">151572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F2151CDF2AB24BB76CB41D34AF56DE" ma:contentTypeVersion="119" ma:contentTypeDescription="" ma:contentTypeScope="" ma:versionID="6eb3acd540b474a41442ddc2d03a485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DD1B25-942F-4925-AE2B-AE7F55A84015}"/>
</file>

<file path=customXml/itemProps2.xml><?xml version="1.0" encoding="utf-8"?>
<ds:datastoreItem xmlns:ds="http://schemas.openxmlformats.org/officeDocument/2006/customXml" ds:itemID="{D1EC0078-C074-4D51-AAEB-694C571AFEFC}"/>
</file>

<file path=customXml/itemProps3.xml><?xml version="1.0" encoding="utf-8"?>
<ds:datastoreItem xmlns:ds="http://schemas.openxmlformats.org/officeDocument/2006/customXml" ds:itemID="{B8200ED6-2096-4837-969A-F802453A179B}"/>
</file>

<file path=customXml/itemProps4.xml><?xml version="1.0" encoding="utf-8"?>
<ds:datastoreItem xmlns:ds="http://schemas.openxmlformats.org/officeDocument/2006/customXml" ds:itemID="{0D38B7E9-06DB-46E8-9069-BDDE9368E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2015-07-24T18:21:13Z</cp:lastPrinted>
  <dcterms:created xsi:type="dcterms:W3CDTF">2014-05-21T17:51:51Z</dcterms:created>
  <dcterms:modified xsi:type="dcterms:W3CDTF">2015-07-24T19:00:54Z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0x0101006E56B4D1795A2E4DB2F0B01679ED314A0042F2151CDF2AB24BB76CB41D34AF56DE</vt:lpwstr>
  </property>
  <property fmtid="{D5CDD505-2E9C-101B-9397-08002B2CF9AE}" pid="3" name="_docset_NoMedatataSyncRequired">
    <vt:lpwstr>False</vt:lpwstr>
  </property>
</Properties>
</file>